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20730" windowHeight="11760" firstSheet="14" activeTab="14"/>
  </bookViews>
  <sheets>
    <sheet name="基本支出汇总" sheetId="30" state="hidden" r:id="rId1"/>
    <sheet name="社区教育" sheetId="2" state="hidden" r:id="rId2"/>
    <sheet name="志愿者联盟" sheetId="3" state="hidden" r:id="rId3"/>
    <sheet name="2021年绩效预估" sheetId="17" state="hidden" r:id="rId4"/>
    <sheet name="保安经费" sheetId="32" state="hidden" r:id="rId5"/>
    <sheet name="莘庄" sheetId="22" state="hidden" r:id="rId6"/>
    <sheet name="吴泾" sheetId="21" state="hidden" r:id="rId7"/>
    <sheet name="七宝" sheetId="20" state="hidden" r:id="rId8"/>
    <sheet name="浦江" sheetId="31" state="hidden" r:id="rId9"/>
    <sheet name="梅陇" sheetId="25" state="hidden" r:id="rId10"/>
    <sheet name="马桥" sheetId="19" state="hidden" r:id="rId11"/>
    <sheet name="华漕" sheetId="24" state="hidden" r:id="rId12"/>
    <sheet name="颛桥" sheetId="26" state="hidden" r:id="rId13"/>
    <sheet name="虹桥" sheetId="23" state="hidden" r:id="rId14"/>
    <sheet name="吴泾镇" sheetId="50" r:id="rId15"/>
    <sheet name="扩班设备" sheetId="54" state="hidden" r:id="rId16"/>
    <sheet name="2021年尾款清算" sheetId="55" state="hidden" r:id="rId17"/>
    <sheet name="吴泾维修" sheetId="56" state="hidden" r:id="rId18"/>
    <sheet name="教育学院" sheetId="57" state="hidden" r:id="rId19"/>
  </sheets>
  <externalReferences>
    <externalReference r:id="rId20"/>
    <externalReference r:id="rId21"/>
  </externalReferences>
  <calcPr calcId="145621"/>
</workbook>
</file>

<file path=xl/calcChain.xml><?xml version="1.0" encoding="utf-8"?>
<calcChain xmlns="http://schemas.openxmlformats.org/spreadsheetml/2006/main">
  <c r="G4" i="57" l="1"/>
  <c r="G3" i="57"/>
  <c r="G5" i="57" s="1"/>
  <c r="C6" i="50" s="1"/>
  <c r="L27" i="56"/>
  <c r="I27" i="56"/>
  <c r="L21" i="56"/>
  <c r="L28" i="56" s="1"/>
  <c r="I21" i="56"/>
  <c r="I28" i="56" s="1"/>
  <c r="L16" i="56"/>
  <c r="I16" i="56"/>
  <c r="L15" i="56"/>
  <c r="I15" i="56"/>
  <c r="L14" i="56"/>
  <c r="I14" i="56"/>
  <c r="L13" i="56"/>
  <c r="I13" i="56"/>
  <c r="L12" i="56"/>
  <c r="I12" i="56"/>
  <c r="L11" i="56"/>
  <c r="I11" i="56"/>
  <c r="L10" i="56"/>
  <c r="I10" i="56"/>
  <c r="L9" i="56"/>
  <c r="I9" i="56"/>
  <c r="L8" i="56"/>
  <c r="I8" i="56"/>
  <c r="L7" i="56"/>
  <c r="I7" i="56"/>
  <c r="L6" i="56"/>
  <c r="L5" i="56"/>
  <c r="I5" i="56"/>
  <c r="I17" i="56" s="1"/>
  <c r="K4" i="56"/>
  <c r="J4" i="56"/>
  <c r="I3" i="55"/>
  <c r="K3" i="55" s="1"/>
  <c r="K32" i="54"/>
  <c r="K31" i="54"/>
  <c r="K30" i="54"/>
  <c r="K29" i="54"/>
  <c r="K28" i="54"/>
  <c r="K27" i="54"/>
  <c r="K26" i="54"/>
  <c r="K25" i="54"/>
  <c r="K24" i="54"/>
  <c r="K23" i="54"/>
  <c r="K22" i="54"/>
  <c r="K21" i="54"/>
  <c r="K20" i="54"/>
  <c r="K19" i="54"/>
  <c r="K18" i="54"/>
  <c r="K17" i="54"/>
  <c r="K16" i="54"/>
  <c r="K15" i="54"/>
  <c r="K14" i="54"/>
  <c r="K13" i="54"/>
  <c r="K12" i="54"/>
  <c r="K11" i="54"/>
  <c r="K10" i="54"/>
  <c r="K9" i="54"/>
  <c r="K8" i="54"/>
  <c r="K7" i="54"/>
  <c r="K6" i="54"/>
  <c r="K5" i="54"/>
  <c r="K4" i="54"/>
  <c r="K3" i="54"/>
  <c r="L17" i="56" l="1"/>
  <c r="L29" i="56"/>
  <c r="L30" i="56" s="1"/>
  <c r="L31" i="56" s="1"/>
  <c r="L18" i="56"/>
  <c r="I18" i="56"/>
  <c r="I29" i="56"/>
  <c r="K33" i="54"/>
  <c r="C4" i="50" s="1"/>
  <c r="L20" i="56" l="1"/>
  <c r="L4" i="56" s="1"/>
  <c r="C5" i="50" s="1"/>
  <c r="C7" i="50" s="1"/>
  <c r="I31" i="56"/>
  <c r="L19" i="56"/>
  <c r="I30" i="56"/>
  <c r="I19" i="56"/>
  <c r="I20" i="56" s="1"/>
  <c r="I4" i="56" s="1"/>
  <c r="W109" i="23" l="1"/>
  <c r="W108" i="23"/>
  <c r="W107" i="23"/>
  <c r="W106" i="23"/>
  <c r="W105" i="23"/>
  <c r="W104" i="23"/>
  <c r="W103" i="23"/>
  <c r="W102" i="23"/>
  <c r="V101" i="23"/>
  <c r="S101" i="23"/>
  <c r="R101" i="23"/>
  <c r="Q101" i="23"/>
  <c r="P101" i="23"/>
  <c r="O101" i="23"/>
  <c r="N101" i="23"/>
  <c r="M101" i="23"/>
  <c r="L101" i="23"/>
  <c r="K101" i="23"/>
  <c r="J101" i="23"/>
  <c r="I101" i="23"/>
  <c r="H101" i="23"/>
  <c r="G101" i="23"/>
  <c r="F101" i="23"/>
  <c r="E101" i="23"/>
  <c r="W101" i="23" s="1"/>
  <c r="W100" i="23"/>
  <c r="W99" i="23"/>
  <c r="W98" i="23"/>
  <c r="W97" i="23"/>
  <c r="V96" i="23"/>
  <c r="V80" i="23" s="1"/>
  <c r="V79" i="23" s="1"/>
  <c r="S96" i="23"/>
  <c r="R96" i="23"/>
  <c r="R72" i="23" s="1"/>
  <c r="R71" i="23" s="1"/>
  <c r="Q96" i="23"/>
  <c r="Q80" i="23" s="1"/>
  <c r="Q79" i="23" s="1"/>
  <c r="P96" i="23"/>
  <c r="P80" i="23" s="1"/>
  <c r="P79" i="23" s="1"/>
  <c r="O96" i="23"/>
  <c r="N96" i="23"/>
  <c r="N72" i="23" s="1"/>
  <c r="N71" i="23" s="1"/>
  <c r="M96" i="23"/>
  <c r="M80" i="23" s="1"/>
  <c r="M79" i="23" s="1"/>
  <c r="L96" i="23"/>
  <c r="L80" i="23" s="1"/>
  <c r="L79" i="23" s="1"/>
  <c r="K96" i="23"/>
  <c r="J96" i="23"/>
  <c r="J72" i="23" s="1"/>
  <c r="J71" i="23" s="1"/>
  <c r="I96" i="23"/>
  <c r="I80" i="23" s="1"/>
  <c r="I79" i="23" s="1"/>
  <c r="H96" i="23"/>
  <c r="H80" i="23" s="1"/>
  <c r="H79" i="23" s="1"/>
  <c r="G96" i="23"/>
  <c r="F96" i="23"/>
  <c r="F72" i="23" s="1"/>
  <c r="F71" i="23" s="1"/>
  <c r="E96" i="23"/>
  <c r="W96" i="23" s="1"/>
  <c r="W95" i="23"/>
  <c r="W94" i="23"/>
  <c r="V93" i="23"/>
  <c r="S93" i="23"/>
  <c r="R93" i="23"/>
  <c r="Q93" i="23"/>
  <c r="P93" i="23"/>
  <c r="O93" i="23"/>
  <c r="N93" i="23"/>
  <c r="M93" i="23"/>
  <c r="L93" i="23"/>
  <c r="K93" i="23"/>
  <c r="J93" i="23"/>
  <c r="I93" i="23"/>
  <c r="H93" i="23"/>
  <c r="G93" i="23"/>
  <c r="F93" i="23"/>
  <c r="E93" i="23"/>
  <c r="W92" i="23"/>
  <c r="V91" i="23"/>
  <c r="S91" i="23"/>
  <c r="R91" i="23"/>
  <c r="Q91" i="23"/>
  <c r="P91" i="23"/>
  <c r="O91" i="23"/>
  <c r="N91" i="23"/>
  <c r="M91" i="23"/>
  <c r="L91" i="23"/>
  <c r="K91" i="23"/>
  <c r="J91" i="23"/>
  <c r="I91" i="23"/>
  <c r="H91" i="23"/>
  <c r="G91" i="23"/>
  <c r="F91" i="23"/>
  <c r="E91" i="23"/>
  <c r="V90" i="23"/>
  <c r="S90" i="23"/>
  <c r="S89" i="23" s="1"/>
  <c r="R90" i="23"/>
  <c r="Q90" i="23"/>
  <c r="Q89" i="23" s="1"/>
  <c r="P90" i="23"/>
  <c r="O90" i="23"/>
  <c r="O89" i="23" s="1"/>
  <c r="N90" i="23"/>
  <c r="M90" i="23"/>
  <c r="M89" i="23" s="1"/>
  <c r="L90" i="23"/>
  <c r="L89" i="23" s="1"/>
  <c r="L85" i="23" s="1"/>
  <c r="K90" i="23"/>
  <c r="K89" i="23" s="1"/>
  <c r="J90" i="23"/>
  <c r="I90" i="23"/>
  <c r="I89" i="23" s="1"/>
  <c r="H90" i="23"/>
  <c r="H89" i="23" s="1"/>
  <c r="H85" i="23" s="1"/>
  <c r="G90" i="23"/>
  <c r="G89" i="23" s="1"/>
  <c r="F90" i="23"/>
  <c r="E90" i="23"/>
  <c r="V89" i="23"/>
  <c r="V85" i="23" s="1"/>
  <c r="P89" i="23"/>
  <c r="P85" i="23" s="1"/>
  <c r="W88" i="23"/>
  <c r="W87" i="23"/>
  <c r="V86" i="23"/>
  <c r="S86" i="23"/>
  <c r="R86" i="23"/>
  <c r="Q86" i="23"/>
  <c r="P86" i="23"/>
  <c r="O86" i="23"/>
  <c r="N86" i="23"/>
  <c r="M86" i="23"/>
  <c r="L86" i="23"/>
  <c r="K86" i="23"/>
  <c r="J86" i="23"/>
  <c r="I86" i="23"/>
  <c r="H86" i="23"/>
  <c r="G86" i="23"/>
  <c r="F86" i="23"/>
  <c r="E86" i="23"/>
  <c r="W86" i="23" s="1"/>
  <c r="W84" i="23"/>
  <c r="V83" i="23"/>
  <c r="S83" i="23"/>
  <c r="R83" i="23"/>
  <c r="Q83" i="23"/>
  <c r="P83" i="23"/>
  <c r="O83" i="23"/>
  <c r="N83" i="23"/>
  <c r="M83" i="23"/>
  <c r="L83" i="23"/>
  <c r="K83" i="23"/>
  <c r="J83" i="23"/>
  <c r="I83" i="23"/>
  <c r="H83" i="23"/>
  <c r="G83" i="23"/>
  <c r="F83" i="23"/>
  <c r="E83" i="23"/>
  <c r="V82" i="23"/>
  <c r="S82" i="23"/>
  <c r="S81" i="23" s="1"/>
  <c r="R82" i="23"/>
  <c r="R81" i="23" s="1"/>
  <c r="Q82" i="23"/>
  <c r="Q81" i="23" s="1"/>
  <c r="P82" i="23"/>
  <c r="O82" i="23"/>
  <c r="O81" i="23" s="1"/>
  <c r="N82" i="23"/>
  <c r="N81" i="23" s="1"/>
  <c r="M82" i="23"/>
  <c r="M81" i="23" s="1"/>
  <c r="L82" i="23"/>
  <c r="K82" i="23"/>
  <c r="K81" i="23" s="1"/>
  <c r="J82" i="23"/>
  <c r="J81" i="23" s="1"/>
  <c r="I82" i="23"/>
  <c r="I81" i="23" s="1"/>
  <c r="H82" i="23"/>
  <c r="G82" i="23"/>
  <c r="G81" i="23" s="1"/>
  <c r="F82" i="23"/>
  <c r="F81" i="23" s="1"/>
  <c r="E82" i="23"/>
  <c r="V81" i="23"/>
  <c r="P81" i="23"/>
  <c r="L81" i="23"/>
  <c r="H81" i="23"/>
  <c r="S80" i="23"/>
  <c r="S79" i="23" s="1"/>
  <c r="R80" i="23"/>
  <c r="R79" i="23" s="1"/>
  <c r="O80" i="23"/>
  <c r="O79" i="23" s="1"/>
  <c r="N80" i="23"/>
  <c r="N79" i="23" s="1"/>
  <c r="K80" i="23"/>
  <c r="K79" i="23" s="1"/>
  <c r="J80" i="23"/>
  <c r="J79" i="23" s="1"/>
  <c r="G80" i="23"/>
  <c r="G79" i="23" s="1"/>
  <c r="F80" i="23"/>
  <c r="F79" i="23" s="1"/>
  <c r="W78" i="23"/>
  <c r="V77" i="23"/>
  <c r="S77" i="23"/>
  <c r="R77" i="23"/>
  <c r="Q77" i="23"/>
  <c r="P77" i="23"/>
  <c r="O77" i="23"/>
  <c r="N77" i="23"/>
  <c r="M77" i="23"/>
  <c r="L77" i="23"/>
  <c r="K77" i="23"/>
  <c r="J77" i="23"/>
  <c r="I77" i="23"/>
  <c r="H77" i="23"/>
  <c r="G77" i="23"/>
  <c r="F77" i="23"/>
  <c r="E77" i="23"/>
  <c r="V76" i="23"/>
  <c r="S76" i="23"/>
  <c r="S75" i="23" s="1"/>
  <c r="R76" i="23"/>
  <c r="Q76" i="23"/>
  <c r="Q75" i="23" s="1"/>
  <c r="P76" i="23"/>
  <c r="P75" i="23" s="1"/>
  <c r="O76" i="23"/>
  <c r="O75" i="23" s="1"/>
  <c r="N76" i="23"/>
  <c r="M76" i="23"/>
  <c r="M75" i="23" s="1"/>
  <c r="L76" i="23"/>
  <c r="K76" i="23"/>
  <c r="K75" i="23" s="1"/>
  <c r="J76" i="23"/>
  <c r="I76" i="23"/>
  <c r="I75" i="23" s="1"/>
  <c r="H76" i="23"/>
  <c r="H75" i="23" s="1"/>
  <c r="G76" i="23"/>
  <c r="G75" i="23" s="1"/>
  <c r="F76" i="23"/>
  <c r="E76" i="23"/>
  <c r="E75" i="23" s="1"/>
  <c r="V75" i="23"/>
  <c r="R75" i="23"/>
  <c r="N75" i="23"/>
  <c r="L75" i="23"/>
  <c r="J75" i="23"/>
  <c r="F75" i="23"/>
  <c r="V74" i="23"/>
  <c r="S74" i="23"/>
  <c r="S73" i="23" s="1"/>
  <c r="R74" i="23"/>
  <c r="Q74" i="23"/>
  <c r="Q73" i="23" s="1"/>
  <c r="P74" i="23"/>
  <c r="P73" i="23" s="1"/>
  <c r="O74" i="23"/>
  <c r="O73" i="23" s="1"/>
  <c r="N74" i="23"/>
  <c r="M74" i="23"/>
  <c r="M73" i="23" s="1"/>
  <c r="L74" i="23"/>
  <c r="K74" i="23"/>
  <c r="K73" i="23" s="1"/>
  <c r="J74" i="23"/>
  <c r="I74" i="23"/>
  <c r="I73" i="23" s="1"/>
  <c r="H74" i="23"/>
  <c r="H73" i="23" s="1"/>
  <c r="G74" i="23"/>
  <c r="G73" i="23" s="1"/>
  <c r="F74" i="23"/>
  <c r="E74" i="23"/>
  <c r="V73" i="23"/>
  <c r="R73" i="23"/>
  <c r="N73" i="23"/>
  <c r="L73" i="23"/>
  <c r="J73" i="23"/>
  <c r="F73" i="23"/>
  <c r="V72" i="23"/>
  <c r="S72" i="23"/>
  <c r="S71" i="23" s="1"/>
  <c r="Q72" i="23"/>
  <c r="Q71" i="23" s="1"/>
  <c r="P72" i="23"/>
  <c r="P71" i="23" s="1"/>
  <c r="O72" i="23"/>
  <c r="O71" i="23" s="1"/>
  <c r="M72" i="23"/>
  <c r="M71" i="23" s="1"/>
  <c r="L72" i="23"/>
  <c r="K72" i="23"/>
  <c r="K71" i="23" s="1"/>
  <c r="I72" i="23"/>
  <c r="I71" i="23" s="1"/>
  <c r="H72" i="23"/>
  <c r="H71" i="23" s="1"/>
  <c r="G72" i="23"/>
  <c r="G71" i="23" s="1"/>
  <c r="E72" i="23"/>
  <c r="E71" i="23" s="1"/>
  <c r="V71" i="23"/>
  <c r="L71" i="23"/>
  <c r="W70" i="23"/>
  <c r="W69" i="23"/>
  <c r="I68" i="23"/>
  <c r="H68" i="23"/>
  <c r="G68" i="23"/>
  <c r="W68" i="23" s="1"/>
  <c r="W67" i="23"/>
  <c r="W66" i="23"/>
  <c r="W65" i="23"/>
  <c r="W64" i="23"/>
  <c r="W63" i="23"/>
  <c r="W62" i="23"/>
  <c r="W61" i="23"/>
  <c r="W60" i="23"/>
  <c r="W59" i="23"/>
  <c r="W58" i="23"/>
  <c r="W57" i="23"/>
  <c r="W56" i="23"/>
  <c r="W55" i="23"/>
  <c r="H54" i="23"/>
  <c r="H53" i="23" s="1"/>
  <c r="G54" i="23"/>
  <c r="G53" i="23" s="1"/>
  <c r="E54" i="23"/>
  <c r="W54" i="23" s="1"/>
  <c r="V53" i="23"/>
  <c r="S53" i="23"/>
  <c r="R53" i="23"/>
  <c r="Q53" i="23"/>
  <c r="P53" i="23"/>
  <c r="O53" i="23"/>
  <c r="N53" i="23"/>
  <c r="M53" i="23"/>
  <c r="L53" i="23"/>
  <c r="K53" i="23"/>
  <c r="J53" i="23"/>
  <c r="I53" i="23"/>
  <c r="F53" i="23"/>
  <c r="W51" i="23"/>
  <c r="W50" i="23"/>
  <c r="W49" i="23"/>
  <c r="W48" i="23"/>
  <c r="V47" i="23"/>
  <c r="S47" i="23"/>
  <c r="R47" i="23"/>
  <c r="Q47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W46" i="23"/>
  <c r="V45" i="23"/>
  <c r="S45" i="23"/>
  <c r="R45" i="23"/>
  <c r="Q45" i="23"/>
  <c r="P45" i="23"/>
  <c r="O45" i="23"/>
  <c r="N45" i="23"/>
  <c r="M45" i="23"/>
  <c r="L45" i="23"/>
  <c r="K45" i="23"/>
  <c r="J45" i="23"/>
  <c r="I45" i="23"/>
  <c r="H45" i="23"/>
  <c r="G45" i="23"/>
  <c r="F45" i="23"/>
  <c r="E45" i="23"/>
  <c r="W45" i="23" s="1"/>
  <c r="W44" i="23"/>
  <c r="W43" i="23"/>
  <c r="V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W41" i="23"/>
  <c r="V40" i="23"/>
  <c r="V31" i="23" s="1"/>
  <c r="S40" i="23"/>
  <c r="R40" i="23"/>
  <c r="R31" i="23" s="1"/>
  <c r="Q40" i="23"/>
  <c r="Q31" i="23" s="1"/>
  <c r="P40" i="23"/>
  <c r="P31" i="23" s="1"/>
  <c r="O40" i="23"/>
  <c r="N40" i="23"/>
  <c r="N31" i="23" s="1"/>
  <c r="M40" i="23"/>
  <c r="M31" i="23" s="1"/>
  <c r="L40" i="23"/>
  <c r="L31" i="23" s="1"/>
  <c r="K40" i="23"/>
  <c r="J40" i="23"/>
  <c r="J31" i="23" s="1"/>
  <c r="I40" i="23"/>
  <c r="I31" i="23" s="1"/>
  <c r="H40" i="23"/>
  <c r="H31" i="23" s="1"/>
  <c r="G40" i="23"/>
  <c r="F40" i="23"/>
  <c r="F31" i="23" s="1"/>
  <c r="E40" i="23"/>
  <c r="W39" i="23"/>
  <c r="W38" i="23"/>
  <c r="W37" i="23"/>
  <c r="W36" i="23"/>
  <c r="W35" i="23"/>
  <c r="W34" i="23"/>
  <c r="W33" i="23"/>
  <c r="V32" i="23"/>
  <c r="S32" i="23"/>
  <c r="R32" i="23"/>
  <c r="Q32" i="23"/>
  <c r="P32" i="23"/>
  <c r="O32" i="23"/>
  <c r="N32" i="23"/>
  <c r="M32" i="23"/>
  <c r="L32" i="23"/>
  <c r="K32" i="23"/>
  <c r="J32" i="23"/>
  <c r="I32" i="23"/>
  <c r="H32" i="23"/>
  <c r="G32" i="23"/>
  <c r="F32" i="23"/>
  <c r="E32" i="23"/>
  <c r="S31" i="23"/>
  <c r="O31" i="23"/>
  <c r="K31" i="23"/>
  <c r="G31" i="23"/>
  <c r="V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V29" i="23"/>
  <c r="S29" i="23"/>
  <c r="R29" i="23"/>
  <c r="Q29" i="23"/>
  <c r="P29" i="23"/>
  <c r="O29" i="23"/>
  <c r="N29" i="23"/>
  <c r="M29" i="23"/>
  <c r="L29" i="23"/>
  <c r="K29" i="23"/>
  <c r="J29" i="23"/>
  <c r="I29" i="23"/>
  <c r="H29" i="23"/>
  <c r="G29" i="23"/>
  <c r="F29" i="23"/>
  <c r="E29" i="23"/>
  <c r="V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V27" i="23"/>
  <c r="S27" i="23"/>
  <c r="R27" i="23"/>
  <c r="Q27" i="23"/>
  <c r="P27" i="23"/>
  <c r="O27" i="23"/>
  <c r="N27" i="23"/>
  <c r="M27" i="23"/>
  <c r="L27" i="23"/>
  <c r="K27" i="23"/>
  <c r="J27" i="23"/>
  <c r="I27" i="23"/>
  <c r="H27" i="23"/>
  <c r="G27" i="23"/>
  <c r="F27" i="23"/>
  <c r="E27" i="23"/>
  <c r="V26" i="23"/>
  <c r="S26" i="23"/>
  <c r="R26" i="23"/>
  <c r="Q26" i="23"/>
  <c r="P26" i="23"/>
  <c r="O26" i="23"/>
  <c r="N26" i="23"/>
  <c r="M26" i="23"/>
  <c r="L26" i="23"/>
  <c r="K26" i="23"/>
  <c r="J26" i="23"/>
  <c r="I26" i="23"/>
  <c r="H26" i="23"/>
  <c r="G26" i="23"/>
  <c r="F26" i="23"/>
  <c r="E26" i="23"/>
  <c r="V25" i="23"/>
  <c r="S25" i="23"/>
  <c r="R25" i="23"/>
  <c r="Q25" i="23"/>
  <c r="P25" i="23"/>
  <c r="O25" i="23"/>
  <c r="N25" i="23"/>
  <c r="M25" i="23"/>
  <c r="L25" i="23"/>
  <c r="K25" i="23"/>
  <c r="J25" i="23"/>
  <c r="I25" i="23"/>
  <c r="H25" i="23"/>
  <c r="G25" i="23"/>
  <c r="F25" i="23"/>
  <c r="E25" i="23"/>
  <c r="V24" i="23"/>
  <c r="S24" i="23"/>
  <c r="R24" i="23"/>
  <c r="Q24" i="23"/>
  <c r="P24" i="23"/>
  <c r="O24" i="23"/>
  <c r="N24" i="23"/>
  <c r="M24" i="23"/>
  <c r="L24" i="23"/>
  <c r="K24" i="23"/>
  <c r="J24" i="23"/>
  <c r="I24" i="23"/>
  <c r="H24" i="23"/>
  <c r="G24" i="23"/>
  <c r="F24" i="23"/>
  <c r="E24" i="23"/>
  <c r="V23" i="23"/>
  <c r="S23" i="23"/>
  <c r="R23" i="23"/>
  <c r="Q23" i="23"/>
  <c r="P23" i="23"/>
  <c r="O23" i="23"/>
  <c r="N23" i="23"/>
  <c r="M23" i="23"/>
  <c r="L23" i="23"/>
  <c r="K23" i="23"/>
  <c r="J23" i="23"/>
  <c r="I23" i="23"/>
  <c r="H23" i="23"/>
  <c r="G23" i="23"/>
  <c r="F23" i="23"/>
  <c r="E23" i="23"/>
  <c r="V22" i="23"/>
  <c r="S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V21" i="23"/>
  <c r="S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V20" i="23"/>
  <c r="S20" i="23"/>
  <c r="R20" i="23"/>
  <c r="Q20" i="23"/>
  <c r="P20" i="23"/>
  <c r="O20" i="23"/>
  <c r="N20" i="23"/>
  <c r="M20" i="23"/>
  <c r="L20" i="23"/>
  <c r="K20" i="23"/>
  <c r="J20" i="23"/>
  <c r="I20" i="23"/>
  <c r="H20" i="23"/>
  <c r="G20" i="23"/>
  <c r="F20" i="23"/>
  <c r="E20" i="23"/>
  <c r="W19" i="23"/>
  <c r="W18" i="23"/>
  <c r="V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W17" i="23" s="1"/>
  <c r="W16" i="23"/>
  <c r="V15" i="23"/>
  <c r="S15" i="23"/>
  <c r="R15" i="23"/>
  <c r="Q15" i="23"/>
  <c r="P15" i="23"/>
  <c r="O15" i="23"/>
  <c r="N15" i="23"/>
  <c r="M15" i="23"/>
  <c r="L15" i="23"/>
  <c r="K15" i="23"/>
  <c r="J15" i="23"/>
  <c r="I15" i="23"/>
  <c r="H15" i="23"/>
  <c r="G15" i="23"/>
  <c r="F15" i="23"/>
  <c r="E15" i="23"/>
  <c r="V14" i="23"/>
  <c r="S14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V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V12" i="23"/>
  <c r="S12" i="23"/>
  <c r="R12" i="23"/>
  <c r="Q12" i="23"/>
  <c r="P12" i="23"/>
  <c r="O12" i="23"/>
  <c r="N12" i="23"/>
  <c r="M12" i="23"/>
  <c r="L12" i="23"/>
  <c r="K12" i="23"/>
  <c r="J12" i="23"/>
  <c r="I12" i="23"/>
  <c r="H12" i="23"/>
  <c r="G12" i="23"/>
  <c r="F12" i="23"/>
  <c r="E12" i="23"/>
  <c r="V11" i="23"/>
  <c r="S11" i="23"/>
  <c r="R11" i="23"/>
  <c r="Q11" i="23"/>
  <c r="P11" i="23"/>
  <c r="O11" i="23"/>
  <c r="N11" i="23"/>
  <c r="M11" i="23"/>
  <c r="L11" i="23"/>
  <c r="K11" i="23"/>
  <c r="J11" i="23"/>
  <c r="I11" i="23"/>
  <c r="H11" i="23"/>
  <c r="G11" i="23"/>
  <c r="F11" i="23"/>
  <c r="E11" i="23"/>
  <c r="V10" i="23"/>
  <c r="S10" i="23"/>
  <c r="R10" i="23"/>
  <c r="R8" i="23" s="1"/>
  <c r="R4" i="23" s="1"/>
  <c r="Q10" i="23"/>
  <c r="P10" i="23"/>
  <c r="O10" i="23"/>
  <c r="N10" i="23"/>
  <c r="N8" i="23" s="1"/>
  <c r="N4" i="23" s="1"/>
  <c r="M10" i="23"/>
  <c r="L10" i="23"/>
  <c r="K10" i="23"/>
  <c r="J10" i="23"/>
  <c r="J8" i="23" s="1"/>
  <c r="J4" i="23" s="1"/>
  <c r="I10" i="23"/>
  <c r="H10" i="23"/>
  <c r="G10" i="23"/>
  <c r="F10" i="23"/>
  <c r="F8" i="23" s="1"/>
  <c r="E10" i="23"/>
  <c r="W9" i="23"/>
  <c r="V8" i="23"/>
  <c r="V4" i="23" s="1"/>
  <c r="S8" i="23"/>
  <c r="S4" i="23" s="1"/>
  <c r="Q8" i="23"/>
  <c r="P8" i="23"/>
  <c r="P4" i="23" s="1"/>
  <c r="O8" i="23"/>
  <c r="M8" i="23"/>
  <c r="L8" i="23"/>
  <c r="L4" i="23" s="1"/>
  <c r="K8" i="23"/>
  <c r="I8" i="23"/>
  <c r="H8" i="23"/>
  <c r="H4" i="23" s="1"/>
  <c r="G8" i="23"/>
  <c r="G4" i="23" s="1"/>
  <c r="E8" i="23"/>
  <c r="W7" i="23"/>
  <c r="W6" i="23"/>
  <c r="V5" i="23"/>
  <c r="S5" i="23"/>
  <c r="R5" i="23"/>
  <c r="Q5" i="23"/>
  <c r="Q4" i="23" s="1"/>
  <c r="P5" i="23"/>
  <c r="O5" i="23"/>
  <c r="N5" i="23"/>
  <c r="M5" i="23"/>
  <c r="M4" i="23" s="1"/>
  <c r="L5" i="23"/>
  <c r="K5" i="23"/>
  <c r="J5" i="23"/>
  <c r="I5" i="23"/>
  <c r="I4" i="23" s="1"/>
  <c r="H5" i="23"/>
  <c r="G5" i="23"/>
  <c r="F5" i="23"/>
  <c r="E5" i="23"/>
  <c r="W5" i="23" s="1"/>
  <c r="F4" i="23"/>
  <c r="Q109" i="19"/>
  <c r="Q108" i="19"/>
  <c r="Q107" i="19"/>
  <c r="Q106" i="19"/>
  <c r="Q105" i="19"/>
  <c r="N104" i="19"/>
  <c r="Q104" i="19" s="1"/>
  <c r="Q103" i="19"/>
  <c r="Q102" i="19"/>
  <c r="P101" i="19"/>
  <c r="O101" i="19"/>
  <c r="N101" i="19"/>
  <c r="M101" i="19"/>
  <c r="L101" i="19"/>
  <c r="K101" i="19"/>
  <c r="J101" i="19"/>
  <c r="I101" i="19"/>
  <c r="H101" i="19"/>
  <c r="G101" i="19"/>
  <c r="F101" i="19"/>
  <c r="E101" i="19"/>
  <c r="Q100" i="19"/>
  <c r="Q99" i="19"/>
  <c r="Q98" i="19"/>
  <c r="Q97" i="19"/>
  <c r="P96" i="19"/>
  <c r="O96" i="19"/>
  <c r="O29" i="19" s="1"/>
  <c r="N96" i="19"/>
  <c r="M96" i="19"/>
  <c r="L96" i="19"/>
  <c r="K96" i="19"/>
  <c r="J96" i="19"/>
  <c r="I96" i="19"/>
  <c r="H96" i="19"/>
  <c r="G96" i="19"/>
  <c r="F96" i="19"/>
  <c r="E96" i="19"/>
  <c r="Q95" i="19"/>
  <c r="Q94" i="19"/>
  <c r="P93" i="19"/>
  <c r="O93" i="19"/>
  <c r="N93" i="19"/>
  <c r="M93" i="19"/>
  <c r="L93" i="19"/>
  <c r="K93" i="19"/>
  <c r="J93" i="19"/>
  <c r="I93" i="19"/>
  <c r="H93" i="19"/>
  <c r="G93" i="19"/>
  <c r="F93" i="19"/>
  <c r="E93" i="19"/>
  <c r="Q92" i="19"/>
  <c r="P91" i="19"/>
  <c r="O91" i="19"/>
  <c r="N91" i="19"/>
  <c r="M91" i="19"/>
  <c r="L91" i="19"/>
  <c r="K91" i="19"/>
  <c r="J91" i="19"/>
  <c r="I91" i="19"/>
  <c r="H91" i="19"/>
  <c r="G91" i="19"/>
  <c r="F91" i="19"/>
  <c r="E91" i="19"/>
  <c r="Q91" i="19" s="1"/>
  <c r="P90" i="19"/>
  <c r="O90" i="19"/>
  <c r="N90" i="19"/>
  <c r="M90" i="19"/>
  <c r="M89" i="19" s="1"/>
  <c r="M85" i="19" s="1"/>
  <c r="M52" i="19" s="1"/>
  <c r="L90" i="19"/>
  <c r="K90" i="19"/>
  <c r="J90" i="19"/>
  <c r="I90" i="19"/>
  <c r="I89" i="19" s="1"/>
  <c r="I85" i="19" s="1"/>
  <c r="H90" i="19"/>
  <c r="G90" i="19"/>
  <c r="F90" i="19"/>
  <c r="E90" i="19"/>
  <c r="P89" i="19"/>
  <c r="O89" i="19"/>
  <c r="N89" i="19"/>
  <c r="N85" i="19" s="1"/>
  <c r="L89" i="19"/>
  <c r="K89" i="19"/>
  <c r="J89" i="19"/>
  <c r="J85" i="19" s="1"/>
  <c r="H89" i="19"/>
  <c r="G89" i="19"/>
  <c r="F89" i="19"/>
  <c r="F85" i="19" s="1"/>
  <c r="E89" i="19"/>
  <c r="Q88" i="19"/>
  <c r="Q87" i="19"/>
  <c r="P86" i="19"/>
  <c r="O86" i="19"/>
  <c r="N86" i="19"/>
  <c r="M86" i="19"/>
  <c r="L86" i="19"/>
  <c r="K86" i="19"/>
  <c r="K85" i="19" s="1"/>
  <c r="J86" i="19"/>
  <c r="I86" i="19"/>
  <c r="H86" i="19"/>
  <c r="G86" i="19"/>
  <c r="F86" i="19"/>
  <c r="E86" i="19"/>
  <c r="P85" i="19"/>
  <c r="O85" i="19"/>
  <c r="L85" i="19"/>
  <c r="H85" i="19"/>
  <c r="G85" i="19"/>
  <c r="Q84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Q83" i="19" s="1"/>
  <c r="P82" i="19"/>
  <c r="O82" i="19"/>
  <c r="N82" i="19"/>
  <c r="N81" i="19" s="1"/>
  <c r="M82" i="19"/>
  <c r="M81" i="19" s="1"/>
  <c r="L82" i="19"/>
  <c r="K82" i="19"/>
  <c r="J82" i="19"/>
  <c r="J81" i="19" s="1"/>
  <c r="I82" i="19"/>
  <c r="I81" i="19" s="1"/>
  <c r="H82" i="19"/>
  <c r="G82" i="19"/>
  <c r="E82" i="19"/>
  <c r="E81" i="19" s="1"/>
  <c r="P81" i="19"/>
  <c r="O81" i="19"/>
  <c r="L81" i="19"/>
  <c r="K81" i="19"/>
  <c r="H81" i="19"/>
  <c r="G81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P79" i="19"/>
  <c r="O79" i="19"/>
  <c r="N79" i="19"/>
  <c r="M79" i="19"/>
  <c r="L79" i="19"/>
  <c r="K79" i="19"/>
  <c r="J79" i="19"/>
  <c r="I79" i="19"/>
  <c r="H79" i="19"/>
  <c r="G79" i="19"/>
  <c r="F79" i="19"/>
  <c r="E79" i="19"/>
  <c r="Q78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P76" i="19"/>
  <c r="O76" i="19"/>
  <c r="N76" i="19"/>
  <c r="M76" i="19"/>
  <c r="L76" i="19"/>
  <c r="K76" i="19"/>
  <c r="J76" i="19"/>
  <c r="I76" i="19"/>
  <c r="H76" i="19"/>
  <c r="G76" i="19"/>
  <c r="F76" i="19"/>
  <c r="E76" i="19"/>
  <c r="P75" i="19"/>
  <c r="O75" i="19"/>
  <c r="N75" i="19"/>
  <c r="M75" i="19"/>
  <c r="L75" i="19"/>
  <c r="K75" i="19"/>
  <c r="J75" i="19"/>
  <c r="I75" i="19"/>
  <c r="H75" i="19"/>
  <c r="G75" i="19"/>
  <c r="F75" i="19"/>
  <c r="E75" i="19"/>
  <c r="P74" i="19"/>
  <c r="O74" i="19"/>
  <c r="N74" i="19"/>
  <c r="M74" i="19"/>
  <c r="L74" i="19"/>
  <c r="K74" i="19"/>
  <c r="J74" i="19"/>
  <c r="I74" i="19"/>
  <c r="H74" i="19"/>
  <c r="G74" i="19"/>
  <c r="F74" i="19"/>
  <c r="E74" i="19"/>
  <c r="P73" i="19"/>
  <c r="O73" i="19"/>
  <c r="N73" i="19"/>
  <c r="M73" i="19"/>
  <c r="L73" i="19"/>
  <c r="K73" i="19"/>
  <c r="J73" i="19"/>
  <c r="I73" i="19"/>
  <c r="H73" i="19"/>
  <c r="G73" i="19"/>
  <c r="F73" i="19"/>
  <c r="E73" i="19"/>
  <c r="P72" i="19"/>
  <c r="P71" i="19" s="1"/>
  <c r="O72" i="19"/>
  <c r="O71" i="19" s="1"/>
  <c r="O52" i="19" s="1"/>
  <c r="M72" i="19"/>
  <c r="L72" i="19"/>
  <c r="K72" i="19"/>
  <c r="K71" i="19" s="1"/>
  <c r="K52" i="19" s="1"/>
  <c r="I72" i="19"/>
  <c r="H72" i="19"/>
  <c r="G72" i="19"/>
  <c r="E72" i="19"/>
  <c r="M71" i="19"/>
  <c r="L71" i="19"/>
  <c r="I71" i="19"/>
  <c r="H71" i="19"/>
  <c r="G71" i="19"/>
  <c r="E71" i="19"/>
  <c r="Q70" i="19"/>
  <c r="Q69" i="19"/>
  <c r="Q68" i="19"/>
  <c r="Q67" i="19"/>
  <c r="Q66" i="19"/>
  <c r="Q65" i="19"/>
  <c r="Q64" i="19"/>
  <c r="N63" i="19"/>
  <c r="E63" i="19"/>
  <c r="Q63" i="19" s="1"/>
  <c r="Q62" i="19"/>
  <c r="Q61" i="19"/>
  <c r="Q60" i="19"/>
  <c r="Q59" i="19"/>
  <c r="Q58" i="19"/>
  <c r="Q57" i="19"/>
  <c r="Q56" i="19"/>
  <c r="Q55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P53" i="19"/>
  <c r="O53" i="19"/>
  <c r="N53" i="19"/>
  <c r="M53" i="19"/>
  <c r="L53" i="19"/>
  <c r="K53" i="19"/>
  <c r="J53" i="19"/>
  <c r="G53" i="19"/>
  <c r="E53" i="19"/>
  <c r="Q53" i="19" s="1"/>
  <c r="Q51" i="19"/>
  <c r="Q50" i="19"/>
  <c r="Q49" i="19"/>
  <c r="Q48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Q47" i="19" s="1"/>
  <c r="Q46" i="19"/>
  <c r="F46" i="19"/>
  <c r="P45" i="19"/>
  <c r="O45" i="19"/>
  <c r="N45" i="19"/>
  <c r="M45" i="19"/>
  <c r="L45" i="19"/>
  <c r="K45" i="19"/>
  <c r="J45" i="19"/>
  <c r="I45" i="19"/>
  <c r="H45" i="19"/>
  <c r="G45" i="19"/>
  <c r="F45" i="19"/>
  <c r="E45" i="19"/>
  <c r="Q44" i="19"/>
  <c r="Q43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Q42" i="19" s="1"/>
  <c r="Q41" i="19"/>
  <c r="P40" i="19"/>
  <c r="O40" i="19"/>
  <c r="N40" i="19"/>
  <c r="M40" i="19"/>
  <c r="L40" i="19"/>
  <c r="K40" i="19"/>
  <c r="J40" i="19"/>
  <c r="I40" i="19"/>
  <c r="H40" i="19"/>
  <c r="G40" i="19"/>
  <c r="F40" i="19"/>
  <c r="E40" i="19"/>
  <c r="Q39" i="19"/>
  <c r="Q38" i="19"/>
  <c r="Q37" i="19"/>
  <c r="Q36" i="19"/>
  <c r="Q35" i="19"/>
  <c r="Q34" i="19"/>
  <c r="Q33" i="19"/>
  <c r="P32" i="19"/>
  <c r="O32" i="19"/>
  <c r="N32" i="19"/>
  <c r="N31" i="19" s="1"/>
  <c r="M32" i="19"/>
  <c r="M31" i="19" s="1"/>
  <c r="L32" i="19"/>
  <c r="K32" i="19"/>
  <c r="J32" i="19"/>
  <c r="I32" i="19"/>
  <c r="I31" i="19" s="1"/>
  <c r="H32" i="19"/>
  <c r="H31" i="19" s="1"/>
  <c r="G32" i="19"/>
  <c r="F32" i="19"/>
  <c r="E32" i="19"/>
  <c r="Q32" i="19" s="1"/>
  <c r="P31" i="19"/>
  <c r="L31" i="19"/>
  <c r="J31" i="19"/>
  <c r="F31" i="19"/>
  <c r="E31" i="19"/>
  <c r="P30" i="19"/>
  <c r="O30" i="19"/>
  <c r="N30" i="19"/>
  <c r="M30" i="19"/>
  <c r="L30" i="19"/>
  <c r="K30" i="19"/>
  <c r="J30" i="19"/>
  <c r="I30" i="19"/>
  <c r="H30" i="19"/>
  <c r="G30" i="19"/>
  <c r="E30" i="19"/>
  <c r="P29" i="19"/>
  <c r="M29" i="19"/>
  <c r="L29" i="19"/>
  <c r="K29" i="19"/>
  <c r="I29" i="19"/>
  <c r="H29" i="19"/>
  <c r="G29" i="19"/>
  <c r="E29" i="19"/>
  <c r="P28" i="19"/>
  <c r="O28" i="19"/>
  <c r="O27" i="19" s="1"/>
  <c r="N28" i="19"/>
  <c r="M28" i="19"/>
  <c r="M27" i="19" s="1"/>
  <c r="L28" i="19"/>
  <c r="K28" i="19"/>
  <c r="J28" i="19"/>
  <c r="I28" i="19"/>
  <c r="I27" i="19" s="1"/>
  <c r="H28" i="19"/>
  <c r="G28" i="19"/>
  <c r="E28" i="19"/>
  <c r="P27" i="19"/>
  <c r="N27" i="19"/>
  <c r="L27" i="19"/>
  <c r="K27" i="19"/>
  <c r="J27" i="19"/>
  <c r="H27" i="19"/>
  <c r="G27" i="19"/>
  <c r="E27" i="19"/>
  <c r="P26" i="19"/>
  <c r="O26" i="19"/>
  <c r="O25" i="19" s="1"/>
  <c r="N26" i="19"/>
  <c r="N25" i="19" s="1"/>
  <c r="M26" i="19"/>
  <c r="M25" i="19" s="1"/>
  <c r="L26" i="19"/>
  <c r="K26" i="19"/>
  <c r="K25" i="19" s="1"/>
  <c r="J26" i="19"/>
  <c r="J25" i="19" s="1"/>
  <c r="I26" i="19"/>
  <c r="I25" i="19" s="1"/>
  <c r="H26" i="19"/>
  <c r="G26" i="19"/>
  <c r="G25" i="19" s="1"/>
  <c r="E26" i="19"/>
  <c r="E25" i="19" s="1"/>
  <c r="P25" i="19"/>
  <c r="L25" i="19"/>
  <c r="H25" i="19"/>
  <c r="P24" i="19"/>
  <c r="O24" i="19"/>
  <c r="N24" i="19"/>
  <c r="M24" i="19"/>
  <c r="L24" i="19"/>
  <c r="K24" i="19"/>
  <c r="J24" i="19"/>
  <c r="I24" i="19"/>
  <c r="H24" i="19"/>
  <c r="G24" i="19"/>
  <c r="E24" i="19"/>
  <c r="P23" i="19"/>
  <c r="P22" i="19" s="1"/>
  <c r="O23" i="19"/>
  <c r="O22" i="19" s="1"/>
  <c r="N23" i="19"/>
  <c r="N22" i="19" s="1"/>
  <c r="M23" i="19"/>
  <c r="L23" i="19"/>
  <c r="L22" i="19" s="1"/>
  <c r="K23" i="19"/>
  <c r="K22" i="19" s="1"/>
  <c r="J23" i="19"/>
  <c r="J22" i="19" s="1"/>
  <c r="I23" i="19"/>
  <c r="H23" i="19"/>
  <c r="H22" i="19" s="1"/>
  <c r="G23" i="19"/>
  <c r="G22" i="19" s="1"/>
  <c r="E23" i="19"/>
  <c r="E22" i="19" s="1"/>
  <c r="M22" i="19"/>
  <c r="I22" i="19"/>
  <c r="P21" i="19"/>
  <c r="P20" i="19" s="1"/>
  <c r="O21" i="19"/>
  <c r="N21" i="19"/>
  <c r="N20" i="19" s="1"/>
  <c r="M21" i="19"/>
  <c r="M20" i="19" s="1"/>
  <c r="L21" i="19"/>
  <c r="L20" i="19" s="1"/>
  <c r="K21" i="19"/>
  <c r="J21" i="19"/>
  <c r="J20" i="19" s="1"/>
  <c r="I21" i="19"/>
  <c r="I20" i="19" s="1"/>
  <c r="H21" i="19"/>
  <c r="H20" i="19" s="1"/>
  <c r="G21" i="19"/>
  <c r="E21" i="19"/>
  <c r="E20" i="19" s="1"/>
  <c r="O20" i="19"/>
  <c r="K20" i="19"/>
  <c r="G20" i="19"/>
  <c r="Q19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Q17" i="19"/>
  <c r="F16" i="19"/>
  <c r="F82" i="19" s="1"/>
  <c r="F81" i="19" s="1"/>
  <c r="P15" i="19"/>
  <c r="O15" i="19"/>
  <c r="N15" i="19"/>
  <c r="M15" i="19"/>
  <c r="L15" i="19"/>
  <c r="K15" i="19"/>
  <c r="J15" i="19"/>
  <c r="I15" i="19"/>
  <c r="H15" i="19"/>
  <c r="G15" i="19"/>
  <c r="E15" i="19"/>
  <c r="P14" i="19"/>
  <c r="O14" i="19"/>
  <c r="N14" i="19"/>
  <c r="M14" i="19"/>
  <c r="L14" i="19"/>
  <c r="K14" i="19"/>
  <c r="J14" i="19"/>
  <c r="I14" i="19"/>
  <c r="H14" i="19"/>
  <c r="G14" i="19"/>
  <c r="E14" i="19"/>
  <c r="P13" i="19"/>
  <c r="O13" i="19"/>
  <c r="N13" i="19"/>
  <c r="M13" i="19"/>
  <c r="L13" i="19"/>
  <c r="K13" i="19"/>
  <c r="J13" i="19"/>
  <c r="I13" i="19"/>
  <c r="H13" i="19"/>
  <c r="G13" i="19"/>
  <c r="E13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Q12" i="19" s="1"/>
  <c r="P11" i="19"/>
  <c r="O11" i="19"/>
  <c r="N11" i="19"/>
  <c r="M11" i="19"/>
  <c r="L11" i="19"/>
  <c r="K11" i="19"/>
  <c r="J11" i="19"/>
  <c r="I11" i="19"/>
  <c r="H11" i="19"/>
  <c r="G11" i="19"/>
  <c r="F11" i="19"/>
  <c r="E11" i="19"/>
  <c r="Q11" i="19" s="1"/>
  <c r="P10" i="19"/>
  <c r="O10" i="19"/>
  <c r="N10" i="19"/>
  <c r="N8" i="19" s="1"/>
  <c r="M10" i="19"/>
  <c r="M8" i="19" s="1"/>
  <c r="M4" i="19" s="1"/>
  <c r="L10" i="19"/>
  <c r="K10" i="19"/>
  <c r="J10" i="19"/>
  <c r="J8" i="19" s="1"/>
  <c r="I10" i="19"/>
  <c r="I8" i="19" s="1"/>
  <c r="I4" i="19" s="1"/>
  <c r="H10" i="19"/>
  <c r="G10" i="19"/>
  <c r="F10" i="19"/>
  <c r="E10" i="19"/>
  <c r="Q10" i="19" s="1"/>
  <c r="F9" i="19"/>
  <c r="Q9" i="19" s="1"/>
  <c r="P8" i="19"/>
  <c r="O8" i="19"/>
  <c r="O4" i="19" s="1"/>
  <c r="L8" i="19"/>
  <c r="K8" i="19"/>
  <c r="K4" i="19" s="1"/>
  <c r="H8" i="19"/>
  <c r="G8" i="19"/>
  <c r="G4" i="19" s="1"/>
  <c r="F7" i="19"/>
  <c r="Q7" i="19" s="1"/>
  <c r="F6" i="19"/>
  <c r="Q6" i="19" s="1"/>
  <c r="P5" i="19"/>
  <c r="O5" i="19"/>
  <c r="N5" i="19"/>
  <c r="M5" i="19"/>
  <c r="L5" i="19"/>
  <c r="K5" i="19"/>
  <c r="J5" i="19"/>
  <c r="I5" i="19"/>
  <c r="H5" i="19"/>
  <c r="G5" i="19"/>
  <c r="F5" i="19"/>
  <c r="E5" i="19"/>
  <c r="H4" i="19" l="1"/>
  <c r="P4" i="19"/>
  <c r="P3" i="19" s="1"/>
  <c r="I52" i="19"/>
  <c r="L4" i="19"/>
  <c r="I3" i="19"/>
  <c r="M3" i="19"/>
  <c r="G31" i="19"/>
  <c r="O31" i="19"/>
  <c r="O3" i="19" s="1"/>
  <c r="L52" i="19"/>
  <c r="Q5" i="19"/>
  <c r="F8" i="19"/>
  <c r="G52" i="19"/>
  <c r="G3" i="19" s="1"/>
  <c r="Q54" i="19"/>
  <c r="K4" i="23"/>
  <c r="Q29" i="19"/>
  <c r="Q40" i="19"/>
  <c r="E4" i="23"/>
  <c r="F14" i="19"/>
  <c r="Q89" i="19"/>
  <c r="E85" i="19"/>
  <c r="Q90" i="19"/>
  <c r="F72" i="19"/>
  <c r="F71" i="19" s="1"/>
  <c r="F52" i="19" s="1"/>
  <c r="F29" i="19"/>
  <c r="J72" i="19"/>
  <c r="J71" i="19" s="1"/>
  <c r="J52" i="19" s="1"/>
  <c r="J29" i="19"/>
  <c r="J4" i="19" s="1"/>
  <c r="J3" i="19" s="1"/>
  <c r="N72" i="19"/>
  <c r="N71" i="19" s="1"/>
  <c r="N52" i="19" s="1"/>
  <c r="N29" i="19"/>
  <c r="N4" i="19" s="1"/>
  <c r="N3" i="19" s="1"/>
  <c r="H52" i="23"/>
  <c r="H3" i="23" s="1"/>
  <c r="F15" i="19"/>
  <c r="Q15" i="19" s="1"/>
  <c r="E8" i="19"/>
  <c r="Q18" i="19"/>
  <c r="K31" i="19"/>
  <c r="K3" i="19" s="1"/>
  <c r="P52" i="19"/>
  <c r="H52" i="19"/>
  <c r="Q93" i="19"/>
  <c r="O4" i="23"/>
  <c r="Q45" i="19"/>
  <c r="Q79" i="19"/>
  <c r="Q80" i="19"/>
  <c r="Q96" i="19"/>
  <c r="Q101" i="19"/>
  <c r="W10" i="23"/>
  <c r="W11" i="23"/>
  <c r="W12" i="23"/>
  <c r="W13" i="23"/>
  <c r="W14" i="23"/>
  <c r="W15" i="23"/>
  <c r="L52" i="23"/>
  <c r="L3" i="23" s="1"/>
  <c r="P52" i="23"/>
  <c r="P3" i="23" s="1"/>
  <c r="V52" i="23"/>
  <c r="V3" i="23" s="1"/>
  <c r="E80" i="23"/>
  <c r="E79" i="23" s="1"/>
  <c r="W79" i="23" s="1"/>
  <c r="W82" i="23"/>
  <c r="W83" i="23"/>
  <c r="F89" i="23"/>
  <c r="F85" i="23" s="1"/>
  <c r="J89" i="23"/>
  <c r="J85" i="23" s="1"/>
  <c r="N89" i="23"/>
  <c r="N85" i="23" s="1"/>
  <c r="N52" i="23" s="1"/>
  <c r="N3" i="23" s="1"/>
  <c r="R89" i="23"/>
  <c r="R85" i="23" s="1"/>
  <c r="R52" i="23" s="1"/>
  <c r="R3" i="23" s="1"/>
  <c r="W93" i="23"/>
  <c r="W40" i="23"/>
  <c r="W47" i="23"/>
  <c r="Q73" i="19"/>
  <c r="Q74" i="19"/>
  <c r="Q75" i="19"/>
  <c r="Q76" i="19"/>
  <c r="Q77" i="19"/>
  <c r="Q86" i="19"/>
  <c r="W8" i="23"/>
  <c r="W20" i="23"/>
  <c r="W21" i="23"/>
  <c r="W22" i="23"/>
  <c r="W23" i="23"/>
  <c r="W24" i="23"/>
  <c r="W25" i="23"/>
  <c r="W26" i="23"/>
  <c r="W27" i="23"/>
  <c r="W28" i="23"/>
  <c r="W29" i="23"/>
  <c r="W30" i="23"/>
  <c r="E31" i="23"/>
  <c r="W31" i="23" s="1"/>
  <c r="W32" i="23"/>
  <c r="W42" i="23"/>
  <c r="W74" i="23"/>
  <c r="W75" i="23"/>
  <c r="W77" i="23"/>
  <c r="G85" i="23"/>
  <c r="K85" i="23"/>
  <c r="K52" i="23" s="1"/>
  <c r="K3" i="23" s="1"/>
  <c r="O85" i="23"/>
  <c r="O52" i="23" s="1"/>
  <c r="O3" i="23" s="1"/>
  <c r="S85" i="23"/>
  <c r="S52" i="23" s="1"/>
  <c r="S3" i="23" s="1"/>
  <c r="W90" i="23"/>
  <c r="W91" i="23"/>
  <c r="W71" i="23"/>
  <c r="G52" i="23"/>
  <c r="G3" i="23" s="1"/>
  <c r="I85" i="23"/>
  <c r="I52" i="23" s="1"/>
  <c r="I3" i="23" s="1"/>
  <c r="M85" i="23"/>
  <c r="M52" i="23" s="1"/>
  <c r="M3" i="23" s="1"/>
  <c r="Q85" i="23"/>
  <c r="Q52" i="23" s="1"/>
  <c r="Q3" i="23" s="1"/>
  <c r="F52" i="23"/>
  <c r="F3" i="23" s="1"/>
  <c r="J52" i="23"/>
  <c r="J3" i="23" s="1"/>
  <c r="E73" i="23"/>
  <c r="W73" i="23" s="1"/>
  <c r="E81" i="23"/>
  <c r="W81" i="23" s="1"/>
  <c r="E85" i="23"/>
  <c r="E89" i="23"/>
  <c r="W72" i="23"/>
  <c r="W76" i="23"/>
  <c r="W80" i="23"/>
  <c r="E53" i="23"/>
  <c r="Q81" i="19"/>
  <c r="Q82" i="19"/>
  <c r="F21" i="19"/>
  <c r="F20" i="19" s="1"/>
  <c r="F24" i="19"/>
  <c r="Q24" i="19" s="1"/>
  <c r="F28" i="19"/>
  <c r="F27" i="19" s="1"/>
  <c r="Q27" i="19" s="1"/>
  <c r="Q16" i="19"/>
  <c r="F23" i="19"/>
  <c r="F26" i="19"/>
  <c r="F25" i="19" s="1"/>
  <c r="Q25" i="19" s="1"/>
  <c r="F30" i="19"/>
  <c r="Q30" i="19" s="1"/>
  <c r="W89" i="23" l="1"/>
  <c r="Q72" i="19"/>
  <c r="Q8" i="19"/>
  <c r="E4" i="19"/>
  <c r="F13" i="19"/>
  <c r="Q13" i="19" s="1"/>
  <c r="Q14" i="19"/>
  <c r="Q26" i="19"/>
  <c r="W85" i="23"/>
  <c r="Q71" i="19"/>
  <c r="Q31" i="19"/>
  <c r="Q85" i="19"/>
  <c r="E52" i="19"/>
  <c r="Q52" i="19" s="1"/>
  <c r="F22" i="19"/>
  <c r="Q22" i="19" s="1"/>
  <c r="W4" i="23"/>
  <c r="L3" i="19"/>
  <c r="H3" i="19"/>
  <c r="E52" i="23"/>
  <c r="W53" i="23"/>
  <c r="F4" i="19"/>
  <c r="Q28" i="19"/>
  <c r="Q23" i="19"/>
  <c r="Q21" i="19"/>
  <c r="Q20" i="19"/>
  <c r="E3" i="19" l="1"/>
  <c r="W52" i="23"/>
  <c r="E3" i="23"/>
  <c r="W3" i="23" s="1"/>
  <c r="F3" i="19"/>
  <c r="Q3" i="19" s="1"/>
  <c r="Q4" i="19"/>
  <c r="M109" i="24"/>
  <c r="M108" i="24"/>
  <c r="M107" i="24"/>
  <c r="M106" i="24"/>
  <c r="M105" i="24"/>
  <c r="M104" i="24"/>
  <c r="M103" i="24"/>
  <c r="M102" i="24"/>
  <c r="L101" i="24"/>
  <c r="K101" i="24"/>
  <c r="J101" i="24"/>
  <c r="I101" i="24"/>
  <c r="H101" i="24"/>
  <c r="G101" i="24"/>
  <c r="F101" i="24"/>
  <c r="E101" i="24"/>
  <c r="M100" i="24"/>
  <c r="M99" i="24"/>
  <c r="M98" i="24"/>
  <c r="M97" i="24"/>
  <c r="L96" i="24"/>
  <c r="L72" i="24" s="1"/>
  <c r="L71" i="24" s="1"/>
  <c r="K96" i="24"/>
  <c r="K29" i="24" s="1"/>
  <c r="J96" i="24"/>
  <c r="I96" i="24"/>
  <c r="H96" i="24"/>
  <c r="H72" i="24" s="1"/>
  <c r="H71" i="24" s="1"/>
  <c r="G96" i="24"/>
  <c r="G29" i="24" s="1"/>
  <c r="F96" i="24"/>
  <c r="E96" i="24"/>
  <c r="M95" i="24"/>
  <c r="M94" i="24"/>
  <c r="L93" i="24"/>
  <c r="K93" i="24"/>
  <c r="J93" i="24"/>
  <c r="I93" i="24"/>
  <c r="H93" i="24"/>
  <c r="G93" i="24"/>
  <c r="F93" i="24"/>
  <c r="E93" i="24"/>
  <c r="M93" i="24" s="1"/>
  <c r="M92" i="24"/>
  <c r="L91" i="24"/>
  <c r="K91" i="24"/>
  <c r="J91" i="24"/>
  <c r="I91" i="24"/>
  <c r="H91" i="24"/>
  <c r="G91" i="24"/>
  <c r="F91" i="24"/>
  <c r="E91" i="24"/>
  <c r="L90" i="24"/>
  <c r="K90" i="24"/>
  <c r="K89" i="24" s="1"/>
  <c r="K85" i="24" s="1"/>
  <c r="J90" i="24"/>
  <c r="J89" i="24" s="1"/>
  <c r="J85" i="24" s="1"/>
  <c r="I90" i="24"/>
  <c r="I89" i="24" s="1"/>
  <c r="H90" i="24"/>
  <c r="G90" i="24"/>
  <c r="F90" i="24"/>
  <c r="F89" i="24" s="1"/>
  <c r="F85" i="24" s="1"/>
  <c r="E90" i="24"/>
  <c r="G89" i="24"/>
  <c r="M88" i="24"/>
  <c r="M87" i="24"/>
  <c r="L86" i="24"/>
  <c r="K86" i="24"/>
  <c r="J86" i="24"/>
  <c r="I86" i="24"/>
  <c r="H86" i="24"/>
  <c r="G86" i="24"/>
  <c r="G85" i="24" s="1"/>
  <c r="F86" i="24"/>
  <c r="E86" i="24"/>
  <c r="M84" i="24"/>
  <c r="L83" i="24"/>
  <c r="K83" i="24"/>
  <c r="J83" i="24"/>
  <c r="I83" i="24"/>
  <c r="H83" i="24"/>
  <c r="G83" i="24"/>
  <c r="F83" i="24"/>
  <c r="E83" i="24"/>
  <c r="M83" i="24" s="1"/>
  <c r="L82" i="24"/>
  <c r="K82" i="24"/>
  <c r="J82" i="24"/>
  <c r="I82" i="24"/>
  <c r="I81" i="24" s="1"/>
  <c r="H82" i="24"/>
  <c r="G82" i="24"/>
  <c r="F82" i="24"/>
  <c r="F81" i="24" s="1"/>
  <c r="E82" i="24"/>
  <c r="M82" i="24" s="1"/>
  <c r="L81" i="24"/>
  <c r="K81" i="24"/>
  <c r="J81" i="24"/>
  <c r="H81" i="24"/>
  <c r="G81" i="24"/>
  <c r="L80" i="24"/>
  <c r="K80" i="24"/>
  <c r="K79" i="24" s="1"/>
  <c r="J80" i="24"/>
  <c r="I80" i="24"/>
  <c r="H80" i="24"/>
  <c r="H79" i="24" s="1"/>
  <c r="G80" i="24"/>
  <c r="G79" i="24" s="1"/>
  <c r="F80" i="24"/>
  <c r="E80" i="24"/>
  <c r="L79" i="24"/>
  <c r="J79" i="24"/>
  <c r="I79" i="24"/>
  <c r="F79" i="24"/>
  <c r="E79" i="24"/>
  <c r="M78" i="24"/>
  <c r="L77" i="24"/>
  <c r="K77" i="24"/>
  <c r="J77" i="24"/>
  <c r="I77" i="24"/>
  <c r="H77" i="24"/>
  <c r="G77" i="24"/>
  <c r="F77" i="24"/>
  <c r="E77" i="24"/>
  <c r="L76" i="24"/>
  <c r="K76" i="24"/>
  <c r="K75" i="24" s="1"/>
  <c r="J76" i="24"/>
  <c r="J75" i="24" s="1"/>
  <c r="I76" i="24"/>
  <c r="H76" i="24"/>
  <c r="G76" i="24"/>
  <c r="G75" i="24" s="1"/>
  <c r="F76" i="24"/>
  <c r="F75" i="24" s="1"/>
  <c r="E76" i="24"/>
  <c r="L75" i="24"/>
  <c r="I75" i="24"/>
  <c r="H75" i="24"/>
  <c r="E75" i="24"/>
  <c r="L74" i="24"/>
  <c r="K74" i="24"/>
  <c r="J74" i="24"/>
  <c r="I74" i="24"/>
  <c r="I73" i="24" s="1"/>
  <c r="H74" i="24"/>
  <c r="H73" i="24" s="1"/>
  <c r="G74" i="24"/>
  <c r="F74" i="24"/>
  <c r="E74" i="24"/>
  <c r="L73" i="24"/>
  <c r="K73" i="24"/>
  <c r="J73" i="24"/>
  <c r="G73" i="24"/>
  <c r="F73" i="24"/>
  <c r="K72" i="24"/>
  <c r="K71" i="24" s="1"/>
  <c r="J72" i="24"/>
  <c r="J71" i="24" s="1"/>
  <c r="J52" i="24" s="1"/>
  <c r="I72" i="24"/>
  <c r="G72" i="24"/>
  <c r="G71" i="24" s="1"/>
  <c r="F72" i="24"/>
  <c r="F71" i="24" s="1"/>
  <c r="E72" i="24"/>
  <c r="I71" i="24"/>
  <c r="E71" i="24"/>
  <c r="M70" i="24"/>
  <c r="H69" i="24"/>
  <c r="G69" i="24"/>
  <c r="E69" i="24"/>
  <c r="M69" i="24" s="1"/>
  <c r="H68" i="24"/>
  <c r="G68" i="24"/>
  <c r="E68" i="24"/>
  <c r="H67" i="24"/>
  <c r="M67" i="24" s="1"/>
  <c r="G67" i="24"/>
  <c r="H66" i="24"/>
  <c r="G66" i="24"/>
  <c r="M66" i="24" s="1"/>
  <c r="E66" i="24"/>
  <c r="H65" i="24"/>
  <c r="G65" i="24"/>
  <c r="M65" i="24" s="1"/>
  <c r="E65" i="24"/>
  <c r="H64" i="24"/>
  <c r="G64" i="24"/>
  <c r="M64" i="24" s="1"/>
  <c r="E64" i="24"/>
  <c r="G63" i="24"/>
  <c r="E63" i="24"/>
  <c r="M63" i="24" s="1"/>
  <c r="M62" i="24"/>
  <c r="H61" i="24"/>
  <c r="G61" i="24"/>
  <c r="M61" i="24" s="1"/>
  <c r="E61" i="24"/>
  <c r="H60" i="24"/>
  <c r="G60" i="24"/>
  <c r="M60" i="24" s="1"/>
  <c r="E60" i="24"/>
  <c r="H59" i="24"/>
  <c r="G59" i="24"/>
  <c r="M59" i="24" s="1"/>
  <c r="E59" i="24"/>
  <c r="H58" i="24"/>
  <c r="G58" i="24"/>
  <c r="M58" i="24" s="1"/>
  <c r="E58" i="24"/>
  <c r="H57" i="24"/>
  <c r="G57" i="24"/>
  <c r="M57" i="24" s="1"/>
  <c r="E57" i="24"/>
  <c r="E56" i="24"/>
  <c r="M56" i="24" s="1"/>
  <c r="H55" i="24"/>
  <c r="H53" i="24" s="1"/>
  <c r="G55" i="24"/>
  <c r="E55" i="24"/>
  <c r="E54" i="24"/>
  <c r="M54" i="24" s="1"/>
  <c r="L53" i="24"/>
  <c r="K53" i="24"/>
  <c r="J53" i="24"/>
  <c r="I53" i="24"/>
  <c r="F53" i="24"/>
  <c r="F52" i="24" s="1"/>
  <c r="M51" i="24"/>
  <c r="M50" i="24"/>
  <c r="M49" i="24"/>
  <c r="E48" i="24"/>
  <c r="M48" i="24" s="1"/>
  <c r="L47" i="24"/>
  <c r="K47" i="24"/>
  <c r="J47" i="24"/>
  <c r="I47" i="24"/>
  <c r="H47" i="24"/>
  <c r="G47" i="24"/>
  <c r="F47" i="24"/>
  <c r="E47" i="24"/>
  <c r="G46" i="24"/>
  <c r="G45" i="24" s="1"/>
  <c r="E46" i="24"/>
  <c r="M46" i="24" s="1"/>
  <c r="L45" i="24"/>
  <c r="K45" i="24"/>
  <c r="J45" i="24"/>
  <c r="J31" i="24" s="1"/>
  <c r="I45" i="24"/>
  <c r="H45" i="24"/>
  <c r="F45" i="24"/>
  <c r="E45" i="24"/>
  <c r="M44" i="24"/>
  <c r="M43" i="24"/>
  <c r="L42" i="24"/>
  <c r="K42" i="24"/>
  <c r="J42" i="24"/>
  <c r="I42" i="24"/>
  <c r="H42" i="24"/>
  <c r="G42" i="24"/>
  <c r="F42" i="24"/>
  <c r="E42" i="24"/>
  <c r="M41" i="24"/>
  <c r="L40" i="24"/>
  <c r="L31" i="24" s="1"/>
  <c r="K40" i="24"/>
  <c r="J40" i="24"/>
  <c r="I40" i="24"/>
  <c r="H40" i="24"/>
  <c r="G40" i="24"/>
  <c r="F40" i="24"/>
  <c r="E40" i="24"/>
  <c r="M39" i="24"/>
  <c r="M38" i="24"/>
  <c r="M37" i="24"/>
  <c r="M36" i="24"/>
  <c r="M35" i="24"/>
  <c r="M34" i="24"/>
  <c r="M33" i="24"/>
  <c r="L32" i="24"/>
  <c r="K32" i="24"/>
  <c r="J32" i="24"/>
  <c r="I32" i="24"/>
  <c r="H32" i="24"/>
  <c r="H31" i="24" s="1"/>
  <c r="G32" i="24"/>
  <c r="G31" i="24" s="1"/>
  <c r="F32" i="24"/>
  <c r="E32" i="24"/>
  <c r="K31" i="24"/>
  <c r="F31" i="24"/>
  <c r="L30" i="24"/>
  <c r="K30" i="24"/>
  <c r="J30" i="24"/>
  <c r="I30" i="24"/>
  <c r="H30" i="24"/>
  <c r="G30" i="24"/>
  <c r="F30" i="24"/>
  <c r="E30" i="24"/>
  <c r="M30" i="24" s="1"/>
  <c r="J29" i="24"/>
  <c r="I29" i="24"/>
  <c r="F29" i="24"/>
  <c r="E29" i="24"/>
  <c r="L28" i="24"/>
  <c r="K28" i="24"/>
  <c r="J28" i="24"/>
  <c r="I28" i="24"/>
  <c r="I27" i="24" s="1"/>
  <c r="I4" i="24" s="1"/>
  <c r="H28" i="24"/>
  <c r="G28" i="24"/>
  <c r="G27" i="24" s="1"/>
  <c r="F28" i="24"/>
  <c r="F27" i="24" s="1"/>
  <c r="F4" i="24" s="1"/>
  <c r="F3" i="24" s="1"/>
  <c r="E28" i="24"/>
  <c r="M28" i="24" s="1"/>
  <c r="L27" i="24"/>
  <c r="K27" i="24"/>
  <c r="J27" i="24"/>
  <c r="H27" i="24"/>
  <c r="L26" i="24"/>
  <c r="K26" i="24"/>
  <c r="J26" i="24"/>
  <c r="I26" i="24"/>
  <c r="H26" i="24"/>
  <c r="G26" i="24"/>
  <c r="F26" i="24"/>
  <c r="E26" i="24"/>
  <c r="L25" i="24"/>
  <c r="K25" i="24"/>
  <c r="J25" i="24"/>
  <c r="I25" i="24"/>
  <c r="H25" i="24"/>
  <c r="G25" i="24"/>
  <c r="F25" i="24"/>
  <c r="E25" i="24"/>
  <c r="L24" i="24"/>
  <c r="K24" i="24"/>
  <c r="J24" i="24"/>
  <c r="I24" i="24"/>
  <c r="H24" i="24"/>
  <c r="G24" i="24"/>
  <c r="F24" i="24"/>
  <c r="E24" i="24"/>
  <c r="L23" i="24"/>
  <c r="K23" i="24"/>
  <c r="J23" i="24"/>
  <c r="I23" i="24"/>
  <c r="H23" i="24"/>
  <c r="G23" i="24"/>
  <c r="F23" i="24"/>
  <c r="E23" i="24"/>
  <c r="L22" i="24"/>
  <c r="K22" i="24"/>
  <c r="J22" i="24"/>
  <c r="I22" i="24"/>
  <c r="H22" i="24"/>
  <c r="G22" i="24"/>
  <c r="F22" i="24"/>
  <c r="E22" i="24"/>
  <c r="L21" i="24"/>
  <c r="K21" i="24"/>
  <c r="J21" i="24"/>
  <c r="I21" i="24"/>
  <c r="H21" i="24"/>
  <c r="G21" i="24"/>
  <c r="F21" i="24"/>
  <c r="E21" i="24"/>
  <c r="L20" i="24"/>
  <c r="K20" i="24"/>
  <c r="J20" i="24"/>
  <c r="I20" i="24"/>
  <c r="H20" i="24"/>
  <c r="G20" i="24"/>
  <c r="F20" i="24"/>
  <c r="E20" i="24"/>
  <c r="K19" i="24"/>
  <c r="L18" i="24"/>
  <c r="J18" i="24"/>
  <c r="I18" i="24"/>
  <c r="H18" i="24"/>
  <c r="G18" i="24"/>
  <c r="F18" i="24"/>
  <c r="E18" i="24"/>
  <c r="M17" i="24"/>
  <c r="M16" i="24"/>
  <c r="L15" i="24"/>
  <c r="K15" i="24"/>
  <c r="J15" i="24"/>
  <c r="I15" i="24"/>
  <c r="H15" i="24"/>
  <c r="G15" i="24"/>
  <c r="F15" i="24"/>
  <c r="E15" i="24"/>
  <c r="L14" i="24"/>
  <c r="K14" i="24"/>
  <c r="J14" i="24"/>
  <c r="I14" i="24"/>
  <c r="H14" i="24"/>
  <c r="G14" i="24"/>
  <c r="F14" i="24"/>
  <c r="E14" i="24"/>
  <c r="L13" i="24"/>
  <c r="K13" i="24"/>
  <c r="J13" i="24"/>
  <c r="I13" i="24"/>
  <c r="H13" i="24"/>
  <c r="G13" i="24"/>
  <c r="F13" i="24"/>
  <c r="E13" i="24"/>
  <c r="L12" i="24"/>
  <c r="K12" i="24"/>
  <c r="J12" i="24"/>
  <c r="I12" i="24"/>
  <c r="H12" i="24"/>
  <c r="G12" i="24"/>
  <c r="F12" i="24"/>
  <c r="E12" i="24"/>
  <c r="L11" i="24"/>
  <c r="K11" i="24"/>
  <c r="J11" i="24"/>
  <c r="I11" i="24"/>
  <c r="H11" i="24"/>
  <c r="G11" i="24"/>
  <c r="F11" i="24"/>
  <c r="E11" i="24"/>
  <c r="L10" i="24"/>
  <c r="L8" i="24" s="1"/>
  <c r="K10" i="24"/>
  <c r="K8" i="24" s="1"/>
  <c r="J10" i="24"/>
  <c r="I10" i="24"/>
  <c r="H10" i="24"/>
  <c r="H8" i="24" s="1"/>
  <c r="G10" i="24"/>
  <c r="G8" i="24" s="1"/>
  <c r="F10" i="24"/>
  <c r="E10" i="24"/>
  <c r="E9" i="24"/>
  <c r="M9" i="24" s="1"/>
  <c r="J8" i="24"/>
  <c r="J4" i="24" s="1"/>
  <c r="I8" i="24"/>
  <c r="F8" i="24"/>
  <c r="E8" i="24"/>
  <c r="M8" i="24" s="1"/>
  <c r="H7" i="24"/>
  <c r="G7" i="24"/>
  <c r="E7" i="24"/>
  <c r="M7" i="24" s="1"/>
  <c r="M6" i="24"/>
  <c r="H6" i="24"/>
  <c r="E6" i="24"/>
  <c r="L5" i="24"/>
  <c r="K5" i="24"/>
  <c r="K4" i="24" s="1"/>
  <c r="J5" i="24"/>
  <c r="I5" i="24"/>
  <c r="H5" i="24"/>
  <c r="G5" i="24"/>
  <c r="G4" i="24" s="1"/>
  <c r="F5" i="24"/>
  <c r="J109" i="22"/>
  <c r="J108" i="22"/>
  <c r="J107" i="22"/>
  <c r="J106" i="22"/>
  <c r="J105" i="22"/>
  <c r="J104" i="22"/>
  <c r="J103" i="22"/>
  <c r="J102" i="22"/>
  <c r="I101" i="22"/>
  <c r="H101" i="22"/>
  <c r="G101" i="22"/>
  <c r="F101" i="22"/>
  <c r="E101" i="22"/>
  <c r="J101" i="22" s="1"/>
  <c r="J100" i="22"/>
  <c r="J99" i="22"/>
  <c r="J98" i="22"/>
  <c r="J97" i="22"/>
  <c r="I96" i="22"/>
  <c r="I72" i="22" s="1"/>
  <c r="I71" i="22" s="1"/>
  <c r="H96" i="22"/>
  <c r="G96" i="22"/>
  <c r="F96" i="22"/>
  <c r="F29" i="22" s="1"/>
  <c r="E96" i="22"/>
  <c r="E72" i="22" s="1"/>
  <c r="J95" i="22"/>
  <c r="J94" i="22"/>
  <c r="I93" i="22"/>
  <c r="H93" i="22"/>
  <c r="G93" i="22"/>
  <c r="F93" i="22"/>
  <c r="E93" i="22"/>
  <c r="J93" i="22" s="1"/>
  <c r="J92" i="22"/>
  <c r="I91" i="22"/>
  <c r="H91" i="22"/>
  <c r="G91" i="22"/>
  <c r="F91" i="22"/>
  <c r="E91" i="22"/>
  <c r="I90" i="22"/>
  <c r="I89" i="22" s="1"/>
  <c r="H90" i="22"/>
  <c r="H89" i="22" s="1"/>
  <c r="H85" i="22" s="1"/>
  <c r="G90" i="22"/>
  <c r="F90" i="22"/>
  <c r="E90" i="22"/>
  <c r="G89" i="22"/>
  <c r="F89" i="22"/>
  <c r="J88" i="22"/>
  <c r="J87" i="22"/>
  <c r="I86" i="22"/>
  <c r="H86" i="22"/>
  <c r="G86" i="22"/>
  <c r="F86" i="22"/>
  <c r="E86" i="22"/>
  <c r="J84" i="22"/>
  <c r="I83" i="22"/>
  <c r="H83" i="22"/>
  <c r="G83" i="22"/>
  <c r="F83" i="22"/>
  <c r="E83" i="22"/>
  <c r="I82" i="22"/>
  <c r="I81" i="22" s="1"/>
  <c r="H82" i="22"/>
  <c r="G82" i="22"/>
  <c r="F82" i="22"/>
  <c r="F81" i="22" s="1"/>
  <c r="E82" i="22"/>
  <c r="E81" i="22" s="1"/>
  <c r="H81" i="22"/>
  <c r="G81" i="22"/>
  <c r="H80" i="22"/>
  <c r="G80" i="22"/>
  <c r="G79" i="22" s="1"/>
  <c r="F80" i="22"/>
  <c r="F79" i="22" s="1"/>
  <c r="H79" i="22"/>
  <c r="J78" i="22"/>
  <c r="I77" i="22"/>
  <c r="H77" i="22"/>
  <c r="G77" i="22"/>
  <c r="F77" i="22"/>
  <c r="J77" i="22" s="1"/>
  <c r="E77" i="22"/>
  <c r="I76" i="22"/>
  <c r="I75" i="22" s="1"/>
  <c r="H76" i="22"/>
  <c r="H75" i="22" s="1"/>
  <c r="G76" i="22"/>
  <c r="G75" i="22" s="1"/>
  <c r="F76" i="22"/>
  <c r="E76" i="22"/>
  <c r="F75" i="22"/>
  <c r="I74" i="22"/>
  <c r="I73" i="22" s="1"/>
  <c r="H74" i="22"/>
  <c r="H73" i="22" s="1"/>
  <c r="G74" i="22"/>
  <c r="G73" i="22" s="1"/>
  <c r="F74" i="22"/>
  <c r="E74" i="22"/>
  <c r="F73" i="22"/>
  <c r="H72" i="22"/>
  <c r="H71" i="22" s="1"/>
  <c r="G72" i="22"/>
  <c r="G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I53" i="22"/>
  <c r="H53" i="22"/>
  <c r="G53" i="22"/>
  <c r="F53" i="22"/>
  <c r="E53" i="22"/>
  <c r="J51" i="22"/>
  <c r="J50" i="22"/>
  <c r="J49" i="22"/>
  <c r="J48" i="22"/>
  <c r="I47" i="22"/>
  <c r="H47" i="22"/>
  <c r="G47" i="22"/>
  <c r="F47" i="22"/>
  <c r="E47" i="22"/>
  <c r="J46" i="22"/>
  <c r="I45" i="22"/>
  <c r="H45" i="22"/>
  <c r="G45" i="22"/>
  <c r="F45" i="22"/>
  <c r="E45" i="22"/>
  <c r="J45" i="22" s="1"/>
  <c r="J44" i="22"/>
  <c r="J43" i="22"/>
  <c r="I42" i="22"/>
  <c r="H42" i="22"/>
  <c r="G42" i="22"/>
  <c r="G31" i="22" s="1"/>
  <c r="F42" i="22"/>
  <c r="E42" i="22"/>
  <c r="J41" i="22"/>
  <c r="I40" i="22"/>
  <c r="H40" i="22"/>
  <c r="G40" i="22"/>
  <c r="F40" i="22"/>
  <c r="E40" i="22"/>
  <c r="J39" i="22"/>
  <c r="J38" i="22"/>
  <c r="J37" i="22"/>
  <c r="J36" i="22"/>
  <c r="J35" i="22"/>
  <c r="J34" i="22"/>
  <c r="J33" i="22"/>
  <c r="I32" i="22"/>
  <c r="H32" i="22"/>
  <c r="G32" i="22"/>
  <c r="F32" i="22"/>
  <c r="F31" i="22" s="1"/>
  <c r="E32" i="22"/>
  <c r="I30" i="22"/>
  <c r="H30" i="22"/>
  <c r="G30" i="22"/>
  <c r="F30" i="22"/>
  <c r="E30" i="22"/>
  <c r="I29" i="22"/>
  <c r="H29" i="22"/>
  <c r="G29" i="22"/>
  <c r="E29" i="22"/>
  <c r="J29" i="22" s="1"/>
  <c r="I28" i="22"/>
  <c r="I27" i="22" s="1"/>
  <c r="H28" i="22"/>
  <c r="H27" i="22" s="1"/>
  <c r="G28" i="22"/>
  <c r="F28" i="22"/>
  <c r="F27" i="22" s="1"/>
  <c r="E28" i="22"/>
  <c r="G27" i="22"/>
  <c r="I26" i="22"/>
  <c r="H26" i="22"/>
  <c r="H25" i="22" s="1"/>
  <c r="G26" i="22"/>
  <c r="G25" i="22" s="1"/>
  <c r="F26" i="22"/>
  <c r="F25" i="22" s="1"/>
  <c r="E26" i="22"/>
  <c r="I25" i="22"/>
  <c r="E25" i="22"/>
  <c r="I24" i="22"/>
  <c r="H24" i="22"/>
  <c r="G24" i="22"/>
  <c r="F24" i="22"/>
  <c r="E24" i="22"/>
  <c r="J24" i="22" s="1"/>
  <c r="I23" i="22"/>
  <c r="H23" i="22"/>
  <c r="G23" i="22"/>
  <c r="F23" i="22"/>
  <c r="E23" i="22"/>
  <c r="H22" i="22"/>
  <c r="G22" i="22"/>
  <c r="I21" i="22"/>
  <c r="I20" i="22" s="1"/>
  <c r="H21" i="22"/>
  <c r="H20" i="22" s="1"/>
  <c r="G21" i="22"/>
  <c r="G20" i="22" s="1"/>
  <c r="F21" i="22"/>
  <c r="E21" i="22"/>
  <c r="E20" i="22" s="1"/>
  <c r="F20" i="22"/>
  <c r="J19" i="22"/>
  <c r="I18" i="22"/>
  <c r="H18" i="22"/>
  <c r="G18" i="22"/>
  <c r="F18" i="22"/>
  <c r="E18" i="22"/>
  <c r="J17" i="22"/>
  <c r="J16" i="22"/>
  <c r="I15" i="22"/>
  <c r="H15" i="22"/>
  <c r="G15" i="22"/>
  <c r="F15" i="22"/>
  <c r="E15" i="22"/>
  <c r="I14" i="22"/>
  <c r="H14" i="22"/>
  <c r="G14" i="22"/>
  <c r="G13" i="22" s="1"/>
  <c r="F14" i="22"/>
  <c r="F13" i="22" s="1"/>
  <c r="E14" i="22"/>
  <c r="I13" i="22"/>
  <c r="H13" i="22"/>
  <c r="E13" i="22"/>
  <c r="J13" i="22" s="1"/>
  <c r="I12" i="22"/>
  <c r="H12" i="22"/>
  <c r="G12" i="22"/>
  <c r="F12" i="22"/>
  <c r="E12" i="22"/>
  <c r="H11" i="22"/>
  <c r="G11" i="22"/>
  <c r="G10" i="22" s="1"/>
  <c r="G8" i="22" s="1"/>
  <c r="F11" i="22"/>
  <c r="F10" i="22" s="1"/>
  <c r="F8" i="22" s="1"/>
  <c r="H10" i="22"/>
  <c r="H8" i="22" s="1"/>
  <c r="J9" i="22"/>
  <c r="J7" i="22"/>
  <c r="J6" i="22"/>
  <c r="I5" i="22"/>
  <c r="H5" i="22"/>
  <c r="G5" i="22"/>
  <c r="F5" i="22"/>
  <c r="E5" i="22"/>
  <c r="J5" i="22" s="1"/>
  <c r="V109" i="20"/>
  <c r="V108" i="20"/>
  <c r="V107" i="20"/>
  <c r="V106" i="20"/>
  <c r="V105" i="20"/>
  <c r="V104" i="20"/>
  <c r="V103" i="20"/>
  <c r="V102" i="20"/>
  <c r="T101" i="20"/>
  <c r="S101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F101" i="20"/>
  <c r="E101" i="20"/>
  <c r="V101" i="20" s="1"/>
  <c r="V100" i="20"/>
  <c r="V99" i="20"/>
  <c r="V98" i="20"/>
  <c r="V97" i="20"/>
  <c r="T96" i="20"/>
  <c r="S96" i="20"/>
  <c r="R96" i="20"/>
  <c r="Q96" i="20"/>
  <c r="Q72" i="20" s="1"/>
  <c r="Q71" i="20" s="1"/>
  <c r="P96" i="20"/>
  <c r="O96" i="20"/>
  <c r="N96" i="20"/>
  <c r="M96" i="20"/>
  <c r="M72" i="20" s="1"/>
  <c r="M71" i="20" s="1"/>
  <c r="L96" i="20"/>
  <c r="K96" i="20"/>
  <c r="J96" i="20"/>
  <c r="I96" i="20"/>
  <c r="I72" i="20" s="1"/>
  <c r="I71" i="20" s="1"/>
  <c r="H96" i="20"/>
  <c r="G96" i="20"/>
  <c r="F96" i="20"/>
  <c r="E96" i="20"/>
  <c r="V96" i="20" s="1"/>
  <c r="V95" i="20"/>
  <c r="V94" i="20"/>
  <c r="U93" i="20"/>
  <c r="T93" i="20"/>
  <c r="S93" i="20"/>
  <c r="R93" i="20"/>
  <c r="Q93" i="20"/>
  <c r="P93" i="20"/>
  <c r="O93" i="20"/>
  <c r="N93" i="20"/>
  <c r="M93" i="20"/>
  <c r="L93" i="20"/>
  <c r="K93" i="20"/>
  <c r="J93" i="20"/>
  <c r="I93" i="20"/>
  <c r="H93" i="20"/>
  <c r="G93" i="20"/>
  <c r="F93" i="20"/>
  <c r="E93" i="20"/>
  <c r="V92" i="20"/>
  <c r="U91" i="20"/>
  <c r="T91" i="20"/>
  <c r="S91" i="20"/>
  <c r="R91" i="20"/>
  <c r="Q91" i="20"/>
  <c r="P91" i="20"/>
  <c r="O91" i="20"/>
  <c r="N91" i="20"/>
  <c r="M91" i="20"/>
  <c r="L91" i="20"/>
  <c r="K91" i="20"/>
  <c r="J91" i="20"/>
  <c r="I91" i="20"/>
  <c r="H91" i="20"/>
  <c r="G91" i="20"/>
  <c r="F91" i="20"/>
  <c r="V91" i="20" s="1"/>
  <c r="E91" i="20"/>
  <c r="U90" i="20"/>
  <c r="T90" i="20"/>
  <c r="T89" i="20" s="1"/>
  <c r="S90" i="20"/>
  <c r="S89" i="20" s="1"/>
  <c r="R90" i="20"/>
  <c r="Q90" i="20"/>
  <c r="P90" i="20"/>
  <c r="P89" i="20" s="1"/>
  <c r="O90" i="20"/>
  <c r="O89" i="20" s="1"/>
  <c r="N90" i="20"/>
  <c r="M90" i="20"/>
  <c r="L90" i="20"/>
  <c r="L89" i="20" s="1"/>
  <c r="K90" i="20"/>
  <c r="K89" i="20" s="1"/>
  <c r="J90" i="20"/>
  <c r="J89" i="20" s="1"/>
  <c r="I90" i="20"/>
  <c r="H90" i="20"/>
  <c r="H89" i="20" s="1"/>
  <c r="G90" i="20"/>
  <c r="F90" i="20"/>
  <c r="E90" i="20"/>
  <c r="R89" i="20"/>
  <c r="G89" i="20"/>
  <c r="V88" i="20"/>
  <c r="V87" i="20"/>
  <c r="U86" i="20"/>
  <c r="T86" i="20"/>
  <c r="S86" i="20"/>
  <c r="R86" i="20"/>
  <c r="Q86" i="20"/>
  <c r="P86" i="20"/>
  <c r="O86" i="20"/>
  <c r="N86" i="20"/>
  <c r="M86" i="20"/>
  <c r="L86" i="20"/>
  <c r="K86" i="20"/>
  <c r="J86" i="20"/>
  <c r="I86" i="20"/>
  <c r="H86" i="20"/>
  <c r="G86" i="20"/>
  <c r="F86" i="20"/>
  <c r="E86" i="20"/>
  <c r="V84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I83" i="20"/>
  <c r="H83" i="20"/>
  <c r="G83" i="20"/>
  <c r="F83" i="20"/>
  <c r="V83" i="20" s="1"/>
  <c r="E83" i="20"/>
  <c r="T82" i="20"/>
  <c r="P82" i="20"/>
  <c r="P81" i="20" s="1"/>
  <c r="H82" i="20"/>
  <c r="H81" i="20" s="1"/>
  <c r="T81" i="20"/>
  <c r="U80" i="20"/>
  <c r="U79" i="20" s="1"/>
  <c r="T80" i="20"/>
  <c r="S80" i="20"/>
  <c r="R80" i="20"/>
  <c r="R79" i="20" s="1"/>
  <c r="Q80" i="20"/>
  <c r="Q79" i="20" s="1"/>
  <c r="P80" i="20"/>
  <c r="P79" i="20" s="1"/>
  <c r="O80" i="20"/>
  <c r="N80" i="20"/>
  <c r="N79" i="20" s="1"/>
  <c r="M80" i="20"/>
  <c r="M79" i="20" s="1"/>
  <c r="L80" i="20"/>
  <c r="K80" i="20"/>
  <c r="J80" i="20"/>
  <c r="J79" i="20" s="1"/>
  <c r="I80" i="20"/>
  <c r="I79" i="20" s="1"/>
  <c r="H80" i="20"/>
  <c r="H79" i="20" s="1"/>
  <c r="G80" i="20"/>
  <c r="F80" i="20"/>
  <c r="E80" i="20"/>
  <c r="E79" i="20" s="1"/>
  <c r="T79" i="20"/>
  <c r="S79" i="20"/>
  <c r="O79" i="20"/>
  <c r="L79" i="20"/>
  <c r="K79" i="20"/>
  <c r="G79" i="20"/>
  <c r="V78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I77" i="20"/>
  <c r="H77" i="20"/>
  <c r="G77" i="20"/>
  <c r="F77" i="20"/>
  <c r="E77" i="20"/>
  <c r="U76" i="20"/>
  <c r="U75" i="20" s="1"/>
  <c r="T76" i="20"/>
  <c r="T75" i="20" s="1"/>
  <c r="S76" i="20"/>
  <c r="R76" i="20"/>
  <c r="Q76" i="20"/>
  <c r="Q75" i="20" s="1"/>
  <c r="P76" i="20"/>
  <c r="P75" i="20" s="1"/>
  <c r="O76" i="20"/>
  <c r="O75" i="20" s="1"/>
  <c r="N76" i="20"/>
  <c r="M76" i="20"/>
  <c r="M75" i="20" s="1"/>
  <c r="L76" i="20"/>
  <c r="L75" i="20" s="1"/>
  <c r="K76" i="20"/>
  <c r="J76" i="20"/>
  <c r="I76" i="20"/>
  <c r="I75" i="20" s="1"/>
  <c r="H76" i="20"/>
  <c r="H75" i="20" s="1"/>
  <c r="G76" i="20"/>
  <c r="G75" i="20" s="1"/>
  <c r="F76" i="20"/>
  <c r="E76" i="20"/>
  <c r="S75" i="20"/>
  <c r="R75" i="20"/>
  <c r="N75" i="20"/>
  <c r="K75" i="20"/>
  <c r="J75" i="20"/>
  <c r="F75" i="20"/>
  <c r="U74" i="20"/>
  <c r="U73" i="20" s="1"/>
  <c r="T74" i="20"/>
  <c r="T73" i="20" s="1"/>
  <c r="S74" i="20"/>
  <c r="R74" i="20"/>
  <c r="R73" i="20" s="1"/>
  <c r="Q74" i="20"/>
  <c r="Q73" i="20" s="1"/>
  <c r="P74" i="20"/>
  <c r="P73" i="20" s="1"/>
  <c r="O74" i="20"/>
  <c r="N74" i="20"/>
  <c r="M74" i="20"/>
  <c r="M73" i="20" s="1"/>
  <c r="L74" i="20"/>
  <c r="L73" i="20" s="1"/>
  <c r="K74" i="20"/>
  <c r="J74" i="20"/>
  <c r="J73" i="20" s="1"/>
  <c r="I74" i="20"/>
  <c r="I73" i="20" s="1"/>
  <c r="H74" i="20"/>
  <c r="H73" i="20" s="1"/>
  <c r="G74" i="20"/>
  <c r="F74" i="20"/>
  <c r="E74" i="20"/>
  <c r="V74" i="20" s="1"/>
  <c r="S73" i="20"/>
  <c r="O73" i="20"/>
  <c r="N73" i="20"/>
  <c r="K73" i="20"/>
  <c r="G73" i="20"/>
  <c r="F73" i="20"/>
  <c r="U72" i="20"/>
  <c r="U71" i="20" s="1"/>
  <c r="T72" i="20"/>
  <c r="T71" i="20" s="1"/>
  <c r="S72" i="20"/>
  <c r="S71" i="20" s="1"/>
  <c r="R72" i="20"/>
  <c r="R71" i="20" s="1"/>
  <c r="P72" i="20"/>
  <c r="P71" i="20" s="1"/>
  <c r="O72" i="20"/>
  <c r="N72" i="20"/>
  <c r="N71" i="20" s="1"/>
  <c r="L72" i="20"/>
  <c r="L71" i="20" s="1"/>
  <c r="K72" i="20"/>
  <c r="K71" i="20" s="1"/>
  <c r="J72" i="20"/>
  <c r="J71" i="20" s="1"/>
  <c r="H72" i="20"/>
  <c r="H71" i="20" s="1"/>
  <c r="G72" i="20"/>
  <c r="F72" i="20"/>
  <c r="F71" i="20" s="1"/>
  <c r="O71" i="20"/>
  <c r="G71" i="20"/>
  <c r="V70" i="20"/>
  <c r="M69" i="20"/>
  <c r="V69" i="20" s="1"/>
  <c r="R68" i="20"/>
  <c r="R53" i="20" s="1"/>
  <c r="O68" i="20"/>
  <c r="N68" i="20"/>
  <c r="M68" i="20"/>
  <c r="L68" i="20"/>
  <c r="J68" i="20"/>
  <c r="I68" i="20"/>
  <c r="I53" i="20" s="1"/>
  <c r="H68" i="20"/>
  <c r="H53" i="20" s="1"/>
  <c r="F68" i="20"/>
  <c r="E68" i="20"/>
  <c r="V67" i="20"/>
  <c r="V66" i="20"/>
  <c r="V65" i="20"/>
  <c r="V64" i="20"/>
  <c r="M63" i="20"/>
  <c r="L63" i="20"/>
  <c r="K63" i="20"/>
  <c r="K53" i="20" s="1"/>
  <c r="J63" i="20"/>
  <c r="V62" i="20"/>
  <c r="V61" i="20"/>
  <c r="V60" i="20"/>
  <c r="V59" i="20"/>
  <c r="V58" i="20"/>
  <c r="V57" i="20"/>
  <c r="V56" i="20"/>
  <c r="V55" i="20"/>
  <c r="N54" i="20"/>
  <c r="M54" i="20"/>
  <c r="M53" i="20" s="1"/>
  <c r="L54" i="20"/>
  <c r="K54" i="20"/>
  <c r="J54" i="20"/>
  <c r="U53" i="20"/>
  <c r="T53" i="20"/>
  <c r="S53" i="20"/>
  <c r="Q53" i="20"/>
  <c r="P53" i="20"/>
  <c r="O53" i="20"/>
  <c r="N53" i="20"/>
  <c r="L53" i="20"/>
  <c r="J53" i="20"/>
  <c r="G53" i="20"/>
  <c r="F53" i="20"/>
  <c r="E53" i="20"/>
  <c r="V51" i="20"/>
  <c r="V50" i="20"/>
  <c r="V49" i="20"/>
  <c r="U48" i="20"/>
  <c r="V48" i="20" s="1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U46" i="20"/>
  <c r="U45" i="20" s="1"/>
  <c r="T46" i="20"/>
  <c r="T45" i="20" s="1"/>
  <c r="T31" i="20" s="1"/>
  <c r="S46" i="20"/>
  <c r="R46" i="20"/>
  <c r="Q46" i="20"/>
  <c r="Q45" i="20" s="1"/>
  <c r="P46" i="20"/>
  <c r="P45" i="20" s="1"/>
  <c r="P31" i="20" s="1"/>
  <c r="O46" i="20"/>
  <c r="O45" i="20" s="1"/>
  <c r="N46" i="20"/>
  <c r="M46" i="20"/>
  <c r="M45" i="20" s="1"/>
  <c r="L46" i="20"/>
  <c r="L45" i="20" s="1"/>
  <c r="K46" i="20"/>
  <c r="K45" i="20" s="1"/>
  <c r="K31" i="20" s="1"/>
  <c r="J46" i="20"/>
  <c r="I46" i="20"/>
  <c r="I45" i="20" s="1"/>
  <c r="G46" i="20"/>
  <c r="G45" i="20" s="1"/>
  <c r="F46" i="20"/>
  <c r="F45" i="20" s="1"/>
  <c r="E46" i="20"/>
  <c r="S45" i="20"/>
  <c r="R45" i="20"/>
  <c r="N45" i="20"/>
  <c r="J45" i="20"/>
  <c r="H45" i="20"/>
  <c r="E45" i="20"/>
  <c r="V44" i="20"/>
  <c r="V43" i="20"/>
  <c r="U42" i="20"/>
  <c r="T42" i="20"/>
  <c r="S42" i="20"/>
  <c r="S31" i="20" s="1"/>
  <c r="R42" i="20"/>
  <c r="R31" i="20" s="1"/>
  <c r="Q42" i="20"/>
  <c r="P42" i="20"/>
  <c r="O42" i="20"/>
  <c r="O31" i="20" s="1"/>
  <c r="N42" i="20"/>
  <c r="N31" i="20" s="1"/>
  <c r="M42" i="20"/>
  <c r="L42" i="20"/>
  <c r="K42" i="20"/>
  <c r="J42" i="20"/>
  <c r="I42" i="20"/>
  <c r="H42" i="20"/>
  <c r="G42" i="20"/>
  <c r="G31" i="20" s="1"/>
  <c r="F42" i="20"/>
  <c r="E42" i="20"/>
  <c r="V41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V40" i="20" s="1"/>
  <c r="V39" i="20"/>
  <c r="V38" i="20"/>
  <c r="V37" i="20"/>
  <c r="V36" i="20"/>
  <c r="V35" i="20"/>
  <c r="V34" i="20"/>
  <c r="V33" i="20"/>
  <c r="U32" i="20"/>
  <c r="T32" i="20"/>
  <c r="S32" i="20"/>
  <c r="R32" i="20"/>
  <c r="Q32" i="20"/>
  <c r="P32" i="20"/>
  <c r="O32" i="20"/>
  <c r="N32" i="20"/>
  <c r="M32" i="20"/>
  <c r="L32" i="20"/>
  <c r="L31" i="20" s="1"/>
  <c r="K32" i="20"/>
  <c r="J32" i="20"/>
  <c r="I32" i="20"/>
  <c r="H32" i="20"/>
  <c r="H31" i="20" s="1"/>
  <c r="G32" i="20"/>
  <c r="F32" i="20"/>
  <c r="E32" i="20"/>
  <c r="V32" i="20" s="1"/>
  <c r="J31" i="20"/>
  <c r="T30" i="20"/>
  <c r="P30" i="20"/>
  <c r="H30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T28" i="20"/>
  <c r="P28" i="20"/>
  <c r="P27" i="20" s="1"/>
  <c r="H28" i="20"/>
  <c r="H27" i="20" s="1"/>
  <c r="T27" i="20"/>
  <c r="T26" i="20"/>
  <c r="T25" i="20" s="1"/>
  <c r="P26" i="20"/>
  <c r="H26" i="20"/>
  <c r="P25" i="20"/>
  <c r="H25" i="20"/>
  <c r="T24" i="20"/>
  <c r="P24" i="20"/>
  <c r="H24" i="20"/>
  <c r="H22" i="20" s="1"/>
  <c r="T23" i="20"/>
  <c r="P23" i="20"/>
  <c r="H23" i="20"/>
  <c r="T22" i="20"/>
  <c r="P22" i="20"/>
  <c r="T21" i="20"/>
  <c r="P21" i="20"/>
  <c r="P20" i="20" s="1"/>
  <c r="H21" i="20"/>
  <c r="T20" i="20"/>
  <c r="H20" i="20"/>
  <c r="V19" i="20"/>
  <c r="E19" i="20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G18" i="20"/>
  <c r="F18" i="20"/>
  <c r="E18" i="20"/>
  <c r="V17" i="20"/>
  <c r="U16" i="20"/>
  <c r="U82" i="20" s="1"/>
  <c r="U81" i="20" s="1"/>
  <c r="S16" i="20"/>
  <c r="S23" i="20" s="1"/>
  <c r="R16" i="20"/>
  <c r="R82" i="20" s="1"/>
  <c r="R81" i="20" s="1"/>
  <c r="Q16" i="20"/>
  <c r="Q82" i="20" s="1"/>
  <c r="Q81" i="20" s="1"/>
  <c r="O16" i="20"/>
  <c r="O23" i="20" s="1"/>
  <c r="N16" i="20"/>
  <c r="N82" i="20" s="1"/>
  <c r="N81" i="20" s="1"/>
  <c r="M16" i="20"/>
  <c r="M82" i="20" s="1"/>
  <c r="M81" i="20" s="1"/>
  <c r="L16" i="20"/>
  <c r="L23" i="20" s="1"/>
  <c r="K16" i="20"/>
  <c r="K23" i="20" s="1"/>
  <c r="J16" i="20"/>
  <c r="J82" i="20" s="1"/>
  <c r="J81" i="20" s="1"/>
  <c r="I16" i="20"/>
  <c r="I82" i="20" s="1"/>
  <c r="I81" i="20" s="1"/>
  <c r="G16" i="20"/>
  <c r="G23" i="20" s="1"/>
  <c r="F16" i="20"/>
  <c r="F82" i="20" s="1"/>
  <c r="F81" i="20" s="1"/>
  <c r="E16" i="20"/>
  <c r="E82" i="20" s="1"/>
  <c r="T15" i="20"/>
  <c r="S15" i="20"/>
  <c r="R15" i="20"/>
  <c r="Q15" i="20"/>
  <c r="P15" i="20"/>
  <c r="O15" i="20"/>
  <c r="N15" i="20"/>
  <c r="M15" i="20"/>
  <c r="L15" i="20"/>
  <c r="K15" i="20"/>
  <c r="J15" i="20"/>
  <c r="I15" i="20"/>
  <c r="H15" i="20"/>
  <c r="G15" i="20"/>
  <c r="T14" i="20"/>
  <c r="T13" i="20" s="1"/>
  <c r="S14" i="20"/>
  <c r="S13" i="20" s="1"/>
  <c r="R14" i="20"/>
  <c r="R13" i="20" s="1"/>
  <c r="Q14" i="20"/>
  <c r="P14" i="20"/>
  <c r="P13" i="20" s="1"/>
  <c r="M14" i="20"/>
  <c r="L14" i="20"/>
  <c r="L13" i="20" s="1"/>
  <c r="I14" i="20"/>
  <c r="H14" i="20"/>
  <c r="H13" i="20" s="1"/>
  <c r="G14" i="20"/>
  <c r="G13" i="20" s="1"/>
  <c r="Q13" i="20"/>
  <c r="M13" i="20"/>
  <c r="I13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F10" i="20" s="1"/>
  <c r="F8" i="20" s="1"/>
  <c r="E12" i="20"/>
  <c r="U11" i="20"/>
  <c r="U10" i="20" s="1"/>
  <c r="U8" i="20" s="1"/>
  <c r="T11" i="20"/>
  <c r="S11" i="20"/>
  <c r="S10" i="20" s="1"/>
  <c r="S8" i="20" s="1"/>
  <c r="R11" i="20"/>
  <c r="R10" i="20" s="1"/>
  <c r="R8" i="20" s="1"/>
  <c r="P11" i="20"/>
  <c r="O11" i="20"/>
  <c r="O10" i="20" s="1"/>
  <c r="O8" i="20" s="1"/>
  <c r="N11" i="20"/>
  <c r="N10" i="20" s="1"/>
  <c r="N8" i="20" s="1"/>
  <c r="L11" i="20"/>
  <c r="K11" i="20"/>
  <c r="K10" i="20" s="1"/>
  <c r="K8" i="20" s="1"/>
  <c r="J11" i="20"/>
  <c r="J10" i="20" s="1"/>
  <c r="J8" i="20" s="1"/>
  <c r="H11" i="20"/>
  <c r="G11" i="20"/>
  <c r="G10" i="20" s="1"/>
  <c r="G8" i="20" s="1"/>
  <c r="F11" i="20"/>
  <c r="T10" i="20"/>
  <c r="P10" i="20"/>
  <c r="L10" i="20"/>
  <c r="H10" i="20"/>
  <c r="H8" i="20" s="1"/>
  <c r="U9" i="20"/>
  <c r="T9" i="20"/>
  <c r="T8" i="20" s="1"/>
  <c r="T4" i="20" s="1"/>
  <c r="S9" i="20"/>
  <c r="R9" i="20"/>
  <c r="Q9" i="20"/>
  <c r="P9" i="20"/>
  <c r="P8" i="20" s="1"/>
  <c r="O9" i="20"/>
  <c r="N9" i="20"/>
  <c r="M9" i="20"/>
  <c r="L9" i="20"/>
  <c r="L8" i="20" s="1"/>
  <c r="K9" i="20"/>
  <c r="J9" i="20"/>
  <c r="I9" i="20"/>
  <c r="F9" i="20"/>
  <c r="E9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G7" i="20"/>
  <c r="F7" i="20"/>
  <c r="E7" i="20"/>
  <c r="V7" i="20" s="1"/>
  <c r="U6" i="20"/>
  <c r="U5" i="20" s="1"/>
  <c r="T6" i="20"/>
  <c r="S6" i="20"/>
  <c r="R6" i="20"/>
  <c r="R5" i="20" s="1"/>
  <c r="Q6" i="20"/>
  <c r="Q5" i="20" s="1"/>
  <c r="P6" i="20"/>
  <c r="O6" i="20"/>
  <c r="N6" i="20"/>
  <c r="N5" i="20" s="1"/>
  <c r="M6" i="20"/>
  <c r="M5" i="20" s="1"/>
  <c r="L6" i="20"/>
  <c r="K6" i="20"/>
  <c r="J6" i="20"/>
  <c r="J5" i="20" s="1"/>
  <c r="I6" i="20"/>
  <c r="I5" i="20" s="1"/>
  <c r="G6" i="20"/>
  <c r="F6" i="20"/>
  <c r="E6" i="20"/>
  <c r="V6" i="20" s="1"/>
  <c r="T5" i="20"/>
  <c r="S5" i="20"/>
  <c r="P5" i="20"/>
  <c r="P4" i="20" s="1"/>
  <c r="O5" i="20"/>
  <c r="L5" i="20"/>
  <c r="K5" i="20"/>
  <c r="H5" i="20"/>
  <c r="G5" i="20"/>
  <c r="F5" i="20"/>
  <c r="W109" i="25"/>
  <c r="W108" i="25"/>
  <c r="W107" i="25"/>
  <c r="W106" i="25"/>
  <c r="W105" i="25"/>
  <c r="W104" i="25"/>
  <c r="W103" i="25"/>
  <c r="W102" i="25"/>
  <c r="V101" i="25"/>
  <c r="U101" i="25"/>
  <c r="T101" i="25"/>
  <c r="S101" i="25"/>
  <c r="R101" i="25"/>
  <c r="Q101" i="25"/>
  <c r="P101" i="25"/>
  <c r="O101" i="25"/>
  <c r="N101" i="25"/>
  <c r="M101" i="25"/>
  <c r="L101" i="25"/>
  <c r="K101" i="25"/>
  <c r="J101" i="25"/>
  <c r="I101" i="25"/>
  <c r="H101" i="25"/>
  <c r="G101" i="25"/>
  <c r="F101" i="25"/>
  <c r="E101" i="25"/>
  <c r="W101" i="25" s="1"/>
  <c r="W100" i="25"/>
  <c r="W99" i="25"/>
  <c r="W98" i="25"/>
  <c r="W97" i="25"/>
  <c r="V96" i="25"/>
  <c r="V72" i="25" s="1"/>
  <c r="V71" i="25" s="1"/>
  <c r="U96" i="25"/>
  <c r="T96" i="25"/>
  <c r="S96" i="25"/>
  <c r="S11" i="25" s="1"/>
  <c r="S10" i="25" s="1"/>
  <c r="R96" i="25"/>
  <c r="R72" i="25" s="1"/>
  <c r="R71" i="25" s="1"/>
  <c r="Q96" i="25"/>
  <c r="P96" i="25"/>
  <c r="O96" i="25"/>
  <c r="O11" i="25" s="1"/>
  <c r="O10" i="25" s="1"/>
  <c r="N96" i="25"/>
  <c r="N72" i="25" s="1"/>
  <c r="N71" i="25" s="1"/>
  <c r="M96" i="25"/>
  <c r="L96" i="25"/>
  <c r="K96" i="25"/>
  <c r="K11" i="25" s="1"/>
  <c r="K10" i="25" s="1"/>
  <c r="J96" i="25"/>
  <c r="J72" i="25" s="1"/>
  <c r="J71" i="25" s="1"/>
  <c r="I96" i="25"/>
  <c r="H96" i="25"/>
  <c r="G96" i="25"/>
  <c r="G11" i="25" s="1"/>
  <c r="G10" i="25" s="1"/>
  <c r="F96" i="25"/>
  <c r="E96" i="25"/>
  <c r="W95" i="25"/>
  <c r="W94" i="25"/>
  <c r="V93" i="25"/>
  <c r="U93" i="25"/>
  <c r="T93" i="25"/>
  <c r="S93" i="25"/>
  <c r="R93" i="25"/>
  <c r="Q93" i="25"/>
  <c r="P93" i="25"/>
  <c r="O93" i="25"/>
  <c r="N93" i="25"/>
  <c r="M93" i="25"/>
  <c r="L93" i="25"/>
  <c r="K93" i="25"/>
  <c r="J93" i="25"/>
  <c r="I93" i="25"/>
  <c r="H93" i="25"/>
  <c r="G93" i="25"/>
  <c r="W93" i="25" s="1"/>
  <c r="F93" i="25"/>
  <c r="E93" i="25"/>
  <c r="W92" i="25"/>
  <c r="V91" i="25"/>
  <c r="S91" i="25"/>
  <c r="R91" i="25"/>
  <c r="Q91" i="25"/>
  <c r="P91" i="25"/>
  <c r="O91" i="25"/>
  <c r="N91" i="25"/>
  <c r="M91" i="25"/>
  <c r="L91" i="25"/>
  <c r="K91" i="25"/>
  <c r="J91" i="25"/>
  <c r="I91" i="25"/>
  <c r="H91" i="25"/>
  <c r="G91" i="25"/>
  <c r="F91" i="25"/>
  <c r="E91" i="25"/>
  <c r="V90" i="25"/>
  <c r="S90" i="25"/>
  <c r="S89" i="25" s="1"/>
  <c r="S85" i="25" s="1"/>
  <c r="R90" i="25"/>
  <c r="R89" i="25" s="1"/>
  <c r="R85" i="25" s="1"/>
  <c r="Q90" i="25"/>
  <c r="P90" i="25"/>
  <c r="P89" i="25" s="1"/>
  <c r="O90" i="25"/>
  <c r="N90" i="25"/>
  <c r="N89" i="25" s="1"/>
  <c r="N85" i="25" s="1"/>
  <c r="M90" i="25"/>
  <c r="L90" i="25"/>
  <c r="L89" i="25" s="1"/>
  <c r="K90" i="25"/>
  <c r="K89" i="25" s="1"/>
  <c r="K85" i="25" s="1"/>
  <c r="J90" i="25"/>
  <c r="J89" i="25" s="1"/>
  <c r="J85" i="25" s="1"/>
  <c r="I90" i="25"/>
  <c r="H90" i="25"/>
  <c r="H89" i="25" s="1"/>
  <c r="G90" i="25"/>
  <c r="F90" i="25"/>
  <c r="F89" i="25" s="1"/>
  <c r="F85" i="25" s="1"/>
  <c r="E90" i="25"/>
  <c r="V89" i="25"/>
  <c r="U89" i="25"/>
  <c r="T89" i="25"/>
  <c r="Q89" i="25"/>
  <c r="O89" i="25"/>
  <c r="M89" i="25"/>
  <c r="I89" i="25"/>
  <c r="G89" i="25"/>
  <c r="E89" i="25"/>
  <c r="W88" i="25"/>
  <c r="W87" i="25"/>
  <c r="V86" i="25"/>
  <c r="S86" i="25"/>
  <c r="R86" i="25"/>
  <c r="Q86" i="25"/>
  <c r="Q85" i="25" s="1"/>
  <c r="P86" i="25"/>
  <c r="O86" i="25"/>
  <c r="O85" i="25" s="1"/>
  <c r="N86" i="25"/>
  <c r="M86" i="25"/>
  <c r="L86" i="25"/>
  <c r="K86" i="25"/>
  <c r="J86" i="25"/>
  <c r="I86" i="25"/>
  <c r="I85" i="25" s="1"/>
  <c r="H86" i="25"/>
  <c r="G86" i="25"/>
  <c r="G85" i="25" s="1"/>
  <c r="F86" i="25"/>
  <c r="E86" i="25"/>
  <c r="W86" i="25" s="1"/>
  <c r="M85" i="25"/>
  <c r="E85" i="25"/>
  <c r="W84" i="25"/>
  <c r="V83" i="25"/>
  <c r="S83" i="25"/>
  <c r="R83" i="25"/>
  <c r="Q83" i="25"/>
  <c r="P83" i="25"/>
  <c r="O83" i="25"/>
  <c r="N83" i="25"/>
  <c r="M83" i="25"/>
  <c r="L83" i="25"/>
  <c r="K83" i="25"/>
  <c r="J83" i="25"/>
  <c r="I83" i="25"/>
  <c r="H83" i="25"/>
  <c r="G83" i="25"/>
  <c r="F83" i="25"/>
  <c r="E83" i="25"/>
  <c r="V82" i="25"/>
  <c r="V81" i="25" s="1"/>
  <c r="U82" i="25"/>
  <c r="T82" i="25"/>
  <c r="T81" i="25" s="1"/>
  <c r="S82" i="25"/>
  <c r="R82" i="25"/>
  <c r="R81" i="25" s="1"/>
  <c r="Q82" i="25"/>
  <c r="P82" i="25"/>
  <c r="P81" i="25" s="1"/>
  <c r="O82" i="25"/>
  <c r="O81" i="25" s="1"/>
  <c r="N82" i="25"/>
  <c r="N81" i="25" s="1"/>
  <c r="M82" i="25"/>
  <c r="L82" i="25"/>
  <c r="L81" i="25" s="1"/>
  <c r="K82" i="25"/>
  <c r="J82" i="25"/>
  <c r="J81" i="25" s="1"/>
  <c r="I82" i="25"/>
  <c r="H82" i="25"/>
  <c r="H81" i="25" s="1"/>
  <c r="G82" i="25"/>
  <c r="G81" i="25" s="1"/>
  <c r="F82" i="25"/>
  <c r="E82" i="25"/>
  <c r="U81" i="25"/>
  <c r="S81" i="25"/>
  <c r="Q81" i="25"/>
  <c r="M81" i="25"/>
  <c r="K81" i="25"/>
  <c r="I81" i="25"/>
  <c r="E81" i="25"/>
  <c r="V80" i="25"/>
  <c r="V79" i="25" s="1"/>
  <c r="U80" i="25"/>
  <c r="U79" i="25" s="1"/>
  <c r="T80" i="25"/>
  <c r="T79" i="25" s="1"/>
  <c r="S80" i="25"/>
  <c r="R80" i="25"/>
  <c r="R79" i="25" s="1"/>
  <c r="Q80" i="25"/>
  <c r="P80" i="25"/>
  <c r="P79" i="25" s="1"/>
  <c r="O80" i="25"/>
  <c r="O79" i="25" s="1"/>
  <c r="N80" i="25"/>
  <c r="N79" i="25" s="1"/>
  <c r="M80" i="25"/>
  <c r="M79" i="25" s="1"/>
  <c r="L80" i="25"/>
  <c r="L79" i="25" s="1"/>
  <c r="K80" i="25"/>
  <c r="J80" i="25"/>
  <c r="J79" i="25" s="1"/>
  <c r="I80" i="25"/>
  <c r="H80" i="25"/>
  <c r="H79" i="25" s="1"/>
  <c r="G80" i="25"/>
  <c r="G79" i="25" s="1"/>
  <c r="F80" i="25"/>
  <c r="F79" i="25" s="1"/>
  <c r="E80" i="25"/>
  <c r="S79" i="25"/>
  <c r="Q79" i="25"/>
  <c r="K79" i="25"/>
  <c r="I79" i="25"/>
  <c r="W78" i="25"/>
  <c r="V77" i="25"/>
  <c r="S77" i="25"/>
  <c r="R77" i="25"/>
  <c r="Q77" i="25"/>
  <c r="P77" i="25"/>
  <c r="O77" i="25"/>
  <c r="N77" i="25"/>
  <c r="M77" i="25"/>
  <c r="L77" i="25"/>
  <c r="K77" i="25"/>
  <c r="J77" i="25"/>
  <c r="I77" i="25"/>
  <c r="H77" i="25"/>
  <c r="G77" i="25"/>
  <c r="F77" i="25"/>
  <c r="E77" i="25"/>
  <c r="W77" i="25" s="1"/>
  <c r="V76" i="25"/>
  <c r="V75" i="25" s="1"/>
  <c r="U76" i="25"/>
  <c r="U75" i="25" s="1"/>
  <c r="T76" i="25"/>
  <c r="T75" i="25" s="1"/>
  <c r="S76" i="25"/>
  <c r="R76" i="25"/>
  <c r="R75" i="25" s="1"/>
  <c r="Q76" i="25"/>
  <c r="P76" i="25"/>
  <c r="P75" i="25" s="1"/>
  <c r="O76" i="25"/>
  <c r="O75" i="25" s="1"/>
  <c r="N76" i="25"/>
  <c r="N75" i="25" s="1"/>
  <c r="M76" i="25"/>
  <c r="M75" i="25" s="1"/>
  <c r="L76" i="25"/>
  <c r="L75" i="25" s="1"/>
  <c r="K76" i="25"/>
  <c r="J76" i="25"/>
  <c r="J75" i="25" s="1"/>
  <c r="I76" i="25"/>
  <c r="H76" i="25"/>
  <c r="H75" i="25" s="1"/>
  <c r="G76" i="25"/>
  <c r="G75" i="25" s="1"/>
  <c r="F76" i="25"/>
  <c r="F75" i="25" s="1"/>
  <c r="E76" i="25"/>
  <c r="S75" i="25"/>
  <c r="Q75" i="25"/>
  <c r="K75" i="25"/>
  <c r="I75" i="25"/>
  <c r="V74" i="25"/>
  <c r="V73" i="25" s="1"/>
  <c r="U74" i="25"/>
  <c r="U73" i="25" s="1"/>
  <c r="T74" i="25"/>
  <c r="T73" i="25" s="1"/>
  <c r="S74" i="25"/>
  <c r="R74" i="25"/>
  <c r="R73" i="25" s="1"/>
  <c r="Q74" i="25"/>
  <c r="P74" i="25"/>
  <c r="P73" i="25" s="1"/>
  <c r="O74" i="25"/>
  <c r="N74" i="25"/>
  <c r="N73" i="25" s="1"/>
  <c r="M74" i="25"/>
  <c r="M73" i="25" s="1"/>
  <c r="L74" i="25"/>
  <c r="L73" i="25" s="1"/>
  <c r="K74" i="25"/>
  <c r="J74" i="25"/>
  <c r="J73" i="25" s="1"/>
  <c r="I74" i="25"/>
  <c r="H74" i="25"/>
  <c r="H73" i="25" s="1"/>
  <c r="G74" i="25"/>
  <c r="F74" i="25"/>
  <c r="W74" i="25" s="1"/>
  <c r="E74" i="25"/>
  <c r="E73" i="25" s="1"/>
  <c r="S73" i="25"/>
  <c r="Q73" i="25"/>
  <c r="O73" i="25"/>
  <c r="K73" i="25"/>
  <c r="I73" i="25"/>
  <c r="G73" i="25"/>
  <c r="U72" i="25"/>
  <c r="U71" i="25" s="1"/>
  <c r="T72" i="25"/>
  <c r="T71" i="25" s="1"/>
  <c r="Q72" i="25"/>
  <c r="Q71" i="25" s="1"/>
  <c r="P72" i="25"/>
  <c r="P71" i="25" s="1"/>
  <c r="M72" i="25"/>
  <c r="M71" i="25" s="1"/>
  <c r="L72" i="25"/>
  <c r="L71" i="25" s="1"/>
  <c r="I72" i="25"/>
  <c r="I71" i="25" s="1"/>
  <c r="I52" i="25" s="1"/>
  <c r="H72" i="25"/>
  <c r="H71" i="25" s="1"/>
  <c r="E72" i="25"/>
  <c r="E71" i="25" s="1"/>
  <c r="W70" i="25"/>
  <c r="W69" i="25"/>
  <c r="W68" i="25"/>
  <c r="W67" i="25"/>
  <c r="W66" i="25"/>
  <c r="W65" i="25"/>
  <c r="W64" i="25"/>
  <c r="W63" i="25"/>
  <c r="W62" i="25"/>
  <c r="W61" i="25"/>
  <c r="W60" i="25"/>
  <c r="W59" i="25"/>
  <c r="W58" i="25"/>
  <c r="W57" i="25"/>
  <c r="W56" i="25"/>
  <c r="W55" i="25"/>
  <c r="W54" i="25"/>
  <c r="V53" i="25"/>
  <c r="U53" i="25"/>
  <c r="T53" i="25"/>
  <c r="S53" i="25"/>
  <c r="R53" i="25"/>
  <c r="Q53" i="25"/>
  <c r="P53" i="25"/>
  <c r="O53" i="25"/>
  <c r="N53" i="25"/>
  <c r="M53" i="25"/>
  <c r="L53" i="25"/>
  <c r="K53" i="25"/>
  <c r="J53" i="25"/>
  <c r="I53" i="25"/>
  <c r="H53" i="25"/>
  <c r="G53" i="25"/>
  <c r="F53" i="25"/>
  <c r="E53" i="25"/>
  <c r="W53" i="25" s="1"/>
  <c r="W51" i="25"/>
  <c r="W50" i="25"/>
  <c r="W49" i="25"/>
  <c r="W48" i="25"/>
  <c r="V47" i="25"/>
  <c r="U47" i="25"/>
  <c r="T47" i="25"/>
  <c r="T31" i="25" s="1"/>
  <c r="S47" i="25"/>
  <c r="R47" i="25"/>
  <c r="Q47" i="25"/>
  <c r="P47" i="25"/>
  <c r="O47" i="25"/>
  <c r="N47" i="25"/>
  <c r="M47" i="25"/>
  <c r="L47" i="25"/>
  <c r="K47" i="25"/>
  <c r="J47" i="25"/>
  <c r="I47" i="25"/>
  <c r="H47" i="25"/>
  <c r="G47" i="25"/>
  <c r="F47" i="25"/>
  <c r="E47" i="25"/>
  <c r="W46" i="25"/>
  <c r="V45" i="25"/>
  <c r="U45" i="25"/>
  <c r="T45" i="25"/>
  <c r="S45" i="25"/>
  <c r="R45" i="25"/>
  <c r="Q45" i="25"/>
  <c r="P45" i="25"/>
  <c r="O45" i="25"/>
  <c r="N45" i="25"/>
  <c r="M45" i="25"/>
  <c r="L45" i="25"/>
  <c r="K45" i="25"/>
  <c r="J45" i="25"/>
  <c r="I45" i="25"/>
  <c r="H45" i="25"/>
  <c r="G45" i="25"/>
  <c r="F45" i="25"/>
  <c r="E45" i="25"/>
  <c r="W44" i="25"/>
  <c r="W43" i="25"/>
  <c r="V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W42" i="25" s="1"/>
  <c r="W41" i="25"/>
  <c r="V40" i="25"/>
  <c r="S40" i="25"/>
  <c r="R40" i="25"/>
  <c r="R31" i="25" s="1"/>
  <c r="Q40" i="25"/>
  <c r="P40" i="25"/>
  <c r="O40" i="25"/>
  <c r="N40" i="25"/>
  <c r="N31" i="25" s="1"/>
  <c r="M40" i="25"/>
  <c r="L40" i="25"/>
  <c r="K40" i="25"/>
  <c r="J40" i="25"/>
  <c r="J31" i="25" s="1"/>
  <c r="I40" i="25"/>
  <c r="H40" i="25"/>
  <c r="G40" i="25"/>
  <c r="F40" i="25"/>
  <c r="F31" i="25" s="1"/>
  <c r="E40" i="25"/>
  <c r="W39" i="25"/>
  <c r="W38" i="25"/>
  <c r="W37" i="25"/>
  <c r="W36" i="25"/>
  <c r="W35" i="25"/>
  <c r="W34" i="25"/>
  <c r="W33" i="25"/>
  <c r="V32" i="25"/>
  <c r="S32" i="25"/>
  <c r="R32" i="25"/>
  <c r="Q32" i="25"/>
  <c r="Q31" i="25" s="1"/>
  <c r="P32" i="25"/>
  <c r="P31" i="25" s="1"/>
  <c r="O32" i="25"/>
  <c r="N32" i="25"/>
  <c r="M32" i="25"/>
  <c r="M31" i="25" s="1"/>
  <c r="L32" i="25"/>
  <c r="L31" i="25" s="1"/>
  <c r="K32" i="25"/>
  <c r="J32" i="25"/>
  <c r="I32" i="25"/>
  <c r="I31" i="25" s="1"/>
  <c r="H32" i="25"/>
  <c r="H31" i="25" s="1"/>
  <c r="G32" i="25"/>
  <c r="F32" i="25"/>
  <c r="E32" i="25"/>
  <c r="W32" i="25" s="1"/>
  <c r="V31" i="25"/>
  <c r="U31" i="25"/>
  <c r="S31" i="25"/>
  <c r="O31" i="25"/>
  <c r="K31" i="25"/>
  <c r="G31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W30" i="25" s="1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V28" i="25"/>
  <c r="U28" i="25"/>
  <c r="U27" i="25" s="1"/>
  <c r="T28" i="25"/>
  <c r="T27" i="25" s="1"/>
  <c r="S28" i="25"/>
  <c r="R28" i="25"/>
  <c r="Q28" i="25"/>
  <c r="Q27" i="25" s="1"/>
  <c r="Q4" i="25" s="1"/>
  <c r="P28" i="25"/>
  <c r="P27" i="25" s="1"/>
  <c r="O28" i="25"/>
  <c r="N28" i="25"/>
  <c r="M28" i="25"/>
  <c r="M27" i="25" s="1"/>
  <c r="L28" i="25"/>
  <c r="L27" i="25" s="1"/>
  <c r="K28" i="25"/>
  <c r="J28" i="25"/>
  <c r="I28" i="25"/>
  <c r="I27" i="25" s="1"/>
  <c r="H28" i="25"/>
  <c r="H27" i="25" s="1"/>
  <c r="G28" i="25"/>
  <c r="F28" i="25"/>
  <c r="E28" i="25"/>
  <c r="W28" i="25" s="1"/>
  <c r="V27" i="25"/>
  <c r="S27" i="25"/>
  <c r="R27" i="25"/>
  <c r="O27" i="25"/>
  <c r="N27" i="25"/>
  <c r="K27" i="25"/>
  <c r="J27" i="25"/>
  <c r="G27" i="25"/>
  <c r="F27" i="25"/>
  <c r="V26" i="25"/>
  <c r="U26" i="25"/>
  <c r="U25" i="25" s="1"/>
  <c r="T26" i="25"/>
  <c r="T25" i="25" s="1"/>
  <c r="S26" i="25"/>
  <c r="R26" i="25"/>
  <c r="Q26" i="25"/>
  <c r="Q25" i="25" s="1"/>
  <c r="P26" i="25"/>
  <c r="P25" i="25" s="1"/>
  <c r="O26" i="25"/>
  <c r="N26" i="25"/>
  <c r="M26" i="25"/>
  <c r="M25" i="25" s="1"/>
  <c r="L26" i="25"/>
  <c r="L25" i="25" s="1"/>
  <c r="K26" i="25"/>
  <c r="J26" i="25"/>
  <c r="I26" i="25"/>
  <c r="I25" i="25" s="1"/>
  <c r="H26" i="25"/>
  <c r="H25" i="25" s="1"/>
  <c r="G26" i="25"/>
  <c r="F26" i="25"/>
  <c r="E26" i="25"/>
  <c r="W26" i="25" s="1"/>
  <c r="V25" i="25"/>
  <c r="S25" i="25"/>
  <c r="R25" i="25"/>
  <c r="O25" i="25"/>
  <c r="N25" i="25"/>
  <c r="K25" i="25"/>
  <c r="J25" i="25"/>
  <c r="G25" i="25"/>
  <c r="F25" i="25"/>
  <c r="V24" i="25"/>
  <c r="U24" i="25"/>
  <c r="U22" i="25" s="1"/>
  <c r="T24" i="25"/>
  <c r="S24" i="25"/>
  <c r="R24" i="25"/>
  <c r="Q24" i="25"/>
  <c r="P24" i="25"/>
  <c r="O24" i="25"/>
  <c r="N24" i="25"/>
  <c r="M24" i="25"/>
  <c r="M22" i="25" s="1"/>
  <c r="L24" i="25"/>
  <c r="K24" i="25"/>
  <c r="J24" i="25"/>
  <c r="I24" i="25"/>
  <c r="H24" i="25"/>
  <c r="G24" i="25"/>
  <c r="F24" i="25"/>
  <c r="E24" i="25"/>
  <c r="W24" i="25" s="1"/>
  <c r="V23" i="25"/>
  <c r="V22" i="25" s="1"/>
  <c r="U23" i="25"/>
  <c r="T23" i="25"/>
  <c r="S23" i="25"/>
  <c r="S22" i="25" s="1"/>
  <c r="R23" i="25"/>
  <c r="R22" i="25" s="1"/>
  <c r="Q23" i="25"/>
  <c r="P23" i="25"/>
  <c r="O23" i="25"/>
  <c r="O22" i="25" s="1"/>
  <c r="N23" i="25"/>
  <c r="N22" i="25" s="1"/>
  <c r="M23" i="25"/>
  <c r="L23" i="25"/>
  <c r="K23" i="25"/>
  <c r="K22" i="25" s="1"/>
  <c r="J23" i="25"/>
  <c r="J22" i="25" s="1"/>
  <c r="I23" i="25"/>
  <c r="H23" i="25"/>
  <c r="G23" i="25"/>
  <c r="G22" i="25" s="1"/>
  <c r="F23" i="25"/>
  <c r="F22" i="25" s="1"/>
  <c r="E23" i="25"/>
  <c r="T22" i="25"/>
  <c r="Q22" i="25"/>
  <c r="P22" i="25"/>
  <c r="L22" i="25"/>
  <c r="I22" i="25"/>
  <c r="H22" i="25"/>
  <c r="V21" i="25"/>
  <c r="V20" i="25" s="1"/>
  <c r="U21" i="25"/>
  <c r="T21" i="25"/>
  <c r="S21" i="25"/>
  <c r="S20" i="25" s="1"/>
  <c r="R21" i="25"/>
  <c r="R20" i="25" s="1"/>
  <c r="Q21" i="25"/>
  <c r="P21" i="25"/>
  <c r="O21" i="25"/>
  <c r="O20" i="25" s="1"/>
  <c r="N21" i="25"/>
  <c r="N20" i="25" s="1"/>
  <c r="M21" i="25"/>
  <c r="L21" i="25"/>
  <c r="K21" i="25"/>
  <c r="K20" i="25" s="1"/>
  <c r="J21" i="25"/>
  <c r="J20" i="25" s="1"/>
  <c r="I21" i="25"/>
  <c r="H21" i="25"/>
  <c r="G21" i="25"/>
  <c r="G20" i="25" s="1"/>
  <c r="F21" i="25"/>
  <c r="F20" i="25" s="1"/>
  <c r="E21" i="25"/>
  <c r="U20" i="25"/>
  <c r="T20" i="25"/>
  <c r="Q20" i="25"/>
  <c r="P20" i="25"/>
  <c r="M20" i="25"/>
  <c r="L20" i="25"/>
  <c r="I20" i="25"/>
  <c r="H20" i="25"/>
  <c r="E20" i="25"/>
  <c r="W20" i="25" s="1"/>
  <c r="W19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W17" i="25"/>
  <c r="W16" i="25"/>
  <c r="V15" i="25"/>
  <c r="U15" i="25"/>
  <c r="T15" i="25"/>
  <c r="T13" i="25" s="1"/>
  <c r="S15" i="25"/>
  <c r="R15" i="25"/>
  <c r="Q15" i="25"/>
  <c r="P15" i="25"/>
  <c r="O15" i="25"/>
  <c r="N15" i="25"/>
  <c r="M15" i="25"/>
  <c r="L15" i="25"/>
  <c r="L13" i="25" s="1"/>
  <c r="K15" i="25"/>
  <c r="J15" i="25"/>
  <c r="I15" i="25"/>
  <c r="H15" i="25"/>
  <c r="G15" i="25"/>
  <c r="F15" i="25"/>
  <c r="E15" i="25"/>
  <c r="V14" i="25"/>
  <c r="V13" i="25" s="1"/>
  <c r="U14" i="25"/>
  <c r="U13" i="25" s="1"/>
  <c r="T14" i="25"/>
  <c r="S14" i="25"/>
  <c r="R14" i="25"/>
  <c r="R13" i="25" s="1"/>
  <c r="Q14" i="25"/>
  <c r="Q13" i="25" s="1"/>
  <c r="P14" i="25"/>
  <c r="O14" i="25"/>
  <c r="N14" i="25"/>
  <c r="N13" i="25" s="1"/>
  <c r="M14" i="25"/>
  <c r="M13" i="25" s="1"/>
  <c r="L14" i="25"/>
  <c r="K14" i="25"/>
  <c r="J14" i="25"/>
  <c r="J13" i="25" s="1"/>
  <c r="I14" i="25"/>
  <c r="I13" i="25" s="1"/>
  <c r="H14" i="25"/>
  <c r="G14" i="25"/>
  <c r="F14" i="25"/>
  <c r="F13" i="25" s="1"/>
  <c r="E14" i="25"/>
  <c r="S13" i="25"/>
  <c r="P13" i="25"/>
  <c r="O13" i="25"/>
  <c r="K13" i="25"/>
  <c r="H13" i="25"/>
  <c r="G13" i="25"/>
  <c r="V12" i="25"/>
  <c r="U12" i="25"/>
  <c r="S12" i="25"/>
  <c r="R12" i="25"/>
  <c r="Q12" i="25"/>
  <c r="P12" i="25"/>
  <c r="O12" i="25"/>
  <c r="N12" i="25"/>
  <c r="M12" i="25"/>
  <c r="L12" i="25"/>
  <c r="K12" i="25"/>
  <c r="J12" i="25"/>
  <c r="I12" i="25"/>
  <c r="H12" i="25"/>
  <c r="G12" i="25"/>
  <c r="F12" i="25"/>
  <c r="E12" i="25"/>
  <c r="W12" i="25" s="1"/>
  <c r="V11" i="25"/>
  <c r="U11" i="25"/>
  <c r="U10" i="25" s="1"/>
  <c r="U8" i="25" s="1"/>
  <c r="R11" i="25"/>
  <c r="R10" i="25" s="1"/>
  <c r="R8" i="25" s="1"/>
  <c r="Q11" i="25"/>
  <c r="Q10" i="25" s="1"/>
  <c r="Q8" i="25" s="1"/>
  <c r="P11" i="25"/>
  <c r="N11" i="25"/>
  <c r="N10" i="25" s="1"/>
  <c r="N8" i="25" s="1"/>
  <c r="M11" i="25"/>
  <c r="L11" i="25"/>
  <c r="J11" i="25"/>
  <c r="J10" i="25" s="1"/>
  <c r="J8" i="25" s="1"/>
  <c r="I11" i="25"/>
  <c r="I10" i="25" s="1"/>
  <c r="I8" i="25" s="1"/>
  <c r="H11" i="25"/>
  <c r="F11" i="25"/>
  <c r="F10" i="25" s="1"/>
  <c r="F8" i="25" s="1"/>
  <c r="E11" i="25"/>
  <c r="T10" i="25"/>
  <c r="T8" i="25" s="1"/>
  <c r="P10" i="25"/>
  <c r="P8" i="25" s="1"/>
  <c r="L10" i="25"/>
  <c r="L8" i="25" s="1"/>
  <c r="H10" i="25"/>
  <c r="H8" i="25" s="1"/>
  <c r="W9" i="25"/>
  <c r="S8" i="25"/>
  <c r="O8" i="25"/>
  <c r="K8" i="25"/>
  <c r="G8" i="25"/>
  <c r="W7" i="25"/>
  <c r="W6" i="25"/>
  <c r="V5" i="25"/>
  <c r="U5" i="25"/>
  <c r="T5" i="25"/>
  <c r="S5" i="25"/>
  <c r="S4" i="25" s="1"/>
  <c r="R5" i="25"/>
  <c r="Q5" i="25"/>
  <c r="P5" i="25"/>
  <c r="O5" i="25"/>
  <c r="O4" i="25" s="1"/>
  <c r="N5" i="25"/>
  <c r="M5" i="25"/>
  <c r="L5" i="25"/>
  <c r="K5" i="25"/>
  <c r="K4" i="25" s="1"/>
  <c r="J5" i="25"/>
  <c r="I5" i="25"/>
  <c r="H5" i="25"/>
  <c r="G5" i="25"/>
  <c r="F5" i="25"/>
  <c r="E5" i="25"/>
  <c r="I4" i="25"/>
  <c r="I3" i="25" s="1"/>
  <c r="V109" i="31"/>
  <c r="V108" i="31"/>
  <c r="V107" i="31"/>
  <c r="V106" i="31"/>
  <c r="V105" i="31"/>
  <c r="V104" i="31"/>
  <c r="V103" i="31"/>
  <c r="V102" i="31"/>
  <c r="U101" i="31"/>
  <c r="T101" i="31"/>
  <c r="S101" i="31"/>
  <c r="R101" i="31"/>
  <c r="P101" i="31"/>
  <c r="N101" i="31"/>
  <c r="M101" i="31"/>
  <c r="L101" i="31"/>
  <c r="J101" i="31"/>
  <c r="I101" i="31"/>
  <c r="H101" i="31"/>
  <c r="F101" i="31"/>
  <c r="E101" i="31"/>
  <c r="V100" i="31"/>
  <c r="V99" i="31"/>
  <c r="V98" i="31"/>
  <c r="V97" i="31"/>
  <c r="U96" i="31"/>
  <c r="T96" i="31"/>
  <c r="S96" i="31"/>
  <c r="R96" i="31"/>
  <c r="R80" i="31" s="1"/>
  <c r="R79" i="31" s="1"/>
  <c r="P96" i="31"/>
  <c r="N96" i="31"/>
  <c r="M96" i="31"/>
  <c r="L96" i="31"/>
  <c r="L72" i="31" s="1"/>
  <c r="L71" i="31" s="1"/>
  <c r="J96" i="31"/>
  <c r="I96" i="31"/>
  <c r="I29" i="31" s="1"/>
  <c r="H96" i="31"/>
  <c r="H80" i="31" s="1"/>
  <c r="H79" i="31" s="1"/>
  <c r="F96" i="31"/>
  <c r="F80" i="31" s="1"/>
  <c r="F79" i="31" s="1"/>
  <c r="E96" i="31"/>
  <c r="V95" i="31"/>
  <c r="V94" i="31"/>
  <c r="U93" i="31"/>
  <c r="T93" i="31"/>
  <c r="S93" i="31"/>
  <c r="R93" i="31"/>
  <c r="Q93" i="31"/>
  <c r="P93" i="31"/>
  <c r="O93" i="31"/>
  <c r="N93" i="31"/>
  <c r="M93" i="31"/>
  <c r="L93" i="31"/>
  <c r="K93" i="31"/>
  <c r="J93" i="31"/>
  <c r="I93" i="31"/>
  <c r="H93" i="31"/>
  <c r="G93" i="31"/>
  <c r="F93" i="31"/>
  <c r="V93" i="31" s="1"/>
  <c r="E93" i="31"/>
  <c r="V92" i="31"/>
  <c r="U91" i="31"/>
  <c r="T91" i="31"/>
  <c r="S91" i="31"/>
  <c r="R91" i="31"/>
  <c r="P91" i="31"/>
  <c r="O91" i="31"/>
  <c r="N91" i="31"/>
  <c r="M91" i="31"/>
  <c r="L91" i="31"/>
  <c r="I91" i="31"/>
  <c r="H91" i="31"/>
  <c r="F91" i="31"/>
  <c r="E91" i="31"/>
  <c r="U90" i="31"/>
  <c r="U89" i="31" s="1"/>
  <c r="T90" i="31"/>
  <c r="S90" i="31"/>
  <c r="R90" i="31"/>
  <c r="R89" i="31" s="1"/>
  <c r="P90" i="31"/>
  <c r="O90" i="31"/>
  <c r="N90" i="31"/>
  <c r="M90" i="31"/>
  <c r="M89" i="31" s="1"/>
  <c r="L90" i="31"/>
  <c r="I90" i="31"/>
  <c r="H90" i="31"/>
  <c r="F90" i="31"/>
  <c r="E90" i="31"/>
  <c r="E89" i="31" s="1"/>
  <c r="Q89" i="31"/>
  <c r="Q85" i="31" s="1"/>
  <c r="P89" i="31"/>
  <c r="N89" i="31"/>
  <c r="L89" i="31"/>
  <c r="K89" i="31"/>
  <c r="J89" i="31"/>
  <c r="G89" i="31"/>
  <c r="F89" i="31"/>
  <c r="V88" i="31"/>
  <c r="V87" i="31"/>
  <c r="U86" i="31"/>
  <c r="T86" i="31"/>
  <c r="S86" i="31"/>
  <c r="R86" i="31"/>
  <c r="R85" i="31" s="1"/>
  <c r="P86" i="31"/>
  <c r="N86" i="31"/>
  <c r="N85" i="31" s="1"/>
  <c r="M86" i="31"/>
  <c r="L86" i="31"/>
  <c r="L85" i="31" s="1"/>
  <c r="I86" i="31"/>
  <c r="H86" i="31"/>
  <c r="F86" i="31"/>
  <c r="E86" i="31"/>
  <c r="M85" i="31"/>
  <c r="K85" i="31"/>
  <c r="J85" i="31"/>
  <c r="G85" i="31"/>
  <c r="F85" i="31"/>
  <c r="V84" i="31"/>
  <c r="U83" i="31"/>
  <c r="T83" i="31"/>
  <c r="S83" i="31"/>
  <c r="R83" i="31"/>
  <c r="Q83" i="31"/>
  <c r="P83" i="31"/>
  <c r="O83" i="31"/>
  <c r="N83" i="31"/>
  <c r="M83" i="31"/>
  <c r="L83" i="31"/>
  <c r="K83" i="31"/>
  <c r="J83" i="31"/>
  <c r="I83" i="31"/>
  <c r="H83" i="31"/>
  <c r="G83" i="31"/>
  <c r="F83" i="31"/>
  <c r="E83" i="31"/>
  <c r="V83" i="31" s="1"/>
  <c r="U82" i="31"/>
  <c r="T82" i="31"/>
  <c r="S82" i="31"/>
  <c r="S81" i="31" s="1"/>
  <c r="R82" i="31"/>
  <c r="R81" i="31" s="1"/>
  <c r="Q82" i="31"/>
  <c r="Q81" i="31" s="1"/>
  <c r="P82" i="31"/>
  <c r="O82" i="31"/>
  <c r="O81" i="31" s="1"/>
  <c r="N82" i="31"/>
  <c r="N81" i="31" s="1"/>
  <c r="M82" i="31"/>
  <c r="M81" i="31" s="1"/>
  <c r="K82" i="31"/>
  <c r="K81" i="31" s="1"/>
  <c r="J82" i="31"/>
  <c r="I82" i="31"/>
  <c r="I81" i="31" s="1"/>
  <c r="H82" i="31"/>
  <c r="F82" i="31"/>
  <c r="E82" i="31"/>
  <c r="U81" i="31"/>
  <c r="T81" i="31"/>
  <c r="P81" i="31"/>
  <c r="J81" i="31"/>
  <c r="H81" i="31"/>
  <c r="F81" i="31"/>
  <c r="E81" i="31"/>
  <c r="U80" i="31"/>
  <c r="T80" i="31"/>
  <c r="T79" i="31" s="1"/>
  <c r="Q80" i="31"/>
  <c r="Q79" i="31" s="1"/>
  <c r="P80" i="31"/>
  <c r="P79" i="31" s="1"/>
  <c r="O80" i="31"/>
  <c r="L80" i="31"/>
  <c r="L79" i="31" s="1"/>
  <c r="I80" i="31"/>
  <c r="I79" i="31" s="1"/>
  <c r="E80" i="31"/>
  <c r="U79" i="31"/>
  <c r="O79" i="31"/>
  <c r="K79" i="31"/>
  <c r="J79" i="31"/>
  <c r="G79" i="31"/>
  <c r="E79" i="31"/>
  <c r="V78" i="31"/>
  <c r="U77" i="31"/>
  <c r="T77" i="31"/>
  <c r="S77" i="31"/>
  <c r="R77" i="31"/>
  <c r="Q77" i="31"/>
  <c r="P77" i="31"/>
  <c r="N77" i="31"/>
  <c r="M77" i="31"/>
  <c r="L77" i="31"/>
  <c r="I77" i="31"/>
  <c r="H77" i="31"/>
  <c r="F77" i="31"/>
  <c r="E77" i="31"/>
  <c r="U76" i="31"/>
  <c r="U75" i="31" s="1"/>
  <c r="T76" i="31"/>
  <c r="T75" i="31" s="1"/>
  <c r="S76" i="31"/>
  <c r="S75" i="31" s="1"/>
  <c r="R76" i="31"/>
  <c r="Q76" i="31"/>
  <c r="P76" i="31"/>
  <c r="P75" i="31" s="1"/>
  <c r="O76" i="31"/>
  <c r="O75" i="31" s="1"/>
  <c r="N76" i="31"/>
  <c r="M76" i="31"/>
  <c r="M75" i="31" s="1"/>
  <c r="L76" i="31"/>
  <c r="L75" i="31" s="1"/>
  <c r="I76" i="31"/>
  <c r="I75" i="31" s="1"/>
  <c r="H76" i="31"/>
  <c r="H75" i="31" s="1"/>
  <c r="F76" i="31"/>
  <c r="F75" i="31" s="1"/>
  <c r="E76" i="31"/>
  <c r="R75" i="31"/>
  <c r="Q75" i="31"/>
  <c r="N75" i="31"/>
  <c r="K75" i="31"/>
  <c r="J75" i="31"/>
  <c r="G75" i="31"/>
  <c r="U74" i="31"/>
  <c r="U73" i="31" s="1"/>
  <c r="T74" i="31"/>
  <c r="T73" i="31" s="1"/>
  <c r="S74" i="31"/>
  <c r="R74" i="31"/>
  <c r="Q74" i="31"/>
  <c r="Q73" i="31" s="1"/>
  <c r="P74" i="31"/>
  <c r="P73" i="31" s="1"/>
  <c r="O74" i="31"/>
  <c r="N74" i="31"/>
  <c r="M74" i="31"/>
  <c r="M73" i="31" s="1"/>
  <c r="L74" i="31"/>
  <c r="L73" i="31" s="1"/>
  <c r="I74" i="31"/>
  <c r="I73" i="31" s="1"/>
  <c r="H74" i="31"/>
  <c r="F74" i="31"/>
  <c r="F73" i="31" s="1"/>
  <c r="E74" i="31"/>
  <c r="V74" i="31" s="1"/>
  <c r="S73" i="31"/>
  <c r="R73" i="31"/>
  <c r="O73" i="31"/>
  <c r="N73" i="31"/>
  <c r="K73" i="31"/>
  <c r="J73" i="31"/>
  <c r="H73" i="31"/>
  <c r="G73" i="31"/>
  <c r="U72" i="31"/>
  <c r="U71" i="31" s="1"/>
  <c r="T72" i="31"/>
  <c r="R72" i="31"/>
  <c r="Q72" i="31"/>
  <c r="Q71" i="31" s="1"/>
  <c r="P72" i="31"/>
  <c r="P71" i="31" s="1"/>
  <c r="N72" i="31"/>
  <c r="I72" i="31"/>
  <c r="I71" i="31" s="1"/>
  <c r="H72" i="31"/>
  <c r="H71" i="31" s="1"/>
  <c r="F72" i="31"/>
  <c r="F71" i="31" s="1"/>
  <c r="E72" i="31"/>
  <c r="T71" i="31"/>
  <c r="R71" i="31"/>
  <c r="O71" i="31"/>
  <c r="N71" i="31"/>
  <c r="K71" i="31"/>
  <c r="J71" i="31"/>
  <c r="G71" i="31"/>
  <c r="V70" i="31"/>
  <c r="V69" i="31"/>
  <c r="S68" i="31"/>
  <c r="F68" i="31"/>
  <c r="E68" i="31"/>
  <c r="V68" i="31" s="1"/>
  <c r="V67" i="31"/>
  <c r="V66" i="31"/>
  <c r="V65" i="31"/>
  <c r="V64" i="31"/>
  <c r="V63" i="31"/>
  <c r="F63" i="31"/>
  <c r="V62" i="31"/>
  <c r="I61" i="31"/>
  <c r="I53" i="31" s="1"/>
  <c r="V60" i="31"/>
  <c r="V59" i="31"/>
  <c r="V58" i="31"/>
  <c r="V57" i="31"/>
  <c r="V56" i="31"/>
  <c r="V55" i="31"/>
  <c r="P54" i="31"/>
  <c r="V54" i="31" s="1"/>
  <c r="N54" i="31"/>
  <c r="I54" i="31"/>
  <c r="U53" i="31"/>
  <c r="T53" i="31"/>
  <c r="S53" i="31"/>
  <c r="R53" i="31"/>
  <c r="O53" i="31"/>
  <c r="N53" i="31"/>
  <c r="L53" i="31"/>
  <c r="K53" i="31"/>
  <c r="J53" i="31"/>
  <c r="H53" i="31"/>
  <c r="G53" i="31"/>
  <c r="E53" i="31"/>
  <c r="J52" i="31"/>
  <c r="V51" i="31"/>
  <c r="V50" i="31"/>
  <c r="V49" i="31"/>
  <c r="Q48" i="31"/>
  <c r="Q47" i="31" s="1"/>
  <c r="L48" i="31"/>
  <c r="U47" i="31"/>
  <c r="T47" i="31"/>
  <c r="S47" i="31"/>
  <c r="R47" i="31"/>
  <c r="P47" i="31"/>
  <c r="O47" i="31"/>
  <c r="N47" i="31"/>
  <c r="M47" i="31"/>
  <c r="K47" i="31"/>
  <c r="J47" i="31"/>
  <c r="I47" i="31"/>
  <c r="H47" i="31"/>
  <c r="G47" i="31"/>
  <c r="F47" i="31"/>
  <c r="E47" i="31"/>
  <c r="Q46" i="31"/>
  <c r="M46" i="31"/>
  <c r="L46" i="31"/>
  <c r="L45" i="31" s="1"/>
  <c r="E46" i="31"/>
  <c r="V46" i="31" s="1"/>
  <c r="U45" i="31"/>
  <c r="T45" i="31"/>
  <c r="S45" i="31"/>
  <c r="R45" i="31"/>
  <c r="Q45" i="31"/>
  <c r="P45" i="31"/>
  <c r="O45" i="31"/>
  <c r="N45" i="31"/>
  <c r="M45" i="31"/>
  <c r="K45" i="31"/>
  <c r="K31" i="31" s="1"/>
  <c r="J45" i="31"/>
  <c r="I45" i="31"/>
  <c r="H45" i="31"/>
  <c r="G45" i="31"/>
  <c r="G31" i="31" s="1"/>
  <c r="F45" i="31"/>
  <c r="E45" i="31"/>
  <c r="V44" i="31"/>
  <c r="V43" i="31"/>
  <c r="U42" i="31"/>
  <c r="T42" i="31"/>
  <c r="S42" i="31"/>
  <c r="R42" i="31"/>
  <c r="P42" i="31"/>
  <c r="N42" i="31"/>
  <c r="M42" i="31"/>
  <c r="L42" i="31"/>
  <c r="I42" i="31"/>
  <c r="H42" i="31"/>
  <c r="F42" i="31"/>
  <c r="E42" i="31"/>
  <c r="V42" i="31" s="1"/>
  <c r="E41" i="31"/>
  <c r="E40" i="31" s="1"/>
  <c r="U40" i="31"/>
  <c r="T40" i="31"/>
  <c r="S40" i="31"/>
  <c r="R40" i="31"/>
  <c r="P40" i="31"/>
  <c r="N40" i="31"/>
  <c r="M40" i="31"/>
  <c r="L40" i="31"/>
  <c r="I40" i="31"/>
  <c r="H40" i="31"/>
  <c r="F40" i="31"/>
  <c r="V39" i="31"/>
  <c r="V38" i="31"/>
  <c r="V37" i="31"/>
  <c r="V36" i="31"/>
  <c r="V35" i="31"/>
  <c r="V34" i="31"/>
  <c r="V33" i="31"/>
  <c r="U32" i="31"/>
  <c r="T32" i="31"/>
  <c r="S32" i="31"/>
  <c r="R32" i="31"/>
  <c r="R31" i="31" s="1"/>
  <c r="P32" i="31"/>
  <c r="P31" i="31" s="1"/>
  <c r="N32" i="31"/>
  <c r="M32" i="31"/>
  <c r="L32" i="31"/>
  <c r="J32" i="31"/>
  <c r="I32" i="31"/>
  <c r="I31" i="31" s="1"/>
  <c r="H32" i="31"/>
  <c r="F32" i="31"/>
  <c r="F31" i="31" s="1"/>
  <c r="E32" i="31"/>
  <c r="U31" i="31"/>
  <c r="Q31" i="31"/>
  <c r="O31" i="31"/>
  <c r="M31" i="31"/>
  <c r="J31" i="31"/>
  <c r="U30" i="31"/>
  <c r="T30" i="31"/>
  <c r="S30" i="31"/>
  <c r="R30" i="31"/>
  <c r="Q30" i="31"/>
  <c r="P30" i="31"/>
  <c r="O30" i="31"/>
  <c r="N30" i="31"/>
  <c r="M30" i="31"/>
  <c r="K30" i="31"/>
  <c r="J30" i="31"/>
  <c r="I30" i="31"/>
  <c r="H30" i="31"/>
  <c r="F30" i="31"/>
  <c r="E30" i="31"/>
  <c r="U29" i="31"/>
  <c r="T29" i="31"/>
  <c r="R29" i="31"/>
  <c r="Q29" i="31"/>
  <c r="P29" i="31"/>
  <c r="M29" i="31"/>
  <c r="L29" i="31"/>
  <c r="K29" i="31"/>
  <c r="H29" i="31"/>
  <c r="F29" i="31"/>
  <c r="E29" i="31"/>
  <c r="U28" i="31"/>
  <c r="U27" i="31" s="1"/>
  <c r="T28" i="31"/>
  <c r="T27" i="31" s="1"/>
  <c r="S28" i="31"/>
  <c r="R28" i="31"/>
  <c r="R27" i="31" s="1"/>
  <c r="Q28" i="31"/>
  <c r="Q27" i="31" s="1"/>
  <c r="P28" i="31"/>
  <c r="P27" i="31" s="1"/>
  <c r="O28" i="31"/>
  <c r="N28" i="31"/>
  <c r="N27" i="31" s="1"/>
  <c r="M28" i="31"/>
  <c r="M27" i="31" s="1"/>
  <c r="K28" i="31"/>
  <c r="K27" i="31" s="1"/>
  <c r="J28" i="31"/>
  <c r="J27" i="31" s="1"/>
  <c r="I28" i="31"/>
  <c r="I27" i="31" s="1"/>
  <c r="H28" i="31"/>
  <c r="H27" i="31" s="1"/>
  <c r="F28" i="31"/>
  <c r="E28" i="31"/>
  <c r="S27" i="31"/>
  <c r="O27" i="31"/>
  <c r="F27" i="31"/>
  <c r="U26" i="31"/>
  <c r="U25" i="31" s="1"/>
  <c r="T26" i="31"/>
  <c r="T25" i="31" s="1"/>
  <c r="S26" i="31"/>
  <c r="R26" i="31"/>
  <c r="R25" i="31" s="1"/>
  <c r="Q26" i="31"/>
  <c r="Q25" i="31" s="1"/>
  <c r="P26" i="31"/>
  <c r="P25" i="31" s="1"/>
  <c r="O26" i="31"/>
  <c r="N26" i="31"/>
  <c r="N25" i="31" s="1"/>
  <c r="M26" i="31"/>
  <c r="M25" i="31" s="1"/>
  <c r="K26" i="31"/>
  <c r="K25" i="31" s="1"/>
  <c r="J26" i="31"/>
  <c r="I26" i="31"/>
  <c r="I25" i="31" s="1"/>
  <c r="H26" i="31"/>
  <c r="H25" i="31" s="1"/>
  <c r="F26" i="31"/>
  <c r="F25" i="31" s="1"/>
  <c r="E26" i="31"/>
  <c r="S25" i="31"/>
  <c r="O25" i="31"/>
  <c r="J25" i="31"/>
  <c r="U24" i="31"/>
  <c r="T24" i="31"/>
  <c r="S24" i="31"/>
  <c r="R24" i="31"/>
  <c r="Q24" i="31"/>
  <c r="P24" i="31"/>
  <c r="O24" i="31"/>
  <c r="N24" i="31"/>
  <c r="M24" i="31"/>
  <c r="K24" i="31"/>
  <c r="J24" i="31"/>
  <c r="I24" i="31"/>
  <c r="H24" i="31"/>
  <c r="F24" i="31"/>
  <c r="E24" i="31"/>
  <c r="E22" i="31" s="1"/>
  <c r="U23" i="31"/>
  <c r="T23" i="31"/>
  <c r="S23" i="31"/>
  <c r="R23" i="31"/>
  <c r="R22" i="31" s="1"/>
  <c r="Q23" i="31"/>
  <c r="Q22" i="31" s="1"/>
  <c r="P23" i="31"/>
  <c r="O23" i="31"/>
  <c r="N23" i="31"/>
  <c r="N22" i="31" s="1"/>
  <c r="M23" i="31"/>
  <c r="M22" i="31" s="1"/>
  <c r="K23" i="31"/>
  <c r="J23" i="31"/>
  <c r="I23" i="31"/>
  <c r="H23" i="31"/>
  <c r="H22" i="31" s="1"/>
  <c r="F23" i="31"/>
  <c r="E23" i="31"/>
  <c r="U22" i="31"/>
  <c r="T22" i="31"/>
  <c r="P22" i="31"/>
  <c r="I22" i="31"/>
  <c r="U21" i="31"/>
  <c r="T21" i="31"/>
  <c r="S21" i="31"/>
  <c r="S20" i="31" s="1"/>
  <c r="R21" i="31"/>
  <c r="R20" i="31" s="1"/>
  <c r="Q21" i="31"/>
  <c r="Q20" i="31" s="1"/>
  <c r="P21" i="31"/>
  <c r="O21" i="31"/>
  <c r="O20" i="31" s="1"/>
  <c r="N21" i="31"/>
  <c r="N20" i="31" s="1"/>
  <c r="M21" i="31"/>
  <c r="M20" i="31" s="1"/>
  <c r="K21" i="31"/>
  <c r="K20" i="31" s="1"/>
  <c r="J21" i="31"/>
  <c r="J20" i="31" s="1"/>
  <c r="I21" i="31"/>
  <c r="I20" i="31" s="1"/>
  <c r="H21" i="31"/>
  <c r="F21" i="31"/>
  <c r="E21" i="31"/>
  <c r="U20" i="31"/>
  <c r="T20" i="31"/>
  <c r="P20" i="31"/>
  <c r="H20" i="31"/>
  <c r="E20" i="31"/>
  <c r="V19" i="31"/>
  <c r="U18" i="31"/>
  <c r="T18" i="31"/>
  <c r="S18" i="31"/>
  <c r="R18" i="31"/>
  <c r="Q18" i="31"/>
  <c r="P18" i="31"/>
  <c r="O18" i="31"/>
  <c r="N18" i="31"/>
  <c r="M18" i="31"/>
  <c r="L18" i="31"/>
  <c r="K18" i="31"/>
  <c r="J18" i="31"/>
  <c r="I18" i="31"/>
  <c r="H18" i="31"/>
  <c r="G18" i="31"/>
  <c r="F18" i="31"/>
  <c r="E18" i="31"/>
  <c r="V17" i="31"/>
  <c r="V16" i="31"/>
  <c r="L16" i="31"/>
  <c r="L28" i="31" s="1"/>
  <c r="L27" i="31" s="1"/>
  <c r="G16" i="31"/>
  <c r="G30" i="31" s="1"/>
  <c r="U15" i="31"/>
  <c r="T15" i="31"/>
  <c r="S15" i="31"/>
  <c r="R15" i="31"/>
  <c r="Q15" i="31"/>
  <c r="P15" i="31"/>
  <c r="O15" i="31"/>
  <c r="N15" i="31"/>
  <c r="M15" i="31"/>
  <c r="L15" i="31"/>
  <c r="K15" i="31"/>
  <c r="J15" i="31"/>
  <c r="I15" i="31"/>
  <c r="H15" i="31"/>
  <c r="G15" i="31"/>
  <c r="F15" i="31"/>
  <c r="E15" i="31"/>
  <c r="U14" i="31"/>
  <c r="U13" i="31" s="1"/>
  <c r="T14" i="31"/>
  <c r="S14" i="31"/>
  <c r="R14" i="31"/>
  <c r="R13" i="31" s="1"/>
  <c r="Q14" i="31"/>
  <c r="Q13" i="31" s="1"/>
  <c r="P14" i="31"/>
  <c r="O14" i="31"/>
  <c r="N14" i="31"/>
  <c r="M14" i="31"/>
  <c r="L14" i="31"/>
  <c r="K14" i="31"/>
  <c r="J14" i="31"/>
  <c r="J13" i="31" s="1"/>
  <c r="I14" i="31"/>
  <c r="I13" i="31" s="1"/>
  <c r="H14" i="31"/>
  <c r="G14" i="31"/>
  <c r="F14" i="31"/>
  <c r="E14" i="31"/>
  <c r="V14" i="31" s="1"/>
  <c r="N13" i="31"/>
  <c r="M13" i="31"/>
  <c r="F13" i="31"/>
  <c r="U12" i="31"/>
  <c r="T12" i="31"/>
  <c r="S12" i="31"/>
  <c r="S10" i="31" s="1"/>
  <c r="S8" i="31" s="1"/>
  <c r="R12" i="31"/>
  <c r="Q12" i="31"/>
  <c r="P12" i="31"/>
  <c r="N12" i="31"/>
  <c r="M12" i="31"/>
  <c r="L12" i="31"/>
  <c r="I12" i="31"/>
  <c r="H12" i="31"/>
  <c r="H10" i="31" s="1"/>
  <c r="H8" i="31" s="1"/>
  <c r="F12" i="31"/>
  <c r="E12" i="31"/>
  <c r="U11" i="31"/>
  <c r="U10" i="31" s="1"/>
  <c r="U8" i="31" s="1"/>
  <c r="T11" i="31"/>
  <c r="S11" i="31"/>
  <c r="R11" i="31"/>
  <c r="R10" i="31" s="1"/>
  <c r="R8" i="31" s="1"/>
  <c r="Q11" i="31"/>
  <c r="Q10" i="31" s="1"/>
  <c r="Q8" i="31" s="1"/>
  <c r="P11" i="31"/>
  <c r="N11" i="31"/>
  <c r="M11" i="31"/>
  <c r="M10" i="31" s="1"/>
  <c r="M8" i="31" s="1"/>
  <c r="L11" i="31"/>
  <c r="I11" i="31"/>
  <c r="H11" i="31"/>
  <c r="F11" i="31"/>
  <c r="V11" i="31" s="1"/>
  <c r="E11" i="31"/>
  <c r="E10" i="31" s="1"/>
  <c r="T10" i="31"/>
  <c r="T8" i="31" s="1"/>
  <c r="P10" i="31"/>
  <c r="O10" i="31"/>
  <c r="L10" i="31"/>
  <c r="L8" i="31" s="1"/>
  <c r="K10" i="31"/>
  <c r="J10" i="31"/>
  <c r="J8" i="31" s="1"/>
  <c r="G10" i="31"/>
  <c r="G8" i="31" s="1"/>
  <c r="Q9" i="31"/>
  <c r="P9" i="31"/>
  <c r="P8" i="31" s="1"/>
  <c r="M9" i="31"/>
  <c r="E9" i="31"/>
  <c r="O8" i="31"/>
  <c r="K8" i="31"/>
  <c r="Q7" i="31"/>
  <c r="P7" i="31"/>
  <c r="M7" i="31"/>
  <c r="E7" i="31"/>
  <c r="Q6" i="31"/>
  <c r="P6" i="31"/>
  <c r="P5" i="31" s="1"/>
  <c r="M6" i="31"/>
  <c r="M5" i="31" s="1"/>
  <c r="E6" i="31"/>
  <c r="U5" i="31"/>
  <c r="T5" i="31"/>
  <c r="S5" i="31"/>
  <c r="R5" i="31"/>
  <c r="Q5" i="31"/>
  <c r="O5" i="31"/>
  <c r="N5" i="31"/>
  <c r="L5" i="31"/>
  <c r="K5" i="31"/>
  <c r="J5" i="31"/>
  <c r="I5" i="31"/>
  <c r="H5" i="31"/>
  <c r="G5" i="31"/>
  <c r="F5" i="31"/>
  <c r="E5" i="31"/>
  <c r="L109" i="21"/>
  <c r="J109" i="21"/>
  <c r="L108" i="21"/>
  <c r="J108" i="21"/>
  <c r="L107" i="21"/>
  <c r="L106" i="21"/>
  <c r="L105" i="21"/>
  <c r="L104" i="21"/>
  <c r="L103" i="21"/>
  <c r="L102" i="21"/>
  <c r="K101" i="21"/>
  <c r="J101" i="21"/>
  <c r="I101" i="21"/>
  <c r="H101" i="21"/>
  <c r="G101" i="21"/>
  <c r="F101" i="21"/>
  <c r="E101" i="21"/>
  <c r="L100" i="21"/>
  <c r="L99" i="21"/>
  <c r="L98" i="21"/>
  <c r="L97" i="21"/>
  <c r="K96" i="21"/>
  <c r="K80" i="21" s="1"/>
  <c r="K79" i="21" s="1"/>
  <c r="J96" i="21"/>
  <c r="J80" i="21" s="1"/>
  <c r="J79" i="21" s="1"/>
  <c r="I96" i="21"/>
  <c r="H96" i="21"/>
  <c r="L96" i="21" s="1"/>
  <c r="G96" i="21"/>
  <c r="G80" i="21" s="1"/>
  <c r="G79" i="21" s="1"/>
  <c r="F96" i="21"/>
  <c r="F72" i="21" s="1"/>
  <c r="F71" i="21" s="1"/>
  <c r="E96" i="21"/>
  <c r="L95" i="21"/>
  <c r="L94" i="21"/>
  <c r="K93" i="21"/>
  <c r="J93" i="21"/>
  <c r="I93" i="21"/>
  <c r="H93" i="21"/>
  <c r="G93" i="21"/>
  <c r="F93" i="21"/>
  <c r="E93" i="21"/>
  <c r="L93" i="21" s="1"/>
  <c r="L92" i="21"/>
  <c r="K91" i="21"/>
  <c r="J91" i="21"/>
  <c r="I91" i="21"/>
  <c r="I89" i="21" s="1"/>
  <c r="I85" i="21" s="1"/>
  <c r="H91" i="21"/>
  <c r="G91" i="21"/>
  <c r="F91" i="21"/>
  <c r="E91" i="21"/>
  <c r="L91" i="21" s="1"/>
  <c r="K90" i="21"/>
  <c r="J90" i="21"/>
  <c r="I90" i="21"/>
  <c r="H90" i="21"/>
  <c r="H89" i="21" s="1"/>
  <c r="G90" i="21"/>
  <c r="F90" i="21"/>
  <c r="E90" i="21"/>
  <c r="K89" i="21"/>
  <c r="K85" i="21" s="1"/>
  <c r="J89" i="21"/>
  <c r="J85" i="21" s="1"/>
  <c r="G89" i="21"/>
  <c r="G85" i="21" s="1"/>
  <c r="F89" i="21"/>
  <c r="F85" i="21" s="1"/>
  <c r="L88" i="21"/>
  <c r="L87" i="21"/>
  <c r="K86" i="21"/>
  <c r="J86" i="21"/>
  <c r="I86" i="21"/>
  <c r="H86" i="21"/>
  <c r="G86" i="21"/>
  <c r="F86" i="21"/>
  <c r="E86" i="21"/>
  <c r="L84" i="21"/>
  <c r="K83" i="21"/>
  <c r="J83" i="21"/>
  <c r="I83" i="21"/>
  <c r="H83" i="21"/>
  <c r="G83" i="21"/>
  <c r="F83" i="21"/>
  <c r="E83" i="21"/>
  <c r="K82" i="21"/>
  <c r="J82" i="21"/>
  <c r="J81" i="21" s="1"/>
  <c r="I82" i="21"/>
  <c r="I81" i="21" s="1"/>
  <c r="G82" i="21"/>
  <c r="F82" i="21"/>
  <c r="E82" i="21"/>
  <c r="E81" i="21" s="1"/>
  <c r="K81" i="21"/>
  <c r="G81" i="21"/>
  <c r="F81" i="21"/>
  <c r="I80" i="21"/>
  <c r="F80" i="21"/>
  <c r="E80" i="21"/>
  <c r="I79" i="21"/>
  <c r="F79" i="21"/>
  <c r="E79" i="21"/>
  <c r="L78" i="21"/>
  <c r="K77" i="21"/>
  <c r="J77" i="21"/>
  <c r="I77" i="21"/>
  <c r="H77" i="21"/>
  <c r="G77" i="21"/>
  <c r="F77" i="21"/>
  <c r="E77" i="21"/>
  <c r="K76" i="21"/>
  <c r="J76" i="21"/>
  <c r="J75" i="21" s="1"/>
  <c r="I76" i="21"/>
  <c r="H76" i="21"/>
  <c r="G76" i="21"/>
  <c r="F76" i="21"/>
  <c r="F75" i="21" s="1"/>
  <c r="E76" i="21"/>
  <c r="K75" i="21"/>
  <c r="I75" i="21"/>
  <c r="H75" i="21"/>
  <c r="G75" i="21"/>
  <c r="E75" i="21"/>
  <c r="K74" i="21"/>
  <c r="J74" i="21"/>
  <c r="I74" i="21"/>
  <c r="H74" i="21"/>
  <c r="H73" i="21" s="1"/>
  <c r="G74" i="21"/>
  <c r="F74" i="21"/>
  <c r="E74" i="21"/>
  <c r="K73" i="21"/>
  <c r="J73" i="21"/>
  <c r="I73" i="21"/>
  <c r="G73" i="21"/>
  <c r="F73" i="21"/>
  <c r="E73" i="21"/>
  <c r="J72" i="21"/>
  <c r="J71" i="21" s="1"/>
  <c r="I72" i="21"/>
  <c r="I71" i="21" s="1"/>
  <c r="I52" i="21" s="1"/>
  <c r="G72" i="21"/>
  <c r="E72" i="21"/>
  <c r="E71" i="21" s="1"/>
  <c r="G71" i="21"/>
  <c r="L70" i="21"/>
  <c r="L69" i="21"/>
  <c r="L68" i="21"/>
  <c r="H68" i="21"/>
  <c r="L67" i="21"/>
  <c r="L66" i="21"/>
  <c r="L65" i="21"/>
  <c r="L64" i="21"/>
  <c r="L63" i="21"/>
  <c r="L62" i="21"/>
  <c r="L61" i="21"/>
  <c r="L60" i="21"/>
  <c r="L59" i="21"/>
  <c r="L58" i="21"/>
  <c r="L57" i="21"/>
  <c r="L56" i="21"/>
  <c r="L55" i="21"/>
  <c r="L54" i="21"/>
  <c r="K53" i="21"/>
  <c r="J53" i="21"/>
  <c r="I53" i="21"/>
  <c r="H53" i="21"/>
  <c r="G53" i="21"/>
  <c r="F53" i="21"/>
  <c r="E53" i="21"/>
  <c r="L51" i="21"/>
  <c r="L50" i="21"/>
  <c r="L49" i="21"/>
  <c r="L48" i="21"/>
  <c r="J48" i="21"/>
  <c r="K47" i="21"/>
  <c r="J47" i="21"/>
  <c r="I47" i="21"/>
  <c r="H47" i="21"/>
  <c r="G47" i="21"/>
  <c r="F47" i="21"/>
  <c r="E47" i="21"/>
  <c r="J46" i="21"/>
  <c r="H46" i="21"/>
  <c r="H45" i="21" s="1"/>
  <c r="K45" i="21"/>
  <c r="J45" i="21"/>
  <c r="I45" i="21"/>
  <c r="G45" i="21"/>
  <c r="F45" i="21"/>
  <c r="E45" i="21"/>
  <c r="L44" i="21"/>
  <c r="L43" i="21"/>
  <c r="K42" i="21"/>
  <c r="J42" i="21"/>
  <c r="I42" i="21"/>
  <c r="H42" i="21"/>
  <c r="G42" i="21"/>
  <c r="F42" i="21"/>
  <c r="E42" i="21"/>
  <c r="L41" i="21"/>
  <c r="K40" i="21"/>
  <c r="K31" i="21" s="1"/>
  <c r="J40" i="21"/>
  <c r="J31" i="21" s="1"/>
  <c r="I40" i="21"/>
  <c r="H40" i="21"/>
  <c r="G40" i="21"/>
  <c r="F40" i="21"/>
  <c r="E40" i="21"/>
  <c r="L39" i="21"/>
  <c r="L38" i="21"/>
  <c r="L37" i="21"/>
  <c r="L36" i="21"/>
  <c r="L35" i="21"/>
  <c r="L34" i="21"/>
  <c r="L33" i="21"/>
  <c r="K32" i="21"/>
  <c r="J32" i="21"/>
  <c r="I32" i="21"/>
  <c r="H32" i="21"/>
  <c r="G32" i="21"/>
  <c r="G31" i="21" s="1"/>
  <c r="F32" i="21"/>
  <c r="E32" i="21"/>
  <c r="L32" i="21" s="1"/>
  <c r="F31" i="21"/>
  <c r="K30" i="21"/>
  <c r="J30" i="21"/>
  <c r="I30" i="21"/>
  <c r="G30" i="21"/>
  <c r="F30" i="21"/>
  <c r="E30" i="21"/>
  <c r="J29" i="21"/>
  <c r="I29" i="21"/>
  <c r="F29" i="21"/>
  <c r="E29" i="21"/>
  <c r="K28" i="21"/>
  <c r="J28" i="21"/>
  <c r="I28" i="21"/>
  <c r="I27" i="21" s="1"/>
  <c r="G28" i="21"/>
  <c r="G27" i="21" s="1"/>
  <c r="F28" i="21"/>
  <c r="E28" i="21"/>
  <c r="K27" i="21"/>
  <c r="J27" i="21"/>
  <c r="F27" i="21"/>
  <c r="E27" i="21"/>
  <c r="K26" i="21"/>
  <c r="J26" i="21"/>
  <c r="I26" i="21"/>
  <c r="I25" i="21" s="1"/>
  <c r="G26" i="21"/>
  <c r="G25" i="21" s="1"/>
  <c r="F26" i="21"/>
  <c r="E26" i="21"/>
  <c r="K25" i="21"/>
  <c r="J25" i="21"/>
  <c r="F25" i="21"/>
  <c r="E25" i="21"/>
  <c r="K24" i="21"/>
  <c r="J24" i="21"/>
  <c r="I24" i="21"/>
  <c r="G24" i="21"/>
  <c r="F24" i="21"/>
  <c r="E24" i="21"/>
  <c r="K23" i="21"/>
  <c r="K22" i="21" s="1"/>
  <c r="J23" i="21"/>
  <c r="J22" i="21" s="1"/>
  <c r="I23" i="21"/>
  <c r="G23" i="21"/>
  <c r="F23" i="21"/>
  <c r="F22" i="21" s="1"/>
  <c r="E23" i="21"/>
  <c r="E22" i="21" s="1"/>
  <c r="I22" i="21"/>
  <c r="G22" i="21"/>
  <c r="K21" i="21"/>
  <c r="K20" i="21" s="1"/>
  <c r="J21" i="21"/>
  <c r="J20" i="21" s="1"/>
  <c r="I21" i="21"/>
  <c r="G21" i="21"/>
  <c r="F21" i="21"/>
  <c r="F20" i="21" s="1"/>
  <c r="E21" i="21"/>
  <c r="E20" i="21" s="1"/>
  <c r="I20" i="21"/>
  <c r="G20" i="21"/>
  <c r="L19" i="21"/>
  <c r="K18" i="21"/>
  <c r="J18" i="21"/>
  <c r="I18" i="21"/>
  <c r="H18" i="21"/>
  <c r="L18" i="21" s="1"/>
  <c r="G18" i="21"/>
  <c r="F18" i="21"/>
  <c r="E18" i="21"/>
  <c r="L17" i="21"/>
  <c r="L16" i="21"/>
  <c r="H16" i="21"/>
  <c r="H30" i="21" s="1"/>
  <c r="K15" i="21"/>
  <c r="J15" i="21"/>
  <c r="J13" i="21" s="1"/>
  <c r="I15" i="21"/>
  <c r="H15" i="21"/>
  <c r="G15" i="21"/>
  <c r="F15" i="21"/>
  <c r="L15" i="21" s="1"/>
  <c r="E15" i="21"/>
  <c r="K14" i="21"/>
  <c r="J14" i="21"/>
  <c r="I14" i="21"/>
  <c r="I13" i="21" s="1"/>
  <c r="H14" i="21"/>
  <c r="G14" i="21"/>
  <c r="F14" i="21"/>
  <c r="E14" i="21"/>
  <c r="E13" i="21" s="1"/>
  <c r="K13" i="21"/>
  <c r="H13" i="21"/>
  <c r="G13" i="21"/>
  <c r="K12" i="21"/>
  <c r="J12" i="21"/>
  <c r="I12" i="21"/>
  <c r="G12" i="21"/>
  <c r="F12" i="21"/>
  <c r="E12" i="21"/>
  <c r="J11" i="21"/>
  <c r="J10" i="21" s="1"/>
  <c r="J8" i="21" s="1"/>
  <c r="I11" i="21"/>
  <c r="F11" i="21"/>
  <c r="E11" i="21"/>
  <c r="I10" i="21"/>
  <c r="I8" i="21" s="1"/>
  <c r="I4" i="21" s="1"/>
  <c r="E10" i="21"/>
  <c r="H9" i="21"/>
  <c r="L7" i="21"/>
  <c r="H7" i="21"/>
  <c r="H6" i="21"/>
  <c r="K5" i="21"/>
  <c r="J5" i="21"/>
  <c r="I5" i="21"/>
  <c r="G5" i="21"/>
  <c r="F5" i="21"/>
  <c r="E5" i="21"/>
  <c r="K109" i="26"/>
  <c r="S109" i="26" s="1"/>
  <c r="R108" i="26"/>
  <c r="R74" i="26" s="1"/>
  <c r="R73" i="26" s="1"/>
  <c r="K108" i="26"/>
  <c r="S107" i="26"/>
  <c r="S106" i="26"/>
  <c r="S105" i="26"/>
  <c r="R104" i="26"/>
  <c r="N104" i="26"/>
  <c r="M104" i="26"/>
  <c r="M101" i="26" s="1"/>
  <c r="L104" i="26"/>
  <c r="L101" i="26" s="1"/>
  <c r="K104" i="26"/>
  <c r="S103" i="26"/>
  <c r="S102" i="26"/>
  <c r="R101" i="26"/>
  <c r="Q101" i="26"/>
  <c r="P101" i="26"/>
  <c r="O101" i="26"/>
  <c r="N101" i="26"/>
  <c r="J101" i="26"/>
  <c r="I101" i="26"/>
  <c r="H101" i="26"/>
  <c r="G101" i="26"/>
  <c r="F101" i="26"/>
  <c r="E101" i="26"/>
  <c r="S100" i="26"/>
  <c r="S99" i="26"/>
  <c r="S98" i="26"/>
  <c r="S97" i="26"/>
  <c r="R96" i="26"/>
  <c r="R72" i="26" s="1"/>
  <c r="R71" i="26" s="1"/>
  <c r="Q96" i="26"/>
  <c r="P96" i="26"/>
  <c r="O96" i="26"/>
  <c r="N96" i="26"/>
  <c r="N72" i="26" s="1"/>
  <c r="N71" i="26" s="1"/>
  <c r="M96" i="26"/>
  <c r="L96" i="26"/>
  <c r="K96" i="26"/>
  <c r="J96" i="26"/>
  <c r="J72" i="26" s="1"/>
  <c r="J71" i="26" s="1"/>
  <c r="I96" i="26"/>
  <c r="H96" i="26"/>
  <c r="G96" i="26"/>
  <c r="F96" i="26"/>
  <c r="F72" i="26" s="1"/>
  <c r="F71" i="26" s="1"/>
  <c r="E96" i="26"/>
  <c r="S95" i="26"/>
  <c r="S94" i="26"/>
  <c r="R93" i="26"/>
  <c r="Q93" i="26"/>
  <c r="P93" i="26"/>
  <c r="O93" i="26"/>
  <c r="N93" i="26"/>
  <c r="M93" i="26"/>
  <c r="L93" i="26"/>
  <c r="K93" i="26"/>
  <c r="J93" i="26"/>
  <c r="I93" i="26"/>
  <c r="H93" i="26"/>
  <c r="G93" i="26"/>
  <c r="F93" i="26"/>
  <c r="E93" i="26"/>
  <c r="S92" i="26"/>
  <c r="R91" i="26"/>
  <c r="Q91" i="26"/>
  <c r="P91" i="26"/>
  <c r="O91" i="26"/>
  <c r="N91" i="26"/>
  <c r="M91" i="26"/>
  <c r="L91" i="26"/>
  <c r="L89" i="26" s="1"/>
  <c r="L85" i="26" s="1"/>
  <c r="K91" i="26"/>
  <c r="J91" i="26"/>
  <c r="I91" i="26"/>
  <c r="H91" i="26"/>
  <c r="G91" i="26"/>
  <c r="F91" i="26"/>
  <c r="E91" i="26"/>
  <c r="R90" i="26"/>
  <c r="R89" i="26" s="1"/>
  <c r="Q90" i="26"/>
  <c r="P90" i="26"/>
  <c r="O90" i="26"/>
  <c r="O89" i="26" s="1"/>
  <c r="N90" i="26"/>
  <c r="M90" i="26"/>
  <c r="L90" i="26"/>
  <c r="K90" i="26"/>
  <c r="K89" i="26" s="1"/>
  <c r="J90" i="26"/>
  <c r="J89" i="26" s="1"/>
  <c r="I90" i="26"/>
  <c r="H90" i="26"/>
  <c r="G90" i="26"/>
  <c r="G89" i="26" s="1"/>
  <c r="F90" i="26"/>
  <c r="E90" i="26"/>
  <c r="P89" i="26"/>
  <c r="N89" i="26"/>
  <c r="H89" i="26"/>
  <c r="F89" i="26"/>
  <c r="S88" i="26"/>
  <c r="S87" i="26"/>
  <c r="R86" i="26"/>
  <c r="Q86" i="26"/>
  <c r="P86" i="26"/>
  <c r="P85" i="26" s="1"/>
  <c r="O86" i="26"/>
  <c r="N86" i="26"/>
  <c r="M86" i="26"/>
  <c r="L86" i="26"/>
  <c r="K86" i="26"/>
  <c r="J86" i="26"/>
  <c r="J85" i="26" s="1"/>
  <c r="I86" i="26"/>
  <c r="H86" i="26"/>
  <c r="H85" i="26" s="1"/>
  <c r="G86" i="26"/>
  <c r="F86" i="26"/>
  <c r="E86" i="26"/>
  <c r="N85" i="26"/>
  <c r="F85" i="26"/>
  <c r="S84" i="26"/>
  <c r="R83" i="26"/>
  <c r="Q83" i="26"/>
  <c r="P83" i="26"/>
  <c r="O83" i="26"/>
  <c r="N83" i="26"/>
  <c r="M83" i="26"/>
  <c r="L83" i="26"/>
  <c r="K83" i="26"/>
  <c r="J83" i="26"/>
  <c r="I83" i="26"/>
  <c r="H83" i="26"/>
  <c r="G83" i="26"/>
  <c r="F83" i="26"/>
  <c r="E83" i="26"/>
  <c r="R82" i="26"/>
  <c r="R81" i="26" s="1"/>
  <c r="Q82" i="26"/>
  <c r="Q81" i="26" s="1"/>
  <c r="N82" i="26"/>
  <c r="M82" i="26"/>
  <c r="M81" i="26" s="1"/>
  <c r="H82" i="26"/>
  <c r="H81" i="26" s="1"/>
  <c r="N81" i="26"/>
  <c r="R80" i="26"/>
  <c r="R79" i="26" s="1"/>
  <c r="Q80" i="26"/>
  <c r="Q79" i="26" s="1"/>
  <c r="P80" i="26"/>
  <c r="P79" i="26" s="1"/>
  <c r="O80" i="26"/>
  <c r="O79" i="26" s="1"/>
  <c r="N80" i="26"/>
  <c r="M80" i="26"/>
  <c r="M79" i="26" s="1"/>
  <c r="L80" i="26"/>
  <c r="K80" i="26"/>
  <c r="K79" i="26" s="1"/>
  <c r="J80" i="26"/>
  <c r="J79" i="26" s="1"/>
  <c r="I80" i="26"/>
  <c r="I79" i="26" s="1"/>
  <c r="H80" i="26"/>
  <c r="H79" i="26" s="1"/>
  <c r="G80" i="26"/>
  <c r="G79" i="26" s="1"/>
  <c r="F80" i="26"/>
  <c r="E80" i="26"/>
  <c r="N79" i="26"/>
  <c r="L79" i="26"/>
  <c r="F79" i="26"/>
  <c r="S78" i="26"/>
  <c r="R77" i="26"/>
  <c r="Q77" i="26"/>
  <c r="P77" i="26"/>
  <c r="O77" i="26"/>
  <c r="N77" i="26"/>
  <c r="M77" i="26"/>
  <c r="L77" i="26"/>
  <c r="K77" i="26"/>
  <c r="J77" i="26"/>
  <c r="I77" i="26"/>
  <c r="H77" i="26"/>
  <c r="G77" i="26"/>
  <c r="F77" i="26"/>
  <c r="E77" i="26"/>
  <c r="R76" i="26"/>
  <c r="R75" i="26" s="1"/>
  <c r="Q76" i="26"/>
  <c r="Q75" i="26" s="1"/>
  <c r="P76" i="26"/>
  <c r="P75" i="26" s="1"/>
  <c r="O76" i="26"/>
  <c r="O75" i="26" s="1"/>
  <c r="N76" i="26"/>
  <c r="M76" i="26"/>
  <c r="M75" i="26" s="1"/>
  <c r="L76" i="26"/>
  <c r="K76" i="26"/>
  <c r="K75" i="26" s="1"/>
  <c r="J76" i="26"/>
  <c r="J75" i="26" s="1"/>
  <c r="I76" i="26"/>
  <c r="I75" i="26" s="1"/>
  <c r="H76" i="26"/>
  <c r="H75" i="26" s="1"/>
  <c r="G76" i="26"/>
  <c r="G75" i="26" s="1"/>
  <c r="F76" i="26"/>
  <c r="E76" i="26"/>
  <c r="E75" i="26" s="1"/>
  <c r="N75" i="26"/>
  <c r="L75" i="26"/>
  <c r="F75" i="26"/>
  <c r="Q74" i="26"/>
  <c r="P74" i="26"/>
  <c r="O74" i="26"/>
  <c r="O73" i="26" s="1"/>
  <c r="N74" i="26"/>
  <c r="N73" i="26" s="1"/>
  <c r="M74" i="26"/>
  <c r="L74" i="26"/>
  <c r="K74" i="26"/>
  <c r="K73" i="26" s="1"/>
  <c r="J74" i="26"/>
  <c r="J73" i="26" s="1"/>
  <c r="I74" i="26"/>
  <c r="I73" i="26" s="1"/>
  <c r="H74" i="26"/>
  <c r="G74" i="26"/>
  <c r="G73" i="26" s="1"/>
  <c r="F74" i="26"/>
  <c r="F73" i="26" s="1"/>
  <c r="E74" i="26"/>
  <c r="Q73" i="26"/>
  <c r="P73" i="26"/>
  <c r="M73" i="26"/>
  <c r="L73" i="26"/>
  <c r="H73" i="26"/>
  <c r="Q72" i="26"/>
  <c r="Q71" i="26" s="1"/>
  <c r="P72" i="26"/>
  <c r="P71" i="26" s="1"/>
  <c r="O72" i="26"/>
  <c r="O71" i="26" s="1"/>
  <c r="M72" i="26"/>
  <c r="M71" i="26" s="1"/>
  <c r="L72" i="26"/>
  <c r="L71" i="26" s="1"/>
  <c r="K72" i="26"/>
  <c r="K71" i="26" s="1"/>
  <c r="I72" i="26"/>
  <c r="H72" i="26"/>
  <c r="G72" i="26"/>
  <c r="E72" i="26"/>
  <c r="E71" i="26" s="1"/>
  <c r="I71" i="26"/>
  <c r="H71" i="26"/>
  <c r="R70" i="26"/>
  <c r="Q70" i="26"/>
  <c r="P70" i="26"/>
  <c r="O70" i="26"/>
  <c r="N70" i="26"/>
  <c r="M70" i="26"/>
  <c r="L70" i="26"/>
  <c r="K70" i="26"/>
  <c r="J70" i="26"/>
  <c r="I70" i="26"/>
  <c r="H70" i="26"/>
  <c r="G70" i="26"/>
  <c r="F70" i="26"/>
  <c r="E70" i="26"/>
  <c r="R69" i="26"/>
  <c r="Q69" i="26"/>
  <c r="P69" i="26"/>
  <c r="O69" i="26"/>
  <c r="N69" i="26"/>
  <c r="M69" i="26"/>
  <c r="L69" i="26"/>
  <c r="K69" i="26"/>
  <c r="J69" i="26"/>
  <c r="I69" i="26"/>
  <c r="H69" i="26"/>
  <c r="G69" i="26"/>
  <c r="F69" i="26"/>
  <c r="E69" i="26"/>
  <c r="R68" i="26"/>
  <c r="Q68" i="26"/>
  <c r="P68" i="26"/>
  <c r="O68" i="26"/>
  <c r="N68" i="26"/>
  <c r="M68" i="26"/>
  <c r="L68" i="26"/>
  <c r="K68" i="26"/>
  <c r="J68" i="26"/>
  <c r="I68" i="26"/>
  <c r="H68" i="26"/>
  <c r="G68" i="26"/>
  <c r="F68" i="26"/>
  <c r="E68" i="26"/>
  <c r="R67" i="26"/>
  <c r="Q67" i="26"/>
  <c r="P67" i="26"/>
  <c r="O67" i="26"/>
  <c r="N67" i="26"/>
  <c r="M67" i="26"/>
  <c r="L67" i="26"/>
  <c r="K67" i="26"/>
  <c r="J67" i="26"/>
  <c r="I67" i="26"/>
  <c r="H67" i="26"/>
  <c r="G67" i="26"/>
  <c r="F67" i="26"/>
  <c r="E67" i="26"/>
  <c r="R66" i="26"/>
  <c r="Q66" i="26"/>
  <c r="P66" i="26"/>
  <c r="O66" i="26"/>
  <c r="N66" i="26"/>
  <c r="M66" i="26"/>
  <c r="L66" i="26"/>
  <c r="K66" i="26"/>
  <c r="J66" i="26"/>
  <c r="I66" i="26"/>
  <c r="H66" i="26"/>
  <c r="G66" i="26"/>
  <c r="F66" i="26"/>
  <c r="E66" i="26"/>
  <c r="R65" i="26"/>
  <c r="Q65" i="26"/>
  <c r="P65" i="26"/>
  <c r="O65" i="26"/>
  <c r="N65" i="26"/>
  <c r="M65" i="26"/>
  <c r="L65" i="26"/>
  <c r="L53" i="26" s="1"/>
  <c r="K65" i="26"/>
  <c r="J65" i="26"/>
  <c r="I65" i="26"/>
  <c r="H65" i="26"/>
  <c r="G65" i="26"/>
  <c r="F65" i="26"/>
  <c r="E65" i="26"/>
  <c r="R64" i="26"/>
  <c r="R53" i="26" s="1"/>
  <c r="Q64" i="26"/>
  <c r="P64" i="26"/>
  <c r="O64" i="26"/>
  <c r="N64" i="26"/>
  <c r="M64" i="26"/>
  <c r="L64" i="26"/>
  <c r="K64" i="26"/>
  <c r="J64" i="26"/>
  <c r="I64" i="26"/>
  <c r="H64" i="26"/>
  <c r="G64" i="26"/>
  <c r="F64" i="26"/>
  <c r="E64" i="26"/>
  <c r="R63" i="26"/>
  <c r="Q63" i="26"/>
  <c r="O63" i="26"/>
  <c r="N63" i="26"/>
  <c r="M63" i="26"/>
  <c r="L63" i="26"/>
  <c r="K63" i="26"/>
  <c r="J63" i="26"/>
  <c r="I63" i="26"/>
  <c r="H63" i="26"/>
  <c r="G63" i="26"/>
  <c r="F63" i="26"/>
  <c r="E63" i="26"/>
  <c r="R62" i="26"/>
  <c r="Q62" i="26"/>
  <c r="P62" i="26"/>
  <c r="O62" i="26"/>
  <c r="N62" i="26"/>
  <c r="M62" i="26"/>
  <c r="L62" i="26"/>
  <c r="K62" i="26"/>
  <c r="J62" i="26"/>
  <c r="I62" i="26"/>
  <c r="H62" i="26"/>
  <c r="G62" i="26"/>
  <c r="F62" i="26"/>
  <c r="E62" i="26"/>
  <c r="R61" i="26"/>
  <c r="Q61" i="26"/>
  <c r="P61" i="26"/>
  <c r="O61" i="26"/>
  <c r="N61" i="26"/>
  <c r="M61" i="26"/>
  <c r="L61" i="26"/>
  <c r="K61" i="26"/>
  <c r="J61" i="26"/>
  <c r="I61" i="26"/>
  <c r="H61" i="26"/>
  <c r="G61" i="26"/>
  <c r="F61" i="26"/>
  <c r="E61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R59" i="26"/>
  <c r="Q59" i="26"/>
  <c r="P59" i="26"/>
  <c r="O59" i="26"/>
  <c r="N59" i="26"/>
  <c r="M59" i="26"/>
  <c r="L59" i="26"/>
  <c r="K59" i="26"/>
  <c r="J59" i="26"/>
  <c r="I59" i="26"/>
  <c r="H59" i="26"/>
  <c r="G59" i="26"/>
  <c r="F59" i="26"/>
  <c r="E59" i="26"/>
  <c r="R58" i="26"/>
  <c r="Q58" i="26"/>
  <c r="P58" i="26"/>
  <c r="O58" i="26"/>
  <c r="N58" i="26"/>
  <c r="M58" i="26"/>
  <c r="L58" i="26"/>
  <c r="K58" i="26"/>
  <c r="J58" i="26"/>
  <c r="I58" i="26"/>
  <c r="H58" i="26"/>
  <c r="G58" i="26"/>
  <c r="F58" i="26"/>
  <c r="E58" i="26"/>
  <c r="R57" i="26"/>
  <c r="Q57" i="26"/>
  <c r="P57" i="26"/>
  <c r="O57" i="26"/>
  <c r="N57" i="26"/>
  <c r="M57" i="26"/>
  <c r="L57" i="26"/>
  <c r="K57" i="26"/>
  <c r="J57" i="26"/>
  <c r="I57" i="26"/>
  <c r="H57" i="26"/>
  <c r="G57" i="26"/>
  <c r="F57" i="26"/>
  <c r="E57" i="26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E56" i="26"/>
  <c r="R55" i="26"/>
  <c r="Q55" i="26"/>
  <c r="P55" i="26"/>
  <c r="O55" i="26"/>
  <c r="N55" i="26"/>
  <c r="M55" i="26"/>
  <c r="L55" i="26"/>
  <c r="K55" i="26"/>
  <c r="K53" i="26" s="1"/>
  <c r="J55" i="26"/>
  <c r="J53" i="26" s="1"/>
  <c r="I55" i="26"/>
  <c r="H55" i="26"/>
  <c r="G55" i="26"/>
  <c r="G53" i="26" s="1"/>
  <c r="F55" i="26"/>
  <c r="F53" i="26" s="1"/>
  <c r="E55" i="26"/>
  <c r="R54" i="26"/>
  <c r="Q54" i="26"/>
  <c r="Q53" i="26" s="1"/>
  <c r="P54" i="26"/>
  <c r="P53" i="26" s="1"/>
  <c r="O54" i="26"/>
  <c r="O53" i="26" s="1"/>
  <c r="N54" i="26"/>
  <c r="M54" i="26"/>
  <c r="M53" i="26" s="1"/>
  <c r="L54" i="26"/>
  <c r="K54" i="26"/>
  <c r="J54" i="26"/>
  <c r="I54" i="26"/>
  <c r="I53" i="26" s="1"/>
  <c r="H54" i="26"/>
  <c r="G54" i="26"/>
  <c r="F54" i="26"/>
  <c r="E54" i="26"/>
  <c r="N53" i="26"/>
  <c r="H53" i="26"/>
  <c r="H52" i="26" s="1"/>
  <c r="S51" i="26"/>
  <c r="S50" i="26"/>
  <c r="S49" i="26"/>
  <c r="S48" i="26"/>
  <c r="R47" i="26"/>
  <c r="Q47" i="26"/>
  <c r="P47" i="26"/>
  <c r="O47" i="26"/>
  <c r="N47" i="26"/>
  <c r="M47" i="26"/>
  <c r="L47" i="26"/>
  <c r="K47" i="26"/>
  <c r="J47" i="26"/>
  <c r="I47" i="26"/>
  <c r="H47" i="26"/>
  <c r="G47" i="26"/>
  <c r="F47" i="26"/>
  <c r="E47" i="26"/>
  <c r="R46" i="26"/>
  <c r="R45" i="26" s="1"/>
  <c r="Q46" i="26"/>
  <c r="Q45" i="26" s="1"/>
  <c r="O46" i="26"/>
  <c r="O45" i="26" s="1"/>
  <c r="N46" i="26"/>
  <c r="M46" i="26"/>
  <c r="M45" i="26" s="1"/>
  <c r="L46" i="26"/>
  <c r="K46" i="26"/>
  <c r="K45" i="26" s="1"/>
  <c r="J46" i="26"/>
  <c r="I46" i="26"/>
  <c r="I45" i="26" s="1"/>
  <c r="H46" i="26"/>
  <c r="H45" i="26" s="1"/>
  <c r="G46" i="26"/>
  <c r="G45" i="26" s="1"/>
  <c r="F46" i="26"/>
  <c r="E46" i="26"/>
  <c r="S46" i="26" s="1"/>
  <c r="P45" i="26"/>
  <c r="N45" i="26"/>
  <c r="L45" i="26"/>
  <c r="J45" i="26"/>
  <c r="F45" i="26"/>
  <c r="S44" i="26"/>
  <c r="S43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E42" i="26"/>
  <c r="S41" i="26"/>
  <c r="R40" i="26"/>
  <c r="Q40" i="26"/>
  <c r="P40" i="26"/>
  <c r="O40" i="26"/>
  <c r="N40" i="26"/>
  <c r="M40" i="26"/>
  <c r="L40" i="26"/>
  <c r="L31" i="26" s="1"/>
  <c r="K40" i="26"/>
  <c r="J40" i="26"/>
  <c r="I40" i="26"/>
  <c r="H40" i="26"/>
  <c r="G40" i="26"/>
  <c r="F40" i="26"/>
  <c r="E40" i="26"/>
  <c r="S40" i="26" s="1"/>
  <c r="S39" i="26"/>
  <c r="S38" i="26"/>
  <c r="S37" i="26"/>
  <c r="S36" i="26"/>
  <c r="S35" i="26"/>
  <c r="S34" i="26"/>
  <c r="S33" i="26"/>
  <c r="R32" i="26"/>
  <c r="R31" i="26" s="1"/>
  <c r="Q32" i="26"/>
  <c r="Q31" i="26" s="1"/>
  <c r="P32" i="26"/>
  <c r="O32" i="26"/>
  <c r="N32" i="26"/>
  <c r="N31" i="26" s="1"/>
  <c r="M32" i="26"/>
  <c r="L32" i="26"/>
  <c r="K32" i="26"/>
  <c r="J32" i="26"/>
  <c r="J31" i="26" s="1"/>
  <c r="I32" i="26"/>
  <c r="H32" i="26"/>
  <c r="G32" i="26"/>
  <c r="F32" i="26"/>
  <c r="F31" i="26" s="1"/>
  <c r="E32" i="26"/>
  <c r="P31" i="26"/>
  <c r="H31" i="26"/>
  <c r="R30" i="26"/>
  <c r="Q30" i="26"/>
  <c r="N30" i="26"/>
  <c r="M30" i="26"/>
  <c r="H30" i="26"/>
  <c r="R29" i="26"/>
  <c r="Q29" i="26"/>
  <c r="P29" i="26"/>
  <c r="O29" i="26"/>
  <c r="N29" i="26"/>
  <c r="M29" i="26"/>
  <c r="L29" i="26"/>
  <c r="K29" i="26"/>
  <c r="J29" i="26"/>
  <c r="I29" i="26"/>
  <c r="H29" i="26"/>
  <c r="G29" i="26"/>
  <c r="F29" i="26"/>
  <c r="E29" i="26"/>
  <c r="R28" i="26"/>
  <c r="R27" i="26" s="1"/>
  <c r="Q28" i="26"/>
  <c r="N28" i="26"/>
  <c r="N27" i="26" s="1"/>
  <c r="M28" i="26"/>
  <c r="M27" i="26" s="1"/>
  <c r="H28" i="26"/>
  <c r="H27" i="26" s="1"/>
  <c r="Q27" i="26"/>
  <c r="R26" i="26"/>
  <c r="R25" i="26" s="1"/>
  <c r="Q26" i="26"/>
  <c r="Q25" i="26" s="1"/>
  <c r="N26" i="26"/>
  <c r="N25" i="26" s="1"/>
  <c r="M26" i="26"/>
  <c r="H26" i="26"/>
  <c r="H25" i="26" s="1"/>
  <c r="M25" i="26"/>
  <c r="R24" i="26"/>
  <c r="Q24" i="26"/>
  <c r="N24" i="26"/>
  <c r="M24" i="26"/>
  <c r="H24" i="26"/>
  <c r="R23" i="26"/>
  <c r="Q23" i="26"/>
  <c r="Q22" i="26" s="1"/>
  <c r="N23" i="26"/>
  <c r="M23" i="26"/>
  <c r="M22" i="26" s="1"/>
  <c r="H23" i="26"/>
  <c r="R22" i="26"/>
  <c r="H22" i="26"/>
  <c r="R21" i="26"/>
  <c r="R20" i="26" s="1"/>
  <c r="Q21" i="26"/>
  <c r="Q20" i="26" s="1"/>
  <c r="N21" i="26"/>
  <c r="M21" i="26"/>
  <c r="M20" i="26" s="1"/>
  <c r="H21" i="26"/>
  <c r="H20" i="26" s="1"/>
  <c r="N20" i="26"/>
  <c r="I19" i="26"/>
  <c r="H19" i="26"/>
  <c r="G19" i="26"/>
  <c r="G18" i="26" s="1"/>
  <c r="F19" i="26"/>
  <c r="R18" i="26"/>
  <c r="Q18" i="26"/>
  <c r="P18" i="26"/>
  <c r="O18" i="26"/>
  <c r="N18" i="26"/>
  <c r="M18" i="26"/>
  <c r="L18" i="26"/>
  <c r="K18" i="26"/>
  <c r="J18" i="26"/>
  <c r="I18" i="26"/>
  <c r="H18" i="26"/>
  <c r="E18" i="26"/>
  <c r="S17" i="26"/>
  <c r="P16" i="26"/>
  <c r="P21" i="26" s="1"/>
  <c r="P20" i="26" s="1"/>
  <c r="O16" i="26"/>
  <c r="O28" i="26" s="1"/>
  <c r="O27" i="26" s="1"/>
  <c r="L16" i="26"/>
  <c r="K16" i="26"/>
  <c r="J16" i="26"/>
  <c r="J23" i="26" s="1"/>
  <c r="I16" i="26"/>
  <c r="I82" i="26" s="1"/>
  <c r="I81" i="26" s="1"/>
  <c r="G16" i="26"/>
  <c r="F16" i="26"/>
  <c r="E16" i="26"/>
  <c r="E82" i="26" s="1"/>
  <c r="R15" i="26"/>
  <c r="Q15" i="26"/>
  <c r="P15" i="26"/>
  <c r="P13" i="26" s="1"/>
  <c r="O15" i="26"/>
  <c r="N15" i="26"/>
  <c r="M15" i="26"/>
  <c r="L15" i="26"/>
  <c r="I15" i="26"/>
  <c r="H15" i="26"/>
  <c r="R14" i="26"/>
  <c r="R13" i="26" s="1"/>
  <c r="Q14" i="26"/>
  <c r="Q13" i="26" s="1"/>
  <c r="P14" i="26"/>
  <c r="O14" i="26"/>
  <c r="N14" i="26"/>
  <c r="N13" i="26" s="1"/>
  <c r="M14" i="26"/>
  <c r="M13" i="26" s="1"/>
  <c r="J14" i="26"/>
  <c r="I14" i="26"/>
  <c r="I13" i="26" s="1"/>
  <c r="H14" i="26"/>
  <c r="F14" i="26"/>
  <c r="E14" i="26"/>
  <c r="O13" i="26"/>
  <c r="H13" i="26"/>
  <c r="Q12" i="26"/>
  <c r="P12" i="26"/>
  <c r="O12" i="26"/>
  <c r="M12" i="26"/>
  <c r="L12" i="26"/>
  <c r="L10" i="26" s="1"/>
  <c r="L8" i="26" s="1"/>
  <c r="K12" i="26"/>
  <c r="I12" i="26"/>
  <c r="H12" i="26"/>
  <c r="G12" i="26"/>
  <c r="E12" i="26"/>
  <c r="R11" i="26"/>
  <c r="Q11" i="26"/>
  <c r="P11" i="26"/>
  <c r="O11" i="26"/>
  <c r="O10" i="26" s="1"/>
  <c r="N11" i="26"/>
  <c r="M11" i="26"/>
  <c r="L11" i="26"/>
  <c r="K11" i="26"/>
  <c r="K10" i="26" s="1"/>
  <c r="J11" i="26"/>
  <c r="I11" i="26"/>
  <c r="H11" i="26"/>
  <c r="G11" i="26"/>
  <c r="G10" i="26" s="1"/>
  <c r="F11" i="26"/>
  <c r="E11" i="26"/>
  <c r="Q10" i="26"/>
  <c r="Q8" i="26" s="1"/>
  <c r="Q4" i="26" s="1"/>
  <c r="P10" i="26"/>
  <c r="M10" i="26"/>
  <c r="M8" i="26" s="1"/>
  <c r="I10" i="26"/>
  <c r="I8" i="26" s="1"/>
  <c r="H10" i="26"/>
  <c r="E10" i="26"/>
  <c r="R9" i="26"/>
  <c r="Q9" i="26"/>
  <c r="P9" i="26"/>
  <c r="O9" i="26"/>
  <c r="O8" i="26" s="1"/>
  <c r="N9" i="26"/>
  <c r="M9" i="26"/>
  <c r="L9" i="26"/>
  <c r="K9" i="26"/>
  <c r="K8" i="26" s="1"/>
  <c r="J9" i="26"/>
  <c r="I9" i="26"/>
  <c r="H9" i="26"/>
  <c r="G9" i="26"/>
  <c r="G8" i="26" s="1"/>
  <c r="F9" i="26"/>
  <c r="E9" i="26"/>
  <c r="P8" i="26"/>
  <c r="H8" i="26"/>
  <c r="R7" i="26"/>
  <c r="Q7" i="26"/>
  <c r="P7" i="26"/>
  <c r="O7" i="26"/>
  <c r="N7" i="26"/>
  <c r="N5" i="26" s="1"/>
  <c r="M7" i="26"/>
  <c r="L7" i="26"/>
  <c r="K7" i="26"/>
  <c r="K5" i="26" s="1"/>
  <c r="J7" i="26"/>
  <c r="J5" i="26" s="1"/>
  <c r="I7" i="26"/>
  <c r="H7" i="26"/>
  <c r="G7" i="26"/>
  <c r="F7" i="26"/>
  <c r="F5" i="26" s="1"/>
  <c r="E7" i="26"/>
  <c r="R6" i="26"/>
  <c r="Q6" i="26"/>
  <c r="Q5" i="26" s="1"/>
  <c r="P6" i="26"/>
  <c r="P5" i="26" s="1"/>
  <c r="O6" i="26"/>
  <c r="O5" i="26" s="1"/>
  <c r="N6" i="26"/>
  <c r="M6" i="26"/>
  <c r="L6" i="26"/>
  <c r="L5" i="26" s="1"/>
  <c r="K6" i="26"/>
  <c r="J6" i="26"/>
  <c r="I6" i="26"/>
  <c r="H6" i="26"/>
  <c r="H5" i="26" s="1"/>
  <c r="H4" i="26" s="1"/>
  <c r="H3" i="26" s="1"/>
  <c r="G6" i="26"/>
  <c r="F6" i="26"/>
  <c r="E6" i="26"/>
  <c r="E5" i="26" s="1"/>
  <c r="R5" i="26"/>
  <c r="M5" i="26"/>
  <c r="I5" i="26"/>
  <c r="G5" i="26"/>
  <c r="E7" i="32"/>
  <c r="M7" i="32"/>
  <c r="D7" i="32"/>
  <c r="AB6" i="32"/>
  <c r="AB7" i="32" s="1"/>
  <c r="AA6" i="32"/>
  <c r="Z6" i="32"/>
  <c r="Y6" i="32"/>
  <c r="U6" i="32"/>
  <c r="R6" i="32"/>
  <c r="Q6" i="32"/>
  <c r="O6" i="32"/>
  <c r="N6" i="32"/>
  <c r="M6" i="32"/>
  <c r="L6" i="32"/>
  <c r="H6" i="32"/>
  <c r="E6" i="32"/>
  <c r="D6" i="32"/>
  <c r="V5" i="32"/>
  <c r="W5" i="32" s="1"/>
  <c r="S5" i="32"/>
  <c r="T5" i="32" s="1"/>
  <c r="I5" i="32"/>
  <c r="J5" i="32" s="1"/>
  <c r="F5" i="32"/>
  <c r="G5" i="32" s="1"/>
  <c r="AB4" i="32"/>
  <c r="AA4" i="32"/>
  <c r="AA7" i="32" s="1"/>
  <c r="Z4" i="32"/>
  <c r="Z7" i="32" s="1"/>
  <c r="Y4" i="32"/>
  <c r="U4" i="32"/>
  <c r="R4" i="32"/>
  <c r="R7" i="32" s="1"/>
  <c r="Q4" i="32"/>
  <c r="Q7" i="32" s="1"/>
  <c r="N4" i="32"/>
  <c r="N7" i="32" s="1"/>
  <c r="M4" i="32"/>
  <c r="L4" i="32"/>
  <c r="L7" i="32" s="1"/>
  <c r="H4" i="32"/>
  <c r="E4" i="32"/>
  <c r="D4" i="32"/>
  <c r="O4" i="32"/>
  <c r="O7" i="32" s="1"/>
  <c r="V3" i="32"/>
  <c r="W3" i="32" s="1"/>
  <c r="S3" i="32"/>
  <c r="S4" i="32" s="1"/>
  <c r="I3" i="32"/>
  <c r="J3" i="32" s="1"/>
  <c r="F3" i="32"/>
  <c r="G3" i="32" s="1"/>
  <c r="Y7" i="32" l="1"/>
  <c r="M4" i="26"/>
  <c r="H7" i="32"/>
  <c r="F23" i="26"/>
  <c r="F15" i="26"/>
  <c r="F13" i="26" s="1"/>
  <c r="K28" i="26"/>
  <c r="K27" i="26" s="1"/>
  <c r="K14" i="26"/>
  <c r="K13" i="26" s="1"/>
  <c r="K15" i="26"/>
  <c r="R85" i="26"/>
  <c r="R52" i="26" s="1"/>
  <c r="U7" i="32"/>
  <c r="E8" i="26"/>
  <c r="G28" i="26"/>
  <c r="G27" i="26" s="1"/>
  <c r="G14" i="26"/>
  <c r="S14" i="26" s="1"/>
  <c r="G15" i="26"/>
  <c r="L21" i="26"/>
  <c r="L20" i="26" s="1"/>
  <c r="L14" i="26"/>
  <c r="L13" i="26" s="1"/>
  <c r="N22" i="26"/>
  <c r="N52" i="26"/>
  <c r="J4" i="21"/>
  <c r="H85" i="21"/>
  <c r="U4" i="25"/>
  <c r="S7" i="26"/>
  <c r="S9" i="26"/>
  <c r="S11" i="26"/>
  <c r="S19" i="26"/>
  <c r="G31" i="26"/>
  <c r="K31" i="26"/>
  <c r="O31" i="26"/>
  <c r="S72" i="26"/>
  <c r="S74" i="26"/>
  <c r="S90" i="26"/>
  <c r="I89" i="26"/>
  <c r="M89" i="26"/>
  <c r="M85" i="26" s="1"/>
  <c r="M52" i="26" s="1"/>
  <c r="M3" i="26" s="1"/>
  <c r="Q89" i="26"/>
  <c r="H5" i="21"/>
  <c r="H11" i="21"/>
  <c r="F13" i="21"/>
  <c r="L13" i="21" s="1"/>
  <c r="H29" i="21"/>
  <c r="L42" i="21"/>
  <c r="I31" i="21"/>
  <c r="I3" i="21" s="1"/>
  <c r="L77" i="21"/>
  <c r="L83" i="21"/>
  <c r="E89" i="21"/>
  <c r="V9" i="31"/>
  <c r="N31" i="31"/>
  <c r="T31" i="31"/>
  <c r="V45" i="31"/>
  <c r="M80" i="31"/>
  <c r="M79" i="31" s="1"/>
  <c r="M72" i="31"/>
  <c r="M71" i="31" s="1"/>
  <c r="S29" i="31"/>
  <c r="S80" i="31"/>
  <c r="S79" i="31" s="1"/>
  <c r="G4" i="25"/>
  <c r="L4" i="25"/>
  <c r="H4" i="20"/>
  <c r="S29" i="26"/>
  <c r="S32" i="26"/>
  <c r="S42" i="26"/>
  <c r="E45" i="26"/>
  <c r="E31" i="26" s="1"/>
  <c r="S31" i="26" s="1"/>
  <c r="S70" i="26"/>
  <c r="S75" i="26"/>
  <c r="S80" i="26"/>
  <c r="S86" i="26"/>
  <c r="I85" i="26"/>
  <c r="Q85" i="26"/>
  <c r="S93" i="26"/>
  <c r="S96" i="26"/>
  <c r="S104" i="26"/>
  <c r="S108" i="26"/>
  <c r="L45" i="21"/>
  <c r="L47" i="21"/>
  <c r="L73" i="21"/>
  <c r="L76" i="21"/>
  <c r="L101" i="21"/>
  <c r="I10" i="31"/>
  <c r="I8" i="31" s="1"/>
  <c r="H13" i="31"/>
  <c r="H4" i="31" s="1"/>
  <c r="H3" i="31" s="1"/>
  <c r="L13" i="31"/>
  <c r="P13" i="31"/>
  <c r="T13" i="31"/>
  <c r="T4" i="31" s="1"/>
  <c r="V32" i="31"/>
  <c r="S31" i="31"/>
  <c r="V41" i="31"/>
  <c r="P53" i="31"/>
  <c r="V61" i="31"/>
  <c r="P85" i="31"/>
  <c r="U85" i="31"/>
  <c r="V90" i="31"/>
  <c r="V91" i="31"/>
  <c r="N80" i="31"/>
  <c r="N79" i="31" s="1"/>
  <c r="N29" i="31"/>
  <c r="P4" i="25"/>
  <c r="M10" i="25"/>
  <c r="M8" i="25" s="1"/>
  <c r="M4" i="25" s="1"/>
  <c r="M3" i="25" s="1"/>
  <c r="E22" i="25"/>
  <c r="W22" i="25" s="1"/>
  <c r="M52" i="25"/>
  <c r="Q52" i="25"/>
  <c r="Q3" i="25" s="1"/>
  <c r="U52" i="25"/>
  <c r="I31" i="26"/>
  <c r="L75" i="21"/>
  <c r="Q4" i="31"/>
  <c r="U4" i="31"/>
  <c r="V76" i="31"/>
  <c r="E75" i="31"/>
  <c r="V86" i="31"/>
  <c r="E85" i="31"/>
  <c r="T4" i="25"/>
  <c r="M31" i="26"/>
  <c r="S6" i="26"/>
  <c r="F12" i="26"/>
  <c r="F10" i="26" s="1"/>
  <c r="J12" i="26"/>
  <c r="J10" i="26" s="1"/>
  <c r="J8" i="26" s="1"/>
  <c r="N12" i="26"/>
  <c r="N10" i="26" s="1"/>
  <c r="N8" i="26" s="1"/>
  <c r="N4" i="26" s="1"/>
  <c r="N3" i="26" s="1"/>
  <c r="R12" i="26"/>
  <c r="R10" i="26" s="1"/>
  <c r="R8" i="26" s="1"/>
  <c r="R4" i="26" s="1"/>
  <c r="R3" i="26" s="1"/>
  <c r="J15" i="26"/>
  <c r="J13" i="26" s="1"/>
  <c r="F18" i="26"/>
  <c r="S18" i="26" s="1"/>
  <c r="S47" i="26"/>
  <c r="S65" i="26"/>
  <c r="S67" i="26"/>
  <c r="S68" i="26"/>
  <c r="S77" i="26"/>
  <c r="S83" i="26"/>
  <c r="S91" i="26"/>
  <c r="E8" i="21"/>
  <c r="E4" i="21" s="1"/>
  <c r="F10" i="21"/>
  <c r="F8" i="21" s="1"/>
  <c r="F4" i="21" s="1"/>
  <c r="G11" i="21"/>
  <c r="G10" i="21" s="1"/>
  <c r="G8" i="21" s="1"/>
  <c r="K11" i="21"/>
  <c r="K10" i="21" s="1"/>
  <c r="K8" i="21" s="1"/>
  <c r="H12" i="21"/>
  <c r="L12" i="21" s="1"/>
  <c r="L14" i="21"/>
  <c r="G29" i="21"/>
  <c r="L29" i="21" s="1"/>
  <c r="K29" i="21"/>
  <c r="L40" i="21"/>
  <c r="L53" i="21"/>
  <c r="K72" i="21"/>
  <c r="K71" i="21" s="1"/>
  <c r="K52" i="21" s="1"/>
  <c r="L74" i="21"/>
  <c r="L86" i="21"/>
  <c r="L90" i="21"/>
  <c r="V6" i="31"/>
  <c r="V7" i="31"/>
  <c r="N10" i="31"/>
  <c r="N8" i="31" s="1"/>
  <c r="N4" i="31" s="1"/>
  <c r="N3" i="31" s="1"/>
  <c r="E13" i="31"/>
  <c r="V15" i="31"/>
  <c r="L21" i="31"/>
  <c r="L20" i="31" s="1"/>
  <c r="J22" i="31"/>
  <c r="J4" i="31" s="1"/>
  <c r="J3" i="31" s="1"/>
  <c r="O22" i="31"/>
  <c r="S22" i="31"/>
  <c r="V29" i="31"/>
  <c r="V48" i="31"/>
  <c r="N52" i="31"/>
  <c r="S72" i="31"/>
  <c r="S71" i="31" s="1"/>
  <c r="I89" i="31"/>
  <c r="I85" i="31" s="1"/>
  <c r="R52" i="31"/>
  <c r="F4" i="25"/>
  <c r="J4" i="25"/>
  <c r="N4" i="25"/>
  <c r="R4" i="25"/>
  <c r="H4" i="25"/>
  <c r="V10" i="25"/>
  <c r="V8" i="25" s="1"/>
  <c r="V4" i="25" s="1"/>
  <c r="V45" i="20"/>
  <c r="F31" i="20"/>
  <c r="K52" i="31"/>
  <c r="O89" i="31"/>
  <c r="O85" i="31" s="1"/>
  <c r="T89" i="31"/>
  <c r="T85" i="31" s="1"/>
  <c r="T52" i="31" s="1"/>
  <c r="V101" i="31"/>
  <c r="W5" i="25"/>
  <c r="W21" i="25"/>
  <c r="W23" i="25"/>
  <c r="E25" i="25"/>
  <c r="W25" i="25" s="1"/>
  <c r="E27" i="25"/>
  <c r="W27" i="25" s="1"/>
  <c r="E31" i="25"/>
  <c r="W31" i="25" s="1"/>
  <c r="W45" i="25"/>
  <c r="G72" i="25"/>
  <c r="G71" i="25" s="1"/>
  <c r="G52" i="25" s="1"/>
  <c r="G3" i="25" s="1"/>
  <c r="K72" i="25"/>
  <c r="K71" i="25" s="1"/>
  <c r="K52" i="25" s="1"/>
  <c r="K3" i="25" s="1"/>
  <c r="O72" i="25"/>
  <c r="O71" i="25" s="1"/>
  <c r="O52" i="25" s="1"/>
  <c r="O3" i="25" s="1"/>
  <c r="S72" i="25"/>
  <c r="S71" i="25" s="1"/>
  <c r="S52" i="25" s="1"/>
  <c r="S3" i="25" s="1"/>
  <c r="W76" i="25"/>
  <c r="W80" i="25"/>
  <c r="W82" i="25"/>
  <c r="E11" i="20"/>
  <c r="I11" i="20"/>
  <c r="I10" i="20" s="1"/>
  <c r="I8" i="20" s="1"/>
  <c r="M11" i="20"/>
  <c r="M10" i="20" s="1"/>
  <c r="M8" i="20" s="1"/>
  <c r="Q11" i="20"/>
  <c r="Q10" i="20" s="1"/>
  <c r="Q8" i="20" s="1"/>
  <c r="F14" i="20"/>
  <c r="J14" i="20"/>
  <c r="J13" i="20" s="1"/>
  <c r="N14" i="20"/>
  <c r="N13" i="20" s="1"/>
  <c r="E15" i="20"/>
  <c r="U15" i="20"/>
  <c r="V18" i="20"/>
  <c r="V42" i="20"/>
  <c r="V46" i="20"/>
  <c r="V63" i="20"/>
  <c r="V68" i="20"/>
  <c r="V86" i="20"/>
  <c r="J85" i="20"/>
  <c r="R85" i="20"/>
  <c r="H4" i="22"/>
  <c r="J20" i="22"/>
  <c r="H31" i="22"/>
  <c r="K18" i="24"/>
  <c r="M19" i="24"/>
  <c r="W11" i="25"/>
  <c r="W14" i="25"/>
  <c r="W29" i="25"/>
  <c r="W40" i="25"/>
  <c r="W83" i="25"/>
  <c r="V85" i="25"/>
  <c r="W96" i="25"/>
  <c r="V9" i="20"/>
  <c r="V12" i="20"/>
  <c r="K14" i="20"/>
  <c r="K13" i="20" s="1"/>
  <c r="O14" i="20"/>
  <c r="O13" i="20" s="1"/>
  <c r="F15" i="20"/>
  <c r="V29" i="20"/>
  <c r="E31" i="20"/>
  <c r="E72" i="20"/>
  <c r="V72" i="20" s="1"/>
  <c r="V77" i="20"/>
  <c r="G85" i="20"/>
  <c r="K85" i="20"/>
  <c r="O85" i="20"/>
  <c r="S85" i="20"/>
  <c r="F89" i="20"/>
  <c r="N89" i="20"/>
  <c r="N85" i="20" s="1"/>
  <c r="N52" i="20" s="1"/>
  <c r="J12" i="22"/>
  <c r="E22" i="22"/>
  <c r="J22" i="22" s="1"/>
  <c r="I22" i="22"/>
  <c r="J28" i="22"/>
  <c r="E27" i="22"/>
  <c r="J27" i="22" s="1"/>
  <c r="J32" i="22"/>
  <c r="E31" i="22"/>
  <c r="I31" i="22"/>
  <c r="J40" i="22"/>
  <c r="F72" i="22"/>
  <c r="F71" i="22" s="1"/>
  <c r="J91" i="22"/>
  <c r="J96" i="22"/>
  <c r="E80" i="22"/>
  <c r="E79" i="22" s="1"/>
  <c r="E11" i="22"/>
  <c r="I80" i="22"/>
  <c r="I79" i="22" s="1"/>
  <c r="I52" i="22" s="1"/>
  <c r="I11" i="22"/>
  <c r="I10" i="22" s="1"/>
  <c r="I8" i="22" s="1"/>
  <c r="I4" i="22" s="1"/>
  <c r="J3" i="24"/>
  <c r="M18" i="24"/>
  <c r="J23" i="22"/>
  <c r="F22" i="22"/>
  <c r="F4" i="22" s="1"/>
  <c r="F52" i="22"/>
  <c r="V12" i="31"/>
  <c r="G13" i="31"/>
  <c r="K13" i="31"/>
  <c r="O13" i="31"/>
  <c r="O4" i="31" s="1"/>
  <c r="S13" i="31"/>
  <c r="S4" i="31" s="1"/>
  <c r="V18" i="31"/>
  <c r="K22" i="31"/>
  <c r="H31" i="31"/>
  <c r="F53" i="31"/>
  <c r="F52" i="31" s="1"/>
  <c r="V72" i="31"/>
  <c r="Q52" i="31"/>
  <c r="V77" i="31"/>
  <c r="H89" i="31"/>
  <c r="S89" i="31"/>
  <c r="S85" i="31" s="1"/>
  <c r="V96" i="31"/>
  <c r="E10" i="25"/>
  <c r="E13" i="25"/>
  <c r="W13" i="25" s="1"/>
  <c r="W15" i="25"/>
  <c r="W18" i="25"/>
  <c r="W47" i="25"/>
  <c r="F72" i="25"/>
  <c r="F71" i="25" s="1"/>
  <c r="E75" i="25"/>
  <c r="W75" i="25" s="1"/>
  <c r="E79" i="25"/>
  <c r="E52" i="25" s="1"/>
  <c r="W90" i="25"/>
  <c r="W91" i="25"/>
  <c r="E5" i="20"/>
  <c r="E14" i="20"/>
  <c r="U14" i="20"/>
  <c r="U13" i="20" s="1"/>
  <c r="I31" i="20"/>
  <c r="M31" i="20"/>
  <c r="Q31" i="20"/>
  <c r="V54" i="20"/>
  <c r="V76" i="20"/>
  <c r="V80" i="20"/>
  <c r="H85" i="20"/>
  <c r="L85" i="20"/>
  <c r="P85" i="20"/>
  <c r="T85" i="20"/>
  <c r="G4" i="22"/>
  <c r="J25" i="22"/>
  <c r="J15" i="22"/>
  <c r="J47" i="22"/>
  <c r="H52" i="22"/>
  <c r="H3" i="22" s="1"/>
  <c r="J74" i="22"/>
  <c r="J83" i="22"/>
  <c r="G85" i="22"/>
  <c r="G52" i="22" s="1"/>
  <c r="G3" i="22" s="1"/>
  <c r="H29" i="24"/>
  <c r="M29" i="24" s="1"/>
  <c r="L29" i="24"/>
  <c r="L4" i="24" s="1"/>
  <c r="M47" i="24"/>
  <c r="M55" i="24"/>
  <c r="M72" i="24"/>
  <c r="M76" i="24"/>
  <c r="M77" i="24"/>
  <c r="M90" i="24"/>
  <c r="M91" i="24"/>
  <c r="M45" i="24"/>
  <c r="M79" i="24"/>
  <c r="M40" i="24"/>
  <c r="E53" i="24"/>
  <c r="M71" i="24"/>
  <c r="M74" i="24"/>
  <c r="M75" i="24"/>
  <c r="M86" i="24"/>
  <c r="V90" i="20"/>
  <c r="I89" i="20"/>
  <c r="I85" i="20" s="1"/>
  <c r="M89" i="20"/>
  <c r="M85" i="20" s="1"/>
  <c r="M52" i="20" s="1"/>
  <c r="Q89" i="20"/>
  <c r="Q85" i="20" s="1"/>
  <c r="U89" i="20"/>
  <c r="U85" i="20" s="1"/>
  <c r="V93" i="20"/>
  <c r="J14" i="22"/>
  <c r="J18" i="22"/>
  <c r="J21" i="22"/>
  <c r="J26" i="22"/>
  <c r="J30" i="22"/>
  <c r="J42" i="22"/>
  <c r="J76" i="22"/>
  <c r="F85" i="22"/>
  <c r="J90" i="22"/>
  <c r="I85" i="22"/>
  <c r="E5" i="24"/>
  <c r="M5" i="24" s="1"/>
  <c r="M10" i="24"/>
  <c r="M11" i="24"/>
  <c r="M12" i="24"/>
  <c r="M13" i="24"/>
  <c r="M14" i="24"/>
  <c r="M15" i="24"/>
  <c r="M20" i="24"/>
  <c r="M21" i="24"/>
  <c r="M22" i="24"/>
  <c r="M23" i="24"/>
  <c r="M24" i="24"/>
  <c r="M25" i="24"/>
  <c r="M26" i="24"/>
  <c r="M32" i="24"/>
  <c r="I31" i="24"/>
  <c r="I3" i="24" s="1"/>
  <c r="M42" i="24"/>
  <c r="M68" i="24"/>
  <c r="M80" i="24"/>
  <c r="H89" i="24"/>
  <c r="H85" i="24" s="1"/>
  <c r="H52" i="24" s="1"/>
  <c r="L89" i="24"/>
  <c r="L85" i="24" s="1"/>
  <c r="L52" i="24" s="1"/>
  <c r="M96" i="24"/>
  <c r="M101" i="24"/>
  <c r="S69" i="26"/>
  <c r="S54" i="26"/>
  <c r="S56" i="26"/>
  <c r="S58" i="26"/>
  <c r="S60" i="26"/>
  <c r="S62" i="26"/>
  <c r="S64" i="26"/>
  <c r="S66" i="26"/>
  <c r="Q52" i="26"/>
  <c r="Q3" i="26" s="1"/>
  <c r="E53" i="26"/>
  <c r="S53" i="26" s="1"/>
  <c r="S55" i="26"/>
  <c r="S57" i="26"/>
  <c r="S59" i="26"/>
  <c r="S61" i="26"/>
  <c r="S63" i="26"/>
  <c r="K52" i="24"/>
  <c r="K3" i="24" s="1"/>
  <c r="I85" i="24"/>
  <c r="I52" i="24"/>
  <c r="E27" i="24"/>
  <c r="E31" i="24"/>
  <c r="M31" i="24" s="1"/>
  <c r="E73" i="24"/>
  <c r="M73" i="24" s="1"/>
  <c r="E81" i="24"/>
  <c r="M81" i="24" s="1"/>
  <c r="E89" i="24"/>
  <c r="M89" i="24" s="1"/>
  <c r="G53" i="24"/>
  <c r="G52" i="24" s="1"/>
  <c r="G3" i="24" s="1"/>
  <c r="J79" i="22"/>
  <c r="J81" i="22"/>
  <c r="J53" i="22"/>
  <c r="J80" i="22"/>
  <c r="J82" i="22"/>
  <c r="J86" i="22"/>
  <c r="E71" i="22"/>
  <c r="J71" i="22" s="1"/>
  <c r="E73" i="22"/>
  <c r="J73" i="22" s="1"/>
  <c r="E75" i="22"/>
  <c r="J75" i="22" s="1"/>
  <c r="E89" i="22"/>
  <c r="V5" i="20"/>
  <c r="R52" i="20"/>
  <c r="E81" i="20"/>
  <c r="V53" i="20"/>
  <c r="J52" i="20"/>
  <c r="I52" i="20"/>
  <c r="Q52" i="20"/>
  <c r="U52" i="20"/>
  <c r="H52" i="20"/>
  <c r="H3" i="20" s="1"/>
  <c r="P52" i="20"/>
  <c r="P3" i="20" s="1"/>
  <c r="T52" i="20"/>
  <c r="T3" i="20" s="1"/>
  <c r="V16" i="20"/>
  <c r="F21" i="20"/>
  <c r="F20" i="20" s="1"/>
  <c r="J21" i="20"/>
  <c r="J20" i="20" s="1"/>
  <c r="N21" i="20"/>
  <c r="N20" i="20" s="1"/>
  <c r="R21" i="20"/>
  <c r="R20" i="20" s="1"/>
  <c r="F23" i="20"/>
  <c r="J23" i="20"/>
  <c r="N23" i="20"/>
  <c r="R23" i="20"/>
  <c r="L24" i="20"/>
  <c r="L22" i="20" s="1"/>
  <c r="L26" i="20"/>
  <c r="L25" i="20" s="1"/>
  <c r="L28" i="20"/>
  <c r="L27" i="20" s="1"/>
  <c r="L30" i="20"/>
  <c r="U47" i="20"/>
  <c r="V47" i="20" s="1"/>
  <c r="E71" i="20"/>
  <c r="E73" i="20"/>
  <c r="V73" i="20" s="1"/>
  <c r="E75" i="20"/>
  <c r="V75" i="20" s="1"/>
  <c r="F79" i="20"/>
  <c r="V79" i="20" s="1"/>
  <c r="L82" i="20"/>
  <c r="L81" i="20" s="1"/>
  <c r="L52" i="20" s="1"/>
  <c r="E89" i="20"/>
  <c r="E21" i="20"/>
  <c r="I21" i="20"/>
  <c r="I20" i="20" s="1"/>
  <c r="M21" i="20"/>
  <c r="M20" i="20" s="1"/>
  <c r="Q21" i="20"/>
  <c r="Q20" i="20" s="1"/>
  <c r="U21" i="20"/>
  <c r="U20" i="20" s="1"/>
  <c r="E23" i="20"/>
  <c r="I23" i="20"/>
  <c r="M23" i="20"/>
  <c r="Q23" i="20"/>
  <c r="U23" i="20"/>
  <c r="G24" i="20"/>
  <c r="G22" i="20" s="1"/>
  <c r="K24" i="20"/>
  <c r="K22" i="20" s="1"/>
  <c r="O24" i="20"/>
  <c r="O22" i="20" s="1"/>
  <c r="S24" i="20"/>
  <c r="S22" i="20" s="1"/>
  <c r="G26" i="20"/>
  <c r="G25" i="20" s="1"/>
  <c r="K26" i="20"/>
  <c r="K25" i="20" s="1"/>
  <c r="O26" i="20"/>
  <c r="O25" i="20" s="1"/>
  <c r="S26" i="20"/>
  <c r="S25" i="20" s="1"/>
  <c r="G28" i="20"/>
  <c r="G27" i="20" s="1"/>
  <c r="K28" i="20"/>
  <c r="K27" i="20" s="1"/>
  <c r="O28" i="20"/>
  <c r="O27" i="20" s="1"/>
  <c r="S28" i="20"/>
  <c r="S27" i="20" s="1"/>
  <c r="G30" i="20"/>
  <c r="K30" i="20"/>
  <c r="O30" i="20"/>
  <c r="S30" i="20"/>
  <c r="G82" i="20"/>
  <c r="G81" i="20" s="1"/>
  <c r="G52" i="20" s="1"/>
  <c r="K82" i="20"/>
  <c r="K81" i="20" s="1"/>
  <c r="K52" i="20" s="1"/>
  <c r="O82" i="20"/>
  <c r="O81" i="20" s="1"/>
  <c r="O52" i="20" s="1"/>
  <c r="S82" i="20"/>
  <c r="S81" i="20" s="1"/>
  <c r="S52" i="20" s="1"/>
  <c r="F85" i="20"/>
  <c r="L21" i="20"/>
  <c r="L20" i="20" s="1"/>
  <c r="F24" i="20"/>
  <c r="J24" i="20"/>
  <c r="N24" i="20"/>
  <c r="R24" i="20"/>
  <c r="F26" i="20"/>
  <c r="F25" i="20" s="1"/>
  <c r="J26" i="20"/>
  <c r="J25" i="20" s="1"/>
  <c r="N26" i="20"/>
  <c r="N25" i="20" s="1"/>
  <c r="R26" i="20"/>
  <c r="R25" i="20" s="1"/>
  <c r="F28" i="20"/>
  <c r="F27" i="20" s="1"/>
  <c r="J28" i="20"/>
  <c r="J27" i="20" s="1"/>
  <c r="N28" i="20"/>
  <c r="N27" i="20" s="1"/>
  <c r="R28" i="20"/>
  <c r="R27" i="20" s="1"/>
  <c r="F30" i="20"/>
  <c r="J30" i="20"/>
  <c r="N30" i="20"/>
  <c r="R30" i="20"/>
  <c r="G21" i="20"/>
  <c r="G20" i="20" s="1"/>
  <c r="K21" i="20"/>
  <c r="K20" i="20" s="1"/>
  <c r="O21" i="20"/>
  <c r="O20" i="20" s="1"/>
  <c r="S21" i="20"/>
  <c r="S20" i="20" s="1"/>
  <c r="E24" i="20"/>
  <c r="I24" i="20"/>
  <c r="M24" i="20"/>
  <c r="Q24" i="20"/>
  <c r="U24" i="20"/>
  <c r="E26" i="20"/>
  <c r="I26" i="20"/>
  <c r="I25" i="20" s="1"/>
  <c r="M26" i="20"/>
  <c r="M25" i="20" s="1"/>
  <c r="Q26" i="20"/>
  <c r="Q25" i="20" s="1"/>
  <c r="U26" i="20"/>
  <c r="U25" i="20" s="1"/>
  <c r="E28" i="20"/>
  <c r="I28" i="20"/>
  <c r="I27" i="20" s="1"/>
  <c r="M28" i="20"/>
  <c r="M27" i="20" s="1"/>
  <c r="Q28" i="20"/>
  <c r="Q27" i="20" s="1"/>
  <c r="U28" i="20"/>
  <c r="U27" i="20" s="1"/>
  <c r="E30" i="20"/>
  <c r="I30" i="20"/>
  <c r="M30" i="20"/>
  <c r="Q30" i="20"/>
  <c r="U30" i="20"/>
  <c r="W71" i="25"/>
  <c r="J52" i="25"/>
  <c r="J3" i="25" s="1"/>
  <c r="N52" i="25"/>
  <c r="N3" i="25" s="1"/>
  <c r="R52" i="25"/>
  <c r="R3" i="25" s="1"/>
  <c r="V52" i="25"/>
  <c r="T52" i="25"/>
  <c r="T3" i="25" s="1"/>
  <c r="H85" i="25"/>
  <c r="W85" i="25" s="1"/>
  <c r="L85" i="25"/>
  <c r="L52" i="25" s="1"/>
  <c r="L3" i="25" s="1"/>
  <c r="P85" i="25"/>
  <c r="P52" i="25" s="1"/>
  <c r="P3" i="25" s="1"/>
  <c r="W89" i="25"/>
  <c r="F73" i="25"/>
  <c r="F52" i="25" s="1"/>
  <c r="F3" i="25" s="1"/>
  <c r="F81" i="25"/>
  <c r="W81" i="25" s="1"/>
  <c r="E31" i="31"/>
  <c r="V40" i="31"/>
  <c r="V5" i="31"/>
  <c r="I4" i="31"/>
  <c r="M4" i="31"/>
  <c r="R4" i="31"/>
  <c r="R3" i="31" s="1"/>
  <c r="V13" i="31"/>
  <c r="M52" i="31"/>
  <c r="V75" i="31"/>
  <c r="O52" i="31"/>
  <c r="O3" i="31" s="1"/>
  <c r="S52" i="31"/>
  <c r="S3" i="31" s="1"/>
  <c r="H85" i="31"/>
  <c r="V89" i="31"/>
  <c r="V79" i="31"/>
  <c r="H52" i="31"/>
  <c r="U52" i="31"/>
  <c r="U3" i="31" s="1"/>
  <c r="V80" i="31"/>
  <c r="V81" i="31"/>
  <c r="E8" i="31"/>
  <c r="P4" i="31"/>
  <c r="P3" i="31" s="1"/>
  <c r="P52" i="31"/>
  <c r="F10" i="31"/>
  <c r="F8" i="31" s="1"/>
  <c r="G24" i="31"/>
  <c r="E25" i="31"/>
  <c r="G26" i="31"/>
  <c r="G25" i="31" s="1"/>
  <c r="E27" i="31"/>
  <c r="G28" i="31"/>
  <c r="G27" i="31" s="1"/>
  <c r="L47" i="31"/>
  <c r="L31" i="31" s="1"/>
  <c r="E71" i="31"/>
  <c r="E73" i="31"/>
  <c r="V73" i="31" s="1"/>
  <c r="F20" i="31"/>
  <c r="F22" i="31"/>
  <c r="L23" i="31"/>
  <c r="L82" i="31"/>
  <c r="L81" i="31" s="1"/>
  <c r="L52" i="31" s="1"/>
  <c r="G21" i="31"/>
  <c r="G20" i="31" s="1"/>
  <c r="G23" i="31"/>
  <c r="G22" i="31" s="1"/>
  <c r="L30" i="31"/>
  <c r="V30" i="31" s="1"/>
  <c r="G82" i="31"/>
  <c r="G81" i="31" s="1"/>
  <c r="G52" i="31" s="1"/>
  <c r="L24" i="31"/>
  <c r="V24" i="31" s="1"/>
  <c r="L26" i="31"/>
  <c r="L25" i="31" s="1"/>
  <c r="L5" i="21"/>
  <c r="G52" i="21"/>
  <c r="L82" i="21"/>
  <c r="L30" i="21"/>
  <c r="J52" i="21"/>
  <c r="J3" i="21" s="1"/>
  <c r="E31" i="21"/>
  <c r="L46" i="21"/>
  <c r="H80" i="21"/>
  <c r="H79" i="21" s="1"/>
  <c r="L79" i="21" s="1"/>
  <c r="H82" i="21"/>
  <c r="H81" i="21" s="1"/>
  <c r="L81" i="21" s="1"/>
  <c r="L6" i="21"/>
  <c r="L9" i="21"/>
  <c r="H21" i="21"/>
  <c r="H20" i="21" s="1"/>
  <c r="H23" i="21"/>
  <c r="H22" i="21" s="1"/>
  <c r="L22" i="21" s="1"/>
  <c r="H24" i="21"/>
  <c r="L24" i="21" s="1"/>
  <c r="H26" i="21"/>
  <c r="H25" i="21" s="1"/>
  <c r="L25" i="21" s="1"/>
  <c r="H28" i="21"/>
  <c r="H27" i="21" s="1"/>
  <c r="L27" i="21" s="1"/>
  <c r="H31" i="21"/>
  <c r="F52" i="21"/>
  <c r="F3" i="21" s="1"/>
  <c r="H72" i="21"/>
  <c r="H71" i="21" s="1"/>
  <c r="E81" i="26"/>
  <c r="S5" i="26"/>
  <c r="G85" i="26"/>
  <c r="K85" i="26"/>
  <c r="O85" i="26"/>
  <c r="S45" i="26"/>
  <c r="I52" i="26"/>
  <c r="G21" i="26"/>
  <c r="G20" i="26" s="1"/>
  <c r="K21" i="26"/>
  <c r="K20" i="26" s="1"/>
  <c r="O21" i="26"/>
  <c r="O20" i="26" s="1"/>
  <c r="E23" i="26"/>
  <c r="I23" i="26"/>
  <c r="F24" i="26"/>
  <c r="F22" i="26" s="1"/>
  <c r="J24" i="26"/>
  <c r="J22" i="26" s="1"/>
  <c r="L26" i="26"/>
  <c r="L25" i="26" s="1"/>
  <c r="P26" i="26"/>
  <c r="P25" i="26" s="1"/>
  <c r="F28" i="26"/>
  <c r="F27" i="26" s="1"/>
  <c r="J28" i="26"/>
  <c r="J27" i="26" s="1"/>
  <c r="L30" i="26"/>
  <c r="P30" i="26"/>
  <c r="G71" i="26"/>
  <c r="E73" i="26"/>
  <c r="E79" i="26"/>
  <c r="S79" i="26" s="1"/>
  <c r="L82" i="26"/>
  <c r="L81" i="26" s="1"/>
  <c r="L52" i="26" s="1"/>
  <c r="P82" i="26"/>
  <c r="P81" i="26" s="1"/>
  <c r="P52" i="26" s="1"/>
  <c r="E89" i="26"/>
  <c r="S89" i="26" s="1"/>
  <c r="K101" i="26"/>
  <c r="S101" i="26" s="1"/>
  <c r="F21" i="26"/>
  <c r="F20" i="26" s="1"/>
  <c r="J21" i="26"/>
  <c r="J20" i="26" s="1"/>
  <c r="L23" i="26"/>
  <c r="P23" i="26"/>
  <c r="E24" i="26"/>
  <c r="I24" i="26"/>
  <c r="G26" i="26"/>
  <c r="G25" i="26" s="1"/>
  <c r="K26" i="26"/>
  <c r="K25" i="26" s="1"/>
  <c r="O26" i="26"/>
  <c r="O25" i="26" s="1"/>
  <c r="E28" i="26"/>
  <c r="I28" i="26"/>
  <c r="I27" i="26" s="1"/>
  <c r="G30" i="26"/>
  <c r="K30" i="26"/>
  <c r="O30" i="26"/>
  <c r="S76" i="26"/>
  <c r="G82" i="26"/>
  <c r="G81" i="26" s="1"/>
  <c r="K82" i="26"/>
  <c r="K81" i="26" s="1"/>
  <c r="O82" i="26"/>
  <c r="O81" i="26" s="1"/>
  <c r="E21" i="26"/>
  <c r="I21" i="26"/>
  <c r="I20" i="26" s="1"/>
  <c r="G23" i="26"/>
  <c r="K23" i="26"/>
  <c r="O23" i="26"/>
  <c r="L24" i="26"/>
  <c r="P24" i="26"/>
  <c r="F26" i="26"/>
  <c r="F25" i="26" s="1"/>
  <c r="J26" i="26"/>
  <c r="J25" i="26" s="1"/>
  <c r="L28" i="26"/>
  <c r="L27" i="26" s="1"/>
  <c r="P28" i="26"/>
  <c r="P27" i="26" s="1"/>
  <c r="F30" i="26"/>
  <c r="J30" i="26"/>
  <c r="F82" i="26"/>
  <c r="F81" i="26" s="1"/>
  <c r="F52" i="26" s="1"/>
  <c r="J82" i="26"/>
  <c r="J81" i="26" s="1"/>
  <c r="J52" i="26" s="1"/>
  <c r="E15" i="26"/>
  <c r="S16" i="26"/>
  <c r="G24" i="26"/>
  <c r="K24" i="26"/>
  <c r="O24" i="26"/>
  <c r="E26" i="26"/>
  <c r="I26" i="26"/>
  <c r="I25" i="26" s="1"/>
  <c r="E30" i="26"/>
  <c r="I30" i="26"/>
  <c r="X5" i="32"/>
  <c r="AC5" i="32" s="1"/>
  <c r="AD5" i="32" s="1"/>
  <c r="I4" i="32"/>
  <c r="I7" i="32" s="1"/>
  <c r="K5" i="32"/>
  <c r="P5" i="32" s="1"/>
  <c r="V6" i="32"/>
  <c r="V4" i="32"/>
  <c r="V7" i="32" s="1"/>
  <c r="T3" i="32"/>
  <c r="X3" i="32" s="1"/>
  <c r="AC3" i="32" s="1"/>
  <c r="I6" i="32"/>
  <c r="K3" i="32"/>
  <c r="P3" i="32" s="1"/>
  <c r="W6" i="32"/>
  <c r="G4" i="32"/>
  <c r="G7" i="32" s="1"/>
  <c r="T6" i="32"/>
  <c r="J4" i="32"/>
  <c r="J7" i="32" s="1"/>
  <c r="W4" i="32"/>
  <c r="W7" i="32" s="1"/>
  <c r="G6" i="32"/>
  <c r="S6" i="32"/>
  <c r="J6" i="32"/>
  <c r="I52" i="31" l="1"/>
  <c r="V85" i="31"/>
  <c r="F8" i="26"/>
  <c r="S10" i="26"/>
  <c r="T3" i="31"/>
  <c r="I3" i="22"/>
  <c r="L80" i="21"/>
  <c r="G4" i="20"/>
  <c r="G3" i="20" s="1"/>
  <c r="U31" i="20"/>
  <c r="V31" i="20" s="1"/>
  <c r="L3" i="24"/>
  <c r="H4" i="24"/>
  <c r="J11" i="22"/>
  <c r="E10" i="22"/>
  <c r="W79" i="25"/>
  <c r="L11" i="21"/>
  <c r="S8" i="26"/>
  <c r="V25" i="31"/>
  <c r="H3" i="24"/>
  <c r="W10" i="25"/>
  <c r="E8" i="25"/>
  <c r="F13" i="20"/>
  <c r="V11" i="20"/>
  <c r="E10" i="20"/>
  <c r="V53" i="31"/>
  <c r="U3" i="25"/>
  <c r="L22" i="26"/>
  <c r="L4" i="26" s="1"/>
  <c r="H52" i="21"/>
  <c r="G4" i="31"/>
  <c r="G3" i="31" s="1"/>
  <c r="V26" i="31"/>
  <c r="W73" i="25"/>
  <c r="O4" i="20"/>
  <c r="O3" i="20" s="1"/>
  <c r="V14" i="20"/>
  <c r="E13" i="20"/>
  <c r="V13" i="20" s="1"/>
  <c r="K4" i="31"/>
  <c r="K3" i="31" s="1"/>
  <c r="F3" i="22"/>
  <c r="W72" i="25"/>
  <c r="V15" i="20"/>
  <c r="J72" i="22"/>
  <c r="K4" i="21"/>
  <c r="K3" i="21" s="1"/>
  <c r="Q3" i="31"/>
  <c r="H10" i="21"/>
  <c r="H8" i="21" s="1"/>
  <c r="L8" i="21" s="1"/>
  <c r="G13" i="26"/>
  <c r="S12" i="26"/>
  <c r="O52" i="26"/>
  <c r="E85" i="26"/>
  <c r="S30" i="26"/>
  <c r="G22" i="26"/>
  <c r="K52" i="26"/>
  <c r="G52" i="26"/>
  <c r="L23" i="21"/>
  <c r="V27" i="31"/>
  <c r="F4" i="31"/>
  <c r="F3" i="31" s="1"/>
  <c r="V3" i="25"/>
  <c r="K4" i="20"/>
  <c r="U22" i="20"/>
  <c r="U4" i="20" s="1"/>
  <c r="U3" i="20" s="1"/>
  <c r="F52" i="20"/>
  <c r="J31" i="22"/>
  <c r="G4" i="21"/>
  <c r="G3" i="21" s="1"/>
  <c r="L89" i="21"/>
  <c r="E85" i="21"/>
  <c r="L3" i="26"/>
  <c r="M53" i="24"/>
  <c r="E4" i="24"/>
  <c r="M27" i="24"/>
  <c r="E85" i="24"/>
  <c r="J89" i="22"/>
  <c r="E85" i="22"/>
  <c r="J85" i="22" s="1"/>
  <c r="V26" i="20"/>
  <c r="E25" i="20"/>
  <c r="V25" i="20" s="1"/>
  <c r="E22" i="20"/>
  <c r="V23" i="20"/>
  <c r="V89" i="20"/>
  <c r="E85" i="20"/>
  <c r="V85" i="20" s="1"/>
  <c r="E20" i="20"/>
  <c r="V20" i="20" s="1"/>
  <c r="V21" i="20"/>
  <c r="V30" i="20"/>
  <c r="S4" i="20"/>
  <c r="S3" i="20" s="1"/>
  <c r="L4" i="20"/>
  <c r="L3" i="20" s="1"/>
  <c r="M22" i="20"/>
  <c r="V81" i="20"/>
  <c r="V24" i="20"/>
  <c r="Q22" i="20"/>
  <c r="Q4" i="20" s="1"/>
  <c r="Q3" i="20" s="1"/>
  <c r="F22" i="20"/>
  <c r="F4" i="20" s="1"/>
  <c r="F3" i="20" s="1"/>
  <c r="V28" i="20"/>
  <c r="E27" i="20"/>
  <c r="V27" i="20" s="1"/>
  <c r="V71" i="20"/>
  <c r="E52" i="20"/>
  <c r="V52" i="20" s="1"/>
  <c r="J22" i="20"/>
  <c r="J4" i="20" s="1"/>
  <c r="J3" i="20" s="1"/>
  <c r="I22" i="20"/>
  <c r="I4" i="20" s="1"/>
  <c r="I3" i="20" s="1"/>
  <c r="M4" i="20"/>
  <c r="M3" i="20" s="1"/>
  <c r="N22" i="20"/>
  <c r="N4" i="20"/>
  <c r="N3" i="20" s="1"/>
  <c r="V82" i="20"/>
  <c r="K3" i="20"/>
  <c r="R22" i="20"/>
  <c r="R4" i="20" s="1"/>
  <c r="R3" i="20" s="1"/>
  <c r="H52" i="25"/>
  <c r="H3" i="25" s="1"/>
  <c r="V71" i="31"/>
  <c r="E52" i="31"/>
  <c r="V52" i="31" s="1"/>
  <c r="V47" i="31"/>
  <c r="V20" i="31"/>
  <c r="V10" i="31"/>
  <c r="V21" i="31"/>
  <c r="V82" i="31"/>
  <c r="I3" i="31"/>
  <c r="E4" i="31"/>
  <c r="V28" i="31"/>
  <c r="V8" i="31"/>
  <c r="V23" i="31"/>
  <c r="M3" i="31"/>
  <c r="V31" i="31"/>
  <c r="L22" i="31"/>
  <c r="L4" i="31" s="1"/>
  <c r="L3" i="31" s="1"/>
  <c r="L31" i="21"/>
  <c r="L26" i="21"/>
  <c r="L71" i="21"/>
  <c r="L28" i="21"/>
  <c r="L20" i="21"/>
  <c r="L21" i="21"/>
  <c r="L72" i="21"/>
  <c r="S15" i="26"/>
  <c r="E13" i="26"/>
  <c r="S28" i="26"/>
  <c r="E27" i="26"/>
  <c r="S27" i="26" s="1"/>
  <c r="S73" i="26"/>
  <c r="E52" i="26"/>
  <c r="S52" i="26" s="1"/>
  <c r="E25" i="26"/>
  <c r="S25" i="26" s="1"/>
  <c r="S26" i="26"/>
  <c r="E20" i="26"/>
  <c r="S20" i="26" s="1"/>
  <c r="S21" i="26"/>
  <c r="E22" i="26"/>
  <c r="S23" i="26"/>
  <c r="S24" i="26"/>
  <c r="K22" i="26"/>
  <c r="K4" i="26" s="1"/>
  <c r="K3" i="26" s="1"/>
  <c r="J4" i="26"/>
  <c r="J3" i="26" s="1"/>
  <c r="S85" i="26"/>
  <c r="O22" i="26"/>
  <c r="O4" i="26" s="1"/>
  <c r="O3" i="26" s="1"/>
  <c r="P22" i="26"/>
  <c r="P4" i="26" s="1"/>
  <c r="P3" i="26" s="1"/>
  <c r="I22" i="26"/>
  <c r="I4" i="26" s="1"/>
  <c r="I3" i="26" s="1"/>
  <c r="S71" i="26"/>
  <c r="S81" i="26"/>
  <c r="F4" i="26"/>
  <c r="F3" i="26" s="1"/>
  <c r="S82" i="26"/>
  <c r="T4" i="32"/>
  <c r="T7" i="32" s="1"/>
  <c r="AD3" i="32"/>
  <c r="K4" i="32"/>
  <c r="AC6" i="32"/>
  <c r="X6" i="32"/>
  <c r="AC4" i="32"/>
  <c r="X4" i="32"/>
  <c r="L10" i="21" l="1"/>
  <c r="L85" i="21"/>
  <c r="E52" i="21"/>
  <c r="W8" i="25"/>
  <c r="E4" i="25"/>
  <c r="H4" i="21"/>
  <c r="X7" i="32"/>
  <c r="AC7" i="32"/>
  <c r="G4" i="26"/>
  <c r="G3" i="26" s="1"/>
  <c r="V10" i="20"/>
  <c r="E8" i="20"/>
  <c r="V8" i="20" s="1"/>
  <c r="J10" i="22"/>
  <c r="E8" i="22"/>
  <c r="M4" i="24"/>
  <c r="M85" i="24"/>
  <c r="E52" i="24"/>
  <c r="M52" i="24" s="1"/>
  <c r="E52" i="22"/>
  <c r="V22" i="20"/>
  <c r="E4" i="20"/>
  <c r="W52" i="25"/>
  <c r="V22" i="31"/>
  <c r="V4" i="31"/>
  <c r="E3" i="31"/>
  <c r="V3" i="31" s="1"/>
  <c r="S13" i="26"/>
  <c r="E4" i="26"/>
  <c r="S22" i="26"/>
  <c r="K6" i="32"/>
  <c r="K7" i="32" s="1"/>
  <c r="P4" i="32"/>
  <c r="AD4" i="32"/>
  <c r="E3" i="21" l="1"/>
  <c r="L52" i="21"/>
  <c r="H3" i="21"/>
  <c r="L4" i="21"/>
  <c r="J8" i="22"/>
  <c r="E4" i="22"/>
  <c r="J4" i="22" s="1"/>
  <c r="W4" i="25"/>
  <c r="E3" i="25"/>
  <c r="W3" i="25" s="1"/>
  <c r="E3" i="24"/>
  <c r="M3" i="24" s="1"/>
  <c r="J52" i="22"/>
  <c r="V4" i="20"/>
  <c r="E3" i="20"/>
  <c r="V3" i="20" s="1"/>
  <c r="E3" i="26"/>
  <c r="S3" i="26" s="1"/>
  <c r="S4" i="26"/>
  <c r="AD6" i="32"/>
  <c r="AD7" i="32" s="1"/>
  <c r="P6" i="32"/>
  <c r="P7" i="32" s="1"/>
  <c r="E3" i="22" l="1"/>
  <c r="J3" i="22" s="1"/>
  <c r="L3" i="21"/>
  <c r="F111" i="30"/>
  <c r="G111" i="30"/>
  <c r="H111" i="30"/>
  <c r="I111" i="30"/>
  <c r="J111" i="30"/>
  <c r="K111" i="30"/>
  <c r="L111" i="30"/>
  <c r="M111" i="30"/>
  <c r="E111" i="30"/>
  <c r="F110" i="30"/>
  <c r="G110" i="30"/>
  <c r="H110" i="30"/>
  <c r="I110" i="30"/>
  <c r="J110" i="30"/>
  <c r="K110" i="30"/>
  <c r="L110" i="30"/>
  <c r="M110" i="30"/>
  <c r="E110" i="30"/>
  <c r="N109" i="30" l="1"/>
  <c r="N108" i="30"/>
  <c r="N107" i="30"/>
  <c r="N106" i="30"/>
  <c r="N105" i="30"/>
  <c r="N104" i="30"/>
  <c r="N103" i="30"/>
  <c r="N102" i="30"/>
  <c r="N100" i="30"/>
  <c r="N99" i="30"/>
  <c r="N98" i="30"/>
  <c r="N97" i="30"/>
  <c r="N96" i="30"/>
  <c r="N95" i="30"/>
  <c r="N94" i="30"/>
  <c r="N92" i="30"/>
  <c r="N88" i="30"/>
  <c r="N87" i="30"/>
  <c r="N84" i="30"/>
  <c r="N83" i="30"/>
  <c r="N79" i="30"/>
  <c r="N78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3" i="30"/>
  <c r="N51" i="30"/>
  <c r="N50" i="30"/>
  <c r="N49" i="30"/>
  <c r="N48" i="30"/>
  <c r="N46" i="30"/>
  <c r="N44" i="30"/>
  <c r="N43" i="30"/>
  <c r="N41" i="30"/>
  <c r="N39" i="30"/>
  <c r="N38" i="30"/>
  <c r="N37" i="30"/>
  <c r="N36" i="30"/>
  <c r="N35" i="30"/>
  <c r="N34" i="30"/>
  <c r="N33" i="30"/>
  <c r="N32" i="30"/>
  <c r="N29" i="30"/>
  <c r="P29" i="30" s="1"/>
  <c r="N19" i="30"/>
  <c r="P19" i="30" s="1"/>
  <c r="N17" i="30"/>
  <c r="P17" i="30" s="1"/>
  <c r="N15" i="30"/>
  <c r="P15" i="30" s="1"/>
  <c r="N11" i="30"/>
  <c r="P11" i="30" s="1"/>
  <c r="N9" i="30"/>
  <c r="P9" i="30" s="1"/>
  <c r="N7" i="30"/>
  <c r="P7" i="30" s="1"/>
  <c r="N6" i="30"/>
  <c r="P6" i="30" s="1"/>
  <c r="D119" i="17"/>
  <c r="G118" i="17"/>
  <c r="G117" i="17"/>
  <c r="G116" i="17"/>
  <c r="G115" i="17"/>
  <c r="G114" i="17"/>
  <c r="G113" i="17"/>
  <c r="G112" i="17"/>
  <c r="G111" i="17"/>
  <c r="G110" i="17"/>
  <c r="G109" i="17"/>
  <c r="D108" i="17"/>
  <c r="G107" i="17"/>
  <c r="G106" i="17"/>
  <c r="G105" i="17"/>
  <c r="G104" i="17"/>
  <c r="G103" i="17"/>
  <c r="G102" i="17"/>
  <c r="G101" i="17"/>
  <c r="G100" i="17"/>
  <c r="G99" i="17"/>
  <c r="G98" i="17"/>
  <c r="G97" i="17"/>
  <c r="G96" i="17"/>
  <c r="G95" i="17"/>
  <c r="G94" i="17"/>
  <c r="D93" i="17"/>
  <c r="G92" i="17"/>
  <c r="G91" i="17"/>
  <c r="G90" i="17"/>
  <c r="G89" i="17"/>
  <c r="G88" i="17"/>
  <c r="G87" i="17"/>
  <c r="G86" i="17"/>
  <c r="G85" i="17"/>
  <c r="D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84" i="17" s="1"/>
  <c r="D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D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D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D16" i="17"/>
  <c r="G15" i="17"/>
  <c r="G14" i="17"/>
  <c r="G13" i="17"/>
  <c r="G12" i="17"/>
  <c r="G11" i="17"/>
  <c r="G10" i="17"/>
  <c r="G9" i="17"/>
  <c r="D8" i="17"/>
  <c r="G7" i="17"/>
  <c r="G6" i="17"/>
  <c r="G5" i="17"/>
  <c r="G4" i="17"/>
  <c r="G3" i="17"/>
  <c r="G34" i="17" l="1"/>
  <c r="D120" i="17"/>
  <c r="G8" i="17"/>
  <c r="G52" i="17"/>
  <c r="G71" i="17"/>
  <c r="G119" i="17"/>
  <c r="G16" i="17"/>
  <c r="G93" i="17"/>
  <c r="G108" i="17"/>
  <c r="N12" i="30"/>
  <c r="P12" i="30" s="1"/>
  <c r="N31" i="30"/>
  <c r="P31" i="30" s="1"/>
  <c r="N45" i="30"/>
  <c r="N74" i="30"/>
  <c r="N76" i="30"/>
  <c r="N89" i="30"/>
  <c r="N93" i="30"/>
  <c r="N101" i="30"/>
  <c r="N40" i="30"/>
  <c r="N47" i="30"/>
  <c r="N54" i="30"/>
  <c r="N86" i="30"/>
  <c r="N80" i="30"/>
  <c r="N91" i="30"/>
  <c r="N5" i="30"/>
  <c r="P5" i="30" s="1"/>
  <c r="N14" i="30"/>
  <c r="P14" i="30" s="1"/>
  <c r="N18" i="30"/>
  <c r="P18" i="30" s="1"/>
  <c r="N42" i="30"/>
  <c r="N75" i="30"/>
  <c r="N77" i="30"/>
  <c r="N90" i="30"/>
  <c r="N27" i="30"/>
  <c r="P27" i="30" s="1"/>
  <c r="N82" i="30"/>
  <c r="N73" i="30"/>
  <c r="N81" i="30"/>
  <c r="N24" i="30"/>
  <c r="P24" i="30" s="1"/>
  <c r="N25" i="30"/>
  <c r="P25" i="30" s="1"/>
  <c r="N13" i="30"/>
  <c r="P13" i="30" s="1"/>
  <c r="N16" i="30"/>
  <c r="P16" i="30" s="1"/>
  <c r="N30" i="30"/>
  <c r="P30" i="30" s="1"/>
  <c r="N20" i="30"/>
  <c r="P20" i="30" s="1"/>
  <c r="G120" i="17"/>
  <c r="N22" i="30" l="1"/>
  <c r="P22" i="30" s="1"/>
  <c r="N72" i="30"/>
  <c r="N23" i="30"/>
  <c r="P23" i="30" s="1"/>
  <c r="N85" i="30"/>
  <c r="N21" i="30"/>
  <c r="P21" i="30" s="1"/>
  <c r="N28" i="30"/>
  <c r="P28" i="30" s="1"/>
  <c r="N26" i="30"/>
  <c r="P26" i="30" s="1"/>
  <c r="N10" i="30"/>
  <c r="P10" i="30" s="1"/>
  <c r="N71" i="30" l="1"/>
  <c r="N52" i="30"/>
  <c r="P52" i="30" s="1"/>
  <c r="N8" i="30"/>
  <c r="N110" i="30" l="1"/>
  <c r="P8" i="30"/>
  <c r="N3" i="30"/>
  <c r="P3" i="30" s="1"/>
  <c r="N4" i="30"/>
  <c r="N111" i="30" l="1"/>
  <c r="P4" i="30"/>
  <c r="C13" i="3"/>
  <c r="B13" i="2"/>
  <c r="C12" i="2"/>
  <c r="C11" i="2"/>
  <c r="C10" i="2"/>
  <c r="C9" i="2"/>
  <c r="C8" i="2"/>
  <c r="C7" i="2"/>
  <c r="C6" i="2"/>
  <c r="C5" i="2"/>
  <c r="C4" i="2"/>
  <c r="C3" i="2"/>
  <c r="C13" i="2" l="1"/>
</calcChain>
</file>

<file path=xl/comments1.xml><?xml version="1.0" encoding="utf-8"?>
<comments xmlns="http://schemas.openxmlformats.org/spreadsheetml/2006/main">
  <authors>
    <author>User</author>
  </authors>
  <commentList>
    <comment ref="J68" author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1596000*15%</t>
        </r>
      </text>
    </comment>
  </commentList>
</comments>
</file>

<file path=xl/sharedStrings.xml><?xml version="1.0" encoding="utf-8"?>
<sst xmlns="http://schemas.openxmlformats.org/spreadsheetml/2006/main" count="4453" uniqueCount="728">
  <si>
    <t>序号</t>
  </si>
  <si>
    <t>莘庄</t>
  </si>
  <si>
    <t>华漕</t>
  </si>
  <si>
    <t>合计</t>
    <phoneticPr fontId="1" type="noConversion"/>
  </si>
  <si>
    <t>镇属</t>
    <phoneticPr fontId="1" type="noConversion"/>
  </si>
  <si>
    <t>吴泾</t>
  </si>
  <si>
    <t>七宝</t>
  </si>
  <si>
    <t>浦江</t>
  </si>
  <si>
    <t>梅陇</t>
  </si>
  <si>
    <t>马桥</t>
  </si>
  <si>
    <t>颛桥</t>
  </si>
  <si>
    <t>虹桥</t>
  </si>
  <si>
    <t>工业区</t>
  </si>
  <si>
    <t>序号</t>
    <phoneticPr fontId="2" type="noConversion"/>
  </si>
  <si>
    <t>华漕镇社区学校</t>
    <phoneticPr fontId="2" type="noConversion"/>
  </si>
  <si>
    <t>虹桥镇社区学校</t>
    <phoneticPr fontId="2" type="noConversion"/>
  </si>
  <si>
    <t>七宝镇社区学校</t>
    <phoneticPr fontId="2" type="noConversion"/>
  </si>
  <si>
    <t>莘庄镇社区学校</t>
    <phoneticPr fontId="2" type="noConversion"/>
  </si>
  <si>
    <t>梅陇镇社区学校</t>
    <phoneticPr fontId="2" type="noConversion"/>
  </si>
  <si>
    <t>颛桥镇社区学校</t>
    <phoneticPr fontId="2" type="noConversion"/>
  </si>
  <si>
    <t>马桥镇社区学校</t>
    <phoneticPr fontId="2" type="noConversion"/>
  </si>
  <si>
    <t>吴泾镇社区学校</t>
    <phoneticPr fontId="2" type="noConversion"/>
  </si>
  <si>
    <t>浦江镇社区学校</t>
    <phoneticPr fontId="2" type="noConversion"/>
  </si>
  <si>
    <t>莘庄工业区社区学校</t>
    <phoneticPr fontId="2" type="noConversion"/>
  </si>
  <si>
    <t>镇级合计</t>
    <phoneticPr fontId="2" type="noConversion"/>
  </si>
  <si>
    <t>合计</t>
  </si>
  <si>
    <t>佳佳中心幼</t>
  </si>
  <si>
    <t>康城幼儿园</t>
  </si>
  <si>
    <t>闵行实验幼</t>
  </si>
  <si>
    <t>莘庄社校</t>
  </si>
  <si>
    <t>莘庄合计</t>
    <phoneticPr fontId="1" type="noConversion"/>
  </si>
  <si>
    <t>友爱中学</t>
  </si>
  <si>
    <t>景东小学</t>
  </si>
  <si>
    <t>永德实小</t>
  </si>
  <si>
    <t>塘湾中心幼</t>
  </si>
  <si>
    <t>吴泾三幼园</t>
  </si>
  <si>
    <t>永德实验幼</t>
  </si>
  <si>
    <t>吴泾社校</t>
  </si>
  <si>
    <t>航华中学</t>
  </si>
  <si>
    <t>航华二中</t>
  </si>
  <si>
    <t>七宝二中</t>
  </si>
  <si>
    <t>七宝实中</t>
  </si>
  <si>
    <t>七宝三中</t>
  </si>
  <si>
    <t>航华二小</t>
  </si>
  <si>
    <t>明强小学</t>
  </si>
  <si>
    <t>黎明小学</t>
  </si>
  <si>
    <t>七宝实小</t>
  </si>
  <si>
    <t>明强二小</t>
  </si>
  <si>
    <t>航华二幼园</t>
  </si>
  <si>
    <t>七宝中心幼</t>
  </si>
  <si>
    <t>星辰幼儿园</t>
  </si>
  <si>
    <t>春欣幼儿园</t>
  </si>
  <si>
    <t>七宝实验幼</t>
  </si>
  <si>
    <t>七宝社校</t>
  </si>
  <si>
    <t>浦江二中</t>
  </si>
  <si>
    <t>浦江三中</t>
  </si>
  <si>
    <t>浦江二小</t>
  </si>
  <si>
    <t>浦江三小</t>
  </si>
  <si>
    <t>上戏附小</t>
  </si>
  <si>
    <t>浦汇小学</t>
  </si>
  <si>
    <t>汇秀小学</t>
  </si>
  <si>
    <t>浦江二幼园</t>
  </si>
  <si>
    <t>浦江三幼园</t>
  </si>
  <si>
    <t>闸航路幼园</t>
  </si>
  <si>
    <t>浦江宝邸幼</t>
  </si>
  <si>
    <t>浦莲幼儿园</t>
  </si>
  <si>
    <t>浦江瑞和城幼</t>
  </si>
  <si>
    <t>浦航幼儿园</t>
  </si>
  <si>
    <t>浦江社校</t>
  </si>
  <si>
    <t>梅陇中学</t>
  </si>
  <si>
    <t>罗阳中学</t>
  </si>
  <si>
    <t>曹行中学</t>
  </si>
  <si>
    <t>晶城中学</t>
  </si>
  <si>
    <t>梅陇小学</t>
  </si>
  <si>
    <t>罗阳小学</t>
  </si>
  <si>
    <t>蔷薇小学</t>
  </si>
  <si>
    <t>曹行小学</t>
  </si>
  <si>
    <t>梅陇中心幼</t>
  </si>
  <si>
    <t>曹行中心幼</t>
  </si>
  <si>
    <t>春申景城幼</t>
  </si>
  <si>
    <t>罗阳河畔幼</t>
  </si>
  <si>
    <t>晶采坊幼园</t>
  </si>
  <si>
    <t>晶华坊幼园</t>
  </si>
  <si>
    <t>梅陇金都幼</t>
  </si>
  <si>
    <t>梅陇社校</t>
  </si>
  <si>
    <t>马桥万科</t>
  </si>
  <si>
    <t>强恕学校</t>
    <phoneticPr fontId="1" type="noConversion"/>
  </si>
  <si>
    <t>马桥实小</t>
  </si>
  <si>
    <t>文来外小</t>
  </si>
  <si>
    <t>马桥中心幼</t>
  </si>
  <si>
    <t>马桥元祥园</t>
  </si>
  <si>
    <t>马桥实验幼</t>
  </si>
  <si>
    <t>马桥富杰幼</t>
  </si>
  <si>
    <t>马桥启英幼</t>
  </si>
  <si>
    <t>马桥富卓幼</t>
  </si>
  <si>
    <t>马桥社校</t>
  </si>
  <si>
    <t>马桥合计</t>
    <phoneticPr fontId="1" type="noConversion"/>
  </si>
  <si>
    <t>纪王学校</t>
    <phoneticPr fontId="1" type="noConversion"/>
  </si>
  <si>
    <t>华漕纪王幼</t>
  </si>
  <si>
    <t>诸翟中心幼</t>
  </si>
  <si>
    <t>华漕中心幼</t>
  </si>
  <si>
    <t>华漕金色幼</t>
  </si>
  <si>
    <t>华漕社校</t>
  </si>
  <si>
    <t>华漕合计</t>
    <phoneticPr fontId="1" type="noConversion"/>
  </si>
  <si>
    <t>颛桥中学</t>
  </si>
  <si>
    <t>北桥中学</t>
  </si>
  <si>
    <t>田园外中</t>
  </si>
  <si>
    <t>颛桥小学</t>
  </si>
  <si>
    <t>田园外小</t>
  </si>
  <si>
    <t>北桥小学</t>
  </si>
  <si>
    <t>田园二小</t>
  </si>
  <si>
    <t>颛桥幼儿园</t>
  </si>
  <si>
    <t>颛桥一幼园</t>
  </si>
  <si>
    <t>君莲幼儿园</t>
  </si>
  <si>
    <t>上师闵行幼</t>
  </si>
  <si>
    <t>田园都市幼</t>
  </si>
  <si>
    <t>颛桥社校</t>
  </si>
  <si>
    <t>虹桥</t>
    <phoneticPr fontId="1" type="noConversion"/>
  </si>
  <si>
    <t>上虹中学</t>
  </si>
  <si>
    <t>龙柏中学</t>
  </si>
  <si>
    <t>虹桥小学</t>
  </si>
  <si>
    <t>龙柏一小</t>
  </si>
  <si>
    <t>虹桥中心幼</t>
  </si>
  <si>
    <t>虹鹿幼儿园</t>
  </si>
  <si>
    <t>龙柏一幼园</t>
  </si>
  <si>
    <t>龙柏二幼园</t>
  </si>
  <si>
    <t>虹桥社校</t>
  </si>
  <si>
    <t>虹桥合计</t>
    <phoneticPr fontId="1" type="noConversion"/>
  </si>
  <si>
    <t>工资福利支出</t>
  </si>
  <si>
    <t>莘庄</t>
    <phoneticPr fontId="1" type="noConversion"/>
  </si>
  <si>
    <t>七宝</t>
    <phoneticPr fontId="1" type="noConversion"/>
  </si>
  <si>
    <t>浦江</t>
    <phoneticPr fontId="1" type="noConversion"/>
  </si>
  <si>
    <t>马桥</t>
    <phoneticPr fontId="1" type="noConversion"/>
  </si>
  <si>
    <t>梅陇</t>
    <phoneticPr fontId="1" type="noConversion"/>
  </si>
  <si>
    <t>社区教育</t>
    <phoneticPr fontId="1" type="noConversion"/>
  </si>
  <si>
    <t>人数</t>
    <phoneticPr fontId="1" type="noConversion"/>
  </si>
  <si>
    <t>金额（3元/人）</t>
    <phoneticPr fontId="1" type="noConversion"/>
  </si>
  <si>
    <t>“1+14+14”社区教育志愿者联盟</t>
    <phoneticPr fontId="2" type="noConversion"/>
  </si>
  <si>
    <t>学校</t>
    <phoneticPr fontId="2" type="noConversion"/>
  </si>
  <si>
    <t>金额</t>
    <phoneticPr fontId="2" type="noConversion"/>
  </si>
  <si>
    <t>属性</t>
    <phoneticPr fontId="1" type="noConversion"/>
  </si>
  <si>
    <t>标准</t>
    <phoneticPr fontId="1" type="noConversion"/>
  </si>
  <si>
    <t>预计增量</t>
    <phoneticPr fontId="1" type="noConversion"/>
  </si>
  <si>
    <t>2021年镇管学校绩效估算</t>
    <phoneticPr fontId="1" type="noConversion"/>
  </si>
  <si>
    <t>学校</t>
    <phoneticPr fontId="1" type="noConversion"/>
  </si>
  <si>
    <t>预计总量</t>
    <phoneticPr fontId="1" type="noConversion"/>
  </si>
  <si>
    <t>九年一贯</t>
    <phoneticPr fontId="1" type="noConversion"/>
  </si>
  <si>
    <t xml:space="preserve">明星学校
</t>
    <phoneticPr fontId="1" type="noConversion"/>
  </si>
  <si>
    <t>幼儿园</t>
    <phoneticPr fontId="1" type="noConversion"/>
  </si>
  <si>
    <t>其他</t>
    <phoneticPr fontId="1" type="noConversion"/>
  </si>
  <si>
    <t>吴泾</t>
    <phoneticPr fontId="1" type="noConversion"/>
  </si>
  <si>
    <t>初中</t>
    <phoneticPr fontId="1" type="noConversion"/>
  </si>
  <si>
    <t>小学</t>
    <phoneticPr fontId="1" type="noConversion"/>
  </si>
  <si>
    <t>吴泾合计</t>
    <phoneticPr fontId="1" type="noConversion"/>
  </si>
  <si>
    <t>七宝皇都</t>
    <phoneticPr fontId="1" type="noConversion"/>
  </si>
  <si>
    <t>七宝合计</t>
    <phoneticPr fontId="1" type="noConversion"/>
  </si>
  <si>
    <t>浦航实验</t>
    <phoneticPr fontId="1" type="noConversion"/>
  </si>
  <si>
    <t>世外浦江</t>
    <phoneticPr fontId="1" type="noConversion"/>
  </si>
  <si>
    <t>浦江合计</t>
    <phoneticPr fontId="1" type="noConversion"/>
  </si>
  <si>
    <t>复旦实验</t>
    <phoneticPr fontId="1" type="noConversion"/>
  </si>
  <si>
    <t>梅陇梅锦</t>
    <phoneticPr fontId="1" type="noConversion"/>
  </si>
  <si>
    <t>梅陇合计</t>
    <phoneticPr fontId="1" type="noConversion"/>
  </si>
  <si>
    <t>马桥富国幼</t>
    <phoneticPr fontId="1" type="noConversion"/>
  </si>
  <si>
    <t>华漕</t>
    <phoneticPr fontId="1" type="noConversion"/>
  </si>
  <si>
    <t>诸翟学校</t>
    <phoneticPr fontId="1" type="noConversion"/>
  </si>
  <si>
    <t>华漕学校</t>
    <phoneticPr fontId="1" type="noConversion"/>
  </si>
  <si>
    <t>颛桥</t>
    <phoneticPr fontId="1" type="noConversion"/>
  </si>
  <si>
    <t>君莲学校</t>
    <phoneticPr fontId="1" type="noConversion"/>
  </si>
  <si>
    <t>颛桥合计</t>
    <phoneticPr fontId="1" type="noConversion"/>
  </si>
  <si>
    <t>金汇实验</t>
    <phoneticPr fontId="1" type="noConversion"/>
  </si>
  <si>
    <t>闵行区曹行中心幼儿园</t>
  </si>
  <si>
    <t>闵行区梅陇镇中心幼儿园</t>
  </si>
  <si>
    <t>闵行区罗阳小学</t>
  </si>
  <si>
    <t>闵行区梅陇中心小学</t>
  </si>
  <si>
    <t>上海市罗阳中学</t>
  </si>
  <si>
    <t>闵行区塘湾中心幼儿园</t>
  </si>
  <si>
    <t>实验幼儿园</t>
  </si>
  <si>
    <t>2021年基本支出预算表</t>
    <phoneticPr fontId="15" type="noConversion"/>
  </si>
  <si>
    <t>项目名称</t>
  </si>
  <si>
    <t>功能分类</t>
  </si>
  <si>
    <t>口径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</si>
  <si>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</si>
  <si>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</si>
  <si>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</si>
  <si>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</si>
  <si>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</si>
  <si>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</si>
  <si>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</si>
  <si>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</si>
  <si>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</si>
  <si>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</si>
  <si>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</si>
  <si>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</si>
  <si>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</si>
  <si>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</si>
  <si>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</si>
  <si>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</si>
  <si>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</si>
  <si>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</si>
  <si>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</si>
  <si>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(1)粮油补贴</t>
  </si>
  <si>
    <t>10</t>
  </si>
  <si>
    <t>　　　　　　(2)上下班交通费补贴</t>
  </si>
  <si>
    <t>11</t>
  </si>
  <si>
    <t>　　其他社会保障缴费</t>
  </si>
  <si>
    <t>注：社保缴费基数应该相同</t>
  </si>
  <si>
    <t>12</t>
  </si>
  <si>
    <t>　　　　1、残疾人就业保障金1.5%</t>
    <phoneticPr fontId="15" type="noConversion"/>
  </si>
  <si>
    <t>公式计算（请检查）</t>
  </si>
  <si>
    <t>13</t>
  </si>
  <si>
    <t>　　　　2、工伤保险费0.5%</t>
    <phoneticPr fontId="15" type="noConversion"/>
  </si>
  <si>
    <t>14</t>
  </si>
  <si>
    <t>　　　　3、失业保险0.5%</t>
    <phoneticPr fontId="15" type="noConversion"/>
  </si>
  <si>
    <t>15</t>
  </si>
  <si>
    <t>　　绩效工资</t>
  </si>
  <si>
    <t>16</t>
  </si>
  <si>
    <t>　　　　1、绩效工资</t>
  </si>
  <si>
    <t>根据人保科数字编制（待下发）</t>
  </si>
  <si>
    <t>17</t>
  </si>
  <si>
    <t>　　　　2、校长职级制</t>
  </si>
  <si>
    <t>根据校长职级制按实编制</t>
  </si>
  <si>
    <t>18</t>
  </si>
  <si>
    <t xml:space="preserve">   城镇职工基本医疗保险缴费</t>
  </si>
  <si>
    <t>19</t>
  </si>
  <si>
    <t xml:space="preserve">        1、医疗保险费10%</t>
    <phoneticPr fontId="15" type="noConversion"/>
  </si>
  <si>
    <t>事业单位医疗</t>
  </si>
  <si>
    <t>20</t>
  </si>
  <si>
    <t xml:space="preserve">   公务员医疗补助缴费</t>
  </si>
  <si>
    <t>21</t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</si>
  <si>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</si>
  <si>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t>公务员医疗补助</t>
  </si>
  <si>
    <t>22</t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</si>
  <si>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</si>
  <si>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23</t>
  </si>
  <si>
    <t>　　事业单位基本养老保险缴费</t>
  </si>
  <si>
    <t>24</t>
  </si>
  <si>
    <t>　　　　1、基本养老保险16%</t>
    <phoneticPr fontId="15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</si>
  <si>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</si>
  <si>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</si>
  <si>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</si>
  <si>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</si>
  <si>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</si>
  <si>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</si>
  <si>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</si>
  <si>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t>伙食补助费</t>
  </si>
  <si>
    <t>教职工人数*9600元（公式计算）</t>
  </si>
  <si>
    <t>28</t>
  </si>
  <si>
    <t>公积金</t>
  </si>
  <si>
    <t>29</t>
  </si>
  <si>
    <t>对个人和家庭补助</t>
  </si>
  <si>
    <t>30</t>
  </si>
  <si>
    <t>　　离休费</t>
  </si>
  <si>
    <t>31</t>
  </si>
  <si>
    <t>　　　　1、交通费</t>
  </si>
  <si>
    <t>离退休</t>
  </si>
  <si>
    <t>根据离休人员情况按实编制</t>
  </si>
  <si>
    <t>32</t>
  </si>
  <si>
    <t>　　　　2、护理费</t>
  </si>
  <si>
    <t>33</t>
  </si>
  <si>
    <t>　　　　3、体检费(仅老干部局填写)</t>
  </si>
  <si>
    <t>不填</t>
  </si>
  <si>
    <t>34</t>
  </si>
  <si>
    <t>　　　　4、电话费</t>
  </si>
  <si>
    <t>35</t>
  </si>
  <si>
    <t>　　　　5、特殊生活补助</t>
  </si>
  <si>
    <t>36</t>
  </si>
  <si>
    <t>　　　　6、离休干部补贴费</t>
  </si>
  <si>
    <t>37</t>
  </si>
  <si>
    <t>　　　　7、护工费</t>
  </si>
  <si>
    <t>38</t>
  </si>
  <si>
    <t>　　抚恤金</t>
  </si>
  <si>
    <t>39</t>
  </si>
  <si>
    <t>　　　　1、抚恤金</t>
  </si>
  <si>
    <t>年初预算为0</t>
  </si>
  <si>
    <t>40</t>
  </si>
  <si>
    <t>　　生活补助</t>
  </si>
  <si>
    <t>41</t>
  </si>
  <si>
    <t>　　　　1、长期赡养补助</t>
  </si>
  <si>
    <t>42</t>
  </si>
  <si>
    <t>　　　　2、退职补助</t>
  </si>
  <si>
    <t>43</t>
  </si>
  <si>
    <t>　　奖励金</t>
  </si>
  <si>
    <t>44</t>
  </si>
  <si>
    <t>　　　　1、独生子女奖励费▲</t>
  </si>
  <si>
    <t>45</t>
  </si>
  <si>
    <t>　　其他支出对个人和家庭补助</t>
  </si>
  <si>
    <t>46</t>
  </si>
  <si>
    <t>　　　　1、子女幼托费</t>
  </si>
  <si>
    <t>按实预测</t>
  </si>
  <si>
    <t>47</t>
  </si>
  <si>
    <t>　　　　2、补贴性人员经费</t>
  </si>
  <si>
    <t>没有，填0</t>
  </si>
  <si>
    <t>48</t>
  </si>
  <si>
    <t>　　　　3、带薪休假费</t>
  </si>
  <si>
    <t>49</t>
  </si>
  <si>
    <t>　　　　4、其他</t>
  </si>
  <si>
    <t>除罗阳小学3人及七宝二中1人的退休共享费外，其他学校填0</t>
  </si>
  <si>
    <t>50</t>
  </si>
  <si>
    <t>商品和服务支出和其他资本性支出</t>
  </si>
  <si>
    <t>51</t>
  </si>
  <si>
    <t>　　(一)公用定额</t>
  </si>
  <si>
    <t>学生人数*定额</t>
  </si>
  <si>
    <t>52</t>
  </si>
  <si>
    <t>　　　　1、办公费</t>
  </si>
  <si>
    <t>53</t>
  </si>
  <si>
    <t xml:space="preserve">        2、印刷费</t>
  </si>
  <si>
    <t>54</t>
  </si>
  <si>
    <t xml:space="preserve">        3、咨询费</t>
  </si>
  <si>
    <t>55</t>
  </si>
  <si>
    <t xml:space="preserve">        4、水费</t>
  </si>
  <si>
    <t>56</t>
  </si>
  <si>
    <t xml:space="preserve">       5、电费</t>
  </si>
  <si>
    <t>57</t>
  </si>
  <si>
    <t xml:space="preserve">       6、邮电费</t>
  </si>
  <si>
    <t>58</t>
  </si>
  <si>
    <t xml:space="preserve">       7、差旅费  </t>
  </si>
  <si>
    <t>59</t>
  </si>
  <si>
    <t xml:space="preserve">       8、维修（护）费</t>
  </si>
  <si>
    <t>60</t>
  </si>
  <si>
    <t xml:space="preserve">       9、会议费</t>
  </si>
  <si>
    <t>61</t>
  </si>
  <si>
    <t xml:space="preserve">       10、培训费</t>
    <phoneticPr fontId="15" type="noConversion"/>
  </si>
  <si>
    <t>主款项</t>
    <phoneticPr fontId="15" type="noConversion"/>
  </si>
  <si>
    <t>生均定额5%</t>
    <phoneticPr fontId="15" type="noConversion"/>
  </si>
  <si>
    <t>62</t>
  </si>
  <si>
    <t xml:space="preserve">       11、公务接待费★</t>
  </si>
  <si>
    <t>63</t>
  </si>
  <si>
    <t xml:space="preserve">       12、专用材料费</t>
  </si>
  <si>
    <t>64</t>
  </si>
  <si>
    <t xml:space="preserve">       13、劳务费</t>
  </si>
  <si>
    <t>65</t>
  </si>
  <si>
    <t xml:space="preserve">       14、委托业务费</t>
  </si>
  <si>
    <t>66</t>
  </si>
  <si>
    <t xml:space="preserve">       15、其他商品和服务支出</t>
  </si>
  <si>
    <t>67</t>
  </si>
  <si>
    <t xml:space="preserve">       16、办公设备配置</t>
  </si>
  <si>
    <t>68</t>
  </si>
  <si>
    <t xml:space="preserve">       17、专用设备</t>
  </si>
  <si>
    <t>69</t>
  </si>
  <si>
    <t>　　(二)培训费</t>
  </si>
  <si>
    <t>70</t>
  </si>
  <si>
    <t>　　　　1、进修、培训 400元/年教师</t>
  </si>
  <si>
    <t>教职工人数*400元（公式计算）</t>
  </si>
  <si>
    <t>71</t>
  </si>
  <si>
    <t>　　(三)维修(护)费</t>
  </si>
  <si>
    <t>72</t>
  </si>
  <si>
    <t>　　　　1、房屋维修费 15元/年平方米</t>
  </si>
  <si>
    <t>房屋面积*15元（公式计算）</t>
  </si>
  <si>
    <t>73</t>
  </si>
  <si>
    <t>　　(四)物业管理费</t>
  </si>
  <si>
    <t>74</t>
  </si>
  <si>
    <t>　　　　1、绿化维护费 8元/年平方米</t>
  </si>
  <si>
    <t>绿化面积*8元（公式计算）</t>
  </si>
  <si>
    <t>75</t>
  </si>
  <si>
    <t>　　(五)租赁费</t>
  </si>
  <si>
    <t>76</t>
  </si>
  <si>
    <t>　　　　1、租赁房租费</t>
  </si>
  <si>
    <t>77</t>
  </si>
  <si>
    <t>　　(六)福利费</t>
  </si>
  <si>
    <t>78</t>
  </si>
  <si>
    <t>　　　　1、福利费</t>
  </si>
  <si>
    <t>教职工人数*4320元（公式计算）</t>
  </si>
  <si>
    <t>79</t>
  </si>
  <si>
    <t>　　(七)工会经费</t>
  </si>
  <si>
    <t>80</t>
  </si>
  <si>
    <t>　　　　1、工会经费2%</t>
  </si>
  <si>
    <t>81</t>
  </si>
  <si>
    <t>　　(八)公务用车运行维护费★</t>
  </si>
  <si>
    <t>82</t>
  </si>
  <si>
    <t>　　　　1、教育系统，校/辆</t>
  </si>
  <si>
    <t>机关局有编制的车辆数*32000元/年（分园及分校预算在其他交通费中编制）</t>
  </si>
  <si>
    <t>83</t>
  </si>
  <si>
    <t>　　(九)其他商品和服务支出</t>
  </si>
  <si>
    <t>84</t>
  </si>
  <si>
    <t>　　　　1、离休公用支出</t>
  </si>
  <si>
    <t>85</t>
  </si>
  <si>
    <t>　　　　　　(1)十四级以上(含参局级、享受局级、正局级、副局级)</t>
  </si>
  <si>
    <t>86</t>
  </si>
  <si>
    <t>　　　　　　(2)十四级以下</t>
  </si>
  <si>
    <t>人数*4320元/年</t>
  </si>
  <si>
    <t>87</t>
  </si>
  <si>
    <t>　　　　2、退休公用支出</t>
  </si>
  <si>
    <t>88</t>
  </si>
  <si>
    <t>　　　　　　(1)活动费(活动费+活动费(托管))</t>
  </si>
  <si>
    <t>退休人数*400元/年（公式计算）</t>
  </si>
  <si>
    <t>89</t>
  </si>
  <si>
    <t>　　　　　　(2)福利费(福利费+福利费(托管)</t>
  </si>
  <si>
    <t>退休人数*4320元/年（公式计算）</t>
  </si>
  <si>
    <t>90</t>
  </si>
  <si>
    <t>　　　　3、其他</t>
  </si>
  <si>
    <t>91</t>
  </si>
  <si>
    <t>　　(十)其他交通费用</t>
  </si>
  <si>
    <t>92</t>
  </si>
  <si>
    <t>　　　　2、教育系统</t>
  </si>
  <si>
    <t xml:space="preserve">
无车辆按32000元编制预算
机关局有编制的车辆，每分校增加10000元，每个分园增加5000元编制预算</t>
    <phoneticPr fontId="15" type="noConversion"/>
  </si>
  <si>
    <t>93</t>
  </si>
  <si>
    <t>学校基本情况：</t>
  </si>
  <si>
    <t>94</t>
  </si>
  <si>
    <t>1、教职工(人数)</t>
  </si>
  <si>
    <t>填写2020年9月在编教职工人数</t>
    <phoneticPr fontId="15" type="noConversion"/>
  </si>
  <si>
    <t>95</t>
  </si>
  <si>
    <t xml:space="preserve">       初中</t>
  </si>
  <si>
    <t>96</t>
  </si>
  <si>
    <t xml:space="preserve">       小学</t>
  </si>
  <si>
    <t>97</t>
  </si>
  <si>
    <t xml:space="preserve">       幼儿园</t>
  </si>
  <si>
    <t>98</t>
  </si>
  <si>
    <t xml:space="preserve">       其他</t>
  </si>
  <si>
    <t>99</t>
  </si>
  <si>
    <t>2、学生(人数)</t>
  </si>
  <si>
    <t>填写2020年秋季学期学生人数，以招办人数为准（待下发）</t>
    <phoneticPr fontId="15" type="noConversion"/>
  </si>
  <si>
    <t>100</t>
  </si>
  <si>
    <t>101</t>
  </si>
  <si>
    <t>102</t>
  </si>
  <si>
    <t>103</t>
  </si>
  <si>
    <t>104</t>
  </si>
  <si>
    <t>3、事业离休人员人数</t>
  </si>
  <si>
    <t>105</t>
  </si>
  <si>
    <t>4、事业退休人员人数</t>
  </si>
  <si>
    <t>106</t>
  </si>
  <si>
    <t>5、教育单位房屋（面积）</t>
  </si>
  <si>
    <t>107</t>
  </si>
  <si>
    <t>6、教育单位绿化（面积）</t>
  </si>
  <si>
    <t>实验中学</t>
  </si>
  <si>
    <t>实验小学</t>
  </si>
  <si>
    <t>中心幼儿园</t>
  </si>
  <si>
    <t>航华二幼</t>
  </si>
  <si>
    <t>社区学校</t>
  </si>
  <si>
    <t>皇都幼</t>
    <phoneticPr fontId="15" type="noConversion"/>
  </si>
  <si>
    <t>上海市闵行区教育学院附属友爱实验中学</t>
  </si>
  <si>
    <t>上海市闵行区景东小学</t>
  </si>
  <si>
    <t>华东师范大学闵行永德实验小学</t>
  </si>
  <si>
    <t>上海市闵行区吴泾第三幼儿园</t>
  </si>
  <si>
    <t>华东师范大学闵行永德实验幼儿园</t>
  </si>
  <si>
    <t>上海市闵行区吴泾镇社区学校</t>
  </si>
  <si>
    <t>2021年基本支出预算表</t>
  </si>
  <si>
    <t>佳佳幼儿园</t>
  </si>
  <si>
    <t>明星学校</t>
  </si>
  <si>
    <t>　　　　1、残疾人就业保障金1.5%</t>
  </si>
  <si>
    <t>　　　　2、工伤保险费0.5%</t>
  </si>
  <si>
    <t>　　　　3、失业保险0.5%</t>
  </si>
  <si>
    <t xml:space="preserve">        1、医疗保险费10%</t>
  </si>
  <si>
    <t>　　　　1、基本养老保险16%</t>
  </si>
  <si>
    <t xml:space="preserve">       10、培训费</t>
  </si>
  <si>
    <t>生均定额5%</t>
  </si>
  <si>
    <t>填写2020年9月在编教职工人数</t>
  </si>
  <si>
    <t>填写2020年秋季学期学生人数，以招办人数为准（待下发）</t>
  </si>
  <si>
    <t>金汇实验</t>
  </si>
  <si>
    <t>龙柏一幼</t>
  </si>
  <si>
    <t>龙柏二幼</t>
  </si>
  <si>
    <t>上海市闵行区梅陇中学</t>
  </si>
  <si>
    <t>上海市闵行区曹行中学</t>
  </si>
  <si>
    <t>上海中医药大学附属闵行晶城中学</t>
    <phoneticPr fontId="15" type="noConversion"/>
  </si>
  <si>
    <t>复旦大学附属闵行实验学校</t>
    <phoneticPr fontId="15" type="noConversion"/>
  </si>
  <si>
    <t>上海市闵行区曹行小学</t>
  </si>
  <si>
    <t>上海中医药大学附属闵行蔷薇小学</t>
    <phoneticPr fontId="15" type="noConversion"/>
  </si>
  <si>
    <t>上海市闵行区春申景城幼儿园</t>
  </si>
  <si>
    <t>上海市闵行区晶采坊幼儿园</t>
  </si>
  <si>
    <t>上海市闵行区罗阳河畔幼儿园</t>
  </si>
  <si>
    <t>上海市闵行区晶华坊幼儿园</t>
  </si>
  <si>
    <t>上海市闵行区梅陇金都幼儿园</t>
    <phoneticPr fontId="15" type="noConversion"/>
  </si>
  <si>
    <t>上海市闵行区梅陇梅锦幼儿园</t>
    <phoneticPr fontId="15" type="noConversion"/>
  </si>
  <si>
    <t>上海市闵行区梅陇镇社区学校</t>
  </si>
  <si>
    <t>田园二外小</t>
  </si>
  <si>
    <t>颛桥一幼</t>
  </si>
  <si>
    <t>颛桥镇幼</t>
  </si>
  <si>
    <t>上师大幼</t>
  </si>
  <si>
    <t>君莲学校</t>
  </si>
  <si>
    <t>田园中学</t>
    <phoneticPr fontId="15" type="noConversion"/>
  </si>
  <si>
    <t>田园幼儿园</t>
    <phoneticPr fontId="15" type="noConversion"/>
  </si>
  <si>
    <t xml:space="preserve">          (1)其他保险2%(统筹)药费</t>
    <phoneticPr fontId="15" type="noConversion"/>
  </si>
  <si>
    <t xml:space="preserve">          (2)其他保险2%(单位)保险</t>
    <phoneticPr fontId="15" type="noConversion"/>
  </si>
  <si>
    <t>莘庄</t>
    <phoneticPr fontId="15" type="noConversion"/>
  </si>
  <si>
    <t>吴泾</t>
    <phoneticPr fontId="15" type="noConversion"/>
  </si>
  <si>
    <t>七宝</t>
    <phoneticPr fontId="15" type="noConversion"/>
  </si>
  <si>
    <t>浦江</t>
    <phoneticPr fontId="15" type="noConversion"/>
  </si>
  <si>
    <t>梅陇</t>
    <phoneticPr fontId="15" type="noConversion"/>
  </si>
  <si>
    <t>马桥</t>
    <phoneticPr fontId="15" type="noConversion"/>
  </si>
  <si>
    <t>华漕</t>
    <phoneticPr fontId="15" type="noConversion"/>
  </si>
  <si>
    <t>颛桥</t>
    <phoneticPr fontId="15" type="noConversion"/>
  </si>
  <si>
    <t>虹桥</t>
    <phoneticPr fontId="15" type="noConversion"/>
  </si>
  <si>
    <t>值班单价</t>
    <phoneticPr fontId="1" type="noConversion"/>
  </si>
  <si>
    <t>值班金额</t>
    <phoneticPr fontId="1" type="noConversion"/>
  </si>
  <si>
    <t>叠加门数</t>
    <phoneticPr fontId="1" type="noConversion"/>
  </si>
  <si>
    <t>叠加金额</t>
    <phoneticPr fontId="1" type="noConversion"/>
  </si>
  <si>
    <t>浦江二中</t>
    <phoneticPr fontId="15" type="noConversion"/>
  </si>
  <si>
    <t>浦江三中</t>
    <phoneticPr fontId="15" type="noConversion"/>
  </si>
  <si>
    <t>浦航实验学校</t>
  </si>
  <si>
    <t>世外浦江</t>
    <phoneticPr fontId="15" type="noConversion"/>
  </si>
  <si>
    <t>二小</t>
  </si>
  <si>
    <t>上戏附校</t>
  </si>
  <si>
    <t>浦汇小学</t>
    <phoneticPr fontId="15" type="noConversion"/>
  </si>
  <si>
    <t>浦江二幼</t>
  </si>
  <si>
    <t>瑞和城幼儿园</t>
  </si>
  <si>
    <t>2021年镇级单位保安经费预算</t>
    <phoneticPr fontId="1" type="noConversion"/>
  </si>
  <si>
    <t>单位</t>
    <phoneticPr fontId="1" type="noConversion"/>
  </si>
  <si>
    <r>
      <rPr>
        <sz val="11"/>
        <color theme="1"/>
        <rFont val="宋体"/>
        <family val="2"/>
        <charset val="134"/>
      </rPr>
      <t>所属街镇</t>
    </r>
    <phoneticPr fontId="1" type="noConversion"/>
  </si>
  <si>
    <r>
      <rPr>
        <sz val="11"/>
        <color theme="1"/>
        <rFont val="宋体"/>
        <family val="3"/>
        <charset val="134"/>
        <scheme val="minor"/>
      </rPr>
      <t>校区</t>
    </r>
    <r>
      <rPr>
        <sz val="11"/>
        <color theme="1"/>
        <rFont val="宋体"/>
        <family val="2"/>
        <charset val="134"/>
        <scheme val="minor"/>
      </rPr>
      <t xml:space="preserve">               </t>
    </r>
    <r>
      <rPr>
        <sz val="11"/>
        <color theme="1"/>
        <rFont val="宋体"/>
        <family val="3"/>
        <charset val="134"/>
        <scheme val="minor"/>
      </rPr>
      <t>门数</t>
    </r>
    <phoneticPr fontId="2" type="noConversion"/>
  </si>
  <si>
    <r>
      <rPr>
        <sz val="11"/>
        <rFont val="宋体"/>
        <family val="3"/>
        <charset val="134"/>
      </rPr>
      <t>在岗人数</t>
    </r>
    <phoneticPr fontId="2" type="noConversion"/>
  </si>
  <si>
    <t>叠加门次（45天）</t>
  </si>
  <si>
    <t>小计</t>
    <phoneticPr fontId="1" type="noConversion"/>
  </si>
  <si>
    <t>叠加门数
（寒托班）</t>
    <phoneticPr fontId="1" type="noConversion"/>
  </si>
  <si>
    <r>
      <rPr>
        <sz val="11"/>
        <rFont val="微软雅黑"/>
        <family val="2"/>
        <charset val="134"/>
      </rPr>
      <t>叠加天数</t>
    </r>
    <phoneticPr fontId="2" type="noConversion"/>
  </si>
  <si>
    <r>
      <rPr>
        <sz val="11"/>
        <rFont val="微软雅黑"/>
        <family val="2"/>
        <charset val="134"/>
      </rPr>
      <t>叠加时间（小时）</t>
    </r>
    <phoneticPr fontId="2" type="noConversion"/>
  </si>
  <si>
    <r>
      <rPr>
        <sz val="11"/>
        <rFont val="微软雅黑"/>
        <family val="2"/>
        <charset val="134"/>
      </rPr>
      <t>叠加金额</t>
    </r>
    <phoneticPr fontId="1" type="noConversion"/>
  </si>
  <si>
    <t>1-3月合计</t>
    <phoneticPr fontId="1" type="noConversion"/>
  </si>
  <si>
    <r>
      <rPr>
        <sz val="11"/>
        <rFont val="宋体"/>
        <family val="3"/>
        <charset val="134"/>
      </rPr>
      <t>校区</t>
    </r>
    <r>
      <rPr>
        <sz val="11"/>
        <rFont val="Arial"/>
        <family val="2"/>
      </rPr>
      <t xml:space="preserve">               </t>
    </r>
    <r>
      <rPr>
        <sz val="11"/>
        <rFont val="宋体"/>
        <family val="3"/>
        <charset val="134"/>
      </rPr>
      <t>门数</t>
    </r>
    <phoneticPr fontId="2" type="noConversion"/>
  </si>
  <si>
    <t>叠加门次（165天）</t>
  </si>
  <si>
    <t>叠加门数
（暑期叠加）</t>
    <phoneticPr fontId="1" type="noConversion"/>
  </si>
  <si>
    <t>叠加天数（45天）</t>
    <phoneticPr fontId="1" type="noConversion"/>
  </si>
  <si>
    <t>叠加时间（小时）</t>
    <phoneticPr fontId="1" type="noConversion"/>
  </si>
  <si>
    <t>4-12月合计</t>
    <phoneticPr fontId="1" type="noConversion"/>
  </si>
  <si>
    <t>总计</t>
    <phoneticPr fontId="1" type="noConversion"/>
  </si>
  <si>
    <r>
      <rPr>
        <sz val="9"/>
        <rFont val="宋体"/>
        <family val="3"/>
        <charset val="134"/>
      </rPr>
      <t>浦江社校</t>
    </r>
  </si>
  <si>
    <t>公办成人</t>
    <phoneticPr fontId="1" type="noConversion"/>
  </si>
  <si>
    <t>浦江合计</t>
    <phoneticPr fontId="1" type="noConversion"/>
  </si>
  <si>
    <t>吴泾合计</t>
    <phoneticPr fontId="1" type="noConversion"/>
  </si>
  <si>
    <t>吴泾社校</t>
    <phoneticPr fontId="1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</si>
  <si>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</si>
  <si>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</si>
  <si>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</si>
  <si>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</si>
  <si>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</si>
  <si>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</si>
  <si>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>汇秀小学</t>
    <phoneticPr fontId="15" type="noConversion"/>
  </si>
  <si>
    <t>浦江三幼</t>
    <phoneticPr fontId="15" type="noConversion"/>
  </si>
  <si>
    <t>宝邸幼儿园</t>
    <phoneticPr fontId="15" type="noConversion"/>
  </si>
  <si>
    <t>闸航幼</t>
    <phoneticPr fontId="15" type="noConversion"/>
  </si>
  <si>
    <t>浦江镇社区学校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</si>
  <si>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</si>
  <si>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</si>
  <si>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</si>
  <si>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</si>
  <si>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华漕幼儿园</t>
    <phoneticPr fontId="15" type="noConversion"/>
  </si>
  <si>
    <t>华漕学校</t>
    <phoneticPr fontId="15" type="noConversion"/>
  </si>
  <si>
    <t>诸翟幼儿园</t>
    <phoneticPr fontId="15" type="noConversion"/>
  </si>
  <si>
    <t>纪王学校</t>
    <phoneticPr fontId="15" type="noConversion"/>
  </si>
  <si>
    <t>诸翟学校</t>
    <phoneticPr fontId="15" type="noConversion"/>
  </si>
  <si>
    <t>金色幼儿园</t>
    <phoneticPr fontId="15" type="noConversion"/>
  </si>
  <si>
    <t>纪王幼儿园</t>
    <phoneticPr fontId="15" type="noConversion"/>
  </si>
  <si>
    <t>华漕社区学校</t>
    <phoneticPr fontId="15" type="noConversion"/>
  </si>
  <si>
    <t>　　　　3、失业保险0.5%</t>
    <phoneticPr fontId="15" type="noConversion"/>
  </si>
  <si>
    <t>　　　　1、基本养老保险16%</t>
    <phoneticPr fontId="15" type="noConversion"/>
  </si>
  <si>
    <t>2021年基本支出预算表</t>
    <phoneticPr fontId="2" type="noConversion"/>
  </si>
  <si>
    <t>社区学校</t>
    <phoneticPr fontId="2" type="noConversion"/>
  </si>
  <si>
    <t>强恕学校</t>
    <phoneticPr fontId="2" type="noConversion"/>
  </si>
  <si>
    <t>实中</t>
    <phoneticPr fontId="2" type="noConversion"/>
  </si>
  <si>
    <t>实小</t>
    <phoneticPr fontId="2" type="noConversion"/>
  </si>
  <si>
    <t>文来外小</t>
    <phoneticPr fontId="2" type="noConversion"/>
  </si>
  <si>
    <t>中心幼</t>
    <phoneticPr fontId="2" type="noConversion"/>
  </si>
  <si>
    <t>元祥幼</t>
    <phoneticPr fontId="2" type="noConversion"/>
  </si>
  <si>
    <t>实幼</t>
    <phoneticPr fontId="2" type="noConversion"/>
  </si>
  <si>
    <t>启英</t>
    <phoneticPr fontId="2" type="noConversion"/>
  </si>
  <si>
    <t>富杰</t>
    <phoneticPr fontId="2" type="noConversion"/>
  </si>
  <si>
    <t>富卓</t>
    <phoneticPr fontId="2" type="noConversion"/>
  </si>
  <si>
    <t>富国</t>
    <phoneticPr fontId="2" type="noConversion"/>
  </si>
  <si>
    <t>　　　　1、残疾人就业保障金1.5%</t>
    <phoneticPr fontId="2" type="noConversion"/>
  </si>
  <si>
    <t>　　　　2、工伤保险费0.5%</t>
    <phoneticPr fontId="2" type="noConversion"/>
  </si>
  <si>
    <t>　　　　3、失业保险0.5%</t>
    <phoneticPr fontId="2" type="noConversion"/>
  </si>
  <si>
    <t xml:space="preserve">        1、医疗保险费10%</t>
    <phoneticPr fontId="2" type="noConversion"/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</si>
  <si>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</si>
  <si>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</si>
  <si>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　　　　1、基本养老保险16%</t>
    <phoneticPr fontId="2" type="noConversion"/>
  </si>
  <si>
    <t xml:space="preserve">       10、培训费</t>
    <phoneticPr fontId="2" type="noConversion"/>
  </si>
  <si>
    <t>主款项</t>
    <phoneticPr fontId="2" type="noConversion"/>
  </si>
  <si>
    <t>生均定额5%</t>
    <phoneticPr fontId="2" type="noConversion"/>
  </si>
  <si>
    <t xml:space="preserve">
无车辆按32000元编制预算
机关局有编制的车辆，每分校增加10000元，每个分园增加5000元编制预算</t>
    <phoneticPr fontId="2" type="noConversion"/>
  </si>
  <si>
    <t>填写2020年9月在编教职工人数</t>
    <phoneticPr fontId="2" type="noConversion"/>
  </si>
  <si>
    <t>填写2020年秋季学期学生人数，以招办人数为准（待下发）</t>
    <phoneticPr fontId="2" type="noConversion"/>
  </si>
  <si>
    <t>学校</t>
    <phoneticPr fontId="15" type="noConversion"/>
  </si>
  <si>
    <t>备注</t>
  </si>
  <si>
    <t xml:space="preserve">
有车但机关局无编制的车辆按32000元编制预算
机关局有编制的车辆，每分校增加10000元，每个分园增加5000元编制预算</t>
  </si>
  <si>
    <t>合计</t>
    <phoneticPr fontId="2" type="noConversion"/>
  </si>
  <si>
    <t>序号</t>
    <phoneticPr fontId="2" type="noConversion"/>
  </si>
  <si>
    <t>项目</t>
    <phoneticPr fontId="2" type="noConversion"/>
  </si>
  <si>
    <t>设备更新与购置</t>
    <phoneticPr fontId="1" type="noConversion"/>
  </si>
  <si>
    <r>
      <rPr>
        <b/>
        <sz val="10"/>
        <rFont val="宋体"/>
        <family val="3"/>
        <charset val="134"/>
      </rPr>
      <t>项目名称</t>
    </r>
  </si>
  <si>
    <r>
      <rPr>
        <b/>
        <sz val="10"/>
        <rFont val="宋体"/>
        <family val="3"/>
        <charset val="134"/>
      </rPr>
      <t>项目内容</t>
    </r>
  </si>
  <si>
    <r>
      <rPr>
        <b/>
        <sz val="10"/>
        <rFont val="宋体"/>
        <family val="3"/>
        <charset val="134"/>
      </rPr>
      <t>项目明细</t>
    </r>
  </si>
  <si>
    <t>吴泾镇：</t>
    <phoneticPr fontId="2" type="noConversion"/>
  </si>
  <si>
    <t>数量</t>
  </si>
  <si>
    <t>单价</t>
  </si>
  <si>
    <t>吴泾镇</t>
  </si>
  <si>
    <t>2022年教育统筹经费第四次分配明细表</t>
    <phoneticPr fontId="1" type="noConversion"/>
  </si>
  <si>
    <t>四次分配合计</t>
    <phoneticPr fontId="1" type="noConversion"/>
  </si>
  <si>
    <r>
      <t>2022</t>
    </r>
    <r>
      <rPr>
        <b/>
        <sz val="12"/>
        <color theme="1"/>
        <rFont val="宋体"/>
        <family val="2"/>
        <charset val="134"/>
      </rPr>
      <t>年镇管学校扩班设备预算明细汇总</t>
    </r>
    <phoneticPr fontId="1" type="noConversion"/>
  </si>
  <si>
    <r>
      <rPr>
        <b/>
        <sz val="10"/>
        <rFont val="宋体"/>
        <family val="2"/>
        <charset val="134"/>
      </rPr>
      <t>序号</t>
    </r>
    <phoneticPr fontId="1" type="noConversion"/>
  </si>
  <si>
    <r>
      <rPr>
        <b/>
        <sz val="10"/>
        <rFont val="宋体"/>
        <family val="2"/>
        <charset val="134"/>
      </rPr>
      <t>归属</t>
    </r>
  </si>
  <si>
    <t>办学类型</t>
    <phoneticPr fontId="1" type="noConversion"/>
  </si>
  <si>
    <r>
      <rPr>
        <b/>
        <sz val="10"/>
        <rFont val="宋体"/>
        <family val="3"/>
        <charset val="134"/>
      </rPr>
      <t>学校名称</t>
    </r>
  </si>
  <si>
    <r>
      <rPr>
        <b/>
        <sz val="10"/>
        <rFont val="宋体"/>
        <family val="3"/>
        <charset val="134"/>
      </rPr>
      <t>型号规格</t>
    </r>
  </si>
  <si>
    <r>
      <rPr>
        <b/>
        <sz val="10"/>
        <rFont val="宋体"/>
        <family val="3"/>
        <charset val="134"/>
      </rPr>
      <t>单价</t>
    </r>
  </si>
  <si>
    <r>
      <rPr>
        <b/>
        <sz val="10"/>
        <rFont val="宋体"/>
        <family val="3"/>
        <charset val="134"/>
      </rPr>
      <t>数量</t>
    </r>
  </si>
  <si>
    <r>
      <rPr>
        <b/>
        <sz val="10"/>
        <rFont val="宋体"/>
        <family val="3"/>
        <charset val="134"/>
      </rPr>
      <t>金额</t>
    </r>
    <r>
      <rPr>
        <b/>
        <sz val="10"/>
        <rFont val="Times New Roman"/>
        <family val="1"/>
      </rPr>
      <t>(</t>
    </r>
    <r>
      <rPr>
        <b/>
        <sz val="10"/>
        <rFont val="宋体"/>
        <family val="3"/>
        <charset val="134"/>
      </rPr>
      <t>元</t>
    </r>
    <r>
      <rPr>
        <b/>
        <sz val="10"/>
        <rFont val="Times New Roman"/>
        <family val="1"/>
      </rPr>
      <t>)</t>
    </r>
  </si>
  <si>
    <r>
      <rPr>
        <b/>
        <sz val="10"/>
        <rFont val="宋体"/>
        <family val="3"/>
        <charset val="134"/>
      </rPr>
      <t>备注</t>
    </r>
    <phoneticPr fontId="1" type="noConversion"/>
  </si>
  <si>
    <r>
      <t>2022</t>
    </r>
    <r>
      <rPr>
        <sz val="10"/>
        <rFont val="宋体"/>
        <family val="3"/>
        <charset val="134"/>
      </rPr>
      <t>年镇管扩班设备</t>
    </r>
    <phoneticPr fontId="1" type="noConversion"/>
  </si>
  <si>
    <t>家具设备</t>
  </si>
  <si>
    <r>
      <rPr>
        <sz val="10"/>
        <rFont val="宋体"/>
        <family val="3"/>
        <charset val="134"/>
      </rPr>
      <t>幼儿桌椅</t>
    </r>
    <phoneticPr fontId="1" type="noConversion"/>
  </si>
  <si>
    <r>
      <rPr>
        <sz val="10"/>
        <rFont val="宋体"/>
        <family val="3"/>
        <charset val="134"/>
      </rPr>
      <t>一桌六椅，木质</t>
    </r>
    <phoneticPr fontId="1" type="noConversion"/>
  </si>
  <si>
    <r>
      <rPr>
        <sz val="10"/>
        <rFont val="宋体"/>
        <family val="3"/>
        <charset val="134"/>
      </rPr>
      <t>幼儿餐桌椅</t>
    </r>
  </si>
  <si>
    <r>
      <rPr>
        <sz val="10"/>
        <rFont val="宋体"/>
        <family val="3"/>
        <charset val="134"/>
      </rPr>
      <t>幼儿床</t>
    </r>
    <phoneticPr fontId="2" type="noConversion"/>
  </si>
  <si>
    <r>
      <rPr>
        <sz val="10"/>
        <rFont val="宋体"/>
        <family val="3"/>
        <charset val="134"/>
      </rPr>
      <t>木质、可固定或叠放收藏</t>
    </r>
  </si>
  <si>
    <r>
      <rPr>
        <sz val="10"/>
        <rFont val="宋体"/>
        <family val="3"/>
        <charset val="134"/>
      </rPr>
      <t>幼儿衣帽橱</t>
    </r>
    <phoneticPr fontId="1" type="noConversion"/>
  </si>
  <si>
    <r>
      <rPr>
        <sz val="10"/>
        <rFont val="宋体"/>
        <family val="3"/>
        <charset val="134"/>
      </rPr>
      <t>一组，木质</t>
    </r>
    <phoneticPr fontId="1" type="noConversion"/>
  </si>
  <si>
    <r>
      <rPr>
        <sz val="10"/>
        <rFont val="宋体"/>
        <family val="3"/>
        <charset val="134"/>
      </rPr>
      <t>幼儿饮水设备</t>
    </r>
  </si>
  <si>
    <r>
      <rPr>
        <sz val="10"/>
        <rFont val="宋体"/>
        <family val="3"/>
        <charset val="134"/>
      </rPr>
      <t>保温桶、茶水柜等，应具备锁定装置、木质</t>
    </r>
    <phoneticPr fontId="2" type="noConversion"/>
  </si>
  <si>
    <r>
      <rPr>
        <sz val="10"/>
        <rFont val="宋体"/>
        <family val="3"/>
        <charset val="134"/>
      </rPr>
      <t>玩具柜</t>
    </r>
    <phoneticPr fontId="2" type="noConversion"/>
  </si>
  <si>
    <t>一组八件（含展示板）、木质、开放式可移动</t>
    <phoneticPr fontId="1" type="noConversion"/>
  </si>
  <si>
    <t>教师办公桌椅</t>
  </si>
  <si>
    <r>
      <rPr>
        <sz val="10"/>
        <rFont val="宋体"/>
        <family val="3"/>
        <charset val="134"/>
      </rPr>
      <t>办公橱</t>
    </r>
  </si>
  <si>
    <t>钢琴</t>
  </si>
  <si>
    <r>
      <rPr>
        <sz val="10"/>
        <rFont val="宋体"/>
        <family val="3"/>
        <charset val="134"/>
      </rPr>
      <t>钢琴</t>
    </r>
  </si>
  <si>
    <r>
      <rPr>
        <sz val="10"/>
        <rFont val="宋体"/>
        <family val="3"/>
        <charset val="134"/>
      </rPr>
      <t>含琴凳、琴套、</t>
    </r>
  </si>
  <si>
    <t>桌面玩具</t>
  </si>
  <si>
    <r>
      <rPr>
        <sz val="10"/>
        <rFont val="宋体"/>
        <family val="3"/>
        <charset val="134"/>
      </rPr>
      <t>桌面玩具</t>
    </r>
    <phoneticPr fontId="2" type="noConversion"/>
  </si>
  <si>
    <r>
      <rPr>
        <sz val="10"/>
        <rFont val="宋体"/>
        <family val="3"/>
        <charset val="134"/>
      </rPr>
      <t>一批</t>
    </r>
    <phoneticPr fontId="1" type="noConversion"/>
  </si>
  <si>
    <t>教师计算机</t>
  </si>
  <si>
    <t>教师台式计算机</t>
    <phoneticPr fontId="2" type="noConversion"/>
  </si>
  <si>
    <t>一体机</t>
    <phoneticPr fontId="1" type="noConversion"/>
  </si>
  <si>
    <r>
      <t>2022年镇管扩班设备</t>
    </r>
    <r>
      <rPr>
        <sz val="10"/>
        <rFont val="宋体"/>
        <family val="3"/>
        <charset val="134"/>
      </rPr>
      <t/>
    </r>
  </si>
  <si>
    <t>空调设备</t>
    <phoneticPr fontId="1" type="noConversion"/>
  </si>
  <si>
    <t>交互式多媒体设备</t>
  </si>
  <si>
    <r>
      <t>65</t>
    </r>
    <r>
      <rPr>
        <sz val="10"/>
        <rFont val="宋体"/>
        <family val="3"/>
        <charset val="134"/>
      </rPr>
      <t>寸及以上交互式智能一体机</t>
    </r>
    <phoneticPr fontId="2" type="noConversion"/>
  </si>
  <si>
    <t>热水器</t>
  </si>
  <si>
    <r>
      <rPr>
        <sz val="10"/>
        <rFont val="宋体"/>
        <family val="3"/>
        <charset val="134"/>
      </rPr>
      <t>热水器</t>
    </r>
  </si>
  <si>
    <t>洗衣机</t>
  </si>
  <si>
    <r>
      <rPr>
        <sz val="10"/>
        <rFont val="宋体"/>
        <family val="3"/>
        <charset val="134"/>
      </rPr>
      <t>洗衣机</t>
    </r>
    <phoneticPr fontId="2" type="noConversion"/>
  </si>
  <si>
    <r>
      <rPr>
        <sz val="10"/>
        <rFont val="宋体"/>
        <family val="3"/>
        <charset val="134"/>
      </rPr>
      <t>课桌椅</t>
    </r>
  </si>
  <si>
    <r>
      <rPr>
        <sz val="10"/>
        <rFont val="宋体"/>
        <family val="3"/>
        <charset val="134"/>
      </rPr>
      <t>多媒体讲台</t>
    </r>
  </si>
  <si>
    <r>
      <rPr>
        <sz val="10"/>
        <rFont val="宋体"/>
        <family val="3"/>
        <charset val="134"/>
      </rPr>
      <t>学生储物柜</t>
    </r>
  </si>
  <si>
    <r>
      <rPr>
        <sz val="10"/>
        <rFont val="宋体"/>
        <family val="3"/>
        <charset val="134"/>
      </rPr>
      <t>教师办公橱</t>
    </r>
  </si>
  <si>
    <r>
      <rPr>
        <sz val="10"/>
        <rFont val="宋体"/>
        <family val="3"/>
        <charset val="134"/>
      </rPr>
      <t>家具设备</t>
    </r>
    <phoneticPr fontId="1" type="noConversion"/>
  </si>
  <si>
    <r>
      <rPr>
        <sz val="10"/>
        <rFont val="宋体"/>
        <family val="3"/>
        <charset val="134"/>
      </rPr>
      <t>推拉式书写板</t>
    </r>
  </si>
  <si>
    <r>
      <rPr>
        <sz val="10"/>
        <rFont val="宋体"/>
        <family val="3"/>
        <charset val="134"/>
      </rPr>
      <t>交互式多媒体设备</t>
    </r>
    <phoneticPr fontId="1" type="noConversion"/>
  </si>
  <si>
    <r>
      <t>70</t>
    </r>
    <r>
      <rPr>
        <sz val="10"/>
        <rFont val="宋体"/>
        <family val="3"/>
        <charset val="134"/>
      </rPr>
      <t>寸及以上交互式智能一体机</t>
    </r>
    <phoneticPr fontId="1" type="noConversion"/>
  </si>
  <si>
    <r>
      <rPr>
        <sz val="10"/>
        <rFont val="宋体"/>
        <family val="3"/>
        <charset val="134"/>
      </rPr>
      <t>教师便携式计算机</t>
    </r>
  </si>
  <si>
    <r>
      <rPr>
        <sz val="10"/>
        <rFont val="宋体"/>
        <family val="3"/>
        <charset val="134"/>
      </rPr>
      <t>教室展示板</t>
    </r>
    <phoneticPr fontId="2" type="noConversion"/>
  </si>
  <si>
    <r>
      <rPr>
        <sz val="10"/>
        <rFont val="宋体"/>
        <family val="3"/>
        <charset val="134"/>
      </rPr>
      <t>教师办公桌椅</t>
    </r>
    <phoneticPr fontId="2" type="noConversion"/>
  </si>
  <si>
    <r>
      <rPr>
        <sz val="10"/>
        <rFont val="宋体"/>
        <family val="3"/>
        <charset val="134"/>
      </rPr>
      <t>嵌入式空调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匹</t>
    </r>
    <phoneticPr fontId="1" type="noConversion"/>
  </si>
  <si>
    <r>
      <rPr>
        <sz val="10"/>
        <rFont val="宋体"/>
        <family val="3"/>
        <charset val="134"/>
      </rPr>
      <t>嵌入式空调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匹</t>
    </r>
    <phoneticPr fontId="2" type="noConversion"/>
  </si>
  <si>
    <t>详见明细</t>
    <phoneticPr fontId="1" type="noConversion"/>
  </si>
  <si>
    <r>
      <rPr>
        <sz val="10"/>
        <rFont val="宋体"/>
        <family val="3"/>
        <charset val="134"/>
      </rPr>
      <t>劳技教室家具一批（含教具室）</t>
    </r>
    <phoneticPr fontId="1" type="noConversion"/>
  </si>
  <si>
    <r>
      <rPr>
        <sz val="10"/>
        <rFont val="宋体"/>
        <family val="3"/>
        <charset val="134"/>
      </rPr>
      <t>四年级配置劳技教室设备</t>
    </r>
    <phoneticPr fontId="1" type="noConversion"/>
  </si>
  <si>
    <r>
      <rPr>
        <sz val="10"/>
        <color theme="1"/>
        <rFont val="宋体"/>
        <family val="3"/>
        <charset val="134"/>
      </rPr>
      <t>实验仪器</t>
    </r>
    <phoneticPr fontId="2" type="noConversion"/>
  </si>
  <si>
    <r>
      <rPr>
        <sz val="10"/>
        <color theme="1"/>
        <rFont val="宋体"/>
        <family val="3"/>
        <charset val="134"/>
      </rPr>
      <t>劳技教室实验仪器一批</t>
    </r>
    <phoneticPr fontId="1" type="noConversion"/>
  </si>
  <si>
    <r>
      <rPr>
        <sz val="10"/>
        <rFont val="宋体"/>
        <family val="3"/>
        <charset val="134"/>
      </rPr>
      <t>吴泾镇</t>
    </r>
    <phoneticPr fontId="2" type="noConversion"/>
  </si>
  <si>
    <r>
      <rPr>
        <sz val="10"/>
        <rFont val="宋体"/>
        <family val="3"/>
        <charset val="134"/>
      </rPr>
      <t>华东师范大学闵行永德实验小学</t>
    </r>
    <phoneticPr fontId="2" type="noConversion"/>
  </si>
  <si>
    <r>
      <rPr>
        <sz val="10"/>
        <rFont val="宋体"/>
        <family val="3"/>
        <charset val="134"/>
      </rPr>
      <t>教室空调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匹</t>
    </r>
    <phoneticPr fontId="1" type="noConversion"/>
  </si>
  <si>
    <r>
      <rPr>
        <sz val="10"/>
        <rFont val="宋体"/>
        <family val="3"/>
        <charset val="134"/>
      </rPr>
      <t>劳技教室空调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匹</t>
    </r>
    <phoneticPr fontId="1" type="noConversion"/>
  </si>
  <si>
    <r>
      <rPr>
        <sz val="10"/>
        <rFont val="宋体"/>
        <family val="3"/>
        <charset val="134"/>
      </rPr>
      <t>华东师范大学闵行永德实验幼儿园</t>
    </r>
  </si>
  <si>
    <t>吴泾镇 汇总</t>
  </si>
  <si>
    <t>2021年镇管学校修缮专项尾款清算统计表</t>
    <phoneticPr fontId="1" type="noConversion"/>
  </si>
  <si>
    <t>序号</t>
    <phoneticPr fontId="1" type="noConversion"/>
  </si>
  <si>
    <t>项目名称</t>
    <phoneticPr fontId="1" type="noConversion"/>
  </si>
  <si>
    <t>总投资 
（元）</t>
    <phoneticPr fontId="1" type="noConversion"/>
  </si>
  <si>
    <t>施工合同价
（元）</t>
    <phoneticPr fontId="1" type="noConversion"/>
  </si>
  <si>
    <t>审定价
（元）</t>
    <phoneticPr fontId="1" type="noConversion"/>
  </si>
  <si>
    <t>二类费用
（元）</t>
    <phoneticPr fontId="1" type="noConversion"/>
  </si>
  <si>
    <t>应执行
金额费用（元）</t>
    <phoneticPr fontId="1" type="noConversion"/>
  </si>
  <si>
    <t>已执行
金额费用（元）</t>
    <phoneticPr fontId="1" type="noConversion"/>
  </si>
  <si>
    <t>尾款清算
金额费用（元）</t>
    <phoneticPr fontId="1" type="noConversion"/>
  </si>
  <si>
    <t>备注</t>
    <phoneticPr fontId="1" type="noConversion"/>
  </si>
  <si>
    <t>华师大闵行永德实验幼儿园（尚义园）
华师大闵行永德实验幼儿园（尚德园）
吴泾第三幼儿园
民办塘湾小学</t>
    <phoneticPr fontId="1" type="noConversion"/>
  </si>
  <si>
    <t>2021年吴泾镇镇管学校局部修缮项目</t>
    <phoneticPr fontId="1" type="noConversion"/>
  </si>
  <si>
    <t xml:space="preserve"> 上海市闵行区教育局2022年镇管学校校舍修缮预算明细表（吴泾镇）</t>
    <phoneticPr fontId="105" type="noConversion"/>
  </si>
  <si>
    <t>学校名称</t>
  </si>
  <si>
    <t>修缮类型</t>
  </si>
  <si>
    <t>修缮对象</t>
  </si>
  <si>
    <t>修缮内容</t>
  </si>
  <si>
    <t>单位</t>
  </si>
  <si>
    <t>申报金额（元）</t>
  </si>
  <si>
    <t>审核金额（元）</t>
  </si>
  <si>
    <t>工程量</t>
  </si>
  <si>
    <t>合价</t>
  </si>
  <si>
    <t>一</t>
    <phoneticPr fontId="105" type="noConversion"/>
  </si>
  <si>
    <t>塘湾小学（北吴校区）</t>
  </si>
  <si>
    <t>室内</t>
  </si>
  <si>
    <t>门卫室</t>
  </si>
  <si>
    <t>墙、地面修缮</t>
  </si>
  <si>
    <t>㎡</t>
  </si>
  <si>
    <t>屋面防水</t>
  </si>
  <si>
    <t>室外</t>
  </si>
  <si>
    <t>厨房</t>
  </si>
  <si>
    <t>屋面局部漏水修缮</t>
  </si>
  <si>
    <t>场地</t>
  </si>
  <si>
    <t>篮球场、网球场、羽毛球场</t>
  </si>
  <si>
    <t>30厚AC-15C沥青基层</t>
  </si>
  <si>
    <t>8厚PU面层</t>
  </si>
  <si>
    <t>足球场</t>
  </si>
  <si>
    <t>人工草皮 足球5cm厚</t>
  </si>
  <si>
    <t>跑道</t>
  </si>
  <si>
    <t>13厚EPDM运动塑胶</t>
  </si>
  <si>
    <t>其他</t>
  </si>
  <si>
    <t>整体修缮</t>
  </si>
  <si>
    <t>排水沟</t>
  </si>
  <si>
    <t>球场新增排水沟（含盖板）</t>
  </si>
  <si>
    <t>m</t>
  </si>
  <si>
    <t>挡墙</t>
  </si>
  <si>
    <t>4m高球场混凝土挡墙（含基础）</t>
  </si>
  <si>
    <t>建安费小计</t>
  </si>
  <si>
    <t>二类费</t>
    <phoneticPr fontId="105" type="noConversion"/>
  </si>
  <si>
    <t>预备费</t>
    <phoneticPr fontId="105" type="noConversion"/>
  </si>
  <si>
    <t>小计</t>
  </si>
  <si>
    <t>华东师范大学闵行永德实验幼儿园（总园）</t>
  </si>
  <si>
    <t>一层教室和午休室</t>
  </si>
  <si>
    <t>实木复合地板</t>
  </si>
  <si>
    <t>墙面护墙板</t>
  </si>
  <si>
    <t>墙面涂料</t>
  </si>
  <si>
    <t>天棚涂料</t>
  </si>
  <si>
    <t>木门更换</t>
  </si>
  <si>
    <t>灯具吊扇更换排线及其它</t>
  </si>
  <si>
    <t>项</t>
  </si>
  <si>
    <t>一层教室卫生间</t>
  </si>
  <si>
    <t>卫生间修缮</t>
  </si>
  <si>
    <t>校舍维修</t>
    <phoneticPr fontId="1" type="noConversion"/>
  </si>
  <si>
    <t>2022年镇管单位专项预算（教育学院）</t>
    <phoneticPr fontId="1" type="noConversion"/>
  </si>
  <si>
    <t>学校</t>
  </si>
  <si>
    <t>项目明细</t>
    <phoneticPr fontId="1" type="noConversion"/>
  </si>
  <si>
    <t>镇级金额</t>
  </si>
  <si>
    <t>区骨干系列培养项目</t>
  </si>
  <si>
    <t>种子基地</t>
  </si>
  <si>
    <t>吴泾</t>
    <phoneticPr fontId="1" type="noConversion"/>
  </si>
  <si>
    <t>友爱中学</t>
    <phoneticPr fontId="1" type="noConversion"/>
  </si>
  <si>
    <t>德育队伍建设</t>
    <phoneticPr fontId="1" type="noConversion"/>
  </si>
  <si>
    <t>区家庭健康教育实践研究基地</t>
    <phoneticPr fontId="1" type="noConversion"/>
  </si>
  <si>
    <t>吴泾第三幼儿园</t>
  </si>
  <si>
    <t>吴泾 汇总</t>
  </si>
  <si>
    <t>培训专项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</si>
</sst>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178" formatCode="0.00_ ;\-0.00;;"/>
    <numFmt numFmtId="179" formatCode="0.00_);[Red]\(0.00\)"/>
    <numFmt numFmtId="180" formatCode="0.000000000_ "/>
    <numFmt numFmtId="181" formatCode="_-* #,##0_-;\-* #,##0_-;_-* &quot;-&quot;_-;_-@_-"/>
    <numFmt numFmtId="182" formatCode="[$-F800]dddd\,\ mmmm\ dd\,\ yyyy"/>
    <numFmt numFmtId="183" formatCode="_ &quot;￥&quot;* #,##0_ ;_ &quot;￥&quot;* \-#,##0_ ;_ &quot;￥&quot;* &quot;-&quot;_ ;_ @_ "/>
    <numFmt numFmtId="184" formatCode="0_);[Red]\(0\)"/>
  </numFmts>
  <fonts count="1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4"/>
      <color theme="1"/>
      <name val="微软雅黑"/>
      <family val="2"/>
      <charset val="134"/>
    </font>
    <font>
      <sz val="11"/>
      <color theme="1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4"/>
      <color theme="1"/>
      <name val="宋体"/>
      <family val="2"/>
      <charset val="134"/>
      <scheme val="minor"/>
    </font>
    <font>
      <sz val="9"/>
      <color theme="1"/>
      <name val="Arial"/>
      <family val="2"/>
    </font>
    <font>
      <sz val="11"/>
      <color theme="1"/>
      <name val="宋体"/>
      <family val="2"/>
      <charset val="134"/>
    </font>
    <font>
      <sz val="11"/>
      <name val="Arial"/>
      <family val="2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color theme="1"/>
      <name val="宋体"/>
      <family val="3"/>
      <charset val="134"/>
    </font>
    <font>
      <b/>
      <sz val="9"/>
      <name val="Arial"/>
      <family val="2"/>
    </font>
    <font>
      <sz val="9"/>
      <name val="Arial"/>
      <family val="2"/>
    </font>
    <font>
      <b/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14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color theme="1"/>
      <name val="等线"/>
      <family val="3"/>
      <charset val="134"/>
    </font>
    <font>
      <sz val="10"/>
      <name val="Helv"/>
      <family val="2"/>
    </font>
    <font>
      <sz val="11"/>
      <color theme="1"/>
      <name val="宋体"/>
      <family val="3"/>
      <charset val="134"/>
      <scheme val="minor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宋体"/>
      <family val="2"/>
      <charset val="134"/>
    </font>
    <font>
      <sz val="11"/>
      <color theme="1"/>
      <name val="Times New Roman"/>
      <family val="1"/>
    </font>
    <font>
      <b/>
      <sz val="10"/>
      <name val="宋体"/>
      <family val="2"/>
      <charset val="134"/>
    </font>
    <font>
      <sz val="9"/>
      <color theme="1"/>
      <name val="Times New Roman"/>
      <family val="1"/>
    </font>
    <font>
      <sz val="12"/>
      <name val="楷体_GB2312"/>
      <family val="3"/>
      <charset val="134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sz val="9"/>
      <name val="Times New Roman"/>
      <family val="1"/>
    </font>
    <font>
      <sz val="14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8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</fonts>
  <fills count="6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333">
    <xf numFmtId="182" fontId="0" fillId="0" borderId="0">
      <alignment vertical="center"/>
    </xf>
    <xf numFmtId="182" fontId="4" fillId="0" borderId="0"/>
    <xf numFmtId="182" fontId="4" fillId="0" borderId="0"/>
    <xf numFmtId="43" fontId="4" fillId="0" borderId="0" applyFont="0" applyFill="0" applyBorder="0" applyAlignment="0" applyProtection="0">
      <alignment vertical="center"/>
    </xf>
    <xf numFmtId="182" fontId="5" fillId="0" borderId="0"/>
    <xf numFmtId="182" fontId="6" fillId="0" borderId="0"/>
    <xf numFmtId="182" fontId="7" fillId="0" borderId="0"/>
    <xf numFmtId="182" fontId="5" fillId="0" borderId="0"/>
    <xf numFmtId="182" fontId="8" fillId="0" borderId="0">
      <alignment vertical="center"/>
    </xf>
    <xf numFmtId="182" fontId="8" fillId="0" borderId="0"/>
    <xf numFmtId="182" fontId="3" fillId="0" borderId="0"/>
    <xf numFmtId="182" fontId="4" fillId="0" borderId="0"/>
    <xf numFmtId="182" fontId="8" fillId="0" borderId="0"/>
    <xf numFmtId="182" fontId="3" fillId="0" borderId="0"/>
    <xf numFmtId="182" fontId="8" fillId="0" borderId="0">
      <alignment vertical="center"/>
    </xf>
    <xf numFmtId="182" fontId="3" fillId="0" borderId="0"/>
    <xf numFmtId="43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2" fontId="7" fillId="0" borderId="0"/>
    <xf numFmtId="182" fontId="20" fillId="0" borderId="0">
      <alignment vertical="center"/>
    </xf>
    <xf numFmtId="182" fontId="20" fillId="0" borderId="0">
      <alignment vertical="center"/>
    </xf>
    <xf numFmtId="182" fontId="4" fillId="0" borderId="0"/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8" fillId="0" borderId="0">
      <alignment vertical="center"/>
    </xf>
    <xf numFmtId="182" fontId="24" fillId="0" borderId="0"/>
    <xf numFmtId="182" fontId="2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182" fontId="3" fillId="0" borderId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3" fillId="0" borderId="0"/>
    <xf numFmtId="182" fontId="20" fillId="0" borderId="0">
      <alignment vertical="center"/>
    </xf>
    <xf numFmtId="182" fontId="20" fillId="0" borderId="0">
      <alignment vertical="center"/>
    </xf>
    <xf numFmtId="182" fontId="3" fillId="0" borderId="0">
      <alignment vertical="center"/>
    </xf>
    <xf numFmtId="182" fontId="54" fillId="58" borderId="11" applyNumberFormat="0" applyAlignment="0" applyProtection="0">
      <alignment vertical="center"/>
    </xf>
    <xf numFmtId="182" fontId="3" fillId="0" borderId="0"/>
    <xf numFmtId="43" fontId="42" fillId="0" borderId="0" applyFont="0" applyFill="0" applyBorder="0" applyAlignment="0" applyProtection="0">
      <alignment vertical="center"/>
    </xf>
    <xf numFmtId="182" fontId="41" fillId="0" borderId="0"/>
    <xf numFmtId="182" fontId="55" fillId="44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44" fillId="59" borderId="0" applyNumberFormat="0" applyBorder="0" applyAlignment="0" applyProtection="0">
      <alignment vertical="center"/>
    </xf>
    <xf numFmtId="182" fontId="44" fillId="60" borderId="0" applyNumberFormat="0" applyBorder="0" applyAlignment="0" applyProtection="0">
      <alignment vertical="center"/>
    </xf>
    <xf numFmtId="182" fontId="44" fillId="61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62" borderId="0" applyNumberFormat="0" applyBorder="0" applyAlignment="0" applyProtection="0">
      <alignment vertical="center"/>
    </xf>
    <xf numFmtId="182" fontId="60" fillId="63" borderId="0" applyNumberFormat="0" applyBorder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77" fillId="0" borderId="0">
      <alignment vertical="center"/>
    </xf>
    <xf numFmtId="182" fontId="3" fillId="0" borderId="0"/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8" fillId="0" borderId="0"/>
    <xf numFmtId="182" fontId="42" fillId="0" borderId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/>
    <xf numFmtId="43" fontId="3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78" fillId="0" borderId="0"/>
    <xf numFmtId="181" fontId="3" fillId="0" borderId="0" applyFont="0" applyFill="0" applyBorder="0" applyAlignment="0" applyProtection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3" fillId="0" borderId="0"/>
    <xf numFmtId="182" fontId="3" fillId="0" borderId="0"/>
    <xf numFmtId="182" fontId="60" fillId="63" borderId="0" applyNumberFormat="0" applyBorder="0" applyAlignment="0" applyProtection="0">
      <alignment vertical="center"/>
    </xf>
    <xf numFmtId="182" fontId="3" fillId="0" borderId="0"/>
    <xf numFmtId="181" fontId="3" fillId="0" borderId="0" applyFon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65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66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41" fillId="0" borderId="0" applyNumberFormat="0" applyFont="0" applyFill="0" applyBorder="0" applyAlignment="0" applyProtection="0"/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/>
    <xf numFmtId="182" fontId="53" fillId="0" borderId="0"/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>
      <alignment vertical="center"/>
    </xf>
    <xf numFmtId="182" fontId="3" fillId="0" borderId="0"/>
    <xf numFmtId="182" fontId="3" fillId="0" borderId="0"/>
    <xf numFmtId="182" fontId="8" fillId="0" borderId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60" fillId="63" borderId="0" applyNumberFormat="0" applyBorder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3" fontId="42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42" fontId="42" fillId="0" borderId="0" applyFont="0" applyFill="0" applyBorder="0" applyAlignment="0" applyProtection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3" fillId="0" borderId="0"/>
    <xf numFmtId="43" fontId="79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41" fillId="0" borderId="0" applyNumberFormat="0" applyFont="0" applyFill="0" applyBorder="0" applyAlignment="0" applyProtection="0"/>
    <xf numFmtId="182" fontId="80" fillId="0" borderId="0">
      <alignment vertical="center"/>
    </xf>
    <xf numFmtId="182" fontId="80" fillId="0" borderId="0">
      <alignment vertical="center"/>
    </xf>
    <xf numFmtId="182" fontId="41" fillId="0" borderId="0" applyNumberFormat="0" applyFont="0" applyFill="0" applyBorder="0" applyAlignment="0" applyProtection="0"/>
    <xf numFmtId="182" fontId="80" fillId="0" borderId="0">
      <alignment vertical="center"/>
    </xf>
    <xf numFmtId="182" fontId="80" fillId="0" borderId="0">
      <alignment vertical="center"/>
    </xf>
    <xf numFmtId="182" fontId="80" fillId="0" borderId="0">
      <alignment vertical="center"/>
    </xf>
    <xf numFmtId="0" fontId="41" fillId="0" borderId="0" applyNumberFormat="0" applyFont="0" applyFill="0" applyBorder="0" applyAlignment="0" applyProtection="0"/>
    <xf numFmtId="0" fontId="5" fillId="0" borderId="0">
      <alignment vertical="center"/>
    </xf>
    <xf numFmtId="182" fontId="5" fillId="0" borderId="0">
      <alignment vertical="center"/>
    </xf>
    <xf numFmtId="0" fontId="5" fillId="0" borderId="0">
      <alignment vertical="center"/>
    </xf>
    <xf numFmtId="0" fontId="41" fillId="0" borderId="0" applyNumberFormat="0" applyFont="0" applyFill="0" applyBorder="0" applyAlignment="0" applyProtection="0"/>
    <xf numFmtId="182" fontId="5" fillId="0" borderId="0">
      <alignment vertical="center"/>
    </xf>
    <xf numFmtId="182" fontId="5" fillId="0" borderId="0"/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0" borderId="0">
      <alignment vertical="center"/>
    </xf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41" fontId="20" fillId="0" borderId="0" applyFont="0" applyFill="0" applyBorder="0" applyAlignment="0" applyProtection="0">
      <alignment vertical="center"/>
    </xf>
    <xf numFmtId="0" fontId="92" fillId="0" borderId="0">
      <alignment vertical="center"/>
    </xf>
    <xf numFmtId="0" fontId="24" fillId="0" borderId="0"/>
    <xf numFmtId="0" fontId="79" fillId="0" borderId="0"/>
    <xf numFmtId="0" fontId="3" fillId="0" borderId="0"/>
  </cellStyleXfs>
  <cellXfs count="318">
    <xf numFmtId="182" fontId="0" fillId="0" borderId="0" xfId="0">
      <alignment vertical="center"/>
    </xf>
    <xf numFmtId="182" fontId="0" fillId="0" borderId="0" xfId="0" applyAlignment="1"/>
    <xf numFmtId="182" fontId="0" fillId="0" borderId="1" xfId="0" applyBorder="1">
      <alignment vertical="center"/>
    </xf>
    <xf numFmtId="182" fontId="0" fillId="0" borderId="1" xfId="0" applyBorder="1" applyAlignment="1">
      <alignment horizontal="center" vertical="center"/>
    </xf>
    <xf numFmtId="182" fontId="4" fillId="0" borderId="1" xfId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82" fontId="4" fillId="0" borderId="1" xfId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82" fontId="0" fillId="2" borderId="1" xfId="0" applyFill="1" applyBorder="1" applyAlignment="1">
      <alignment horizontal="center" vertical="center"/>
    </xf>
    <xf numFmtId="182" fontId="0" fillId="0" borderId="1" xfId="0" applyBorder="1" applyAlignment="1"/>
    <xf numFmtId="43" fontId="0" fillId="0" borderId="1" xfId="3" applyFont="1" applyBorder="1" applyAlignment="1"/>
    <xf numFmtId="182" fontId="0" fillId="2" borderId="1" xfId="0" applyFill="1" applyBorder="1" applyAlignment="1"/>
    <xf numFmtId="43" fontId="0" fillId="2" borderId="1" xfId="3" applyFont="1" applyFill="1" applyBorder="1" applyAlignment="1"/>
    <xf numFmtId="182" fontId="0" fillId="0" borderId="0" xfId="0" applyAlignment="1">
      <alignment horizontal="center" vertical="center"/>
    </xf>
    <xf numFmtId="43" fontId="0" fillId="0" borderId="0" xfId="3" applyFont="1" applyAlignment="1"/>
    <xf numFmtId="182" fontId="0" fillId="0" borderId="0" xfId="0" applyAlignment="1">
      <alignment vertical="center"/>
    </xf>
    <xf numFmtId="182" fontId="0" fillId="3" borderId="4" xfId="0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182" fontId="0" fillId="4" borderId="4" xfId="0" applyFill="1" applyBorder="1" applyAlignment="1">
      <alignment vertical="center"/>
    </xf>
    <xf numFmtId="177" fontId="0" fillId="4" borderId="4" xfId="0" applyNumberFormat="1" applyFill="1" applyBorder="1" applyAlignment="1">
      <alignment vertical="center"/>
    </xf>
    <xf numFmtId="182" fontId="0" fillId="4" borderId="0" xfId="0" applyFill="1" applyAlignment="1">
      <alignment vertical="center"/>
    </xf>
    <xf numFmtId="182" fontId="0" fillId="3" borderId="4" xfId="0" applyNumberFormat="1" applyFill="1" applyBorder="1" applyAlignment="1">
      <alignment horizontal="center" vertical="center"/>
    </xf>
    <xf numFmtId="182" fontId="11" fillId="0" borderId="1" xfId="0" applyFont="1" applyBorder="1" applyAlignment="1">
      <alignment horizontal="center" vertical="center"/>
    </xf>
    <xf numFmtId="182" fontId="11" fillId="2" borderId="1" xfId="0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182" fontId="0" fillId="4" borderId="4" xfId="0" applyFill="1" applyBorder="1" applyAlignment="1">
      <alignment horizontal="left" vertical="center" wrapText="1"/>
    </xf>
    <xf numFmtId="182" fontId="0" fillId="4" borderId="4" xfId="0" applyNumberFormat="1" applyFill="1" applyBorder="1" applyAlignment="1">
      <alignment horizontal="right" vertical="center"/>
    </xf>
    <xf numFmtId="182" fontId="0" fillId="4" borderId="4" xfId="0" applyNumberFormat="1" applyFill="1" applyBorder="1" applyAlignment="1">
      <alignment horizontal="right" vertical="center" wrapText="1"/>
    </xf>
    <xf numFmtId="182" fontId="0" fillId="3" borderId="4" xfId="0" applyNumberFormat="1" applyFill="1" applyBorder="1" applyAlignment="1">
      <alignment horizontal="right" vertical="center"/>
    </xf>
    <xf numFmtId="182" fontId="0" fillId="0" borderId="0" xfId="0" applyNumberFormat="1" applyAlignment="1">
      <alignment vertical="center"/>
    </xf>
    <xf numFmtId="182" fontId="15" fillId="5" borderId="0" xfId="0" applyFont="1" applyFill="1" applyAlignment="1" applyProtection="1">
      <protection locked="0"/>
    </xf>
    <xf numFmtId="182" fontId="17" fillId="5" borderId="1" xfId="0" applyNumberFormat="1" applyFont="1" applyFill="1" applyBorder="1" applyAlignment="1" applyProtection="1">
      <alignment horizontal="center" vertical="center"/>
      <protection locked="0"/>
    </xf>
    <xf numFmtId="182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wrapText="1"/>
      <protection locked="0"/>
    </xf>
    <xf numFmtId="178" fontId="19" fillId="5" borderId="1" xfId="0" applyNumberFormat="1" applyFont="1" applyFill="1" applyBorder="1" applyAlignment="1" applyProtection="1"/>
    <xf numFmtId="178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alignment wrapText="1"/>
      <protection locked="0"/>
    </xf>
    <xf numFmtId="182" fontId="19" fillId="5" borderId="0" xfId="0" applyFont="1" applyFill="1" applyAlignment="1" applyProtection="1">
      <protection locked="0"/>
    </xf>
    <xf numFmtId="49" fontId="15" fillId="5" borderId="1" xfId="0" applyNumberFormat="1" applyFont="1" applyFill="1" applyBorder="1" applyAlignment="1" applyProtection="1">
      <protection locked="0"/>
    </xf>
    <xf numFmtId="49" fontId="15" fillId="5" borderId="1" xfId="0" applyNumberFormat="1" applyFont="1" applyFill="1" applyBorder="1" applyAlignment="1" applyProtection="1">
      <alignment wrapText="1"/>
      <protection locked="0"/>
    </xf>
    <xf numFmtId="178" fontId="15" fillId="5" borderId="1" xfId="0" applyNumberFormat="1" applyFont="1" applyFill="1" applyBorder="1" applyAlignment="1" applyProtection="1">
      <protection locked="0"/>
    </xf>
    <xf numFmtId="178" fontId="15" fillId="5" borderId="6" xfId="0" applyNumberFormat="1" applyFont="1" applyFill="1" applyBorder="1" applyAlignment="1" applyProtection="1">
      <protection locked="0"/>
    </xf>
    <xf numFmtId="178" fontId="15" fillId="5" borderId="1" xfId="0" applyNumberFormat="1" applyFont="1" applyFill="1" applyBorder="1" applyAlignment="1" applyProtection="1"/>
    <xf numFmtId="179" fontId="19" fillId="5" borderId="1" xfId="0" applyNumberFormat="1" applyFont="1" applyFill="1" applyBorder="1" applyAlignment="1" applyProtection="1">
      <protection locked="0"/>
    </xf>
    <xf numFmtId="182" fontId="15" fillId="5" borderId="1" xfId="0" applyFont="1" applyFill="1" applyBorder="1" applyAlignment="1" applyProtection="1">
      <alignment wrapText="1"/>
      <protection locked="0"/>
    </xf>
    <xf numFmtId="182" fontId="19" fillId="5" borderId="1" xfId="0" applyFont="1" applyFill="1" applyBorder="1" applyAlignment="1" applyProtection="1">
      <alignment wrapText="1"/>
      <protection locked="0"/>
    </xf>
    <xf numFmtId="179" fontId="15" fillId="5" borderId="1" xfId="0" applyNumberFormat="1" applyFont="1" applyFill="1" applyBorder="1" applyAlignment="1" applyProtection="1">
      <protection locked="0"/>
    </xf>
    <xf numFmtId="49" fontId="18" fillId="5" borderId="7" xfId="0" applyNumberFormat="1" applyFont="1" applyFill="1" applyBorder="1" applyAlignment="1" applyProtection="1">
      <alignment vertical="center"/>
      <protection locked="0"/>
    </xf>
    <xf numFmtId="182" fontId="15" fillId="5" borderId="7" xfId="0" applyFont="1" applyFill="1" applyBorder="1" applyAlignment="1" applyProtection="1">
      <alignment wrapText="1"/>
      <protection locked="0"/>
    </xf>
    <xf numFmtId="178" fontId="15" fillId="5" borderId="7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vertical="center"/>
      <protection locked="0"/>
    </xf>
    <xf numFmtId="182" fontId="15" fillId="5" borderId="5" xfId="0" applyFont="1" applyFill="1" applyBorder="1" applyAlignment="1" applyProtection="1">
      <alignment wrapText="1"/>
      <protection locked="0"/>
    </xf>
    <xf numFmtId="178" fontId="15" fillId="5" borderId="5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horizontal="left"/>
      <protection locked="0"/>
    </xf>
    <xf numFmtId="177" fontId="15" fillId="5" borderId="1" xfId="0" applyNumberFormat="1" applyFont="1" applyFill="1" applyBorder="1" applyAlignment="1" applyProtection="1">
      <protection locked="0"/>
    </xf>
    <xf numFmtId="182" fontId="15" fillId="5" borderId="0" xfId="0" applyFont="1" applyFill="1" applyAlignment="1" applyProtection="1">
      <alignment wrapText="1"/>
      <protection locked="0"/>
    </xf>
    <xf numFmtId="182" fontId="18" fillId="4" borderId="1" xfId="0" applyNumberFormat="1" applyFont="1" applyFill="1" applyBorder="1" applyAlignment="1" applyProtection="1">
      <protection locked="0"/>
    </xf>
    <xf numFmtId="178" fontId="19" fillId="4" borderId="1" xfId="0" applyNumberFormat="1" applyFont="1" applyFill="1" applyBorder="1" applyAlignment="1" applyProtection="1"/>
    <xf numFmtId="182" fontId="15" fillId="4" borderId="0" xfId="0" applyFont="1" applyFill="1" applyAlignment="1" applyProtection="1">
      <protection locked="0"/>
    </xf>
    <xf numFmtId="178" fontId="19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alignment wrapText="1"/>
      <protection locked="0"/>
    </xf>
    <xf numFmtId="182" fontId="22" fillId="4" borderId="0" xfId="0" applyFont="1" applyFill="1" applyAlignment="1">
      <alignment horizontal="center" vertical="center"/>
    </xf>
    <xf numFmtId="182" fontId="26" fillId="4" borderId="0" xfId="0" applyFont="1" applyFill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8" fillId="3" borderId="1" xfId="0" applyFont="1" applyFill="1" applyBorder="1" applyAlignment="1">
      <alignment horizontal="center" vertical="center" wrapText="1"/>
    </xf>
    <xf numFmtId="179" fontId="30" fillId="3" borderId="1" xfId="16" applyNumberFormat="1" applyFont="1" applyFill="1" applyBorder="1" applyAlignment="1">
      <alignment horizontal="center" vertical="center" wrapText="1"/>
    </xf>
    <xf numFmtId="179" fontId="30" fillId="3" borderId="1" xfId="0" applyNumberFormat="1" applyFont="1" applyFill="1" applyBorder="1" applyAlignment="1">
      <alignment horizontal="center" vertical="center" wrapText="1"/>
    </xf>
    <xf numFmtId="182" fontId="30" fillId="3" borderId="1" xfId="0" applyFont="1" applyFill="1" applyBorder="1" applyAlignment="1">
      <alignment horizontal="center" vertical="center" wrapText="1"/>
    </xf>
    <xf numFmtId="182" fontId="31" fillId="3" borderId="1" xfId="0" applyFont="1" applyFill="1" applyBorder="1" applyAlignment="1">
      <alignment horizontal="center" vertical="center" wrapText="1"/>
    </xf>
    <xf numFmtId="182" fontId="28" fillId="3" borderId="1" xfId="0" applyFont="1" applyFill="1" applyBorder="1" applyAlignment="1">
      <alignment horizontal="center" vertical="center"/>
    </xf>
    <xf numFmtId="182" fontId="29" fillId="3" borderId="1" xfId="0" applyFont="1" applyFill="1" applyBorder="1" applyAlignment="1">
      <alignment horizontal="center" vertical="center" wrapText="1"/>
    </xf>
    <xf numFmtId="182" fontId="32" fillId="3" borderId="1" xfId="0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/>
    </xf>
    <xf numFmtId="179" fontId="34" fillId="4" borderId="1" xfId="16" applyNumberFormat="1" applyFont="1" applyFill="1" applyBorder="1" applyAlignment="1">
      <alignment horizontal="center" vertical="center"/>
    </xf>
    <xf numFmtId="43" fontId="34" fillId="4" borderId="1" xfId="16" applyFont="1" applyFill="1" applyBorder="1" applyAlignment="1">
      <alignment horizontal="center" vertical="center"/>
    </xf>
    <xf numFmtId="182" fontId="26" fillId="4" borderId="1" xfId="0" applyFont="1" applyFill="1" applyBorder="1" applyAlignment="1">
      <alignment horizontal="center" vertical="center"/>
    </xf>
    <xf numFmtId="43" fontId="26" fillId="4" borderId="1" xfId="0" applyNumberFormat="1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 wrapText="1"/>
    </xf>
    <xf numFmtId="182" fontId="33" fillId="2" borderId="1" xfId="0" applyFont="1" applyFill="1" applyBorder="1" applyAlignment="1">
      <alignment horizontal="center" vertical="center"/>
    </xf>
    <xf numFmtId="177" fontId="34" fillId="4" borderId="1" xfId="0" applyNumberFormat="1" applyFont="1" applyFill="1" applyBorder="1" applyAlignment="1">
      <alignment horizontal="right" vertical="center"/>
    </xf>
    <xf numFmtId="182" fontId="2" fillId="4" borderId="1" xfId="0" applyFont="1" applyFill="1" applyBorder="1" applyAlignment="1">
      <alignment horizontal="center" vertical="center" wrapText="1"/>
    </xf>
    <xf numFmtId="179" fontId="26" fillId="4" borderId="0" xfId="16" applyNumberFormat="1" applyFont="1" applyFill="1" applyAlignment="1">
      <alignment horizontal="center" vertical="center"/>
    </xf>
    <xf numFmtId="179" fontId="26" fillId="4" borderId="0" xfId="0" applyNumberFormat="1" applyFont="1" applyFill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4" fillId="4" borderId="0" xfId="0" applyFont="1" applyFill="1" applyAlignment="1">
      <alignment horizontal="center" vertical="center"/>
    </xf>
    <xf numFmtId="178" fontId="19" fillId="6" borderId="1" xfId="0" applyNumberFormat="1" applyFont="1" applyFill="1" applyBorder="1" applyAlignment="1" applyProtection="1">
      <protection locked="0"/>
    </xf>
    <xf numFmtId="9" fontId="15" fillId="5" borderId="0" xfId="0" applyNumberFormat="1" applyFont="1" applyFill="1" applyAlignment="1" applyProtection="1">
      <protection locked="0"/>
    </xf>
    <xf numFmtId="178" fontId="19" fillId="5" borderId="1" xfId="0" applyNumberFormat="1" applyFont="1" applyFill="1" applyBorder="1" applyAlignment="1" applyProtection="1">
      <alignment vertical="center"/>
      <protection locked="0"/>
    </xf>
    <xf numFmtId="178" fontId="15" fillId="5" borderId="1" xfId="0" applyNumberFormat="1" applyFont="1" applyFill="1" applyBorder="1" applyAlignment="1" applyProtection="1">
      <alignment vertical="center"/>
      <protection locked="0"/>
    </xf>
    <xf numFmtId="182" fontId="17" fillId="5" borderId="1" xfId="18" applyNumberFormat="1" applyFont="1" applyFill="1" applyBorder="1" applyAlignment="1" applyProtection="1">
      <alignment horizontal="center" vertical="center" wrapText="1"/>
      <protection locked="0"/>
    </xf>
    <xf numFmtId="177" fontId="19" fillId="5" borderId="1" xfId="0" applyNumberFormat="1" applyFont="1" applyFill="1" applyBorder="1" applyAlignment="1" applyProtection="1"/>
    <xf numFmtId="180" fontId="15" fillId="5" borderId="0" xfId="0" applyNumberFormat="1" applyFont="1" applyFill="1" applyAlignment="1" applyProtection="1">
      <protection locked="0"/>
    </xf>
    <xf numFmtId="178" fontId="19" fillId="5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/>
    <xf numFmtId="178" fontId="19" fillId="5" borderId="1" xfId="18" applyNumberFormat="1" applyFont="1" applyFill="1" applyBorder="1" applyAlignment="1" applyProtection="1"/>
    <xf numFmtId="178" fontId="19" fillId="0" borderId="1" xfId="18" applyNumberFormat="1" applyFont="1" applyFill="1" applyBorder="1" applyAlignment="1" applyProtection="1"/>
    <xf numFmtId="178" fontId="19" fillId="7" borderId="1" xfId="0" applyNumberFormat="1" applyFont="1" applyFill="1" applyBorder="1" applyAlignment="1" applyProtection="1"/>
    <xf numFmtId="182" fontId="18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alignment wrapText="1"/>
      <protection locked="0"/>
    </xf>
    <xf numFmtId="177" fontId="19" fillId="7" borderId="1" xfId="0" applyNumberFormat="1" applyFont="1" applyFill="1" applyBorder="1" applyAlignment="1" applyProtection="1"/>
    <xf numFmtId="182" fontId="19" fillId="7" borderId="0" xfId="0" applyFont="1" applyFill="1" applyAlignment="1" applyProtection="1">
      <protection locked="0"/>
    </xf>
    <xf numFmtId="178" fontId="15" fillId="6" borderId="1" xfId="0" applyNumberFormat="1" applyFont="1" applyFill="1" applyBorder="1" applyAlignment="1" applyProtection="1"/>
    <xf numFmtId="178" fontId="19" fillId="6" borderId="1" xfId="0" applyNumberFormat="1" applyFont="1" applyFill="1" applyBorder="1" applyAlignment="1" applyProtection="1"/>
    <xf numFmtId="177" fontId="15" fillId="6" borderId="1" xfId="18" applyNumberFormat="1" applyFont="1" applyFill="1" applyBorder="1" applyAlignment="1" applyProtection="1">
      <protection locked="0"/>
    </xf>
    <xf numFmtId="177" fontId="19" fillId="6" borderId="1" xfId="18" applyNumberFormat="1" applyFont="1" applyFill="1" applyBorder="1" applyAlignment="1" applyProtection="1">
      <protection locked="0"/>
    </xf>
    <xf numFmtId="177" fontId="19" fillId="7" borderId="1" xfId="0" applyNumberFormat="1" applyFont="1" applyFill="1" applyBorder="1" applyAlignment="1" applyProtection="1">
      <protection locked="0"/>
    </xf>
    <xf numFmtId="177" fontId="19" fillId="7" borderId="1" xfId="18" applyNumberFormat="1" applyFont="1" applyFill="1" applyBorder="1" applyAlignment="1" applyProtection="1">
      <protection locked="0"/>
    </xf>
    <xf numFmtId="177" fontId="19" fillId="6" borderId="1" xfId="0" applyNumberFormat="1" applyFont="1" applyFill="1" applyBorder="1" applyAlignment="1" applyProtection="1">
      <protection locked="0"/>
    </xf>
    <xf numFmtId="178" fontId="15" fillId="0" borderId="1" xfId="0" applyNumberFormat="1" applyFont="1" applyFill="1" applyBorder="1" applyAlignment="1" applyProtection="1">
      <protection locked="0"/>
    </xf>
    <xf numFmtId="178" fontId="15" fillId="5" borderId="1" xfId="18" applyNumberFormat="1" applyFont="1" applyFill="1" applyBorder="1" applyAlignment="1" applyProtection="1">
      <protection locked="0"/>
    </xf>
    <xf numFmtId="178" fontId="15" fillId="0" borderId="1" xfId="18" applyNumberFormat="1" applyFont="1" applyFill="1" applyBorder="1" applyAlignment="1" applyProtection="1">
      <protection locked="0"/>
    </xf>
    <xf numFmtId="43" fontId="23" fillId="0" borderId="1" xfId="17" applyNumberFormat="1" applyFont="1" applyFill="1" applyBorder="1" applyAlignment="1" applyProtection="1">
      <alignment horizontal="right" vertical="center" shrinkToFit="1"/>
      <protection locked="0"/>
    </xf>
    <xf numFmtId="178" fontId="15" fillId="0" borderId="1" xfId="0" applyNumberFormat="1" applyFont="1" applyFill="1" applyBorder="1" applyAlignment="1" applyProtection="1"/>
    <xf numFmtId="179" fontId="19" fillId="0" borderId="1" xfId="0" applyNumberFormat="1" applyFont="1" applyFill="1" applyBorder="1" applyAlignment="1" applyProtection="1">
      <protection locked="0"/>
    </xf>
    <xf numFmtId="179" fontId="19" fillId="5" borderId="1" xfId="18" applyNumberFormat="1" applyFont="1" applyFill="1" applyBorder="1" applyAlignment="1" applyProtection="1">
      <protection locked="0"/>
    </xf>
    <xf numFmtId="179" fontId="19" fillId="0" borderId="1" xfId="18" applyNumberFormat="1" applyFont="1" applyFill="1" applyBorder="1" applyAlignment="1" applyProtection="1">
      <protection locked="0"/>
    </xf>
    <xf numFmtId="178" fontId="19" fillId="0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alignment wrapText="1"/>
      <protection locked="0"/>
    </xf>
    <xf numFmtId="182" fontId="15" fillId="7" borderId="0" xfId="0" applyFont="1" applyFill="1" applyAlignment="1" applyProtection="1">
      <protection locked="0"/>
    </xf>
    <xf numFmtId="178" fontId="19" fillId="8" borderId="1" xfId="0" applyNumberFormat="1" applyFont="1" applyFill="1" applyBorder="1" applyAlignment="1" applyProtection="1">
      <protection locked="0"/>
    </xf>
    <xf numFmtId="182" fontId="18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alignment wrapText="1"/>
      <protection locked="0"/>
    </xf>
    <xf numFmtId="177" fontId="19" fillId="6" borderId="1" xfId="0" applyNumberFormat="1" applyFont="1" applyFill="1" applyBorder="1" applyAlignment="1" applyProtection="1"/>
    <xf numFmtId="182" fontId="19" fillId="6" borderId="2" xfId="0" applyFont="1" applyFill="1" applyBorder="1" applyAlignment="1" applyProtection="1">
      <protection locked="0"/>
    </xf>
    <xf numFmtId="182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wrapText="1"/>
      <protection locked="0"/>
    </xf>
    <xf numFmtId="178" fontId="19" fillId="5" borderId="5" xfId="0" applyNumberFormat="1" applyFont="1" applyFill="1" applyBorder="1" applyAlignment="1" applyProtection="1"/>
    <xf numFmtId="177" fontId="19" fillId="5" borderId="5" xfId="0" applyNumberFormat="1" applyFont="1" applyFill="1" applyBorder="1" applyAlignment="1" applyProtection="1"/>
    <xf numFmtId="179" fontId="15" fillId="5" borderId="1" xfId="18" applyNumberFormat="1" applyFont="1" applyFill="1" applyBorder="1" applyAlignment="1" applyProtection="1">
      <protection locked="0"/>
    </xf>
    <xf numFmtId="178" fontId="15" fillId="5" borderId="7" xfId="18" applyNumberFormat="1" applyFont="1" applyFill="1" applyBorder="1" applyAlignment="1" applyProtection="1">
      <protection locked="0"/>
    </xf>
    <xf numFmtId="178" fontId="15" fillId="5" borderId="5" xfId="18" applyNumberFormat="1" applyFont="1" applyFill="1" applyBorder="1" applyAlignment="1" applyProtection="1">
      <protection locked="0"/>
    </xf>
    <xf numFmtId="177" fontId="15" fillId="5" borderId="1" xfId="18" applyNumberFormat="1" applyFont="1" applyFill="1" applyBorder="1" applyProtection="1">
      <protection locked="0"/>
    </xf>
    <xf numFmtId="182" fontId="24" fillId="0" borderId="0" xfId="0" applyFont="1" applyFill="1" applyAlignment="1"/>
    <xf numFmtId="182" fontId="0" fillId="9" borderId="1" xfId="0" applyFill="1" applyBorder="1" applyAlignment="1" applyProtection="1">
      <alignment horizontal="center" vertical="center"/>
      <protection locked="0"/>
    </xf>
    <xf numFmtId="178" fontId="15" fillId="5" borderId="0" xfId="0" applyNumberFormat="1" applyFont="1" applyFill="1" applyAlignment="1" applyProtection="1">
      <protection locked="0"/>
    </xf>
    <xf numFmtId="178" fontId="19" fillId="10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protection locked="0"/>
    </xf>
    <xf numFmtId="182" fontId="37" fillId="5" borderId="1" xfId="0" applyNumberFormat="1" applyFont="1" applyFill="1" applyBorder="1" applyAlignment="1" applyProtection="1">
      <alignment horizontal="center" vertical="center"/>
      <protection locked="0"/>
    </xf>
    <xf numFmtId="182" fontId="3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2" fillId="5" borderId="0" xfId="0" applyFont="1" applyFill="1" applyAlignment="1" applyProtection="1">
      <alignment horizontal="center"/>
      <protection locked="0"/>
    </xf>
    <xf numFmtId="182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wrapText="1"/>
      <protection locked="0"/>
    </xf>
    <xf numFmtId="178" fontId="39" fillId="5" borderId="1" xfId="0" applyNumberFormat="1" applyFont="1" applyFill="1" applyBorder="1" applyAlignment="1" applyProtection="1"/>
    <xf numFmtId="178" fontId="2" fillId="5" borderId="0" xfId="0" applyNumberFormat="1" applyFont="1" applyFill="1" applyAlignment="1" applyProtection="1">
      <protection locked="0"/>
    </xf>
    <xf numFmtId="178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alignment wrapText="1"/>
      <protection locked="0"/>
    </xf>
    <xf numFmtId="182" fontId="39" fillId="5" borderId="0" xfId="0" applyFont="1" applyFill="1" applyAlignment="1" applyProtection="1">
      <protection locked="0"/>
    </xf>
    <xf numFmtId="49" fontId="2" fillId="5" borderId="1" xfId="0" applyNumberFormat="1" applyFont="1" applyFill="1" applyBorder="1" applyAlignment="1" applyProtection="1">
      <protection locked="0"/>
    </xf>
    <xf numFmtId="49" fontId="2" fillId="5" borderId="1" xfId="0" applyNumberFormat="1" applyFont="1" applyFill="1" applyBorder="1" applyAlignment="1" applyProtection="1">
      <alignment wrapText="1"/>
      <protection locked="0"/>
    </xf>
    <xf numFmtId="178" fontId="2" fillId="5" borderId="1" xfId="0" applyNumberFormat="1" applyFont="1" applyFill="1" applyBorder="1" applyAlignment="1" applyProtection="1">
      <protection locked="0"/>
    </xf>
    <xf numFmtId="178" fontId="2" fillId="5" borderId="6" xfId="0" applyNumberFormat="1" applyFont="1" applyFill="1" applyBorder="1" applyAlignment="1" applyProtection="1">
      <protection locked="0"/>
    </xf>
    <xf numFmtId="178" fontId="2" fillId="5" borderId="1" xfId="0" applyNumberFormat="1" applyFont="1" applyFill="1" applyBorder="1" applyAlignment="1" applyProtection="1"/>
    <xf numFmtId="179" fontId="39" fillId="5" borderId="1" xfId="0" applyNumberFormat="1" applyFont="1" applyFill="1" applyBorder="1" applyAlignment="1" applyProtection="1">
      <protection locked="0"/>
    </xf>
    <xf numFmtId="182" fontId="2" fillId="5" borderId="1" xfId="0" applyFont="1" applyFill="1" applyBorder="1" applyAlignment="1" applyProtection="1">
      <alignment wrapText="1"/>
      <protection locked="0"/>
    </xf>
    <xf numFmtId="182" fontId="39" fillId="5" borderId="1" xfId="0" applyFont="1" applyFill="1" applyBorder="1" applyAlignment="1" applyProtection="1">
      <alignment wrapText="1"/>
      <protection locked="0"/>
    </xf>
    <xf numFmtId="179" fontId="2" fillId="5" borderId="1" xfId="0" applyNumberFormat="1" applyFont="1" applyFill="1" applyBorder="1" applyAlignment="1" applyProtection="1">
      <protection locked="0"/>
    </xf>
    <xf numFmtId="49" fontId="38" fillId="5" borderId="7" xfId="0" applyNumberFormat="1" applyFont="1" applyFill="1" applyBorder="1" applyAlignment="1" applyProtection="1">
      <alignment vertical="center"/>
      <protection locked="0"/>
    </xf>
    <xf numFmtId="182" fontId="2" fillId="5" borderId="7" xfId="0" applyFont="1" applyFill="1" applyBorder="1" applyAlignment="1" applyProtection="1">
      <alignment wrapText="1"/>
      <protection locked="0"/>
    </xf>
    <xf numFmtId="178" fontId="2" fillId="5" borderId="7" xfId="0" applyNumberFormat="1" applyFont="1" applyFill="1" applyBorder="1" applyAlignment="1" applyProtection="1">
      <protection locked="0"/>
    </xf>
    <xf numFmtId="49" fontId="38" fillId="5" borderId="5" xfId="0" applyNumberFormat="1" applyFont="1" applyFill="1" applyBorder="1" applyAlignment="1" applyProtection="1">
      <alignment vertical="center"/>
      <protection locked="0"/>
    </xf>
    <xf numFmtId="182" fontId="2" fillId="5" borderId="5" xfId="0" applyFont="1" applyFill="1" applyBorder="1" applyAlignment="1" applyProtection="1">
      <alignment wrapText="1"/>
      <protection locked="0"/>
    </xf>
    <xf numFmtId="178" fontId="2" fillId="5" borderId="5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horizontal="left"/>
      <protection locked="0"/>
    </xf>
    <xf numFmtId="177" fontId="2" fillId="5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alignment wrapText="1"/>
      <protection locked="0"/>
    </xf>
    <xf numFmtId="49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5" borderId="1" xfId="0" applyNumberFormat="1" applyFont="1" applyFill="1" applyBorder="1" applyAlignment="1" applyProtection="1">
      <alignment horizontal="left" wrapText="1"/>
      <protection locked="0"/>
    </xf>
    <xf numFmtId="49" fontId="15" fillId="5" borderId="7" xfId="0" applyNumberFormat="1" applyFont="1" applyFill="1" applyBorder="1" applyAlignment="1" applyProtection="1">
      <alignment wrapText="1"/>
      <protection locked="0"/>
    </xf>
    <xf numFmtId="49" fontId="15" fillId="5" borderId="5" xfId="0" applyNumberFormat="1" applyFont="1" applyFill="1" applyBorder="1" applyAlignment="1" applyProtection="1">
      <alignment wrapText="1"/>
      <protection locked="0"/>
    </xf>
    <xf numFmtId="0" fontId="81" fillId="0" borderId="1" xfId="0" applyNumberFormat="1" applyFont="1" applyBorder="1" applyAlignment="1">
      <alignment horizontal="center" vertical="center"/>
    </xf>
    <xf numFmtId="0" fontId="81" fillId="0" borderId="1" xfId="0" applyNumberFormat="1" applyFont="1" applyFill="1" applyBorder="1" applyAlignment="1">
      <alignment horizontal="center" vertical="center"/>
    </xf>
    <xf numFmtId="177" fontId="83" fillId="0" borderId="1" xfId="0" applyNumberFormat="1" applyFont="1" applyBorder="1">
      <alignment vertical="center"/>
    </xf>
    <xf numFmtId="177" fontId="81" fillId="0" borderId="1" xfId="0" applyNumberFormat="1" applyFont="1" applyBorder="1">
      <alignment vertical="center"/>
    </xf>
    <xf numFmtId="0" fontId="84" fillId="0" borderId="0" xfId="0" applyNumberFormat="1" applyFont="1">
      <alignment vertical="center"/>
    </xf>
    <xf numFmtId="0" fontId="84" fillId="0" borderId="0" xfId="0" applyNumberFormat="1" applyFont="1" applyAlignment="1">
      <alignment horizontal="center" vertical="center"/>
    </xf>
    <xf numFmtId="0" fontId="81" fillId="0" borderId="27" xfId="0" applyNumberFormat="1" applyFont="1" applyBorder="1" applyAlignment="1">
      <alignment horizontal="center" vertical="center"/>
    </xf>
    <xf numFmtId="177" fontId="83" fillId="0" borderId="27" xfId="0" applyNumberFormat="1" applyFont="1" applyBorder="1">
      <alignment vertical="center"/>
    </xf>
    <xf numFmtId="182" fontId="89" fillId="0" borderId="0" xfId="0" applyNumberFormat="1" applyFont="1" applyFill="1">
      <alignment vertical="center"/>
    </xf>
    <xf numFmtId="184" fontId="86" fillId="0" borderId="28" xfId="0" applyNumberFormat="1" applyFont="1" applyFill="1" applyBorder="1" applyAlignment="1">
      <alignment horizontal="center" vertical="center"/>
    </xf>
    <xf numFmtId="182" fontId="86" fillId="0" borderId="28" xfId="0" applyNumberFormat="1" applyFont="1" applyFill="1" applyBorder="1" applyAlignment="1">
      <alignment horizontal="center" vertical="center" wrapText="1"/>
    </xf>
    <xf numFmtId="182" fontId="90" fillId="0" borderId="28" xfId="0" applyNumberFormat="1" applyFont="1" applyFill="1" applyBorder="1" applyAlignment="1">
      <alignment horizontal="center" vertical="center" wrapText="1"/>
    </xf>
    <xf numFmtId="182" fontId="86" fillId="0" borderId="28" xfId="0" applyNumberFormat="1" applyFont="1" applyFill="1" applyBorder="1" applyAlignment="1">
      <alignment horizontal="center" vertical="center"/>
    </xf>
    <xf numFmtId="179" fontId="86" fillId="0" borderId="28" xfId="0" applyNumberFormat="1" applyFont="1" applyFill="1" applyBorder="1" applyAlignment="1">
      <alignment horizontal="center" vertical="center"/>
    </xf>
    <xf numFmtId="177" fontId="86" fillId="0" borderId="28" xfId="0" applyNumberFormat="1" applyFont="1" applyFill="1" applyBorder="1" applyAlignment="1">
      <alignment horizontal="center" vertical="center"/>
    </xf>
    <xf numFmtId="182" fontId="91" fillId="0" borderId="0" xfId="0" applyNumberFormat="1" applyFont="1" applyFill="1">
      <alignment vertical="center"/>
    </xf>
    <xf numFmtId="0" fontId="23" fillId="0" borderId="1" xfId="5455" applyNumberFormat="1" applyFont="1" applyFill="1" applyBorder="1" applyAlignment="1">
      <alignment horizontal="center" vertical="center" wrapText="1"/>
    </xf>
    <xf numFmtId="0" fontId="4" fillId="0" borderId="1" xfId="5455" applyNumberFormat="1" applyFont="1" applyFill="1" applyBorder="1" applyAlignment="1">
      <alignment horizontal="center" vertical="center" wrapText="1"/>
    </xf>
    <xf numFmtId="0" fontId="23" fillId="0" borderId="1" xfId="5455" applyNumberFormat="1" applyFont="1" applyFill="1" applyBorder="1" applyAlignment="1">
      <alignment vertical="center" wrapText="1"/>
    </xf>
    <xf numFmtId="182" fontId="23" fillId="0" borderId="1" xfId="9189" applyNumberFormat="1" applyFont="1" applyFill="1" applyBorder="1" applyAlignment="1">
      <alignment horizontal="left" vertical="center" wrapText="1"/>
    </xf>
    <xf numFmtId="0" fontId="23" fillId="0" borderId="1" xfId="9189" applyNumberFormat="1" applyFont="1" applyFill="1" applyBorder="1" applyAlignment="1">
      <alignment horizontal="left" vertical="center" wrapText="1"/>
    </xf>
    <xf numFmtId="0" fontId="23" fillId="0" borderId="1" xfId="9329" applyFont="1" applyFill="1" applyBorder="1" applyAlignment="1">
      <alignment horizontal="left" vertical="center" wrapText="1"/>
    </xf>
    <xf numFmtId="184" fontId="23" fillId="0" borderId="1" xfId="9329" applyNumberFormat="1" applyFont="1" applyFill="1" applyBorder="1" applyAlignment="1">
      <alignment horizontal="left" vertical="center" wrapText="1"/>
    </xf>
    <xf numFmtId="177" fontId="23" fillId="0" borderId="1" xfId="9329" applyNumberFormat="1" applyFont="1" applyFill="1" applyBorder="1" applyAlignment="1">
      <alignment horizontal="right" vertical="center" wrapText="1"/>
    </xf>
    <xf numFmtId="0" fontId="23" fillId="0" borderId="1" xfId="9330" applyFont="1" applyFill="1" applyBorder="1" applyAlignment="1">
      <alignment horizontal="center" vertical="center" wrapText="1"/>
    </xf>
    <xf numFmtId="177" fontId="23" fillId="0" borderId="1" xfId="9189" applyNumberFormat="1" applyFont="1" applyFill="1" applyBorder="1" applyAlignment="1">
      <alignment horizontal="right" vertical="center" wrapText="1"/>
    </xf>
    <xf numFmtId="0" fontId="23" fillId="0" borderId="1" xfId="0" applyNumberFormat="1" applyFont="1" applyFill="1" applyBorder="1" applyAlignment="1">
      <alignment horizontal="left" vertical="center" wrapText="1"/>
    </xf>
    <xf numFmtId="177" fontId="23" fillId="0" borderId="0" xfId="0" applyNumberFormat="1" applyFont="1" applyFill="1" applyAlignment="1">
      <alignment horizontal="center" vertical="center"/>
    </xf>
    <xf numFmtId="0" fontId="23" fillId="0" borderId="0" xfId="0" applyNumberFormat="1" applyFont="1" applyFill="1">
      <alignment vertical="center"/>
    </xf>
    <xf numFmtId="177" fontId="23" fillId="0" borderId="1" xfId="9330" applyNumberFormat="1" applyFont="1" applyFill="1" applyBorder="1" applyAlignment="1">
      <alignment horizontal="right" vertical="center" wrapText="1"/>
    </xf>
    <xf numFmtId="0" fontId="4" fillId="0" borderId="1" xfId="9329" applyFont="1" applyFill="1" applyBorder="1" applyAlignment="1">
      <alignment horizontal="left" vertical="center" wrapText="1"/>
    </xf>
    <xf numFmtId="184" fontId="23" fillId="0" borderId="1" xfId="9330" applyNumberFormat="1" applyFont="1" applyFill="1" applyBorder="1" applyAlignment="1">
      <alignment horizontal="left" vertical="center" wrapText="1"/>
    </xf>
    <xf numFmtId="182" fontId="23" fillId="0" borderId="1" xfId="0" applyNumberFormat="1" applyFont="1" applyFill="1" applyBorder="1" applyAlignment="1">
      <alignment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3" fillId="0" borderId="1" xfId="9329" applyNumberFormat="1" applyFont="1" applyFill="1" applyBorder="1" applyAlignment="1">
      <alignment horizontal="left" vertical="center" wrapText="1"/>
    </xf>
    <xf numFmtId="179" fontId="23" fillId="0" borderId="1" xfId="0" applyNumberFormat="1" applyFont="1" applyFill="1" applyBorder="1" applyAlignment="1">
      <alignment horizontal="right" vertical="center" wrapText="1"/>
    </xf>
    <xf numFmtId="0" fontId="86" fillId="0" borderId="1" xfId="5455" applyNumberFormat="1" applyFont="1" applyFill="1" applyBorder="1" applyAlignment="1">
      <alignment horizontal="center" vertical="center" wrapText="1"/>
    </xf>
    <xf numFmtId="182" fontId="93" fillId="0" borderId="0" xfId="0" applyNumberFormat="1" applyFont="1" applyFill="1" applyAlignment="1">
      <alignment horizontal="center" vertical="center"/>
    </xf>
    <xf numFmtId="0" fontId="23" fillId="0" borderId="1" xfId="9331" applyNumberFormat="1" applyFont="1" applyFill="1" applyBorder="1" applyAlignment="1">
      <alignment vertical="center" wrapText="1"/>
    </xf>
    <xf numFmtId="0" fontId="94" fillId="0" borderId="1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179" fontId="23" fillId="0" borderId="5" xfId="0" applyNumberFormat="1" applyFont="1" applyFill="1" applyBorder="1" applyAlignment="1">
      <alignment horizontal="right" vertical="center" wrapText="1"/>
    </xf>
    <xf numFmtId="0" fontId="23" fillId="0" borderId="5" xfId="0" applyNumberFormat="1" applyFont="1" applyFill="1" applyBorder="1" applyAlignment="1">
      <alignment horizontal="center" vertical="center" wrapText="1"/>
    </xf>
    <xf numFmtId="0" fontId="94" fillId="0" borderId="1" xfId="0" applyNumberFormat="1" applyFont="1" applyFill="1" applyBorder="1" applyAlignment="1">
      <alignment horizontal="left" vertical="center" wrapText="1"/>
    </xf>
    <xf numFmtId="184" fontId="23" fillId="0" borderId="5" xfId="0" applyNumberFormat="1" applyFont="1" applyFill="1" applyBorder="1" applyAlignment="1">
      <alignment horizontal="center" vertical="center" wrapText="1"/>
    </xf>
    <xf numFmtId="184" fontId="91" fillId="0" borderId="0" xfId="0" applyNumberFormat="1" applyFont="1" applyFill="1" applyAlignment="1">
      <alignment horizontal="center" vertical="center"/>
    </xf>
    <xf numFmtId="182" fontId="96" fillId="0" borderId="0" xfId="0" applyNumberFormat="1" applyFont="1" applyFill="1" applyAlignment="1">
      <alignment horizontal="center" vertical="center" wrapText="1"/>
    </xf>
    <xf numFmtId="182" fontId="96" fillId="0" borderId="0" xfId="0" applyNumberFormat="1" applyFont="1" applyFill="1" applyAlignment="1">
      <alignment horizontal="left" vertical="center"/>
    </xf>
    <xf numFmtId="182" fontId="96" fillId="0" borderId="0" xfId="0" applyNumberFormat="1" applyFont="1" applyFill="1" applyAlignment="1">
      <alignment horizontal="left" vertical="center" wrapText="1"/>
    </xf>
    <xf numFmtId="179" fontId="96" fillId="0" borderId="0" xfId="0" applyNumberFormat="1" applyFont="1" applyFill="1" applyAlignment="1">
      <alignment horizontal="right" vertical="center"/>
    </xf>
    <xf numFmtId="184" fontId="96" fillId="0" borderId="0" xfId="0" applyNumberFormat="1" applyFont="1" applyFill="1" applyAlignment="1">
      <alignment horizontal="center" vertical="center"/>
    </xf>
    <xf numFmtId="177" fontId="96" fillId="0" borderId="0" xfId="0" applyNumberFormat="1" applyFont="1" applyFill="1" applyAlignment="1">
      <alignment horizontal="center" vertical="center"/>
    </xf>
    <xf numFmtId="0" fontId="98" fillId="0" borderId="0" xfId="0" applyNumberFormat="1" applyFont="1" applyFill="1" applyAlignment="1">
      <alignment horizontal="center" vertical="center" wrapText="1"/>
    </xf>
    <xf numFmtId="0" fontId="99" fillId="0" borderId="1" xfId="0" applyNumberFormat="1" applyFont="1" applyFill="1" applyBorder="1" applyAlignment="1">
      <alignment horizontal="center" vertical="center" wrapText="1"/>
    </xf>
    <xf numFmtId="0" fontId="100" fillId="0" borderId="1" xfId="0" applyNumberFormat="1" applyFont="1" applyFill="1" applyBorder="1" applyAlignment="1">
      <alignment horizontal="center" vertical="center" wrapText="1"/>
    </xf>
    <xf numFmtId="184" fontId="4" fillId="0" borderId="1" xfId="4430" applyNumberFormat="1" applyFont="1" applyFill="1" applyBorder="1" applyAlignment="1">
      <alignment horizontal="center" vertical="center" wrapText="1"/>
    </xf>
    <xf numFmtId="0" fontId="4" fillId="0" borderId="1" xfId="4430" applyNumberFormat="1" applyFont="1" applyFill="1" applyBorder="1" applyAlignment="1">
      <alignment horizontal="center" vertical="center" wrapText="1"/>
    </xf>
    <xf numFmtId="0" fontId="100" fillId="0" borderId="1" xfId="0" applyNumberFormat="1" applyFont="1" applyBorder="1" applyAlignment="1">
      <alignment horizontal="center" vertical="center" wrapText="1"/>
    </xf>
    <xf numFmtId="0" fontId="100" fillId="4" borderId="1" xfId="0" applyNumberFormat="1" applyFont="1" applyFill="1" applyBorder="1" applyAlignment="1">
      <alignment horizontal="center" vertical="center"/>
    </xf>
    <xf numFmtId="0" fontId="100" fillId="0" borderId="1" xfId="0" applyNumberFormat="1" applyFont="1" applyBorder="1" applyAlignment="1">
      <alignment horizontal="center" vertical="center"/>
    </xf>
    <xf numFmtId="0" fontId="102" fillId="0" borderId="0" xfId="0" applyNumberFormat="1" applyFont="1" applyFill="1" applyBorder="1" applyAlignment="1">
      <alignment horizontal="center" vertical="center" wrapText="1"/>
    </xf>
    <xf numFmtId="0" fontId="104" fillId="4" borderId="0" xfId="0" applyNumberFormat="1" applyFont="1" applyFill="1" applyAlignment="1">
      <alignment horizontal="center" vertical="center"/>
    </xf>
    <xf numFmtId="0" fontId="104" fillId="4" borderId="0" xfId="0" applyNumberFormat="1" applyFont="1" applyFill="1" applyAlignment="1">
      <alignment vertical="center"/>
    </xf>
    <xf numFmtId="0" fontId="104" fillId="4" borderId="0" xfId="0" applyNumberFormat="1" applyFont="1" applyFill="1">
      <alignment vertical="center"/>
    </xf>
    <xf numFmtId="0" fontId="107" fillId="4" borderId="0" xfId="0" applyNumberFormat="1" applyFont="1" applyFill="1" applyAlignment="1">
      <alignment horizontal="center" vertical="center"/>
    </xf>
    <xf numFmtId="0" fontId="0" fillId="4" borderId="0" xfId="0" applyNumberFormat="1" applyFill="1" applyAlignment="1">
      <alignment vertical="center"/>
    </xf>
    <xf numFmtId="0" fontId="106" fillId="4" borderId="1" xfId="4449" applyNumberFormat="1" applyFont="1" applyFill="1" applyBorder="1" applyAlignment="1" applyProtection="1">
      <alignment horizontal="center" vertical="center" wrapText="1"/>
    </xf>
    <xf numFmtId="184" fontId="106" fillId="4" borderId="1" xfId="4449" applyNumberFormat="1" applyFont="1" applyFill="1" applyBorder="1" applyAlignment="1" applyProtection="1">
      <alignment horizontal="center" vertical="center" wrapText="1"/>
    </xf>
    <xf numFmtId="0" fontId="106" fillId="4" borderId="1" xfId="0" applyNumberFormat="1" applyFont="1" applyFill="1" applyBorder="1" applyAlignment="1" applyProtection="1">
      <alignment horizontal="center" vertical="center" wrapText="1"/>
    </xf>
    <xf numFmtId="179" fontId="106" fillId="4" borderId="1" xfId="0" applyNumberFormat="1" applyFont="1" applyFill="1" applyBorder="1" applyAlignment="1" applyProtection="1">
      <alignment horizontal="center" vertical="center" wrapText="1"/>
    </xf>
    <xf numFmtId="0" fontId="108" fillId="4" borderId="0" xfId="0" applyNumberFormat="1" applyFont="1" applyFill="1" applyAlignment="1">
      <alignment horizontal="center" vertical="center"/>
    </xf>
    <xf numFmtId="0" fontId="109" fillId="4" borderId="1" xfId="9332" applyFont="1" applyFill="1" applyBorder="1" applyAlignment="1" applyProtection="1">
      <alignment horizontal="center" vertical="center" wrapText="1"/>
    </xf>
    <xf numFmtId="179" fontId="109" fillId="4" borderId="1" xfId="9332" applyNumberFormat="1" applyFont="1" applyFill="1" applyBorder="1" applyAlignment="1" applyProtection="1">
      <alignment horizontal="center" vertical="center" wrapText="1"/>
    </xf>
    <xf numFmtId="179" fontId="109" fillId="4" borderId="1" xfId="9328" applyNumberFormat="1" applyFont="1" applyFill="1" applyBorder="1" applyAlignment="1" applyProtection="1">
      <alignment horizontal="center" vertical="center" wrapText="1"/>
    </xf>
    <xf numFmtId="0" fontId="109" fillId="4" borderId="0" xfId="4283" applyNumberFormat="1" applyFont="1" applyFill="1" applyAlignment="1">
      <alignment horizontal="center" vertical="center"/>
    </xf>
    <xf numFmtId="179" fontId="109" fillId="4" borderId="1" xfId="9332" applyNumberFormat="1" applyFont="1" applyFill="1" applyBorder="1" applyAlignment="1" applyProtection="1">
      <alignment vertical="center" wrapText="1"/>
    </xf>
    <xf numFmtId="179" fontId="109" fillId="4" borderId="1" xfId="9328" applyNumberFormat="1" applyFont="1" applyFill="1" applyBorder="1" applyAlignment="1" applyProtection="1">
      <alignment vertical="center" wrapText="1"/>
    </xf>
    <xf numFmtId="0" fontId="109" fillId="4" borderId="1" xfId="0" applyNumberFormat="1" applyFont="1" applyFill="1" applyBorder="1" applyAlignment="1" applyProtection="1">
      <alignment horizontal="center" vertical="center" wrapText="1"/>
    </xf>
    <xf numFmtId="184" fontId="109" fillId="4" borderId="1" xfId="9332" applyNumberFormat="1" applyFont="1" applyFill="1" applyBorder="1" applyAlignment="1" applyProtection="1">
      <alignment horizontal="center" vertical="center" wrapText="1"/>
    </xf>
    <xf numFmtId="0" fontId="106" fillId="4" borderId="1" xfId="9332" applyFont="1" applyFill="1" applyBorder="1" applyAlignment="1" applyProtection="1">
      <alignment horizontal="center" vertical="center" wrapText="1"/>
    </xf>
    <xf numFmtId="179" fontId="106" fillId="4" borderId="1" xfId="9332" applyNumberFormat="1" applyFont="1" applyFill="1" applyBorder="1" applyAlignment="1" applyProtection="1">
      <alignment horizontal="center" vertical="center" wrapText="1"/>
    </xf>
    <xf numFmtId="179" fontId="109" fillId="4" borderId="1" xfId="4283" applyNumberFormat="1" applyFont="1" applyFill="1" applyBorder="1" applyAlignment="1" applyProtection="1">
      <alignment horizontal="center" vertical="center" wrapText="1"/>
    </xf>
    <xf numFmtId="179" fontId="106" fillId="4" borderId="1" xfId="4511" applyNumberFormat="1" applyFont="1" applyFill="1" applyBorder="1" applyAlignment="1" applyProtection="1">
      <alignment horizontal="center" vertical="center" wrapText="1"/>
    </xf>
    <xf numFmtId="179" fontId="109" fillId="4" borderId="1" xfId="4511" applyNumberFormat="1" applyFont="1" applyFill="1" applyBorder="1" applyAlignment="1" applyProtection="1">
      <alignment horizontal="center" vertical="center" wrapText="1"/>
    </xf>
    <xf numFmtId="179" fontId="106" fillId="4" borderId="1" xfId="7231" applyNumberFormat="1" applyFont="1" applyFill="1" applyBorder="1" applyAlignment="1" applyProtection="1">
      <alignment horizontal="center" vertical="center" wrapText="1"/>
    </xf>
    <xf numFmtId="179" fontId="109" fillId="4" borderId="1" xfId="7231" applyNumberFormat="1" applyFont="1" applyFill="1" applyBorder="1" applyAlignment="1" applyProtection="1">
      <alignment horizontal="center" vertical="center" wrapText="1"/>
    </xf>
    <xf numFmtId="0" fontId="107" fillId="4" borderId="0" xfId="0" applyNumberFormat="1" applyFont="1" applyFill="1" applyAlignment="1" applyProtection="1">
      <alignment horizontal="center" vertical="center" wrapText="1"/>
    </xf>
    <xf numFmtId="184" fontId="107" fillId="4" borderId="0" xfId="0" applyNumberFormat="1" applyFont="1" applyFill="1" applyAlignment="1" applyProtection="1">
      <alignment horizontal="center" vertical="center" wrapText="1"/>
    </xf>
    <xf numFmtId="0" fontId="0" fillId="4" borderId="0" xfId="0" applyNumberFormat="1" applyFill="1">
      <alignment vertical="center"/>
    </xf>
    <xf numFmtId="0" fontId="4" fillId="4" borderId="1" xfId="9203" applyNumberFormat="1" applyFont="1" applyFill="1" applyBorder="1" applyAlignment="1">
      <alignment horizontal="center" vertical="center"/>
    </xf>
    <xf numFmtId="0" fontId="4" fillId="4" borderId="1" xfId="16" applyNumberFormat="1" applyFont="1" applyFill="1" applyBorder="1" applyAlignment="1">
      <alignment horizontal="center" vertical="center"/>
    </xf>
    <xf numFmtId="0" fontId="100" fillId="4" borderId="0" xfId="0" applyNumberFormat="1" applyFont="1" applyFill="1" applyAlignment="1">
      <alignment horizontal="center" vertical="center"/>
    </xf>
    <xf numFmtId="0" fontId="4" fillId="4" borderId="1" xfId="4430" applyNumberFormat="1" applyFont="1" applyFill="1" applyBorder="1" applyAlignment="1">
      <alignment horizontal="center" vertical="center"/>
    </xf>
    <xf numFmtId="0" fontId="111" fillId="4" borderId="1" xfId="9203" applyNumberFormat="1" applyFont="1" applyFill="1" applyBorder="1" applyAlignment="1" applyProtection="1">
      <alignment horizontal="center" vertical="center" wrapText="1"/>
    </xf>
    <xf numFmtId="0" fontId="103" fillId="4" borderId="1" xfId="9203" applyNumberFormat="1" applyFont="1" applyFill="1" applyBorder="1" applyAlignment="1">
      <alignment horizontal="center" vertical="center"/>
    </xf>
    <xf numFmtId="0" fontId="103" fillId="4" borderId="1" xfId="16" applyNumberFormat="1" applyFont="1" applyFill="1" applyBorder="1" applyAlignment="1">
      <alignment horizontal="center" vertical="center"/>
    </xf>
    <xf numFmtId="0" fontId="100" fillId="4" borderId="1" xfId="9203" applyNumberFormat="1" applyFont="1" applyFill="1" applyBorder="1" applyAlignment="1">
      <alignment horizontal="center" vertical="center"/>
    </xf>
    <xf numFmtId="0" fontId="101" fillId="4" borderId="1" xfId="0" applyNumberFormat="1" applyFont="1" applyFill="1" applyBorder="1" applyAlignment="1">
      <alignment horizontal="center" vertical="center"/>
    </xf>
    <xf numFmtId="182" fontId="14" fillId="5" borderId="0" xfId="0" applyNumberFormat="1" applyFont="1" applyFill="1" applyBorder="1" applyAlignment="1" applyProtection="1">
      <alignment horizontal="center" vertical="center"/>
      <protection locked="0"/>
    </xf>
    <xf numFmtId="182" fontId="16" fillId="5" borderId="0" xfId="0" applyNumberFormat="1" applyFont="1" applyFill="1" applyBorder="1" applyAlignment="1" applyProtection="1">
      <alignment horizontal="center" vertical="center"/>
      <protection locked="0"/>
    </xf>
    <xf numFmtId="182" fontId="10" fillId="0" borderId="0" xfId="0" applyFont="1" applyAlignment="1">
      <alignment horizontal="center" vertical="center"/>
    </xf>
    <xf numFmtId="182" fontId="9" fillId="0" borderId="2" xfId="0" applyFont="1" applyBorder="1" applyAlignment="1">
      <alignment horizontal="center"/>
    </xf>
    <xf numFmtId="182" fontId="12" fillId="0" borderId="3" xfId="0" applyFont="1" applyBorder="1" applyAlignment="1">
      <alignment horizontal="center" vertical="center"/>
    </xf>
    <xf numFmtId="182" fontId="13" fillId="0" borderId="3" xfId="0" applyFont="1" applyBorder="1" applyAlignment="1">
      <alignment horizontal="center" vertical="center"/>
    </xf>
    <xf numFmtId="182" fontId="0" fillId="3" borderId="1" xfId="0" applyFill="1" applyBorder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1" fillId="4" borderId="2" xfId="0" applyFont="1" applyFill="1" applyBorder="1" applyAlignment="1">
      <alignment horizontal="center" vertical="center"/>
    </xf>
    <xf numFmtId="182" fontId="25" fillId="0" borderId="2" xfId="0" applyFont="1" applyBorder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5" fillId="2" borderId="1" xfId="0" applyFont="1" applyFill="1" applyBorder="1" applyAlignment="1">
      <alignment horizontal="center" vertical="center"/>
    </xf>
    <xf numFmtId="182" fontId="33" fillId="2" borderId="1" xfId="0" applyFont="1" applyFill="1" applyBorder="1" applyAlignment="1">
      <alignment horizontal="center" vertical="center"/>
    </xf>
    <xf numFmtId="182" fontId="2" fillId="4" borderId="1" xfId="0" applyFont="1" applyFill="1" applyBorder="1" applyAlignment="1">
      <alignment horizontal="center" vertical="center" wrapText="1"/>
    </xf>
    <xf numFmtId="182" fontId="34" fillId="4" borderId="1" xfId="0" applyFont="1" applyFill="1" applyBorder="1" applyAlignment="1">
      <alignment horizontal="center" vertical="center" wrapText="1"/>
    </xf>
    <xf numFmtId="182" fontId="36" fillId="5" borderId="0" xfId="0" applyNumberFormat="1" applyFont="1" applyFill="1" applyBorder="1" applyAlignment="1" applyProtection="1">
      <alignment horizontal="center" vertical="center"/>
      <protection locked="0"/>
    </xf>
    <xf numFmtId="0" fontId="82" fillId="0" borderId="26" xfId="0" applyNumberFormat="1" applyFont="1" applyBorder="1" applyAlignment="1">
      <alignment vertical="center"/>
    </xf>
    <xf numFmtId="182" fontId="84" fillId="0" borderId="26" xfId="0" applyNumberFormat="1" applyFont="1" applyBorder="1" applyAlignment="1">
      <alignment vertical="center"/>
    </xf>
    <xf numFmtId="182" fontId="87" fillId="0" borderId="26" xfId="0" applyNumberFormat="1" applyFont="1" applyFill="1" applyBorder="1" applyAlignment="1">
      <alignment horizontal="center" vertical="center"/>
    </xf>
    <xf numFmtId="0" fontId="25" fillId="0" borderId="26" xfId="0" applyNumberFormat="1" applyFont="1" applyFill="1" applyBorder="1" applyAlignment="1">
      <alignment horizontal="center" vertical="center" wrapText="1"/>
    </xf>
    <xf numFmtId="0" fontId="97" fillId="0" borderId="26" xfId="0" applyNumberFormat="1" applyFont="1" applyBorder="1" applyAlignment="1">
      <alignment horizontal="center" vertical="center" wrapText="1"/>
    </xf>
    <xf numFmtId="0" fontId="104" fillId="4" borderId="26" xfId="0" applyNumberFormat="1" applyFont="1" applyFill="1" applyBorder="1" applyAlignment="1" applyProtection="1">
      <alignment horizontal="center" vertical="center" wrapText="1"/>
    </xf>
    <xf numFmtId="0" fontId="104" fillId="4" borderId="26" xfId="0" applyNumberFormat="1" applyFont="1" applyFill="1" applyBorder="1" applyAlignment="1">
      <alignment horizontal="center" vertical="center" wrapText="1"/>
    </xf>
    <xf numFmtId="0" fontId="106" fillId="4" borderId="1" xfId="4449" applyNumberFormat="1" applyFont="1" applyFill="1" applyBorder="1" applyAlignment="1" applyProtection="1">
      <alignment horizontal="center" vertical="center" wrapText="1"/>
    </xf>
    <xf numFmtId="0" fontId="106" fillId="4" borderId="1" xfId="0" applyNumberFormat="1" applyFont="1" applyFill="1" applyBorder="1" applyAlignment="1" applyProtection="1">
      <alignment horizontal="center" vertical="center" wrapText="1"/>
    </xf>
    <xf numFmtId="184" fontId="106" fillId="4" borderId="1" xfId="0" applyNumberFormat="1" applyFont="1" applyFill="1" applyBorder="1" applyAlignment="1" applyProtection="1">
      <alignment horizontal="center" vertical="center" wrapText="1"/>
    </xf>
    <xf numFmtId="184" fontId="109" fillId="4" borderId="1" xfId="9332" applyNumberFormat="1" applyFont="1" applyFill="1" applyBorder="1" applyAlignment="1" applyProtection="1">
      <alignment horizontal="center" vertical="center" wrapText="1"/>
    </xf>
    <xf numFmtId="0" fontId="109" fillId="4" borderId="1" xfId="0" applyNumberFormat="1" applyFont="1" applyFill="1" applyBorder="1" applyAlignment="1" applyProtection="1">
      <alignment horizontal="center" vertical="center" wrapText="1"/>
    </xf>
    <xf numFmtId="0" fontId="109" fillId="4" borderId="1" xfId="9332" applyFont="1" applyFill="1" applyBorder="1" applyAlignment="1" applyProtection="1">
      <alignment horizontal="center" vertical="center" wrapText="1"/>
    </xf>
    <xf numFmtId="0" fontId="109" fillId="4" borderId="1" xfId="4283" applyNumberFormat="1" applyFont="1" applyFill="1" applyBorder="1" applyAlignment="1" applyProtection="1">
      <alignment horizontal="center" vertical="center" wrapText="1"/>
    </xf>
    <xf numFmtId="0" fontId="106" fillId="4" borderId="1" xfId="9332" applyFont="1" applyFill="1" applyBorder="1" applyAlignment="1" applyProtection="1">
      <alignment horizontal="center" vertical="center" wrapText="1"/>
    </xf>
    <xf numFmtId="184" fontId="106" fillId="4" borderId="1" xfId="4449" applyNumberFormat="1" applyFont="1" applyFill="1" applyBorder="1" applyAlignment="1" applyProtection="1">
      <alignment horizontal="center" vertical="center" wrapText="1"/>
    </xf>
    <xf numFmtId="179" fontId="109" fillId="4" borderId="1" xfId="9332" applyNumberFormat="1" applyFont="1" applyFill="1" applyBorder="1" applyAlignment="1" applyProtection="1">
      <alignment horizontal="center" vertical="center" wrapText="1"/>
    </xf>
    <xf numFmtId="179" fontId="109" fillId="4" borderId="1" xfId="4283" applyNumberFormat="1" applyFont="1" applyFill="1" applyBorder="1" applyAlignment="1" applyProtection="1">
      <alignment horizontal="center" vertical="center" wrapText="1"/>
    </xf>
    <xf numFmtId="179" fontId="109" fillId="4" borderId="1" xfId="7231" applyNumberFormat="1" applyFont="1" applyFill="1" applyBorder="1" applyAlignment="1" applyProtection="1">
      <alignment horizontal="center" vertical="center" wrapText="1"/>
    </xf>
    <xf numFmtId="0" fontId="110" fillId="4" borderId="26" xfId="9203" applyNumberFormat="1" applyFont="1" applyFill="1" applyBorder="1" applyAlignment="1">
      <alignment horizontal="center" vertical="center"/>
    </xf>
    <xf numFmtId="0" fontId="0" fillId="4" borderId="26" xfId="0" applyNumberFormat="1" applyFill="1" applyBorder="1" applyAlignment="1">
      <alignment vertical="center"/>
    </xf>
    <xf numFmtId="0" fontId="112" fillId="0" borderId="0" xfId="0" applyNumberFormat="1" applyFont="1" applyBorder="1" applyAlignment="1">
      <alignment horizontal="center" vertical="center"/>
    </xf>
    <xf numFmtId="182" fontId="5" fillId="0" borderId="0" xfId="0" applyNumberFormat="1" applyFont="1" applyAlignment="1">
      <alignment vertical="center"/>
    </xf>
  </cellXfs>
  <cellStyles count="9333">
    <cellStyle name="0,0_x000d__x000a_NA_x000d__x000a_" xfId="8904"/>
    <cellStyle name="20% - 强调文字颜色 1 2" xfId="22"/>
    <cellStyle name="20% - 强调文字颜色 1 2 2" xfId="23"/>
    <cellStyle name="20% - 强调文字颜色 1 2 2 2" xfId="24"/>
    <cellStyle name="20% - 强调文字颜色 1 2 2 2 2" xfId="25"/>
    <cellStyle name="20% - 强调文字颜色 1 2 2 2 2 2" xfId="26"/>
    <cellStyle name="20% - 强调文字颜色 1 2 2 2 3" xfId="27"/>
    <cellStyle name="20% - 强调文字颜色 1 2 2 2 4" xfId="28"/>
    <cellStyle name="20% - 强调文字颜色 1 2 2 3" xfId="29"/>
    <cellStyle name="20% - 强调文字颜色 1 2 2 3 2" xfId="30"/>
    <cellStyle name="20% - 强调文字颜色 1 2 2 4" xfId="31"/>
    <cellStyle name="20% - 强调文字颜色 1 2 2 4 2" xfId="32"/>
    <cellStyle name="20% - 强调文字颜色 1 2 2 5" xfId="33"/>
    <cellStyle name="20% - 强调文字颜色 1 2 2 6" xfId="34"/>
    <cellStyle name="20% - 强调文字颜色 1 2 2 7" xfId="8878"/>
    <cellStyle name="20% - 强调文字颜色 1 2 2 7 2" xfId="9303"/>
    <cellStyle name="20% - 强调文字颜色 1 2 3" xfId="35"/>
    <cellStyle name="20% - 强调文字颜色 1 2 3 2" xfId="36"/>
    <cellStyle name="20% - 强调文字颜色 1 2 3 2 2" xfId="37"/>
    <cellStyle name="20% - 强调文字颜色 1 2 3 3" xfId="38"/>
    <cellStyle name="20% - 强调文字颜色 1 2 3 4" xfId="39"/>
    <cellStyle name="20% - 强调文字颜色 1 2 4" xfId="40"/>
    <cellStyle name="20% - 强调文字颜色 1 2 4 2" xfId="41"/>
    <cellStyle name="20% - 强调文字颜色 1 2 5" xfId="42"/>
    <cellStyle name="20% - 强调文字颜色 1 2 5 2" xfId="43"/>
    <cellStyle name="20% - 强调文字颜色 1 2 6" xfId="44"/>
    <cellStyle name="20% - 强调文字颜色 1 2 7" xfId="45"/>
    <cellStyle name="20% - 强调文字颜色 1 2 8" xfId="8879"/>
    <cellStyle name="20% - 强调文字颜色 1 2 8 2" xfId="9304"/>
    <cellStyle name="20% - 强调文字颜色 1 3" xfId="46"/>
    <cellStyle name="20% - 强调文字颜色 1 3 2" xfId="47"/>
    <cellStyle name="20% - 强调文字颜色 1 3 2 2" xfId="48"/>
    <cellStyle name="20% - 强调文字颜色 1 3 2 2 2" xfId="49"/>
    <cellStyle name="20% - 强调文字颜色 1 3 2 2 2 2" xfId="50"/>
    <cellStyle name="20% - 强调文字颜色 1 3 2 2 3" xfId="51"/>
    <cellStyle name="20% - 强调文字颜色 1 3 2 2 4" xfId="52"/>
    <cellStyle name="20% - 强调文字颜色 1 3 2 3" xfId="53"/>
    <cellStyle name="20% - 强调文字颜色 1 3 2 3 2" xfId="54"/>
    <cellStyle name="20% - 强调文字颜色 1 3 2 4" xfId="55"/>
    <cellStyle name="20% - 强调文字颜色 1 3 2 4 2" xfId="56"/>
    <cellStyle name="20% - 强调文字颜色 1 3 2 5" xfId="57"/>
    <cellStyle name="20% - 强调文字颜色 1 3 2 6" xfId="58"/>
    <cellStyle name="20% - 强调文字颜色 1 3 2 7" xfId="8876"/>
    <cellStyle name="20% - 强调文字颜色 1 3 2 7 2" xfId="9301"/>
    <cellStyle name="20% - 强调文字颜色 1 3 3" xfId="59"/>
    <cellStyle name="20% - 强调文字颜色 1 3 3 2" xfId="60"/>
    <cellStyle name="20% - 强调文字颜色 1 3 3 2 2" xfId="61"/>
    <cellStyle name="20% - 强调文字颜色 1 3 3 3" xfId="62"/>
    <cellStyle name="20% - 强调文字颜色 1 3 3 4" xfId="63"/>
    <cellStyle name="20% - 强调文字颜色 1 3 4" xfId="64"/>
    <cellStyle name="20% - 强调文字颜色 1 3 4 2" xfId="65"/>
    <cellStyle name="20% - 强调文字颜色 1 3 5" xfId="66"/>
    <cellStyle name="20% - 强调文字颜色 1 3 5 2" xfId="67"/>
    <cellStyle name="20% - 强调文字颜色 1 3 6" xfId="68"/>
    <cellStyle name="20% - 强调文字颜色 1 3 7" xfId="69"/>
    <cellStyle name="20% - 强调文字颜色 1 3 8" xfId="8877"/>
    <cellStyle name="20% - 强调文字颜色 1 3 8 2" xfId="9302"/>
    <cellStyle name="20% - 强调文字颜色 1 4" xfId="70"/>
    <cellStyle name="20% - 强调文字颜色 1 4 2" xfId="71"/>
    <cellStyle name="20% - 强调文字颜色 1 4 2 2" xfId="72"/>
    <cellStyle name="20% - 强调文字颜色 1 4 2 2 2" xfId="73"/>
    <cellStyle name="20% - 强调文字颜色 1 4 2 2 2 2" xfId="74"/>
    <cellStyle name="20% - 强调文字颜色 1 4 2 2 3" xfId="75"/>
    <cellStyle name="20% - 强调文字颜色 1 4 2 2 4" xfId="76"/>
    <cellStyle name="20% - 强调文字颜色 1 4 2 3" xfId="77"/>
    <cellStyle name="20% - 强调文字颜色 1 4 2 3 2" xfId="78"/>
    <cellStyle name="20% - 强调文字颜色 1 4 2 4" xfId="79"/>
    <cellStyle name="20% - 强调文字颜色 1 4 2 4 2" xfId="80"/>
    <cellStyle name="20% - 强调文字颜色 1 4 2 5" xfId="81"/>
    <cellStyle name="20% - 强调文字颜色 1 4 2 6" xfId="82"/>
    <cellStyle name="20% - 强调文字颜色 1 4 2 7" xfId="8874"/>
    <cellStyle name="20% - 强调文字颜色 1 4 2 7 2" xfId="9299"/>
    <cellStyle name="20% - 强调文字颜色 1 4 3" xfId="83"/>
    <cellStyle name="20% - 强调文字颜色 1 4 3 2" xfId="84"/>
    <cellStyle name="20% - 强调文字颜色 1 4 3 2 2" xfId="85"/>
    <cellStyle name="20% - 强调文字颜色 1 4 3 3" xfId="86"/>
    <cellStyle name="20% - 强调文字颜色 1 4 3 4" xfId="87"/>
    <cellStyle name="20% - 强调文字颜色 1 4 4" xfId="88"/>
    <cellStyle name="20% - 强调文字颜色 1 4 4 2" xfId="89"/>
    <cellStyle name="20% - 强调文字颜色 1 4 5" xfId="90"/>
    <cellStyle name="20% - 强调文字颜色 1 4 5 2" xfId="91"/>
    <cellStyle name="20% - 强调文字颜色 1 4 6" xfId="92"/>
    <cellStyle name="20% - 强调文字颜色 1 4 7" xfId="93"/>
    <cellStyle name="20% - 强调文字颜色 1 4 8" xfId="8875"/>
    <cellStyle name="20% - 强调文字颜色 1 4 8 2" xfId="9300"/>
    <cellStyle name="20% - 强调文字颜色 1 5" xfId="94"/>
    <cellStyle name="20% - 强调文字颜色 1 5 2" xfId="95"/>
    <cellStyle name="20% - 强调文字颜色 1 5 2 2" xfId="96"/>
    <cellStyle name="20% - 强调文字颜色 1 5 2 2 2" xfId="97"/>
    <cellStyle name="20% - 强调文字颜色 1 5 2 3" xfId="98"/>
    <cellStyle name="20% - 强调文字颜色 1 5 2 4" xfId="99"/>
    <cellStyle name="20% - 强调文字颜色 1 5 3" xfId="100"/>
    <cellStyle name="20% - 强调文字颜色 1 5 3 2" xfId="101"/>
    <cellStyle name="20% - 强调文字颜色 1 5 4" xfId="102"/>
    <cellStyle name="20% - 强调文字颜色 1 5 4 2" xfId="103"/>
    <cellStyle name="20% - 强调文字颜色 1 5 5" xfId="104"/>
    <cellStyle name="20% - 强调文字颜色 1 5 6" xfId="105"/>
    <cellStyle name="20% - 强调文字颜色 1 6" xfId="106"/>
    <cellStyle name="20% - 强调文字颜色 1 6 2" xfId="107"/>
    <cellStyle name="20% - 强调文字颜色 1 6 2 2" xfId="108"/>
    <cellStyle name="20% - 强调文字颜色 1 6 2 2 2" xfId="109"/>
    <cellStyle name="20% - 强调文字颜色 1 6 2 3" xfId="110"/>
    <cellStyle name="20% - 强调文字颜色 1 6 2 4" xfId="111"/>
    <cellStyle name="20% - 强调文字颜色 1 6 3" xfId="112"/>
    <cellStyle name="20% - 强调文字颜色 1 6 3 2" xfId="113"/>
    <cellStyle name="20% - 强调文字颜色 1 6 4" xfId="114"/>
    <cellStyle name="20% - 强调文字颜色 1 6 4 2" xfId="115"/>
    <cellStyle name="20% - 强调文字颜色 1 6 5" xfId="116"/>
    <cellStyle name="20% - 强调文字颜色 1 6 6" xfId="117"/>
    <cellStyle name="20% - 强调文字颜色 1 7" xfId="118"/>
    <cellStyle name="20% - 强调文字颜色 1 7 2" xfId="119"/>
    <cellStyle name="20% - 强调文字颜色 1 7 2 2" xfId="120"/>
    <cellStyle name="20% - 强调文字颜色 1 7 2 2 2" xfId="121"/>
    <cellStyle name="20% - 强调文字颜色 1 7 2 3" xfId="122"/>
    <cellStyle name="20% - 强调文字颜色 1 7 2 4" xfId="123"/>
    <cellStyle name="20% - 强调文字颜色 1 7 3" xfId="124"/>
    <cellStyle name="20% - 强调文字颜色 1 7 3 2" xfId="125"/>
    <cellStyle name="20% - 强调文字颜色 1 7 4" xfId="126"/>
    <cellStyle name="20% - 强调文字颜色 1 7 4 2" xfId="127"/>
    <cellStyle name="20% - 强调文字颜色 1 7 5" xfId="128"/>
    <cellStyle name="20% - 强调文字颜色 1 7 6" xfId="129"/>
    <cellStyle name="20% - 强调文字颜色 2 2" xfId="130"/>
    <cellStyle name="20% - 强调文字颜色 2 2 2" xfId="131"/>
    <cellStyle name="20% - 强调文字颜色 2 2 2 2" xfId="132"/>
    <cellStyle name="20% - 强调文字颜色 2 2 2 2 2" xfId="133"/>
    <cellStyle name="20% - 强调文字颜色 2 2 2 2 2 2" xfId="134"/>
    <cellStyle name="20% - 强调文字颜色 2 2 2 2 3" xfId="135"/>
    <cellStyle name="20% - 强调文字颜色 2 2 2 2 4" xfId="136"/>
    <cellStyle name="20% - 强调文字颜色 2 2 2 3" xfId="137"/>
    <cellStyle name="20% - 强调文字颜色 2 2 2 3 2" xfId="138"/>
    <cellStyle name="20% - 强调文字颜色 2 2 2 4" xfId="139"/>
    <cellStyle name="20% - 强调文字颜色 2 2 2 4 2" xfId="140"/>
    <cellStyle name="20% - 强调文字颜色 2 2 2 5" xfId="141"/>
    <cellStyle name="20% - 强调文字颜色 2 2 2 6" xfId="142"/>
    <cellStyle name="20% - 强调文字颜色 2 2 2 7" xfId="8872"/>
    <cellStyle name="20% - 强调文字颜色 2 2 2 7 2" xfId="9297"/>
    <cellStyle name="20% - 强调文字颜色 2 2 3" xfId="143"/>
    <cellStyle name="20% - 强调文字颜色 2 2 3 2" xfId="144"/>
    <cellStyle name="20% - 强调文字颜色 2 2 3 2 2" xfId="145"/>
    <cellStyle name="20% - 强调文字颜色 2 2 3 3" xfId="146"/>
    <cellStyle name="20% - 强调文字颜色 2 2 3 4" xfId="147"/>
    <cellStyle name="20% - 强调文字颜色 2 2 4" xfId="148"/>
    <cellStyle name="20% - 强调文字颜色 2 2 4 2" xfId="149"/>
    <cellStyle name="20% - 强调文字颜色 2 2 5" xfId="150"/>
    <cellStyle name="20% - 强调文字颜色 2 2 5 2" xfId="151"/>
    <cellStyle name="20% - 强调文字颜色 2 2 6" xfId="152"/>
    <cellStyle name="20% - 强调文字颜色 2 2 7" xfId="153"/>
    <cellStyle name="20% - 强调文字颜色 2 2 8" xfId="8873"/>
    <cellStyle name="20% - 强调文字颜色 2 2 8 2" xfId="9298"/>
    <cellStyle name="20% - 强调文字颜色 2 3" xfId="154"/>
    <cellStyle name="20% - 强调文字颜色 2 3 2" xfId="155"/>
    <cellStyle name="20% - 强调文字颜色 2 3 2 2" xfId="156"/>
    <cellStyle name="20% - 强调文字颜色 2 3 2 2 2" xfId="157"/>
    <cellStyle name="20% - 强调文字颜色 2 3 2 2 2 2" xfId="158"/>
    <cellStyle name="20% - 强调文字颜色 2 3 2 2 3" xfId="159"/>
    <cellStyle name="20% - 强调文字颜色 2 3 2 2 4" xfId="160"/>
    <cellStyle name="20% - 强调文字颜色 2 3 2 3" xfId="161"/>
    <cellStyle name="20% - 强调文字颜色 2 3 2 3 2" xfId="162"/>
    <cellStyle name="20% - 强调文字颜色 2 3 2 4" xfId="163"/>
    <cellStyle name="20% - 强调文字颜色 2 3 2 4 2" xfId="164"/>
    <cellStyle name="20% - 强调文字颜色 2 3 2 5" xfId="165"/>
    <cellStyle name="20% - 强调文字颜色 2 3 2 6" xfId="166"/>
    <cellStyle name="20% - 强调文字颜色 2 3 2 7" xfId="8870"/>
    <cellStyle name="20% - 强调文字颜色 2 3 2 7 2" xfId="9295"/>
    <cellStyle name="20% - 强调文字颜色 2 3 3" xfId="167"/>
    <cellStyle name="20% - 强调文字颜色 2 3 3 2" xfId="168"/>
    <cellStyle name="20% - 强调文字颜色 2 3 3 2 2" xfId="169"/>
    <cellStyle name="20% - 强调文字颜色 2 3 3 3" xfId="170"/>
    <cellStyle name="20% - 强调文字颜色 2 3 3 4" xfId="171"/>
    <cellStyle name="20% - 强调文字颜色 2 3 4" xfId="172"/>
    <cellStyle name="20% - 强调文字颜色 2 3 4 2" xfId="173"/>
    <cellStyle name="20% - 强调文字颜色 2 3 5" xfId="174"/>
    <cellStyle name="20% - 强调文字颜色 2 3 5 2" xfId="175"/>
    <cellStyle name="20% - 强调文字颜色 2 3 6" xfId="176"/>
    <cellStyle name="20% - 强调文字颜色 2 3 7" xfId="177"/>
    <cellStyle name="20% - 强调文字颜色 2 3 8" xfId="8871"/>
    <cellStyle name="20% - 强调文字颜色 2 3 8 2" xfId="9296"/>
    <cellStyle name="20% - 强调文字颜色 2 4" xfId="178"/>
    <cellStyle name="20% - 强调文字颜色 2 4 2" xfId="179"/>
    <cellStyle name="20% - 强调文字颜色 2 4 2 2" xfId="180"/>
    <cellStyle name="20% - 强调文字颜色 2 4 2 2 2" xfId="181"/>
    <cellStyle name="20% - 强调文字颜色 2 4 2 2 2 2" xfId="182"/>
    <cellStyle name="20% - 强调文字颜色 2 4 2 2 3" xfId="183"/>
    <cellStyle name="20% - 强调文字颜色 2 4 2 2 4" xfId="184"/>
    <cellStyle name="20% - 强调文字颜色 2 4 2 3" xfId="185"/>
    <cellStyle name="20% - 强调文字颜色 2 4 2 3 2" xfId="186"/>
    <cellStyle name="20% - 强调文字颜色 2 4 2 4" xfId="187"/>
    <cellStyle name="20% - 强调文字颜色 2 4 2 4 2" xfId="188"/>
    <cellStyle name="20% - 强调文字颜色 2 4 2 5" xfId="189"/>
    <cellStyle name="20% - 强调文字颜色 2 4 2 6" xfId="190"/>
    <cellStyle name="20% - 强调文字颜色 2 4 2 7" xfId="8868"/>
    <cellStyle name="20% - 强调文字颜色 2 4 2 7 2" xfId="9293"/>
    <cellStyle name="20% - 强调文字颜色 2 4 3" xfId="191"/>
    <cellStyle name="20% - 强调文字颜色 2 4 3 2" xfId="192"/>
    <cellStyle name="20% - 强调文字颜色 2 4 3 2 2" xfId="193"/>
    <cellStyle name="20% - 强调文字颜色 2 4 3 3" xfId="194"/>
    <cellStyle name="20% - 强调文字颜色 2 4 3 4" xfId="195"/>
    <cellStyle name="20% - 强调文字颜色 2 4 4" xfId="196"/>
    <cellStyle name="20% - 强调文字颜色 2 4 4 2" xfId="197"/>
    <cellStyle name="20% - 强调文字颜色 2 4 5" xfId="198"/>
    <cellStyle name="20% - 强调文字颜色 2 4 5 2" xfId="199"/>
    <cellStyle name="20% - 强调文字颜色 2 4 6" xfId="200"/>
    <cellStyle name="20% - 强调文字颜色 2 4 7" xfId="201"/>
    <cellStyle name="20% - 强调文字颜色 2 4 8" xfId="8869"/>
    <cellStyle name="20% - 强调文字颜色 2 4 8 2" xfId="9294"/>
    <cellStyle name="20% - 强调文字颜色 2 5" xfId="202"/>
    <cellStyle name="20% - 强调文字颜色 2 5 2" xfId="203"/>
    <cellStyle name="20% - 强调文字颜色 2 5 2 2" xfId="204"/>
    <cellStyle name="20% - 强调文字颜色 2 5 2 2 2" xfId="205"/>
    <cellStyle name="20% - 强调文字颜色 2 5 2 3" xfId="206"/>
    <cellStyle name="20% - 强调文字颜色 2 5 2 4" xfId="207"/>
    <cellStyle name="20% - 强调文字颜色 2 5 3" xfId="208"/>
    <cellStyle name="20% - 强调文字颜色 2 5 3 2" xfId="209"/>
    <cellStyle name="20% - 强调文字颜色 2 5 4" xfId="210"/>
    <cellStyle name="20% - 强调文字颜色 2 5 4 2" xfId="211"/>
    <cellStyle name="20% - 强调文字颜色 2 5 5" xfId="212"/>
    <cellStyle name="20% - 强调文字颜色 2 5 6" xfId="213"/>
    <cellStyle name="20% - 强调文字颜色 2 6" xfId="214"/>
    <cellStyle name="20% - 强调文字颜色 2 6 2" xfId="215"/>
    <cellStyle name="20% - 强调文字颜色 2 6 2 2" xfId="216"/>
    <cellStyle name="20% - 强调文字颜色 2 6 2 2 2" xfId="217"/>
    <cellStyle name="20% - 强调文字颜色 2 6 2 3" xfId="218"/>
    <cellStyle name="20% - 强调文字颜色 2 6 2 4" xfId="219"/>
    <cellStyle name="20% - 强调文字颜色 2 6 3" xfId="220"/>
    <cellStyle name="20% - 强调文字颜色 2 6 3 2" xfId="221"/>
    <cellStyle name="20% - 强调文字颜色 2 6 4" xfId="222"/>
    <cellStyle name="20% - 强调文字颜色 2 6 4 2" xfId="223"/>
    <cellStyle name="20% - 强调文字颜色 2 6 5" xfId="224"/>
    <cellStyle name="20% - 强调文字颜色 2 6 6" xfId="225"/>
    <cellStyle name="20% - 强调文字颜色 2 7" xfId="226"/>
    <cellStyle name="20% - 强调文字颜色 2 7 2" xfId="227"/>
    <cellStyle name="20% - 强调文字颜色 2 7 2 2" xfId="228"/>
    <cellStyle name="20% - 强调文字颜色 2 7 2 2 2" xfId="229"/>
    <cellStyle name="20% - 强调文字颜色 2 7 2 3" xfId="230"/>
    <cellStyle name="20% - 强调文字颜色 2 7 2 4" xfId="231"/>
    <cellStyle name="20% - 强调文字颜色 2 7 3" xfId="232"/>
    <cellStyle name="20% - 强调文字颜色 2 7 3 2" xfId="233"/>
    <cellStyle name="20% - 强调文字颜色 2 7 4" xfId="234"/>
    <cellStyle name="20% - 强调文字颜色 2 7 4 2" xfId="235"/>
    <cellStyle name="20% - 强调文字颜色 2 7 5" xfId="236"/>
    <cellStyle name="20% - 强调文字颜色 2 7 6" xfId="237"/>
    <cellStyle name="20% - 强调文字颜色 3 2" xfId="238"/>
    <cellStyle name="20% - 强调文字颜色 3 2 2" xfId="239"/>
    <cellStyle name="20% - 强调文字颜色 3 2 2 2" xfId="240"/>
    <cellStyle name="20% - 强调文字颜色 3 2 2 2 2" xfId="241"/>
    <cellStyle name="20% - 强调文字颜色 3 2 2 2 2 2" xfId="242"/>
    <cellStyle name="20% - 强调文字颜色 3 2 2 2 3" xfId="243"/>
    <cellStyle name="20% - 强调文字颜色 3 2 2 2 4" xfId="244"/>
    <cellStyle name="20% - 强调文字颜色 3 2 2 3" xfId="245"/>
    <cellStyle name="20% - 强调文字颜色 3 2 2 3 2" xfId="246"/>
    <cellStyle name="20% - 强调文字颜色 3 2 2 4" xfId="247"/>
    <cellStyle name="20% - 强调文字颜色 3 2 2 4 2" xfId="248"/>
    <cellStyle name="20% - 强调文字颜色 3 2 2 5" xfId="249"/>
    <cellStyle name="20% - 强调文字颜色 3 2 2 6" xfId="250"/>
    <cellStyle name="20% - 强调文字颜色 3 2 2 7" xfId="8627"/>
    <cellStyle name="20% - 强调文字颜色 3 2 2 7 2" xfId="9223"/>
    <cellStyle name="20% - 强调文字颜色 3 2 3" xfId="251"/>
    <cellStyle name="20% - 强调文字颜色 3 2 3 2" xfId="252"/>
    <cellStyle name="20% - 强调文字颜色 3 2 3 2 2" xfId="253"/>
    <cellStyle name="20% - 强调文字颜色 3 2 3 3" xfId="254"/>
    <cellStyle name="20% - 强调文字颜色 3 2 3 4" xfId="255"/>
    <cellStyle name="20% - 强调文字颜色 3 2 4" xfId="256"/>
    <cellStyle name="20% - 强调文字颜色 3 2 4 2" xfId="257"/>
    <cellStyle name="20% - 强调文字颜色 3 2 5" xfId="258"/>
    <cellStyle name="20% - 强调文字颜色 3 2 5 2" xfId="259"/>
    <cellStyle name="20% - 强调文字颜色 3 2 6" xfId="260"/>
    <cellStyle name="20% - 强调文字颜色 3 2 7" xfId="261"/>
    <cellStyle name="20% - 强调文字颜色 3 2 8" xfId="8867"/>
    <cellStyle name="20% - 强调文字颜色 3 2 8 2" xfId="9292"/>
    <cellStyle name="20% - 强调文字颜色 3 3" xfId="262"/>
    <cellStyle name="20% - 强调文字颜色 3 3 2" xfId="263"/>
    <cellStyle name="20% - 强调文字颜色 3 3 2 2" xfId="264"/>
    <cellStyle name="20% - 强调文字颜色 3 3 2 2 2" xfId="265"/>
    <cellStyle name="20% - 强调文字颜色 3 3 2 2 2 2" xfId="266"/>
    <cellStyle name="20% - 强调文字颜色 3 3 2 2 3" xfId="267"/>
    <cellStyle name="20% - 强调文字颜色 3 3 2 2 4" xfId="268"/>
    <cellStyle name="20% - 强调文字颜色 3 3 2 3" xfId="269"/>
    <cellStyle name="20% - 强调文字颜色 3 3 2 3 2" xfId="270"/>
    <cellStyle name="20% - 强调文字颜色 3 3 2 4" xfId="271"/>
    <cellStyle name="20% - 强调文字颜色 3 3 2 4 2" xfId="272"/>
    <cellStyle name="20% - 强调文字颜色 3 3 2 5" xfId="273"/>
    <cellStyle name="20% - 强调文字颜色 3 3 2 6" xfId="274"/>
    <cellStyle name="20% - 强调文字颜色 3 3 2 7" xfId="8629"/>
    <cellStyle name="20% - 强调文字颜色 3 3 2 7 2" xfId="9225"/>
    <cellStyle name="20% - 强调文字颜色 3 3 3" xfId="275"/>
    <cellStyle name="20% - 强调文字颜色 3 3 3 2" xfId="276"/>
    <cellStyle name="20% - 强调文字颜色 3 3 3 2 2" xfId="277"/>
    <cellStyle name="20% - 强调文字颜色 3 3 3 3" xfId="278"/>
    <cellStyle name="20% - 强调文字颜色 3 3 3 4" xfId="279"/>
    <cellStyle name="20% - 强调文字颜色 3 3 4" xfId="280"/>
    <cellStyle name="20% - 强调文字颜色 3 3 4 2" xfId="281"/>
    <cellStyle name="20% - 强调文字颜色 3 3 5" xfId="282"/>
    <cellStyle name="20% - 强调文字颜色 3 3 5 2" xfId="283"/>
    <cellStyle name="20% - 强调文字颜色 3 3 6" xfId="284"/>
    <cellStyle name="20% - 强调文字颜色 3 3 7" xfId="285"/>
    <cellStyle name="20% - 强调文字颜色 3 3 8" xfId="8628"/>
    <cellStyle name="20% - 强调文字颜色 3 3 8 2" xfId="9224"/>
    <cellStyle name="20% - 强调文字颜色 3 4" xfId="286"/>
    <cellStyle name="20% - 强调文字颜色 3 4 2" xfId="287"/>
    <cellStyle name="20% - 强调文字颜色 3 4 2 2" xfId="288"/>
    <cellStyle name="20% - 强调文字颜色 3 4 2 2 2" xfId="289"/>
    <cellStyle name="20% - 强调文字颜色 3 4 2 2 2 2" xfId="290"/>
    <cellStyle name="20% - 强调文字颜色 3 4 2 2 3" xfId="291"/>
    <cellStyle name="20% - 强调文字颜色 3 4 2 2 4" xfId="292"/>
    <cellStyle name="20% - 强调文字颜色 3 4 2 3" xfId="293"/>
    <cellStyle name="20% - 强调文字颜色 3 4 2 3 2" xfId="294"/>
    <cellStyle name="20% - 强调文字颜色 3 4 2 4" xfId="295"/>
    <cellStyle name="20% - 强调文字颜色 3 4 2 4 2" xfId="296"/>
    <cellStyle name="20% - 强调文字颜色 3 4 2 5" xfId="297"/>
    <cellStyle name="20% - 强调文字颜色 3 4 2 6" xfId="298"/>
    <cellStyle name="20% - 强调文字颜色 3 4 2 7" xfId="8631"/>
    <cellStyle name="20% - 强调文字颜色 3 4 2 7 2" xfId="9227"/>
    <cellStyle name="20% - 强调文字颜色 3 4 3" xfId="299"/>
    <cellStyle name="20% - 强调文字颜色 3 4 3 2" xfId="300"/>
    <cellStyle name="20% - 强调文字颜色 3 4 3 2 2" xfId="301"/>
    <cellStyle name="20% - 强调文字颜色 3 4 3 3" xfId="302"/>
    <cellStyle name="20% - 强调文字颜色 3 4 3 4" xfId="303"/>
    <cellStyle name="20% - 强调文字颜色 3 4 4" xfId="304"/>
    <cellStyle name="20% - 强调文字颜色 3 4 4 2" xfId="305"/>
    <cellStyle name="20% - 强调文字颜色 3 4 5" xfId="306"/>
    <cellStyle name="20% - 强调文字颜色 3 4 5 2" xfId="307"/>
    <cellStyle name="20% - 强调文字颜色 3 4 6" xfId="308"/>
    <cellStyle name="20% - 强调文字颜色 3 4 7" xfId="309"/>
    <cellStyle name="20% - 强调文字颜色 3 4 8" xfId="8630"/>
    <cellStyle name="20% - 强调文字颜色 3 4 8 2" xfId="9226"/>
    <cellStyle name="20% - 强调文字颜色 3 5" xfId="310"/>
    <cellStyle name="20% - 强调文字颜色 3 5 2" xfId="311"/>
    <cellStyle name="20% - 强调文字颜色 3 5 2 2" xfId="312"/>
    <cellStyle name="20% - 强调文字颜色 3 5 2 2 2" xfId="313"/>
    <cellStyle name="20% - 强调文字颜色 3 5 2 3" xfId="314"/>
    <cellStyle name="20% - 强调文字颜色 3 5 2 4" xfId="315"/>
    <cellStyle name="20% - 强调文字颜色 3 5 3" xfId="316"/>
    <cellStyle name="20% - 强调文字颜色 3 5 3 2" xfId="317"/>
    <cellStyle name="20% - 强调文字颜色 3 5 4" xfId="318"/>
    <cellStyle name="20% - 强调文字颜色 3 5 4 2" xfId="319"/>
    <cellStyle name="20% - 强调文字颜色 3 5 5" xfId="320"/>
    <cellStyle name="20% - 强调文字颜色 3 5 6" xfId="321"/>
    <cellStyle name="20% - 强调文字颜色 3 6" xfId="322"/>
    <cellStyle name="20% - 强调文字颜色 3 6 2" xfId="323"/>
    <cellStyle name="20% - 强调文字颜色 3 6 2 2" xfId="324"/>
    <cellStyle name="20% - 强调文字颜色 3 6 2 2 2" xfId="325"/>
    <cellStyle name="20% - 强调文字颜色 3 6 2 3" xfId="326"/>
    <cellStyle name="20% - 强调文字颜色 3 6 2 4" xfId="327"/>
    <cellStyle name="20% - 强调文字颜色 3 6 3" xfId="328"/>
    <cellStyle name="20% - 强调文字颜色 3 6 3 2" xfId="329"/>
    <cellStyle name="20% - 强调文字颜色 3 6 4" xfId="330"/>
    <cellStyle name="20% - 强调文字颜色 3 6 4 2" xfId="331"/>
    <cellStyle name="20% - 强调文字颜色 3 6 5" xfId="332"/>
    <cellStyle name="20% - 强调文字颜色 3 6 6" xfId="333"/>
    <cellStyle name="20% - 强调文字颜色 3 7" xfId="334"/>
    <cellStyle name="20% - 强调文字颜色 3 7 2" xfId="335"/>
    <cellStyle name="20% - 强调文字颜色 3 7 2 2" xfId="336"/>
    <cellStyle name="20% - 强调文字颜色 3 7 2 2 2" xfId="337"/>
    <cellStyle name="20% - 强调文字颜色 3 7 2 3" xfId="338"/>
    <cellStyle name="20% - 强调文字颜色 3 7 2 4" xfId="339"/>
    <cellStyle name="20% - 强调文字颜色 3 7 3" xfId="340"/>
    <cellStyle name="20% - 强调文字颜色 3 7 3 2" xfId="341"/>
    <cellStyle name="20% - 强调文字颜色 3 7 4" xfId="342"/>
    <cellStyle name="20% - 强调文字颜色 3 7 4 2" xfId="343"/>
    <cellStyle name="20% - 强调文字颜色 3 7 5" xfId="344"/>
    <cellStyle name="20% - 强调文字颜色 3 7 6" xfId="345"/>
    <cellStyle name="20% - 强调文字颜色 4 2" xfId="346"/>
    <cellStyle name="20% - 强调文字颜色 4 2 2" xfId="347"/>
    <cellStyle name="20% - 强调文字颜色 4 2 2 2" xfId="348"/>
    <cellStyle name="20% - 强调文字颜色 4 2 2 2 2" xfId="349"/>
    <cellStyle name="20% - 强调文字颜色 4 2 2 2 2 2" xfId="350"/>
    <cellStyle name="20% - 强调文字颜色 4 2 2 2 3" xfId="351"/>
    <cellStyle name="20% - 强调文字颜色 4 2 2 2 4" xfId="352"/>
    <cellStyle name="20% - 强调文字颜色 4 2 2 3" xfId="353"/>
    <cellStyle name="20% - 强调文字颜色 4 2 2 3 2" xfId="354"/>
    <cellStyle name="20% - 强调文字颜色 4 2 2 4" xfId="355"/>
    <cellStyle name="20% - 强调文字颜色 4 2 2 4 2" xfId="356"/>
    <cellStyle name="20% - 强调文字颜色 4 2 2 5" xfId="357"/>
    <cellStyle name="20% - 强调文字颜色 4 2 2 6" xfId="358"/>
    <cellStyle name="20% - 强调文字颜色 4 2 2 7" xfId="8633"/>
    <cellStyle name="20% - 强调文字颜色 4 2 2 7 2" xfId="9229"/>
    <cellStyle name="20% - 强调文字颜色 4 2 3" xfId="359"/>
    <cellStyle name="20% - 强调文字颜色 4 2 3 2" xfId="360"/>
    <cellStyle name="20% - 强调文字颜色 4 2 3 2 2" xfId="361"/>
    <cellStyle name="20% - 强调文字颜色 4 2 3 3" xfId="362"/>
    <cellStyle name="20% - 强调文字颜色 4 2 3 4" xfId="363"/>
    <cellStyle name="20% - 强调文字颜色 4 2 4" xfId="364"/>
    <cellStyle name="20% - 强调文字颜色 4 2 4 2" xfId="365"/>
    <cellStyle name="20% - 强调文字颜色 4 2 5" xfId="366"/>
    <cellStyle name="20% - 强调文字颜色 4 2 5 2" xfId="367"/>
    <cellStyle name="20% - 强调文字颜色 4 2 6" xfId="368"/>
    <cellStyle name="20% - 强调文字颜色 4 2 7" xfId="369"/>
    <cellStyle name="20% - 强调文字颜色 4 2 8" xfId="8632"/>
    <cellStyle name="20% - 强调文字颜色 4 2 8 2" xfId="9228"/>
    <cellStyle name="20% - 强调文字颜色 4 3" xfId="370"/>
    <cellStyle name="20% - 强调文字颜色 4 3 2" xfId="371"/>
    <cellStyle name="20% - 强调文字颜色 4 3 2 2" xfId="372"/>
    <cellStyle name="20% - 强调文字颜色 4 3 2 2 2" xfId="373"/>
    <cellStyle name="20% - 强调文字颜色 4 3 2 2 2 2" xfId="374"/>
    <cellStyle name="20% - 强调文字颜色 4 3 2 2 3" xfId="375"/>
    <cellStyle name="20% - 强调文字颜色 4 3 2 2 4" xfId="376"/>
    <cellStyle name="20% - 强调文字颜色 4 3 2 3" xfId="377"/>
    <cellStyle name="20% - 强调文字颜色 4 3 2 3 2" xfId="378"/>
    <cellStyle name="20% - 强调文字颜色 4 3 2 4" xfId="379"/>
    <cellStyle name="20% - 强调文字颜色 4 3 2 4 2" xfId="380"/>
    <cellStyle name="20% - 强调文字颜色 4 3 2 5" xfId="381"/>
    <cellStyle name="20% - 强调文字颜色 4 3 2 6" xfId="382"/>
    <cellStyle name="20% - 强调文字颜色 4 3 2 7" xfId="8635"/>
    <cellStyle name="20% - 强调文字颜色 4 3 2 7 2" xfId="9231"/>
    <cellStyle name="20% - 强调文字颜色 4 3 3" xfId="383"/>
    <cellStyle name="20% - 强调文字颜色 4 3 3 2" xfId="384"/>
    <cellStyle name="20% - 强调文字颜色 4 3 3 2 2" xfId="385"/>
    <cellStyle name="20% - 强调文字颜色 4 3 3 3" xfId="386"/>
    <cellStyle name="20% - 强调文字颜色 4 3 3 4" xfId="387"/>
    <cellStyle name="20% - 强调文字颜色 4 3 4" xfId="388"/>
    <cellStyle name="20% - 强调文字颜色 4 3 4 2" xfId="389"/>
    <cellStyle name="20% - 强调文字颜色 4 3 5" xfId="390"/>
    <cellStyle name="20% - 强调文字颜色 4 3 5 2" xfId="391"/>
    <cellStyle name="20% - 强调文字颜色 4 3 6" xfId="392"/>
    <cellStyle name="20% - 强调文字颜色 4 3 7" xfId="393"/>
    <cellStyle name="20% - 强调文字颜色 4 3 8" xfId="8634"/>
    <cellStyle name="20% - 强调文字颜色 4 3 8 2" xfId="9230"/>
    <cellStyle name="20% - 强调文字颜色 4 4" xfId="394"/>
    <cellStyle name="20% - 强调文字颜色 4 4 2" xfId="395"/>
    <cellStyle name="20% - 强调文字颜色 4 4 2 2" xfId="396"/>
    <cellStyle name="20% - 强调文字颜色 4 4 2 2 2" xfId="397"/>
    <cellStyle name="20% - 强调文字颜色 4 4 2 2 2 2" xfId="398"/>
    <cellStyle name="20% - 强调文字颜色 4 4 2 2 3" xfId="399"/>
    <cellStyle name="20% - 强调文字颜色 4 4 2 2 4" xfId="400"/>
    <cellStyle name="20% - 强调文字颜色 4 4 2 3" xfId="401"/>
    <cellStyle name="20% - 强调文字颜色 4 4 2 3 2" xfId="402"/>
    <cellStyle name="20% - 强调文字颜色 4 4 2 4" xfId="403"/>
    <cellStyle name="20% - 强调文字颜色 4 4 2 4 2" xfId="404"/>
    <cellStyle name="20% - 强调文字颜色 4 4 2 5" xfId="405"/>
    <cellStyle name="20% - 强调文字颜色 4 4 2 6" xfId="406"/>
    <cellStyle name="20% - 强调文字颜色 4 4 2 7" xfId="8637"/>
    <cellStyle name="20% - 强调文字颜色 4 4 2 7 2" xfId="9233"/>
    <cellStyle name="20% - 强调文字颜色 4 4 3" xfId="407"/>
    <cellStyle name="20% - 强调文字颜色 4 4 3 2" xfId="408"/>
    <cellStyle name="20% - 强调文字颜色 4 4 3 2 2" xfId="409"/>
    <cellStyle name="20% - 强调文字颜色 4 4 3 3" xfId="410"/>
    <cellStyle name="20% - 强调文字颜色 4 4 3 4" xfId="411"/>
    <cellStyle name="20% - 强调文字颜色 4 4 4" xfId="412"/>
    <cellStyle name="20% - 强调文字颜色 4 4 4 2" xfId="413"/>
    <cellStyle name="20% - 强调文字颜色 4 4 5" xfId="414"/>
    <cellStyle name="20% - 强调文字颜色 4 4 5 2" xfId="415"/>
    <cellStyle name="20% - 强调文字颜色 4 4 6" xfId="416"/>
    <cellStyle name="20% - 强调文字颜色 4 4 7" xfId="417"/>
    <cellStyle name="20% - 强调文字颜色 4 4 8" xfId="8636"/>
    <cellStyle name="20% - 强调文字颜色 4 4 8 2" xfId="9232"/>
    <cellStyle name="20% - 强调文字颜色 4 5" xfId="418"/>
    <cellStyle name="20% - 强调文字颜色 4 5 2" xfId="419"/>
    <cellStyle name="20% - 强调文字颜色 4 5 2 2" xfId="420"/>
    <cellStyle name="20% - 强调文字颜色 4 5 2 2 2" xfId="421"/>
    <cellStyle name="20% - 强调文字颜色 4 5 2 3" xfId="422"/>
    <cellStyle name="20% - 强调文字颜色 4 5 2 4" xfId="423"/>
    <cellStyle name="20% - 强调文字颜色 4 5 3" xfId="424"/>
    <cellStyle name="20% - 强调文字颜色 4 5 3 2" xfId="425"/>
    <cellStyle name="20% - 强调文字颜色 4 5 4" xfId="426"/>
    <cellStyle name="20% - 强调文字颜色 4 5 4 2" xfId="427"/>
    <cellStyle name="20% - 强调文字颜色 4 5 5" xfId="428"/>
    <cellStyle name="20% - 强调文字颜色 4 5 6" xfId="429"/>
    <cellStyle name="20% - 强调文字颜色 4 6" xfId="430"/>
    <cellStyle name="20% - 强调文字颜色 4 6 2" xfId="431"/>
    <cellStyle name="20% - 强调文字颜色 4 6 2 2" xfId="432"/>
    <cellStyle name="20% - 强调文字颜色 4 6 2 2 2" xfId="433"/>
    <cellStyle name="20% - 强调文字颜色 4 6 2 3" xfId="434"/>
    <cellStyle name="20% - 强调文字颜色 4 6 2 4" xfId="435"/>
    <cellStyle name="20% - 强调文字颜色 4 6 3" xfId="436"/>
    <cellStyle name="20% - 强调文字颜色 4 6 3 2" xfId="437"/>
    <cellStyle name="20% - 强调文字颜色 4 6 4" xfId="438"/>
    <cellStyle name="20% - 强调文字颜色 4 6 4 2" xfId="439"/>
    <cellStyle name="20% - 强调文字颜色 4 6 5" xfId="440"/>
    <cellStyle name="20% - 强调文字颜色 4 6 6" xfId="441"/>
    <cellStyle name="20% - 强调文字颜色 4 7" xfId="442"/>
    <cellStyle name="20% - 强调文字颜色 4 7 2" xfId="443"/>
    <cellStyle name="20% - 强调文字颜色 4 7 2 2" xfId="444"/>
    <cellStyle name="20% - 强调文字颜色 4 7 2 2 2" xfId="445"/>
    <cellStyle name="20% - 强调文字颜色 4 7 2 3" xfId="446"/>
    <cellStyle name="20% - 强调文字颜色 4 7 2 4" xfId="447"/>
    <cellStyle name="20% - 强调文字颜色 4 7 3" xfId="448"/>
    <cellStyle name="20% - 强调文字颜色 4 7 3 2" xfId="449"/>
    <cellStyle name="20% - 强调文字颜色 4 7 4" xfId="450"/>
    <cellStyle name="20% - 强调文字颜色 4 7 4 2" xfId="451"/>
    <cellStyle name="20% - 强调文字颜色 4 7 5" xfId="452"/>
    <cellStyle name="20% - 强调文字颜色 4 7 6" xfId="453"/>
    <cellStyle name="20% - 强调文字颜色 5 2" xfId="454"/>
    <cellStyle name="20% - 强调文字颜色 5 2 2" xfId="455"/>
    <cellStyle name="20% - 强调文字颜色 5 2 2 2" xfId="456"/>
    <cellStyle name="20% - 强调文字颜色 5 2 2 2 2" xfId="457"/>
    <cellStyle name="20% - 强调文字颜色 5 2 2 2 2 2" xfId="458"/>
    <cellStyle name="20% - 强调文字颜色 5 2 2 2 3" xfId="459"/>
    <cellStyle name="20% - 强调文字颜色 5 2 2 2 4" xfId="460"/>
    <cellStyle name="20% - 强调文字颜色 5 2 2 3" xfId="461"/>
    <cellStyle name="20% - 强调文字颜色 5 2 2 3 2" xfId="462"/>
    <cellStyle name="20% - 强调文字颜色 5 2 2 4" xfId="463"/>
    <cellStyle name="20% - 强调文字颜色 5 2 2 4 2" xfId="464"/>
    <cellStyle name="20% - 强调文字颜色 5 2 2 5" xfId="465"/>
    <cellStyle name="20% - 强调文字颜色 5 2 2 6" xfId="466"/>
    <cellStyle name="20% - 强调文字颜色 5 2 2 7" xfId="8639"/>
    <cellStyle name="20% - 强调文字颜色 5 2 2 7 2" xfId="9235"/>
    <cellStyle name="20% - 强调文字颜色 5 2 3" xfId="467"/>
    <cellStyle name="20% - 强调文字颜色 5 2 3 2" xfId="468"/>
    <cellStyle name="20% - 强调文字颜色 5 2 3 2 2" xfId="469"/>
    <cellStyle name="20% - 强调文字颜色 5 2 3 3" xfId="470"/>
    <cellStyle name="20% - 强调文字颜色 5 2 3 4" xfId="471"/>
    <cellStyle name="20% - 强调文字颜色 5 2 4" xfId="472"/>
    <cellStyle name="20% - 强调文字颜色 5 2 4 2" xfId="473"/>
    <cellStyle name="20% - 强调文字颜色 5 2 5" xfId="474"/>
    <cellStyle name="20% - 强调文字颜色 5 2 5 2" xfId="475"/>
    <cellStyle name="20% - 强调文字颜色 5 2 6" xfId="476"/>
    <cellStyle name="20% - 强调文字颜色 5 2 7" xfId="477"/>
    <cellStyle name="20% - 强调文字颜色 5 2 8" xfId="8638"/>
    <cellStyle name="20% - 强调文字颜色 5 2 8 2" xfId="9234"/>
    <cellStyle name="20% - 强调文字颜色 5 3" xfId="478"/>
    <cellStyle name="20% - 强调文字颜色 5 3 2" xfId="479"/>
    <cellStyle name="20% - 强调文字颜色 5 3 2 2" xfId="480"/>
    <cellStyle name="20% - 强调文字颜色 5 3 2 2 2" xfId="481"/>
    <cellStyle name="20% - 强调文字颜色 5 3 2 2 2 2" xfId="482"/>
    <cellStyle name="20% - 强调文字颜色 5 3 2 2 3" xfId="483"/>
    <cellStyle name="20% - 强调文字颜色 5 3 2 2 4" xfId="484"/>
    <cellStyle name="20% - 强调文字颜色 5 3 2 3" xfId="485"/>
    <cellStyle name="20% - 强调文字颜色 5 3 2 3 2" xfId="486"/>
    <cellStyle name="20% - 强调文字颜色 5 3 2 4" xfId="487"/>
    <cellStyle name="20% - 强调文字颜色 5 3 2 4 2" xfId="488"/>
    <cellStyle name="20% - 强调文字颜色 5 3 2 5" xfId="489"/>
    <cellStyle name="20% - 强调文字颜色 5 3 2 6" xfId="490"/>
    <cellStyle name="20% - 强调文字颜色 5 3 2 7" xfId="8641"/>
    <cellStyle name="20% - 强调文字颜色 5 3 2 7 2" xfId="9237"/>
    <cellStyle name="20% - 强调文字颜色 5 3 3" xfId="491"/>
    <cellStyle name="20% - 强调文字颜色 5 3 3 2" xfId="492"/>
    <cellStyle name="20% - 强调文字颜色 5 3 3 2 2" xfId="493"/>
    <cellStyle name="20% - 强调文字颜色 5 3 3 3" xfId="494"/>
    <cellStyle name="20% - 强调文字颜色 5 3 3 4" xfId="495"/>
    <cellStyle name="20% - 强调文字颜色 5 3 4" xfId="496"/>
    <cellStyle name="20% - 强调文字颜色 5 3 4 2" xfId="497"/>
    <cellStyle name="20% - 强调文字颜色 5 3 5" xfId="498"/>
    <cellStyle name="20% - 强调文字颜色 5 3 5 2" xfId="499"/>
    <cellStyle name="20% - 强调文字颜色 5 3 6" xfId="500"/>
    <cellStyle name="20% - 强调文字颜色 5 3 7" xfId="501"/>
    <cellStyle name="20% - 强调文字颜色 5 3 8" xfId="8640"/>
    <cellStyle name="20% - 强调文字颜色 5 3 8 2" xfId="9236"/>
    <cellStyle name="20% - 强调文字颜色 5 4" xfId="502"/>
    <cellStyle name="20% - 强调文字颜色 5 4 2" xfId="503"/>
    <cellStyle name="20% - 强调文字颜色 5 4 2 2" xfId="504"/>
    <cellStyle name="20% - 强调文字颜色 5 4 2 2 2" xfId="505"/>
    <cellStyle name="20% - 强调文字颜色 5 4 2 2 2 2" xfId="506"/>
    <cellStyle name="20% - 强调文字颜色 5 4 2 2 3" xfId="507"/>
    <cellStyle name="20% - 强调文字颜色 5 4 2 2 4" xfId="508"/>
    <cellStyle name="20% - 强调文字颜色 5 4 2 3" xfId="509"/>
    <cellStyle name="20% - 强调文字颜色 5 4 2 3 2" xfId="510"/>
    <cellStyle name="20% - 强调文字颜色 5 4 2 4" xfId="511"/>
    <cellStyle name="20% - 强调文字颜色 5 4 2 4 2" xfId="512"/>
    <cellStyle name="20% - 强调文字颜色 5 4 2 5" xfId="513"/>
    <cellStyle name="20% - 强调文字颜色 5 4 2 6" xfId="514"/>
    <cellStyle name="20% - 强调文字颜色 5 4 2 7" xfId="8643"/>
    <cellStyle name="20% - 强调文字颜色 5 4 2 7 2" xfId="9239"/>
    <cellStyle name="20% - 强调文字颜色 5 4 3" xfId="515"/>
    <cellStyle name="20% - 强调文字颜色 5 4 3 2" xfId="516"/>
    <cellStyle name="20% - 强调文字颜色 5 4 3 2 2" xfId="517"/>
    <cellStyle name="20% - 强调文字颜色 5 4 3 3" xfId="518"/>
    <cellStyle name="20% - 强调文字颜色 5 4 3 4" xfId="519"/>
    <cellStyle name="20% - 强调文字颜色 5 4 4" xfId="520"/>
    <cellStyle name="20% - 强调文字颜色 5 4 4 2" xfId="521"/>
    <cellStyle name="20% - 强调文字颜色 5 4 5" xfId="522"/>
    <cellStyle name="20% - 强调文字颜色 5 4 5 2" xfId="523"/>
    <cellStyle name="20% - 强调文字颜色 5 4 6" xfId="524"/>
    <cellStyle name="20% - 强调文字颜色 5 4 7" xfId="525"/>
    <cellStyle name="20% - 强调文字颜色 5 4 8" xfId="8642"/>
    <cellStyle name="20% - 强调文字颜色 5 4 8 2" xfId="9238"/>
    <cellStyle name="20% - 强调文字颜色 5 5" xfId="526"/>
    <cellStyle name="20% - 强调文字颜色 5 5 2" xfId="527"/>
    <cellStyle name="20% - 强调文字颜色 5 5 2 2" xfId="528"/>
    <cellStyle name="20% - 强调文字颜色 5 5 2 2 2" xfId="529"/>
    <cellStyle name="20% - 强调文字颜色 5 5 2 3" xfId="530"/>
    <cellStyle name="20% - 强调文字颜色 5 5 2 4" xfId="531"/>
    <cellStyle name="20% - 强调文字颜色 5 5 3" xfId="532"/>
    <cellStyle name="20% - 强调文字颜色 5 5 3 2" xfId="533"/>
    <cellStyle name="20% - 强调文字颜色 5 5 4" xfId="534"/>
    <cellStyle name="20% - 强调文字颜色 5 5 4 2" xfId="535"/>
    <cellStyle name="20% - 强调文字颜色 5 5 5" xfId="536"/>
    <cellStyle name="20% - 强调文字颜色 5 5 6" xfId="537"/>
    <cellStyle name="20% - 强调文字颜色 5 6" xfId="538"/>
    <cellStyle name="20% - 强调文字颜色 5 6 2" xfId="539"/>
    <cellStyle name="20% - 强调文字颜色 5 6 2 2" xfId="540"/>
    <cellStyle name="20% - 强调文字颜色 5 6 2 2 2" xfId="541"/>
    <cellStyle name="20% - 强调文字颜色 5 6 2 3" xfId="542"/>
    <cellStyle name="20% - 强调文字颜色 5 6 2 4" xfId="543"/>
    <cellStyle name="20% - 强调文字颜色 5 6 3" xfId="544"/>
    <cellStyle name="20% - 强调文字颜色 5 6 3 2" xfId="545"/>
    <cellStyle name="20% - 强调文字颜色 5 6 4" xfId="546"/>
    <cellStyle name="20% - 强调文字颜色 5 6 4 2" xfId="547"/>
    <cellStyle name="20% - 强调文字颜色 5 6 5" xfId="548"/>
    <cellStyle name="20% - 强调文字颜色 5 6 6" xfId="549"/>
    <cellStyle name="20% - 强调文字颜色 5 7" xfId="550"/>
    <cellStyle name="20% - 强调文字颜色 5 7 2" xfId="551"/>
    <cellStyle name="20% - 强调文字颜色 5 7 2 2" xfId="552"/>
    <cellStyle name="20% - 强调文字颜色 5 7 2 2 2" xfId="553"/>
    <cellStyle name="20% - 强调文字颜色 5 7 2 3" xfId="554"/>
    <cellStyle name="20% - 强调文字颜色 5 7 2 4" xfId="555"/>
    <cellStyle name="20% - 强调文字颜色 5 7 3" xfId="556"/>
    <cellStyle name="20% - 强调文字颜色 5 7 3 2" xfId="557"/>
    <cellStyle name="20% - 强调文字颜色 5 7 4" xfId="558"/>
    <cellStyle name="20% - 强调文字颜色 5 7 4 2" xfId="559"/>
    <cellStyle name="20% - 强调文字颜色 5 7 5" xfId="560"/>
    <cellStyle name="20% - 强调文字颜色 5 7 6" xfId="561"/>
    <cellStyle name="20% - 强调文字颜色 6 2" xfId="562"/>
    <cellStyle name="20% - 强调文字颜色 6 2 2" xfId="563"/>
    <cellStyle name="20% - 强调文字颜色 6 2 2 2" xfId="564"/>
    <cellStyle name="20% - 强调文字颜色 6 2 2 2 2" xfId="565"/>
    <cellStyle name="20% - 强调文字颜色 6 2 2 2 2 2" xfId="566"/>
    <cellStyle name="20% - 强调文字颜色 6 2 2 2 3" xfId="567"/>
    <cellStyle name="20% - 强调文字颜色 6 2 2 2 4" xfId="568"/>
    <cellStyle name="20% - 强调文字颜色 6 2 2 3" xfId="569"/>
    <cellStyle name="20% - 强调文字颜色 6 2 2 3 2" xfId="570"/>
    <cellStyle name="20% - 强调文字颜色 6 2 2 4" xfId="571"/>
    <cellStyle name="20% - 强调文字颜色 6 2 2 4 2" xfId="572"/>
    <cellStyle name="20% - 强调文字颜色 6 2 2 5" xfId="573"/>
    <cellStyle name="20% - 强调文字颜色 6 2 2 6" xfId="574"/>
    <cellStyle name="20% - 强调文字颜色 6 2 2 7" xfId="8645"/>
    <cellStyle name="20% - 强调文字颜色 6 2 2 7 2" xfId="9241"/>
    <cellStyle name="20% - 强调文字颜色 6 2 3" xfId="575"/>
    <cellStyle name="20% - 强调文字颜色 6 2 3 2" xfId="576"/>
    <cellStyle name="20% - 强调文字颜色 6 2 3 2 2" xfId="577"/>
    <cellStyle name="20% - 强调文字颜色 6 2 3 3" xfId="578"/>
    <cellStyle name="20% - 强调文字颜色 6 2 3 4" xfId="579"/>
    <cellStyle name="20% - 强调文字颜色 6 2 4" xfId="580"/>
    <cellStyle name="20% - 强调文字颜色 6 2 4 2" xfId="581"/>
    <cellStyle name="20% - 强调文字颜色 6 2 5" xfId="582"/>
    <cellStyle name="20% - 强调文字颜色 6 2 5 2" xfId="583"/>
    <cellStyle name="20% - 强调文字颜色 6 2 6" xfId="584"/>
    <cellStyle name="20% - 强调文字颜色 6 2 7" xfId="585"/>
    <cellStyle name="20% - 强调文字颜色 6 2 8" xfId="8644"/>
    <cellStyle name="20% - 强调文字颜色 6 2 8 2" xfId="9240"/>
    <cellStyle name="20% - 强调文字颜色 6 3" xfId="586"/>
    <cellStyle name="20% - 强调文字颜色 6 3 2" xfId="587"/>
    <cellStyle name="20% - 强调文字颜色 6 3 2 2" xfId="588"/>
    <cellStyle name="20% - 强调文字颜色 6 3 2 2 2" xfId="589"/>
    <cellStyle name="20% - 强调文字颜色 6 3 2 2 2 2" xfId="590"/>
    <cellStyle name="20% - 强调文字颜色 6 3 2 2 3" xfId="591"/>
    <cellStyle name="20% - 强调文字颜色 6 3 2 2 4" xfId="592"/>
    <cellStyle name="20% - 强调文字颜色 6 3 2 3" xfId="593"/>
    <cellStyle name="20% - 强调文字颜色 6 3 2 3 2" xfId="594"/>
    <cellStyle name="20% - 强调文字颜色 6 3 2 4" xfId="595"/>
    <cellStyle name="20% - 强调文字颜色 6 3 2 4 2" xfId="596"/>
    <cellStyle name="20% - 强调文字颜色 6 3 2 5" xfId="597"/>
    <cellStyle name="20% - 强调文字颜色 6 3 2 6" xfId="598"/>
    <cellStyle name="20% - 强调文字颜色 6 3 2 7" xfId="8647"/>
    <cellStyle name="20% - 强调文字颜色 6 3 2 7 2" xfId="9243"/>
    <cellStyle name="20% - 强调文字颜色 6 3 3" xfId="599"/>
    <cellStyle name="20% - 强调文字颜色 6 3 3 2" xfId="600"/>
    <cellStyle name="20% - 强调文字颜色 6 3 3 2 2" xfId="601"/>
    <cellStyle name="20% - 强调文字颜色 6 3 3 3" xfId="602"/>
    <cellStyle name="20% - 强调文字颜色 6 3 3 4" xfId="603"/>
    <cellStyle name="20% - 强调文字颜色 6 3 4" xfId="604"/>
    <cellStyle name="20% - 强调文字颜色 6 3 4 2" xfId="605"/>
    <cellStyle name="20% - 强调文字颜色 6 3 5" xfId="606"/>
    <cellStyle name="20% - 强调文字颜色 6 3 5 2" xfId="607"/>
    <cellStyle name="20% - 强调文字颜色 6 3 6" xfId="608"/>
    <cellStyle name="20% - 强调文字颜色 6 3 7" xfId="609"/>
    <cellStyle name="20% - 强调文字颜色 6 3 8" xfId="8646"/>
    <cellStyle name="20% - 强调文字颜色 6 3 8 2" xfId="9242"/>
    <cellStyle name="20% - 强调文字颜色 6 4" xfId="610"/>
    <cellStyle name="20% - 强调文字颜色 6 4 2" xfId="611"/>
    <cellStyle name="20% - 强调文字颜色 6 4 2 2" xfId="612"/>
    <cellStyle name="20% - 强调文字颜色 6 4 2 2 2" xfId="613"/>
    <cellStyle name="20% - 强调文字颜色 6 4 2 2 2 2" xfId="614"/>
    <cellStyle name="20% - 强调文字颜色 6 4 2 2 3" xfId="615"/>
    <cellStyle name="20% - 强调文字颜色 6 4 2 2 4" xfId="616"/>
    <cellStyle name="20% - 强调文字颜色 6 4 2 3" xfId="617"/>
    <cellStyle name="20% - 强调文字颜色 6 4 2 3 2" xfId="618"/>
    <cellStyle name="20% - 强调文字颜色 6 4 2 4" xfId="619"/>
    <cellStyle name="20% - 强调文字颜色 6 4 2 4 2" xfId="620"/>
    <cellStyle name="20% - 强调文字颜色 6 4 2 5" xfId="621"/>
    <cellStyle name="20% - 强调文字颜色 6 4 2 6" xfId="622"/>
    <cellStyle name="20% - 强调文字颜色 6 4 2 7" xfId="8649"/>
    <cellStyle name="20% - 强调文字颜色 6 4 2 7 2" xfId="9245"/>
    <cellStyle name="20% - 强调文字颜色 6 4 3" xfId="623"/>
    <cellStyle name="20% - 强调文字颜色 6 4 3 2" xfId="624"/>
    <cellStyle name="20% - 强调文字颜色 6 4 3 2 2" xfId="625"/>
    <cellStyle name="20% - 强调文字颜色 6 4 3 3" xfId="626"/>
    <cellStyle name="20% - 强调文字颜色 6 4 3 4" xfId="627"/>
    <cellStyle name="20% - 强调文字颜色 6 4 4" xfId="628"/>
    <cellStyle name="20% - 强调文字颜色 6 4 4 2" xfId="629"/>
    <cellStyle name="20% - 强调文字颜色 6 4 5" xfId="630"/>
    <cellStyle name="20% - 强调文字颜色 6 4 5 2" xfId="631"/>
    <cellStyle name="20% - 强调文字颜色 6 4 6" xfId="632"/>
    <cellStyle name="20% - 强调文字颜色 6 4 7" xfId="633"/>
    <cellStyle name="20% - 强调文字颜色 6 4 8" xfId="8648"/>
    <cellStyle name="20% - 强调文字颜色 6 4 8 2" xfId="9244"/>
    <cellStyle name="20% - 强调文字颜色 6 5" xfId="634"/>
    <cellStyle name="20% - 强调文字颜色 6 5 2" xfId="635"/>
    <cellStyle name="20% - 强调文字颜色 6 5 2 2" xfId="636"/>
    <cellStyle name="20% - 强调文字颜色 6 5 2 2 2" xfId="637"/>
    <cellStyle name="20% - 强调文字颜色 6 5 2 3" xfId="638"/>
    <cellStyle name="20% - 强调文字颜色 6 5 2 4" xfId="639"/>
    <cellStyle name="20% - 强调文字颜色 6 5 3" xfId="640"/>
    <cellStyle name="20% - 强调文字颜色 6 5 3 2" xfId="641"/>
    <cellStyle name="20% - 强调文字颜色 6 5 4" xfId="642"/>
    <cellStyle name="20% - 强调文字颜色 6 5 4 2" xfId="643"/>
    <cellStyle name="20% - 强调文字颜色 6 5 5" xfId="644"/>
    <cellStyle name="20% - 强调文字颜色 6 5 6" xfId="645"/>
    <cellStyle name="20% - 强调文字颜色 6 6" xfId="646"/>
    <cellStyle name="20% - 强调文字颜色 6 6 2" xfId="647"/>
    <cellStyle name="20% - 强调文字颜色 6 6 2 2" xfId="648"/>
    <cellStyle name="20% - 强调文字颜色 6 6 2 2 2" xfId="649"/>
    <cellStyle name="20% - 强调文字颜色 6 6 2 3" xfId="650"/>
    <cellStyle name="20% - 强调文字颜色 6 6 2 4" xfId="651"/>
    <cellStyle name="20% - 强调文字颜色 6 6 3" xfId="652"/>
    <cellStyle name="20% - 强调文字颜色 6 6 3 2" xfId="653"/>
    <cellStyle name="20% - 强调文字颜色 6 6 4" xfId="654"/>
    <cellStyle name="20% - 强调文字颜色 6 6 4 2" xfId="655"/>
    <cellStyle name="20% - 强调文字颜色 6 6 5" xfId="656"/>
    <cellStyle name="20% - 强调文字颜色 6 6 6" xfId="657"/>
    <cellStyle name="20% - 强调文字颜色 6 7" xfId="658"/>
    <cellStyle name="20% - 强调文字颜色 6 7 2" xfId="659"/>
    <cellStyle name="20% - 强调文字颜色 6 7 2 2" xfId="660"/>
    <cellStyle name="20% - 强调文字颜色 6 7 2 2 2" xfId="661"/>
    <cellStyle name="20% - 强调文字颜色 6 7 2 3" xfId="662"/>
    <cellStyle name="20% - 强调文字颜色 6 7 2 4" xfId="663"/>
    <cellStyle name="20% - 强调文字颜色 6 7 3" xfId="664"/>
    <cellStyle name="20% - 强调文字颜色 6 7 3 2" xfId="665"/>
    <cellStyle name="20% - 强调文字颜色 6 7 4" xfId="666"/>
    <cellStyle name="20% - 强调文字颜色 6 7 4 2" xfId="667"/>
    <cellStyle name="20% - 强调文字颜色 6 7 5" xfId="668"/>
    <cellStyle name="20% - 强调文字颜色 6 7 6" xfId="669"/>
    <cellStyle name="20% - 着色 1" xfId="670"/>
    <cellStyle name="20% - 着色 1 10" xfId="671"/>
    <cellStyle name="20% - 着色 1 2" xfId="672"/>
    <cellStyle name="20% - 着色 1 2 2" xfId="673"/>
    <cellStyle name="20% - 着色 1 2 2 2" xfId="674"/>
    <cellStyle name="20% - 着色 1 2 2 2 2" xfId="675"/>
    <cellStyle name="20% - 着色 1 2 2 2 2 2" xfId="676"/>
    <cellStyle name="20% - 着色 1 2 2 2 3" xfId="677"/>
    <cellStyle name="20% - 着色 1 2 2 2 4" xfId="678"/>
    <cellStyle name="20% - 着色 1 2 2 3" xfId="679"/>
    <cellStyle name="20% - 着色 1 2 2 3 2" xfId="680"/>
    <cellStyle name="20% - 着色 1 2 2 4" xfId="681"/>
    <cellStyle name="20% - 着色 1 2 2 4 2" xfId="682"/>
    <cellStyle name="20% - 着色 1 2 2 5" xfId="683"/>
    <cellStyle name="20% - 着色 1 2 2 6" xfId="684"/>
    <cellStyle name="20% - 着色 1 2 3" xfId="685"/>
    <cellStyle name="20% - 着色 1 2 3 2" xfId="686"/>
    <cellStyle name="20% - 着色 1 2 3 2 2" xfId="687"/>
    <cellStyle name="20% - 着色 1 2 3 3" xfId="688"/>
    <cellStyle name="20% - 着色 1 2 3 4" xfId="689"/>
    <cellStyle name="20% - 着色 1 2 4" xfId="690"/>
    <cellStyle name="20% - 着色 1 2 4 2" xfId="691"/>
    <cellStyle name="20% - 着色 1 2 5" xfId="692"/>
    <cellStyle name="20% - 着色 1 2 5 2" xfId="693"/>
    <cellStyle name="20% - 着色 1 2 6" xfId="694"/>
    <cellStyle name="20% - 着色 1 2 7" xfId="695"/>
    <cellStyle name="20% - 着色 1 3" xfId="696"/>
    <cellStyle name="20% - 着色 1 3 2" xfId="697"/>
    <cellStyle name="20% - 着色 1 3 2 2" xfId="698"/>
    <cellStyle name="20% - 着色 1 3 2 2 2" xfId="699"/>
    <cellStyle name="20% - 着色 1 3 2 3" xfId="700"/>
    <cellStyle name="20% - 着色 1 3 2 4" xfId="701"/>
    <cellStyle name="20% - 着色 1 3 3" xfId="702"/>
    <cellStyle name="20% - 着色 1 3 3 2" xfId="703"/>
    <cellStyle name="20% - 着色 1 3 4" xfId="704"/>
    <cellStyle name="20% - 着色 1 3 4 2" xfId="705"/>
    <cellStyle name="20% - 着色 1 3 5" xfId="706"/>
    <cellStyle name="20% - 着色 1 3 6" xfId="707"/>
    <cellStyle name="20% - 着色 1 4" xfId="708"/>
    <cellStyle name="20% - 着色 1 4 2" xfId="709"/>
    <cellStyle name="20% - 着色 1 4 2 2" xfId="710"/>
    <cellStyle name="20% - 着色 1 4 2 2 2" xfId="711"/>
    <cellStyle name="20% - 着色 1 4 2 3" xfId="712"/>
    <cellStyle name="20% - 着色 1 4 2 4" xfId="713"/>
    <cellStyle name="20% - 着色 1 4 3" xfId="714"/>
    <cellStyle name="20% - 着色 1 4 3 2" xfId="715"/>
    <cellStyle name="20% - 着色 1 4 4" xfId="716"/>
    <cellStyle name="20% - 着色 1 4 4 2" xfId="717"/>
    <cellStyle name="20% - 着色 1 4 5" xfId="718"/>
    <cellStyle name="20% - 着色 1 4 6" xfId="719"/>
    <cellStyle name="20% - 着色 1 5" xfId="720"/>
    <cellStyle name="20% - 着色 1 5 2" xfId="721"/>
    <cellStyle name="20% - 着色 1 5 2 2" xfId="722"/>
    <cellStyle name="20% - 着色 1 5 3" xfId="723"/>
    <cellStyle name="20% - 着色 1 5 4" xfId="724"/>
    <cellStyle name="20% - 着色 1 6" xfId="725"/>
    <cellStyle name="20% - 着色 1 6 2" xfId="726"/>
    <cellStyle name="20% - 着色 1 7" xfId="727"/>
    <cellStyle name="20% - 着色 1 7 2" xfId="728"/>
    <cellStyle name="20% - 着色 1 8" xfId="729"/>
    <cellStyle name="20% - 着色 1 8 2" xfId="730"/>
    <cellStyle name="20% - 着色 1 9" xfId="731"/>
    <cellStyle name="20% - 着色 2" xfId="732"/>
    <cellStyle name="20% - 着色 2 10" xfId="733"/>
    <cellStyle name="20% - 着色 2 2" xfId="734"/>
    <cellStyle name="20% - 着色 2 2 2" xfId="735"/>
    <cellStyle name="20% - 着色 2 2 2 2" xfId="736"/>
    <cellStyle name="20% - 着色 2 2 2 2 2" xfId="737"/>
    <cellStyle name="20% - 着色 2 2 2 2 2 2" xfId="738"/>
    <cellStyle name="20% - 着色 2 2 2 2 3" xfId="739"/>
    <cellStyle name="20% - 着色 2 2 2 2 4" xfId="740"/>
    <cellStyle name="20% - 着色 2 2 2 3" xfId="741"/>
    <cellStyle name="20% - 着色 2 2 2 3 2" xfId="742"/>
    <cellStyle name="20% - 着色 2 2 2 4" xfId="743"/>
    <cellStyle name="20% - 着色 2 2 2 4 2" xfId="744"/>
    <cellStyle name="20% - 着色 2 2 2 5" xfId="745"/>
    <cellStyle name="20% - 着色 2 2 2 6" xfId="746"/>
    <cellStyle name="20% - 着色 2 2 3" xfId="747"/>
    <cellStyle name="20% - 着色 2 2 3 2" xfId="748"/>
    <cellStyle name="20% - 着色 2 2 3 2 2" xfId="749"/>
    <cellStyle name="20% - 着色 2 2 3 3" xfId="750"/>
    <cellStyle name="20% - 着色 2 2 3 4" xfId="751"/>
    <cellStyle name="20% - 着色 2 2 4" xfId="752"/>
    <cellStyle name="20% - 着色 2 2 4 2" xfId="753"/>
    <cellStyle name="20% - 着色 2 2 5" xfId="754"/>
    <cellStyle name="20% - 着色 2 2 5 2" xfId="755"/>
    <cellStyle name="20% - 着色 2 2 6" xfId="756"/>
    <cellStyle name="20% - 着色 2 2 7" xfId="757"/>
    <cellStyle name="20% - 着色 2 3" xfId="758"/>
    <cellStyle name="20% - 着色 2 3 2" xfId="759"/>
    <cellStyle name="20% - 着色 2 3 2 2" xfId="760"/>
    <cellStyle name="20% - 着色 2 3 2 2 2" xfId="761"/>
    <cellStyle name="20% - 着色 2 3 2 3" xfId="762"/>
    <cellStyle name="20% - 着色 2 3 2 4" xfId="763"/>
    <cellStyle name="20% - 着色 2 3 3" xfId="764"/>
    <cellStyle name="20% - 着色 2 3 3 2" xfId="765"/>
    <cellStyle name="20% - 着色 2 3 4" xfId="766"/>
    <cellStyle name="20% - 着色 2 3 4 2" xfId="767"/>
    <cellStyle name="20% - 着色 2 3 5" xfId="768"/>
    <cellStyle name="20% - 着色 2 3 6" xfId="769"/>
    <cellStyle name="20% - 着色 2 4" xfId="770"/>
    <cellStyle name="20% - 着色 2 4 2" xfId="771"/>
    <cellStyle name="20% - 着色 2 4 2 2" xfId="772"/>
    <cellStyle name="20% - 着色 2 4 2 2 2" xfId="773"/>
    <cellStyle name="20% - 着色 2 4 2 3" xfId="774"/>
    <cellStyle name="20% - 着色 2 4 2 4" xfId="775"/>
    <cellStyle name="20% - 着色 2 4 3" xfId="776"/>
    <cellStyle name="20% - 着色 2 4 3 2" xfId="777"/>
    <cellStyle name="20% - 着色 2 4 4" xfId="778"/>
    <cellStyle name="20% - 着色 2 4 4 2" xfId="779"/>
    <cellStyle name="20% - 着色 2 4 5" xfId="780"/>
    <cellStyle name="20% - 着色 2 4 6" xfId="781"/>
    <cellStyle name="20% - 着色 2 5" xfId="782"/>
    <cellStyle name="20% - 着色 2 5 2" xfId="783"/>
    <cellStyle name="20% - 着色 2 5 2 2" xfId="784"/>
    <cellStyle name="20% - 着色 2 5 3" xfId="785"/>
    <cellStyle name="20% - 着色 2 5 4" xfId="786"/>
    <cellStyle name="20% - 着色 2 6" xfId="787"/>
    <cellStyle name="20% - 着色 2 6 2" xfId="788"/>
    <cellStyle name="20% - 着色 2 7" xfId="789"/>
    <cellStyle name="20% - 着色 2 7 2" xfId="790"/>
    <cellStyle name="20% - 着色 2 8" xfId="791"/>
    <cellStyle name="20% - 着色 2 8 2" xfId="792"/>
    <cellStyle name="20% - 着色 2 9" xfId="793"/>
    <cellStyle name="20% - 着色 3" xfId="794"/>
    <cellStyle name="20% - 着色 3 10" xfId="795"/>
    <cellStyle name="20% - 着色 3 2" xfId="796"/>
    <cellStyle name="20% - 着色 3 2 2" xfId="797"/>
    <cellStyle name="20% - 着色 3 2 2 2" xfId="798"/>
    <cellStyle name="20% - 着色 3 2 2 2 2" xfId="799"/>
    <cellStyle name="20% - 着色 3 2 2 2 2 2" xfId="800"/>
    <cellStyle name="20% - 着色 3 2 2 2 3" xfId="801"/>
    <cellStyle name="20% - 着色 3 2 2 2 4" xfId="802"/>
    <cellStyle name="20% - 着色 3 2 2 3" xfId="803"/>
    <cellStyle name="20% - 着色 3 2 2 3 2" xfId="804"/>
    <cellStyle name="20% - 着色 3 2 2 4" xfId="805"/>
    <cellStyle name="20% - 着色 3 2 2 4 2" xfId="806"/>
    <cellStyle name="20% - 着色 3 2 2 5" xfId="807"/>
    <cellStyle name="20% - 着色 3 2 2 6" xfId="808"/>
    <cellStyle name="20% - 着色 3 2 3" xfId="809"/>
    <cellStyle name="20% - 着色 3 2 3 2" xfId="810"/>
    <cellStyle name="20% - 着色 3 2 3 2 2" xfId="811"/>
    <cellStyle name="20% - 着色 3 2 3 3" xfId="812"/>
    <cellStyle name="20% - 着色 3 2 3 4" xfId="813"/>
    <cellStyle name="20% - 着色 3 2 4" xfId="814"/>
    <cellStyle name="20% - 着色 3 2 4 2" xfId="815"/>
    <cellStyle name="20% - 着色 3 2 5" xfId="816"/>
    <cellStyle name="20% - 着色 3 2 5 2" xfId="817"/>
    <cellStyle name="20% - 着色 3 2 6" xfId="818"/>
    <cellStyle name="20% - 着色 3 2 7" xfId="819"/>
    <cellStyle name="20% - 着色 3 3" xfId="820"/>
    <cellStyle name="20% - 着色 3 3 2" xfId="821"/>
    <cellStyle name="20% - 着色 3 3 2 2" xfId="822"/>
    <cellStyle name="20% - 着色 3 3 2 2 2" xfId="823"/>
    <cellStyle name="20% - 着色 3 3 2 3" xfId="824"/>
    <cellStyle name="20% - 着色 3 3 2 4" xfId="825"/>
    <cellStyle name="20% - 着色 3 3 3" xfId="826"/>
    <cellStyle name="20% - 着色 3 3 3 2" xfId="827"/>
    <cellStyle name="20% - 着色 3 3 4" xfId="828"/>
    <cellStyle name="20% - 着色 3 3 4 2" xfId="829"/>
    <cellStyle name="20% - 着色 3 3 5" xfId="830"/>
    <cellStyle name="20% - 着色 3 3 6" xfId="831"/>
    <cellStyle name="20% - 着色 3 4" xfId="832"/>
    <cellStyle name="20% - 着色 3 4 2" xfId="833"/>
    <cellStyle name="20% - 着色 3 4 2 2" xfId="834"/>
    <cellStyle name="20% - 着色 3 4 2 2 2" xfId="835"/>
    <cellStyle name="20% - 着色 3 4 2 3" xfId="836"/>
    <cellStyle name="20% - 着色 3 4 2 4" xfId="837"/>
    <cellStyle name="20% - 着色 3 4 3" xfId="838"/>
    <cellStyle name="20% - 着色 3 4 3 2" xfId="839"/>
    <cellStyle name="20% - 着色 3 4 4" xfId="840"/>
    <cellStyle name="20% - 着色 3 4 4 2" xfId="841"/>
    <cellStyle name="20% - 着色 3 4 5" xfId="842"/>
    <cellStyle name="20% - 着色 3 4 6" xfId="843"/>
    <cellStyle name="20% - 着色 3 5" xfId="844"/>
    <cellStyle name="20% - 着色 3 5 2" xfId="845"/>
    <cellStyle name="20% - 着色 3 5 2 2" xfId="846"/>
    <cellStyle name="20% - 着色 3 5 3" xfId="847"/>
    <cellStyle name="20% - 着色 3 5 4" xfId="848"/>
    <cellStyle name="20% - 着色 3 6" xfId="849"/>
    <cellStyle name="20% - 着色 3 6 2" xfId="850"/>
    <cellStyle name="20% - 着色 3 7" xfId="851"/>
    <cellStyle name="20% - 着色 3 7 2" xfId="852"/>
    <cellStyle name="20% - 着色 3 8" xfId="853"/>
    <cellStyle name="20% - 着色 3 8 2" xfId="854"/>
    <cellStyle name="20% - 着色 3 9" xfId="855"/>
    <cellStyle name="20% - 着色 4" xfId="856"/>
    <cellStyle name="20% - 着色 4 10" xfId="857"/>
    <cellStyle name="20% - 着色 4 2" xfId="858"/>
    <cellStyle name="20% - 着色 4 2 2" xfId="859"/>
    <cellStyle name="20% - 着色 4 2 2 2" xfId="860"/>
    <cellStyle name="20% - 着色 4 2 2 2 2" xfId="861"/>
    <cellStyle name="20% - 着色 4 2 2 2 2 2" xfId="862"/>
    <cellStyle name="20% - 着色 4 2 2 2 3" xfId="863"/>
    <cellStyle name="20% - 着色 4 2 2 2 4" xfId="864"/>
    <cellStyle name="20% - 着色 4 2 2 3" xfId="865"/>
    <cellStyle name="20% - 着色 4 2 2 3 2" xfId="866"/>
    <cellStyle name="20% - 着色 4 2 2 4" xfId="867"/>
    <cellStyle name="20% - 着色 4 2 2 4 2" xfId="868"/>
    <cellStyle name="20% - 着色 4 2 2 5" xfId="869"/>
    <cellStyle name="20% - 着色 4 2 2 6" xfId="870"/>
    <cellStyle name="20% - 着色 4 2 3" xfId="871"/>
    <cellStyle name="20% - 着色 4 2 3 2" xfId="872"/>
    <cellStyle name="20% - 着色 4 2 3 2 2" xfId="873"/>
    <cellStyle name="20% - 着色 4 2 3 3" xfId="874"/>
    <cellStyle name="20% - 着色 4 2 3 4" xfId="875"/>
    <cellStyle name="20% - 着色 4 2 4" xfId="876"/>
    <cellStyle name="20% - 着色 4 2 4 2" xfId="877"/>
    <cellStyle name="20% - 着色 4 2 5" xfId="878"/>
    <cellStyle name="20% - 着色 4 2 5 2" xfId="879"/>
    <cellStyle name="20% - 着色 4 2 6" xfId="880"/>
    <cellStyle name="20% - 着色 4 2 7" xfId="881"/>
    <cellStyle name="20% - 着色 4 3" xfId="882"/>
    <cellStyle name="20% - 着色 4 3 2" xfId="883"/>
    <cellStyle name="20% - 着色 4 3 2 2" xfId="884"/>
    <cellStyle name="20% - 着色 4 3 2 2 2" xfId="885"/>
    <cellStyle name="20% - 着色 4 3 2 3" xfId="886"/>
    <cellStyle name="20% - 着色 4 3 2 4" xfId="887"/>
    <cellStyle name="20% - 着色 4 3 3" xfId="888"/>
    <cellStyle name="20% - 着色 4 3 3 2" xfId="889"/>
    <cellStyle name="20% - 着色 4 3 4" xfId="890"/>
    <cellStyle name="20% - 着色 4 3 4 2" xfId="891"/>
    <cellStyle name="20% - 着色 4 3 5" xfId="892"/>
    <cellStyle name="20% - 着色 4 3 6" xfId="893"/>
    <cellStyle name="20% - 着色 4 4" xfId="894"/>
    <cellStyle name="20% - 着色 4 4 2" xfId="895"/>
    <cellStyle name="20% - 着色 4 4 2 2" xfId="896"/>
    <cellStyle name="20% - 着色 4 4 2 2 2" xfId="897"/>
    <cellStyle name="20% - 着色 4 4 2 3" xfId="898"/>
    <cellStyle name="20% - 着色 4 4 2 4" xfId="899"/>
    <cellStyle name="20% - 着色 4 4 3" xfId="900"/>
    <cellStyle name="20% - 着色 4 4 3 2" xfId="901"/>
    <cellStyle name="20% - 着色 4 4 4" xfId="902"/>
    <cellStyle name="20% - 着色 4 4 4 2" xfId="903"/>
    <cellStyle name="20% - 着色 4 4 5" xfId="904"/>
    <cellStyle name="20% - 着色 4 4 6" xfId="905"/>
    <cellStyle name="20% - 着色 4 5" xfId="906"/>
    <cellStyle name="20% - 着色 4 5 2" xfId="907"/>
    <cellStyle name="20% - 着色 4 5 2 2" xfId="908"/>
    <cellStyle name="20% - 着色 4 5 3" xfId="909"/>
    <cellStyle name="20% - 着色 4 5 4" xfId="910"/>
    <cellStyle name="20% - 着色 4 6" xfId="911"/>
    <cellStyle name="20% - 着色 4 6 2" xfId="912"/>
    <cellStyle name="20% - 着色 4 7" xfId="913"/>
    <cellStyle name="20% - 着色 4 7 2" xfId="914"/>
    <cellStyle name="20% - 着色 4 8" xfId="915"/>
    <cellStyle name="20% - 着色 4 8 2" xfId="916"/>
    <cellStyle name="20% - 着色 4 9" xfId="917"/>
    <cellStyle name="20% - 着色 5" xfId="918"/>
    <cellStyle name="20% - 着色 5 10" xfId="919"/>
    <cellStyle name="20% - 着色 5 2" xfId="920"/>
    <cellStyle name="20% - 着色 5 2 2" xfId="921"/>
    <cellStyle name="20% - 着色 5 2 2 2" xfId="922"/>
    <cellStyle name="20% - 着色 5 2 2 2 2" xfId="923"/>
    <cellStyle name="20% - 着色 5 2 2 2 2 2" xfId="924"/>
    <cellStyle name="20% - 着色 5 2 2 2 3" xfId="925"/>
    <cellStyle name="20% - 着色 5 2 2 2 4" xfId="926"/>
    <cellStyle name="20% - 着色 5 2 2 3" xfId="927"/>
    <cellStyle name="20% - 着色 5 2 2 3 2" xfId="928"/>
    <cellStyle name="20% - 着色 5 2 2 4" xfId="929"/>
    <cellStyle name="20% - 着色 5 2 2 4 2" xfId="930"/>
    <cellStyle name="20% - 着色 5 2 2 5" xfId="931"/>
    <cellStyle name="20% - 着色 5 2 2 6" xfId="932"/>
    <cellStyle name="20% - 着色 5 2 3" xfId="933"/>
    <cellStyle name="20% - 着色 5 2 3 2" xfId="934"/>
    <cellStyle name="20% - 着色 5 2 3 2 2" xfId="935"/>
    <cellStyle name="20% - 着色 5 2 3 3" xfId="936"/>
    <cellStyle name="20% - 着色 5 2 3 4" xfId="937"/>
    <cellStyle name="20% - 着色 5 2 4" xfId="938"/>
    <cellStyle name="20% - 着色 5 2 4 2" xfId="939"/>
    <cellStyle name="20% - 着色 5 2 5" xfId="940"/>
    <cellStyle name="20% - 着色 5 2 5 2" xfId="941"/>
    <cellStyle name="20% - 着色 5 2 6" xfId="942"/>
    <cellStyle name="20% - 着色 5 2 7" xfId="943"/>
    <cellStyle name="20% - 着色 5 3" xfId="944"/>
    <cellStyle name="20% - 着色 5 3 2" xfId="945"/>
    <cellStyle name="20% - 着色 5 3 2 2" xfId="946"/>
    <cellStyle name="20% - 着色 5 3 2 2 2" xfId="947"/>
    <cellStyle name="20% - 着色 5 3 2 3" xfId="948"/>
    <cellStyle name="20% - 着色 5 3 2 4" xfId="949"/>
    <cellStyle name="20% - 着色 5 3 3" xfId="950"/>
    <cellStyle name="20% - 着色 5 3 3 2" xfId="951"/>
    <cellStyle name="20% - 着色 5 3 4" xfId="952"/>
    <cellStyle name="20% - 着色 5 3 4 2" xfId="953"/>
    <cellStyle name="20% - 着色 5 3 5" xfId="954"/>
    <cellStyle name="20% - 着色 5 3 6" xfId="955"/>
    <cellStyle name="20% - 着色 5 4" xfId="956"/>
    <cellStyle name="20% - 着色 5 4 2" xfId="957"/>
    <cellStyle name="20% - 着色 5 4 2 2" xfId="958"/>
    <cellStyle name="20% - 着色 5 4 2 2 2" xfId="959"/>
    <cellStyle name="20% - 着色 5 4 2 3" xfId="960"/>
    <cellStyle name="20% - 着色 5 4 2 4" xfId="961"/>
    <cellStyle name="20% - 着色 5 4 3" xfId="962"/>
    <cellStyle name="20% - 着色 5 4 3 2" xfId="963"/>
    <cellStyle name="20% - 着色 5 4 4" xfId="964"/>
    <cellStyle name="20% - 着色 5 4 4 2" xfId="965"/>
    <cellStyle name="20% - 着色 5 4 5" xfId="966"/>
    <cellStyle name="20% - 着色 5 4 6" xfId="967"/>
    <cellStyle name="20% - 着色 5 5" xfId="968"/>
    <cellStyle name="20% - 着色 5 5 2" xfId="969"/>
    <cellStyle name="20% - 着色 5 5 2 2" xfId="970"/>
    <cellStyle name="20% - 着色 5 5 3" xfId="971"/>
    <cellStyle name="20% - 着色 5 5 4" xfId="972"/>
    <cellStyle name="20% - 着色 5 6" xfId="973"/>
    <cellStyle name="20% - 着色 5 6 2" xfId="974"/>
    <cellStyle name="20% - 着色 5 7" xfId="975"/>
    <cellStyle name="20% - 着色 5 7 2" xfId="976"/>
    <cellStyle name="20% - 着色 5 8" xfId="977"/>
    <cellStyle name="20% - 着色 5 8 2" xfId="978"/>
    <cellStyle name="20% - 着色 5 9" xfId="979"/>
    <cellStyle name="20% - 着色 6" xfId="980"/>
    <cellStyle name="20% - 着色 6 10" xfId="981"/>
    <cellStyle name="20% - 着色 6 2" xfId="982"/>
    <cellStyle name="20% - 着色 6 2 2" xfId="983"/>
    <cellStyle name="20% - 着色 6 2 2 2" xfId="984"/>
    <cellStyle name="20% - 着色 6 2 2 2 2" xfId="985"/>
    <cellStyle name="20% - 着色 6 2 2 2 2 2" xfId="986"/>
    <cellStyle name="20% - 着色 6 2 2 2 3" xfId="987"/>
    <cellStyle name="20% - 着色 6 2 2 2 4" xfId="988"/>
    <cellStyle name="20% - 着色 6 2 2 3" xfId="989"/>
    <cellStyle name="20% - 着色 6 2 2 3 2" xfId="990"/>
    <cellStyle name="20% - 着色 6 2 2 4" xfId="991"/>
    <cellStyle name="20% - 着色 6 2 2 4 2" xfId="992"/>
    <cellStyle name="20% - 着色 6 2 2 5" xfId="993"/>
    <cellStyle name="20% - 着色 6 2 2 6" xfId="994"/>
    <cellStyle name="20% - 着色 6 2 3" xfId="995"/>
    <cellStyle name="20% - 着色 6 2 3 2" xfId="996"/>
    <cellStyle name="20% - 着色 6 2 3 2 2" xfId="997"/>
    <cellStyle name="20% - 着色 6 2 3 3" xfId="998"/>
    <cellStyle name="20% - 着色 6 2 3 4" xfId="999"/>
    <cellStyle name="20% - 着色 6 2 4" xfId="1000"/>
    <cellStyle name="20% - 着色 6 2 4 2" xfId="1001"/>
    <cellStyle name="20% - 着色 6 2 5" xfId="1002"/>
    <cellStyle name="20% - 着色 6 2 5 2" xfId="1003"/>
    <cellStyle name="20% - 着色 6 2 6" xfId="1004"/>
    <cellStyle name="20% - 着色 6 2 7" xfId="1005"/>
    <cellStyle name="20% - 着色 6 3" xfId="1006"/>
    <cellStyle name="20% - 着色 6 3 2" xfId="1007"/>
    <cellStyle name="20% - 着色 6 3 2 2" xfId="1008"/>
    <cellStyle name="20% - 着色 6 3 2 2 2" xfId="1009"/>
    <cellStyle name="20% - 着色 6 3 2 3" xfId="1010"/>
    <cellStyle name="20% - 着色 6 3 2 4" xfId="1011"/>
    <cellStyle name="20% - 着色 6 3 3" xfId="1012"/>
    <cellStyle name="20% - 着色 6 3 3 2" xfId="1013"/>
    <cellStyle name="20% - 着色 6 3 4" xfId="1014"/>
    <cellStyle name="20% - 着色 6 3 4 2" xfId="1015"/>
    <cellStyle name="20% - 着色 6 3 5" xfId="1016"/>
    <cellStyle name="20% - 着色 6 3 6" xfId="1017"/>
    <cellStyle name="20% - 着色 6 4" xfId="1018"/>
    <cellStyle name="20% - 着色 6 4 2" xfId="1019"/>
    <cellStyle name="20% - 着色 6 4 2 2" xfId="1020"/>
    <cellStyle name="20% - 着色 6 4 2 2 2" xfId="1021"/>
    <cellStyle name="20% - 着色 6 4 2 3" xfId="1022"/>
    <cellStyle name="20% - 着色 6 4 2 4" xfId="1023"/>
    <cellStyle name="20% - 着色 6 4 3" xfId="1024"/>
    <cellStyle name="20% - 着色 6 4 3 2" xfId="1025"/>
    <cellStyle name="20% - 着色 6 4 4" xfId="1026"/>
    <cellStyle name="20% - 着色 6 4 4 2" xfId="1027"/>
    <cellStyle name="20% - 着色 6 4 5" xfId="1028"/>
    <cellStyle name="20% - 着色 6 4 6" xfId="1029"/>
    <cellStyle name="20% - 着色 6 5" xfId="1030"/>
    <cellStyle name="20% - 着色 6 5 2" xfId="1031"/>
    <cellStyle name="20% - 着色 6 5 2 2" xfId="1032"/>
    <cellStyle name="20% - 着色 6 5 3" xfId="1033"/>
    <cellStyle name="20% - 着色 6 5 4" xfId="1034"/>
    <cellStyle name="20% - 着色 6 6" xfId="1035"/>
    <cellStyle name="20% - 着色 6 6 2" xfId="1036"/>
    <cellStyle name="20% - 着色 6 7" xfId="1037"/>
    <cellStyle name="20% - 着色 6 7 2" xfId="1038"/>
    <cellStyle name="20% - 着色 6 8" xfId="1039"/>
    <cellStyle name="20% - 着色 6 8 2" xfId="1040"/>
    <cellStyle name="20% - 着色 6 9" xfId="1041"/>
    <cellStyle name="40% - 强调文字颜色 1 2" xfId="1042"/>
    <cellStyle name="40% - 强调文字颜色 1 2 2" xfId="1043"/>
    <cellStyle name="40% - 强调文字颜色 1 2 2 2" xfId="1044"/>
    <cellStyle name="40% - 强调文字颜色 1 2 2 2 2" xfId="1045"/>
    <cellStyle name="40% - 强调文字颜色 1 2 2 2 2 2" xfId="1046"/>
    <cellStyle name="40% - 强调文字颜色 1 2 2 2 3" xfId="1047"/>
    <cellStyle name="40% - 强调文字颜色 1 2 2 2 4" xfId="1048"/>
    <cellStyle name="40% - 强调文字颜色 1 2 2 3" xfId="1049"/>
    <cellStyle name="40% - 强调文字颜色 1 2 2 3 2" xfId="1050"/>
    <cellStyle name="40% - 强调文字颜色 1 2 2 4" xfId="1051"/>
    <cellStyle name="40% - 强调文字颜色 1 2 2 4 2" xfId="1052"/>
    <cellStyle name="40% - 强调文字颜色 1 2 2 5" xfId="1053"/>
    <cellStyle name="40% - 强调文字颜色 1 2 2 6" xfId="1054"/>
    <cellStyle name="40% - 强调文字颜色 1 2 2 7" xfId="8651"/>
    <cellStyle name="40% - 强调文字颜色 1 2 2 7 2" xfId="9247"/>
    <cellStyle name="40% - 强调文字颜色 1 2 3" xfId="1055"/>
    <cellStyle name="40% - 强调文字颜色 1 2 3 2" xfId="1056"/>
    <cellStyle name="40% - 强调文字颜色 1 2 3 2 2" xfId="1057"/>
    <cellStyle name="40% - 强调文字颜色 1 2 3 3" xfId="1058"/>
    <cellStyle name="40% - 强调文字颜色 1 2 3 4" xfId="1059"/>
    <cellStyle name="40% - 强调文字颜色 1 2 4" xfId="1060"/>
    <cellStyle name="40% - 强调文字颜色 1 2 4 2" xfId="1061"/>
    <cellStyle name="40% - 强调文字颜色 1 2 5" xfId="1062"/>
    <cellStyle name="40% - 强调文字颜色 1 2 5 2" xfId="1063"/>
    <cellStyle name="40% - 强调文字颜色 1 2 6" xfId="1064"/>
    <cellStyle name="40% - 强调文字颜色 1 2 7" xfId="1065"/>
    <cellStyle name="40% - 强调文字颜色 1 2 8" xfId="8650"/>
    <cellStyle name="40% - 强调文字颜色 1 2 8 2" xfId="9246"/>
    <cellStyle name="40% - 强调文字颜色 1 3" xfId="1066"/>
    <cellStyle name="40% - 强调文字颜色 1 3 2" xfId="1067"/>
    <cellStyle name="40% - 强调文字颜色 1 3 2 2" xfId="1068"/>
    <cellStyle name="40% - 强调文字颜色 1 3 2 2 2" xfId="1069"/>
    <cellStyle name="40% - 强调文字颜色 1 3 2 2 2 2" xfId="1070"/>
    <cellStyle name="40% - 强调文字颜色 1 3 2 2 3" xfId="1071"/>
    <cellStyle name="40% - 强调文字颜色 1 3 2 2 4" xfId="1072"/>
    <cellStyle name="40% - 强调文字颜色 1 3 2 3" xfId="1073"/>
    <cellStyle name="40% - 强调文字颜色 1 3 2 3 2" xfId="1074"/>
    <cellStyle name="40% - 强调文字颜色 1 3 2 4" xfId="1075"/>
    <cellStyle name="40% - 强调文字颜色 1 3 2 4 2" xfId="1076"/>
    <cellStyle name="40% - 强调文字颜色 1 3 2 5" xfId="1077"/>
    <cellStyle name="40% - 强调文字颜色 1 3 2 6" xfId="1078"/>
    <cellStyle name="40% - 强调文字颜色 1 3 2 7" xfId="8653"/>
    <cellStyle name="40% - 强调文字颜色 1 3 2 7 2" xfId="9249"/>
    <cellStyle name="40% - 强调文字颜色 1 3 3" xfId="1079"/>
    <cellStyle name="40% - 强调文字颜色 1 3 3 2" xfId="1080"/>
    <cellStyle name="40% - 强调文字颜色 1 3 3 2 2" xfId="1081"/>
    <cellStyle name="40% - 强调文字颜色 1 3 3 3" xfId="1082"/>
    <cellStyle name="40% - 强调文字颜色 1 3 3 4" xfId="1083"/>
    <cellStyle name="40% - 强调文字颜色 1 3 4" xfId="1084"/>
    <cellStyle name="40% - 强调文字颜色 1 3 4 2" xfId="1085"/>
    <cellStyle name="40% - 强调文字颜色 1 3 5" xfId="1086"/>
    <cellStyle name="40% - 强调文字颜色 1 3 5 2" xfId="1087"/>
    <cellStyle name="40% - 强调文字颜色 1 3 6" xfId="1088"/>
    <cellStyle name="40% - 强调文字颜色 1 3 7" xfId="1089"/>
    <cellStyle name="40% - 强调文字颜色 1 3 8" xfId="8652"/>
    <cellStyle name="40% - 强调文字颜色 1 3 8 2" xfId="9248"/>
    <cellStyle name="40% - 强调文字颜色 1 4" xfId="1090"/>
    <cellStyle name="40% - 强调文字颜色 1 4 2" xfId="1091"/>
    <cellStyle name="40% - 强调文字颜色 1 4 2 2" xfId="1092"/>
    <cellStyle name="40% - 强调文字颜色 1 4 2 2 2" xfId="1093"/>
    <cellStyle name="40% - 强调文字颜色 1 4 2 2 2 2" xfId="1094"/>
    <cellStyle name="40% - 强调文字颜色 1 4 2 2 3" xfId="1095"/>
    <cellStyle name="40% - 强调文字颜色 1 4 2 2 4" xfId="1096"/>
    <cellStyle name="40% - 强调文字颜色 1 4 2 3" xfId="1097"/>
    <cellStyle name="40% - 强调文字颜色 1 4 2 3 2" xfId="1098"/>
    <cellStyle name="40% - 强调文字颜色 1 4 2 4" xfId="1099"/>
    <cellStyle name="40% - 强调文字颜色 1 4 2 4 2" xfId="1100"/>
    <cellStyle name="40% - 强调文字颜色 1 4 2 5" xfId="1101"/>
    <cellStyle name="40% - 强调文字颜色 1 4 2 6" xfId="1102"/>
    <cellStyle name="40% - 强调文字颜色 1 4 2 7" xfId="8655"/>
    <cellStyle name="40% - 强调文字颜色 1 4 2 7 2" xfId="9251"/>
    <cellStyle name="40% - 强调文字颜色 1 4 3" xfId="1103"/>
    <cellStyle name="40% - 强调文字颜色 1 4 3 2" xfId="1104"/>
    <cellStyle name="40% - 强调文字颜色 1 4 3 2 2" xfId="1105"/>
    <cellStyle name="40% - 强调文字颜色 1 4 3 3" xfId="1106"/>
    <cellStyle name="40% - 强调文字颜色 1 4 3 4" xfId="1107"/>
    <cellStyle name="40% - 强调文字颜色 1 4 4" xfId="1108"/>
    <cellStyle name="40% - 强调文字颜色 1 4 4 2" xfId="1109"/>
    <cellStyle name="40% - 强调文字颜色 1 4 5" xfId="1110"/>
    <cellStyle name="40% - 强调文字颜色 1 4 5 2" xfId="1111"/>
    <cellStyle name="40% - 强调文字颜色 1 4 6" xfId="1112"/>
    <cellStyle name="40% - 强调文字颜色 1 4 7" xfId="1113"/>
    <cellStyle name="40% - 强调文字颜色 1 4 8" xfId="8654"/>
    <cellStyle name="40% - 强调文字颜色 1 4 8 2" xfId="9250"/>
    <cellStyle name="40% - 强调文字颜色 1 5" xfId="1114"/>
    <cellStyle name="40% - 强调文字颜色 1 5 2" xfId="1115"/>
    <cellStyle name="40% - 强调文字颜色 1 5 2 2" xfId="1116"/>
    <cellStyle name="40% - 强调文字颜色 1 5 2 2 2" xfId="1117"/>
    <cellStyle name="40% - 强调文字颜色 1 5 2 3" xfId="1118"/>
    <cellStyle name="40% - 强调文字颜色 1 5 2 4" xfId="1119"/>
    <cellStyle name="40% - 强调文字颜色 1 5 3" xfId="1120"/>
    <cellStyle name="40% - 强调文字颜色 1 5 3 2" xfId="1121"/>
    <cellStyle name="40% - 强调文字颜色 1 5 4" xfId="1122"/>
    <cellStyle name="40% - 强调文字颜色 1 5 4 2" xfId="1123"/>
    <cellStyle name="40% - 强调文字颜色 1 5 5" xfId="1124"/>
    <cellStyle name="40% - 强调文字颜色 1 5 6" xfId="1125"/>
    <cellStyle name="40% - 强调文字颜色 1 6" xfId="1126"/>
    <cellStyle name="40% - 强调文字颜色 1 6 2" xfId="1127"/>
    <cellStyle name="40% - 强调文字颜色 1 6 2 2" xfId="1128"/>
    <cellStyle name="40% - 强调文字颜色 1 6 2 2 2" xfId="1129"/>
    <cellStyle name="40% - 强调文字颜色 1 6 2 3" xfId="1130"/>
    <cellStyle name="40% - 强调文字颜色 1 6 2 4" xfId="1131"/>
    <cellStyle name="40% - 强调文字颜色 1 6 3" xfId="1132"/>
    <cellStyle name="40% - 强调文字颜色 1 6 3 2" xfId="1133"/>
    <cellStyle name="40% - 强调文字颜色 1 6 4" xfId="1134"/>
    <cellStyle name="40% - 强调文字颜色 1 6 4 2" xfId="1135"/>
    <cellStyle name="40% - 强调文字颜色 1 6 5" xfId="1136"/>
    <cellStyle name="40% - 强调文字颜色 1 6 6" xfId="1137"/>
    <cellStyle name="40% - 强调文字颜色 1 7" xfId="1138"/>
    <cellStyle name="40% - 强调文字颜色 1 7 2" xfId="1139"/>
    <cellStyle name="40% - 强调文字颜色 1 7 2 2" xfId="1140"/>
    <cellStyle name="40% - 强调文字颜色 1 7 2 2 2" xfId="1141"/>
    <cellStyle name="40% - 强调文字颜色 1 7 2 3" xfId="1142"/>
    <cellStyle name="40% - 强调文字颜色 1 7 2 4" xfId="1143"/>
    <cellStyle name="40% - 强调文字颜色 1 7 3" xfId="1144"/>
    <cellStyle name="40% - 强调文字颜色 1 7 3 2" xfId="1145"/>
    <cellStyle name="40% - 强调文字颜色 1 7 4" xfId="1146"/>
    <cellStyle name="40% - 强调文字颜色 1 7 4 2" xfId="1147"/>
    <cellStyle name="40% - 强调文字颜色 1 7 5" xfId="1148"/>
    <cellStyle name="40% - 强调文字颜色 1 7 6" xfId="1149"/>
    <cellStyle name="40% - 强调文字颜色 2 2" xfId="1150"/>
    <cellStyle name="40% - 强调文字颜色 2 2 2" xfId="1151"/>
    <cellStyle name="40% - 强调文字颜色 2 2 2 2" xfId="1152"/>
    <cellStyle name="40% - 强调文字颜色 2 2 2 2 2" xfId="1153"/>
    <cellStyle name="40% - 强调文字颜色 2 2 2 2 2 2" xfId="1154"/>
    <cellStyle name="40% - 强调文字颜色 2 2 2 2 3" xfId="1155"/>
    <cellStyle name="40% - 强调文字颜色 2 2 2 2 4" xfId="1156"/>
    <cellStyle name="40% - 强调文字颜色 2 2 2 3" xfId="1157"/>
    <cellStyle name="40% - 强调文字颜色 2 2 2 3 2" xfId="1158"/>
    <cellStyle name="40% - 强调文字颜色 2 2 2 4" xfId="1159"/>
    <cellStyle name="40% - 强调文字颜色 2 2 2 4 2" xfId="1160"/>
    <cellStyle name="40% - 强调文字颜色 2 2 2 5" xfId="1161"/>
    <cellStyle name="40% - 强调文字颜色 2 2 2 6" xfId="1162"/>
    <cellStyle name="40% - 强调文字颜色 2 2 2 7" xfId="8657"/>
    <cellStyle name="40% - 强调文字颜色 2 2 2 7 2" xfId="9253"/>
    <cellStyle name="40% - 强调文字颜色 2 2 3" xfId="1163"/>
    <cellStyle name="40% - 强调文字颜色 2 2 3 2" xfId="1164"/>
    <cellStyle name="40% - 强调文字颜色 2 2 3 2 2" xfId="1165"/>
    <cellStyle name="40% - 强调文字颜色 2 2 3 3" xfId="1166"/>
    <cellStyle name="40% - 强调文字颜色 2 2 3 4" xfId="1167"/>
    <cellStyle name="40% - 强调文字颜色 2 2 4" xfId="1168"/>
    <cellStyle name="40% - 强调文字颜色 2 2 4 2" xfId="1169"/>
    <cellStyle name="40% - 强调文字颜色 2 2 5" xfId="1170"/>
    <cellStyle name="40% - 强调文字颜色 2 2 5 2" xfId="1171"/>
    <cellStyle name="40% - 强调文字颜色 2 2 6" xfId="1172"/>
    <cellStyle name="40% - 强调文字颜色 2 2 7" xfId="1173"/>
    <cellStyle name="40% - 强调文字颜色 2 2 8" xfId="8656"/>
    <cellStyle name="40% - 强调文字颜色 2 2 8 2" xfId="9252"/>
    <cellStyle name="40% - 强调文字颜色 2 3" xfId="1174"/>
    <cellStyle name="40% - 强调文字颜色 2 3 2" xfId="1175"/>
    <cellStyle name="40% - 强调文字颜色 2 3 2 2" xfId="1176"/>
    <cellStyle name="40% - 强调文字颜色 2 3 2 2 2" xfId="1177"/>
    <cellStyle name="40% - 强调文字颜色 2 3 2 2 2 2" xfId="1178"/>
    <cellStyle name="40% - 强调文字颜色 2 3 2 2 3" xfId="1179"/>
    <cellStyle name="40% - 强调文字颜色 2 3 2 2 4" xfId="1180"/>
    <cellStyle name="40% - 强调文字颜色 2 3 2 3" xfId="1181"/>
    <cellStyle name="40% - 强调文字颜色 2 3 2 3 2" xfId="1182"/>
    <cellStyle name="40% - 强调文字颜色 2 3 2 4" xfId="1183"/>
    <cellStyle name="40% - 强调文字颜色 2 3 2 4 2" xfId="1184"/>
    <cellStyle name="40% - 强调文字颜色 2 3 2 5" xfId="1185"/>
    <cellStyle name="40% - 强调文字颜色 2 3 2 6" xfId="1186"/>
    <cellStyle name="40% - 强调文字颜色 2 3 2 7" xfId="8659"/>
    <cellStyle name="40% - 强调文字颜色 2 3 2 7 2" xfId="9255"/>
    <cellStyle name="40% - 强调文字颜色 2 3 3" xfId="1187"/>
    <cellStyle name="40% - 强调文字颜色 2 3 3 2" xfId="1188"/>
    <cellStyle name="40% - 强调文字颜色 2 3 3 2 2" xfId="1189"/>
    <cellStyle name="40% - 强调文字颜色 2 3 3 3" xfId="1190"/>
    <cellStyle name="40% - 强调文字颜色 2 3 3 4" xfId="1191"/>
    <cellStyle name="40% - 强调文字颜色 2 3 4" xfId="1192"/>
    <cellStyle name="40% - 强调文字颜色 2 3 4 2" xfId="1193"/>
    <cellStyle name="40% - 强调文字颜色 2 3 5" xfId="1194"/>
    <cellStyle name="40% - 强调文字颜色 2 3 5 2" xfId="1195"/>
    <cellStyle name="40% - 强调文字颜色 2 3 6" xfId="1196"/>
    <cellStyle name="40% - 强调文字颜色 2 3 7" xfId="1197"/>
    <cellStyle name="40% - 强调文字颜色 2 3 8" xfId="8658"/>
    <cellStyle name="40% - 强调文字颜色 2 3 8 2" xfId="9254"/>
    <cellStyle name="40% - 强调文字颜色 2 4" xfId="1198"/>
    <cellStyle name="40% - 强调文字颜色 2 4 2" xfId="1199"/>
    <cellStyle name="40% - 强调文字颜色 2 4 2 2" xfId="1200"/>
    <cellStyle name="40% - 强调文字颜色 2 4 2 2 2" xfId="1201"/>
    <cellStyle name="40% - 强调文字颜色 2 4 2 2 2 2" xfId="1202"/>
    <cellStyle name="40% - 强调文字颜色 2 4 2 2 3" xfId="1203"/>
    <cellStyle name="40% - 强调文字颜色 2 4 2 2 4" xfId="1204"/>
    <cellStyle name="40% - 强调文字颜色 2 4 2 3" xfId="1205"/>
    <cellStyle name="40% - 强调文字颜色 2 4 2 3 2" xfId="1206"/>
    <cellStyle name="40% - 强调文字颜色 2 4 2 4" xfId="1207"/>
    <cellStyle name="40% - 强调文字颜色 2 4 2 4 2" xfId="1208"/>
    <cellStyle name="40% - 强调文字颜色 2 4 2 5" xfId="1209"/>
    <cellStyle name="40% - 强调文字颜色 2 4 2 6" xfId="1210"/>
    <cellStyle name="40% - 强调文字颜色 2 4 2 7" xfId="8661"/>
    <cellStyle name="40% - 强调文字颜色 2 4 2 7 2" xfId="9257"/>
    <cellStyle name="40% - 强调文字颜色 2 4 3" xfId="1211"/>
    <cellStyle name="40% - 强调文字颜色 2 4 3 2" xfId="1212"/>
    <cellStyle name="40% - 强调文字颜色 2 4 3 2 2" xfId="1213"/>
    <cellStyle name="40% - 强调文字颜色 2 4 3 3" xfId="1214"/>
    <cellStyle name="40% - 强调文字颜色 2 4 3 4" xfId="1215"/>
    <cellStyle name="40% - 强调文字颜色 2 4 4" xfId="1216"/>
    <cellStyle name="40% - 强调文字颜色 2 4 4 2" xfId="1217"/>
    <cellStyle name="40% - 强调文字颜色 2 4 5" xfId="1218"/>
    <cellStyle name="40% - 强调文字颜色 2 4 5 2" xfId="1219"/>
    <cellStyle name="40% - 强调文字颜色 2 4 6" xfId="1220"/>
    <cellStyle name="40% - 强调文字颜色 2 4 7" xfId="1221"/>
    <cellStyle name="40% - 强调文字颜色 2 4 8" xfId="8660"/>
    <cellStyle name="40% - 强调文字颜色 2 4 8 2" xfId="9256"/>
    <cellStyle name="40% - 强调文字颜色 2 5" xfId="1222"/>
    <cellStyle name="40% - 强调文字颜色 2 5 2" xfId="1223"/>
    <cellStyle name="40% - 强调文字颜色 2 5 2 2" xfId="1224"/>
    <cellStyle name="40% - 强调文字颜色 2 5 2 2 2" xfId="1225"/>
    <cellStyle name="40% - 强调文字颜色 2 5 2 3" xfId="1226"/>
    <cellStyle name="40% - 强调文字颜色 2 5 2 4" xfId="1227"/>
    <cellStyle name="40% - 强调文字颜色 2 5 3" xfId="1228"/>
    <cellStyle name="40% - 强调文字颜色 2 5 3 2" xfId="1229"/>
    <cellStyle name="40% - 强调文字颜色 2 5 4" xfId="1230"/>
    <cellStyle name="40% - 强调文字颜色 2 5 4 2" xfId="1231"/>
    <cellStyle name="40% - 强调文字颜色 2 5 5" xfId="1232"/>
    <cellStyle name="40% - 强调文字颜色 2 5 6" xfId="1233"/>
    <cellStyle name="40% - 强调文字颜色 2 6" xfId="1234"/>
    <cellStyle name="40% - 强调文字颜色 2 6 2" xfId="1235"/>
    <cellStyle name="40% - 强调文字颜色 2 6 2 2" xfId="1236"/>
    <cellStyle name="40% - 强调文字颜色 2 6 2 2 2" xfId="1237"/>
    <cellStyle name="40% - 强调文字颜色 2 6 2 3" xfId="1238"/>
    <cellStyle name="40% - 强调文字颜色 2 6 2 4" xfId="1239"/>
    <cellStyle name="40% - 强调文字颜色 2 6 3" xfId="1240"/>
    <cellStyle name="40% - 强调文字颜色 2 6 3 2" xfId="1241"/>
    <cellStyle name="40% - 强调文字颜色 2 6 4" xfId="1242"/>
    <cellStyle name="40% - 强调文字颜色 2 6 4 2" xfId="1243"/>
    <cellStyle name="40% - 强调文字颜色 2 6 5" xfId="1244"/>
    <cellStyle name="40% - 强调文字颜色 2 6 6" xfId="1245"/>
    <cellStyle name="40% - 强调文字颜色 2 7" xfId="1246"/>
    <cellStyle name="40% - 强调文字颜色 2 7 2" xfId="1247"/>
    <cellStyle name="40% - 强调文字颜色 2 7 2 2" xfId="1248"/>
    <cellStyle name="40% - 强调文字颜色 2 7 2 2 2" xfId="1249"/>
    <cellStyle name="40% - 强调文字颜色 2 7 2 3" xfId="1250"/>
    <cellStyle name="40% - 强调文字颜色 2 7 2 4" xfId="1251"/>
    <cellStyle name="40% - 强调文字颜色 2 7 3" xfId="1252"/>
    <cellStyle name="40% - 强调文字颜色 2 7 3 2" xfId="1253"/>
    <cellStyle name="40% - 强调文字颜色 2 7 4" xfId="1254"/>
    <cellStyle name="40% - 强调文字颜色 2 7 4 2" xfId="1255"/>
    <cellStyle name="40% - 强调文字颜色 2 7 5" xfId="1256"/>
    <cellStyle name="40% - 强调文字颜色 2 7 6" xfId="1257"/>
    <cellStyle name="40% - 强调文字颜色 3 2" xfId="1258"/>
    <cellStyle name="40% - 强调文字颜色 3 2 2" xfId="1259"/>
    <cellStyle name="40% - 强调文字颜色 3 2 2 2" xfId="1260"/>
    <cellStyle name="40% - 强调文字颜色 3 2 2 2 2" xfId="1261"/>
    <cellStyle name="40% - 强调文字颜色 3 2 2 2 2 2" xfId="1262"/>
    <cellStyle name="40% - 强调文字颜色 3 2 2 2 3" xfId="1263"/>
    <cellStyle name="40% - 强调文字颜色 3 2 2 2 4" xfId="1264"/>
    <cellStyle name="40% - 强调文字颜色 3 2 2 3" xfId="1265"/>
    <cellStyle name="40% - 强调文字颜色 3 2 2 3 2" xfId="1266"/>
    <cellStyle name="40% - 强调文字颜色 3 2 2 4" xfId="1267"/>
    <cellStyle name="40% - 强调文字颜色 3 2 2 4 2" xfId="1268"/>
    <cellStyle name="40% - 强调文字颜色 3 2 2 5" xfId="1269"/>
    <cellStyle name="40% - 强调文字颜色 3 2 2 6" xfId="1270"/>
    <cellStyle name="40% - 强调文字颜色 3 2 2 7" xfId="8663"/>
    <cellStyle name="40% - 强调文字颜色 3 2 2 7 2" xfId="9259"/>
    <cellStyle name="40% - 强调文字颜色 3 2 3" xfId="1271"/>
    <cellStyle name="40% - 强调文字颜色 3 2 3 2" xfId="1272"/>
    <cellStyle name="40% - 强调文字颜色 3 2 3 2 2" xfId="1273"/>
    <cellStyle name="40% - 强调文字颜色 3 2 3 3" xfId="1274"/>
    <cellStyle name="40% - 强调文字颜色 3 2 3 4" xfId="1275"/>
    <cellStyle name="40% - 强调文字颜色 3 2 4" xfId="1276"/>
    <cellStyle name="40% - 强调文字颜色 3 2 4 2" xfId="1277"/>
    <cellStyle name="40% - 强调文字颜色 3 2 5" xfId="1278"/>
    <cellStyle name="40% - 强调文字颜色 3 2 5 2" xfId="1279"/>
    <cellStyle name="40% - 强调文字颜色 3 2 6" xfId="1280"/>
    <cellStyle name="40% - 强调文字颜色 3 2 7" xfId="1281"/>
    <cellStyle name="40% - 强调文字颜色 3 2 8" xfId="8662"/>
    <cellStyle name="40% - 强调文字颜色 3 2 8 2" xfId="9258"/>
    <cellStyle name="40% - 强调文字颜色 3 3" xfId="1282"/>
    <cellStyle name="40% - 强调文字颜色 3 3 2" xfId="1283"/>
    <cellStyle name="40% - 强调文字颜色 3 3 2 2" xfId="1284"/>
    <cellStyle name="40% - 强调文字颜色 3 3 2 2 2" xfId="1285"/>
    <cellStyle name="40% - 强调文字颜色 3 3 2 2 2 2" xfId="1286"/>
    <cellStyle name="40% - 强调文字颜色 3 3 2 2 3" xfId="1287"/>
    <cellStyle name="40% - 强调文字颜色 3 3 2 2 4" xfId="1288"/>
    <cellStyle name="40% - 强调文字颜色 3 3 2 3" xfId="1289"/>
    <cellStyle name="40% - 强调文字颜色 3 3 2 3 2" xfId="1290"/>
    <cellStyle name="40% - 强调文字颜色 3 3 2 4" xfId="1291"/>
    <cellStyle name="40% - 强调文字颜色 3 3 2 4 2" xfId="1292"/>
    <cellStyle name="40% - 强调文字颜色 3 3 2 5" xfId="1293"/>
    <cellStyle name="40% - 强调文字颜色 3 3 2 6" xfId="1294"/>
    <cellStyle name="40% - 强调文字颜色 3 3 2 7" xfId="8665"/>
    <cellStyle name="40% - 强调文字颜色 3 3 2 7 2" xfId="9261"/>
    <cellStyle name="40% - 强调文字颜色 3 3 3" xfId="1295"/>
    <cellStyle name="40% - 强调文字颜色 3 3 3 2" xfId="1296"/>
    <cellStyle name="40% - 强调文字颜色 3 3 3 2 2" xfId="1297"/>
    <cellStyle name="40% - 强调文字颜色 3 3 3 3" xfId="1298"/>
    <cellStyle name="40% - 强调文字颜色 3 3 3 4" xfId="1299"/>
    <cellStyle name="40% - 强调文字颜色 3 3 4" xfId="1300"/>
    <cellStyle name="40% - 强调文字颜色 3 3 4 2" xfId="1301"/>
    <cellStyle name="40% - 强调文字颜色 3 3 5" xfId="1302"/>
    <cellStyle name="40% - 强调文字颜色 3 3 5 2" xfId="1303"/>
    <cellStyle name="40% - 强调文字颜色 3 3 6" xfId="1304"/>
    <cellStyle name="40% - 强调文字颜色 3 3 7" xfId="1305"/>
    <cellStyle name="40% - 强调文字颜色 3 3 8" xfId="8664"/>
    <cellStyle name="40% - 强调文字颜色 3 3 8 2" xfId="9260"/>
    <cellStyle name="40% - 强调文字颜色 3 4" xfId="1306"/>
    <cellStyle name="40% - 强调文字颜色 3 4 2" xfId="1307"/>
    <cellStyle name="40% - 强调文字颜色 3 4 2 2" xfId="1308"/>
    <cellStyle name="40% - 强调文字颜色 3 4 2 2 2" xfId="1309"/>
    <cellStyle name="40% - 强调文字颜色 3 4 2 2 2 2" xfId="1310"/>
    <cellStyle name="40% - 强调文字颜色 3 4 2 2 3" xfId="1311"/>
    <cellStyle name="40% - 强调文字颜色 3 4 2 2 4" xfId="1312"/>
    <cellStyle name="40% - 强调文字颜色 3 4 2 3" xfId="1313"/>
    <cellStyle name="40% - 强调文字颜色 3 4 2 3 2" xfId="1314"/>
    <cellStyle name="40% - 强调文字颜色 3 4 2 4" xfId="1315"/>
    <cellStyle name="40% - 强调文字颜色 3 4 2 4 2" xfId="1316"/>
    <cellStyle name="40% - 强调文字颜色 3 4 2 5" xfId="1317"/>
    <cellStyle name="40% - 强调文字颜色 3 4 2 6" xfId="1318"/>
    <cellStyle name="40% - 强调文字颜色 3 4 2 7" xfId="8667"/>
    <cellStyle name="40% - 强调文字颜色 3 4 2 7 2" xfId="9263"/>
    <cellStyle name="40% - 强调文字颜色 3 4 3" xfId="1319"/>
    <cellStyle name="40% - 强调文字颜色 3 4 3 2" xfId="1320"/>
    <cellStyle name="40% - 强调文字颜色 3 4 3 2 2" xfId="1321"/>
    <cellStyle name="40% - 强调文字颜色 3 4 3 3" xfId="1322"/>
    <cellStyle name="40% - 强调文字颜色 3 4 3 4" xfId="1323"/>
    <cellStyle name="40% - 强调文字颜色 3 4 4" xfId="1324"/>
    <cellStyle name="40% - 强调文字颜色 3 4 4 2" xfId="1325"/>
    <cellStyle name="40% - 强调文字颜色 3 4 5" xfId="1326"/>
    <cellStyle name="40% - 强调文字颜色 3 4 5 2" xfId="1327"/>
    <cellStyle name="40% - 强调文字颜色 3 4 6" xfId="1328"/>
    <cellStyle name="40% - 强调文字颜色 3 4 7" xfId="1329"/>
    <cellStyle name="40% - 强调文字颜色 3 4 8" xfId="8666"/>
    <cellStyle name="40% - 强调文字颜色 3 4 8 2" xfId="9262"/>
    <cellStyle name="40% - 强调文字颜色 3 5" xfId="1330"/>
    <cellStyle name="40% - 强调文字颜色 3 5 2" xfId="1331"/>
    <cellStyle name="40% - 强调文字颜色 3 5 2 2" xfId="1332"/>
    <cellStyle name="40% - 强调文字颜色 3 5 2 2 2" xfId="1333"/>
    <cellStyle name="40% - 强调文字颜色 3 5 2 3" xfId="1334"/>
    <cellStyle name="40% - 强调文字颜色 3 5 2 4" xfId="1335"/>
    <cellStyle name="40% - 强调文字颜色 3 5 3" xfId="1336"/>
    <cellStyle name="40% - 强调文字颜色 3 5 3 2" xfId="1337"/>
    <cellStyle name="40% - 强调文字颜色 3 5 4" xfId="1338"/>
    <cellStyle name="40% - 强调文字颜色 3 5 4 2" xfId="1339"/>
    <cellStyle name="40% - 强调文字颜色 3 5 5" xfId="1340"/>
    <cellStyle name="40% - 强调文字颜色 3 5 6" xfId="1341"/>
    <cellStyle name="40% - 强调文字颜色 3 6" xfId="1342"/>
    <cellStyle name="40% - 强调文字颜色 3 6 2" xfId="1343"/>
    <cellStyle name="40% - 强调文字颜色 3 6 2 2" xfId="1344"/>
    <cellStyle name="40% - 强调文字颜色 3 6 2 2 2" xfId="1345"/>
    <cellStyle name="40% - 强调文字颜色 3 6 2 3" xfId="1346"/>
    <cellStyle name="40% - 强调文字颜色 3 6 2 4" xfId="1347"/>
    <cellStyle name="40% - 强调文字颜色 3 6 3" xfId="1348"/>
    <cellStyle name="40% - 强调文字颜色 3 6 3 2" xfId="1349"/>
    <cellStyle name="40% - 强调文字颜色 3 6 4" xfId="1350"/>
    <cellStyle name="40% - 强调文字颜色 3 6 4 2" xfId="1351"/>
    <cellStyle name="40% - 强调文字颜色 3 6 5" xfId="1352"/>
    <cellStyle name="40% - 强调文字颜色 3 6 6" xfId="1353"/>
    <cellStyle name="40% - 强调文字颜色 3 7" xfId="1354"/>
    <cellStyle name="40% - 强调文字颜色 3 7 2" xfId="1355"/>
    <cellStyle name="40% - 强调文字颜色 3 7 2 2" xfId="1356"/>
    <cellStyle name="40% - 强调文字颜色 3 7 2 2 2" xfId="1357"/>
    <cellStyle name="40% - 强调文字颜色 3 7 2 3" xfId="1358"/>
    <cellStyle name="40% - 强调文字颜色 3 7 2 4" xfId="1359"/>
    <cellStyle name="40% - 强调文字颜色 3 7 3" xfId="1360"/>
    <cellStyle name="40% - 强调文字颜色 3 7 3 2" xfId="1361"/>
    <cellStyle name="40% - 强调文字颜色 3 7 4" xfId="1362"/>
    <cellStyle name="40% - 强调文字颜色 3 7 4 2" xfId="1363"/>
    <cellStyle name="40% - 强调文字颜色 3 7 5" xfId="1364"/>
    <cellStyle name="40% - 强调文字颜色 3 7 6" xfId="1365"/>
    <cellStyle name="40% - 强调文字颜色 4 2" xfId="1366"/>
    <cellStyle name="40% - 强调文字颜色 4 2 2" xfId="1367"/>
    <cellStyle name="40% - 强调文字颜色 4 2 2 2" xfId="1368"/>
    <cellStyle name="40% - 强调文字颜色 4 2 2 2 2" xfId="1369"/>
    <cellStyle name="40% - 强调文字颜色 4 2 2 2 2 2" xfId="1370"/>
    <cellStyle name="40% - 强调文字颜色 4 2 2 2 3" xfId="1371"/>
    <cellStyle name="40% - 强调文字颜色 4 2 2 2 4" xfId="1372"/>
    <cellStyle name="40% - 强调文字颜色 4 2 2 3" xfId="1373"/>
    <cellStyle name="40% - 强调文字颜色 4 2 2 3 2" xfId="1374"/>
    <cellStyle name="40% - 强调文字颜色 4 2 2 4" xfId="1375"/>
    <cellStyle name="40% - 强调文字颜色 4 2 2 4 2" xfId="1376"/>
    <cellStyle name="40% - 强调文字颜色 4 2 2 5" xfId="1377"/>
    <cellStyle name="40% - 强调文字颜色 4 2 2 6" xfId="1378"/>
    <cellStyle name="40% - 强调文字颜色 4 2 2 7" xfId="8880"/>
    <cellStyle name="40% - 强调文字颜色 4 2 2 7 2" xfId="9305"/>
    <cellStyle name="40% - 强调文字颜色 4 2 3" xfId="1379"/>
    <cellStyle name="40% - 强调文字颜色 4 2 3 2" xfId="1380"/>
    <cellStyle name="40% - 强调文字颜色 4 2 3 2 2" xfId="1381"/>
    <cellStyle name="40% - 强调文字颜色 4 2 3 3" xfId="1382"/>
    <cellStyle name="40% - 强调文字颜色 4 2 3 4" xfId="1383"/>
    <cellStyle name="40% - 强调文字颜色 4 2 4" xfId="1384"/>
    <cellStyle name="40% - 强调文字颜色 4 2 4 2" xfId="1385"/>
    <cellStyle name="40% - 强调文字颜色 4 2 5" xfId="1386"/>
    <cellStyle name="40% - 强调文字颜色 4 2 5 2" xfId="1387"/>
    <cellStyle name="40% - 强调文字颜色 4 2 6" xfId="1388"/>
    <cellStyle name="40% - 强调文字颜色 4 2 7" xfId="1389"/>
    <cellStyle name="40% - 强调文字颜色 4 2 8" xfId="8881"/>
    <cellStyle name="40% - 强调文字颜色 4 2 8 2" xfId="9306"/>
    <cellStyle name="40% - 强调文字颜色 4 3" xfId="1390"/>
    <cellStyle name="40% - 强调文字颜色 4 3 2" xfId="1391"/>
    <cellStyle name="40% - 强调文字颜色 4 3 2 2" xfId="1392"/>
    <cellStyle name="40% - 强调文字颜色 4 3 2 2 2" xfId="1393"/>
    <cellStyle name="40% - 强调文字颜色 4 3 2 2 2 2" xfId="1394"/>
    <cellStyle name="40% - 强调文字颜色 4 3 2 2 3" xfId="1395"/>
    <cellStyle name="40% - 强调文字颜色 4 3 2 2 4" xfId="1396"/>
    <cellStyle name="40% - 强调文字颜色 4 3 2 3" xfId="1397"/>
    <cellStyle name="40% - 强调文字颜色 4 3 2 3 2" xfId="1398"/>
    <cellStyle name="40% - 强调文字颜色 4 3 2 4" xfId="1399"/>
    <cellStyle name="40% - 强调文字颜色 4 3 2 4 2" xfId="1400"/>
    <cellStyle name="40% - 强调文字颜色 4 3 2 5" xfId="1401"/>
    <cellStyle name="40% - 强调文字颜色 4 3 2 6" xfId="1402"/>
    <cellStyle name="40% - 强调文字颜色 4 3 2 7" xfId="8669"/>
    <cellStyle name="40% - 强调文字颜色 4 3 2 7 2" xfId="9265"/>
    <cellStyle name="40% - 强调文字颜色 4 3 3" xfId="1403"/>
    <cellStyle name="40% - 强调文字颜色 4 3 3 2" xfId="1404"/>
    <cellStyle name="40% - 强调文字颜色 4 3 3 2 2" xfId="1405"/>
    <cellStyle name="40% - 强调文字颜色 4 3 3 3" xfId="1406"/>
    <cellStyle name="40% - 强调文字颜色 4 3 3 4" xfId="1407"/>
    <cellStyle name="40% - 强调文字颜色 4 3 4" xfId="1408"/>
    <cellStyle name="40% - 强调文字颜色 4 3 4 2" xfId="1409"/>
    <cellStyle name="40% - 强调文字颜色 4 3 5" xfId="1410"/>
    <cellStyle name="40% - 强调文字颜色 4 3 5 2" xfId="1411"/>
    <cellStyle name="40% - 强调文字颜色 4 3 6" xfId="1412"/>
    <cellStyle name="40% - 强调文字颜色 4 3 7" xfId="1413"/>
    <cellStyle name="40% - 强调文字颜色 4 3 8" xfId="8668"/>
    <cellStyle name="40% - 强调文字颜色 4 3 8 2" xfId="9264"/>
    <cellStyle name="40% - 强调文字颜色 4 4" xfId="1414"/>
    <cellStyle name="40% - 强调文字颜色 4 4 2" xfId="1415"/>
    <cellStyle name="40% - 强调文字颜色 4 4 2 2" xfId="1416"/>
    <cellStyle name="40% - 强调文字颜色 4 4 2 2 2" xfId="1417"/>
    <cellStyle name="40% - 强调文字颜色 4 4 2 2 2 2" xfId="1418"/>
    <cellStyle name="40% - 强调文字颜色 4 4 2 2 3" xfId="1419"/>
    <cellStyle name="40% - 强调文字颜色 4 4 2 2 4" xfId="1420"/>
    <cellStyle name="40% - 强调文字颜色 4 4 2 3" xfId="1421"/>
    <cellStyle name="40% - 强调文字颜色 4 4 2 3 2" xfId="1422"/>
    <cellStyle name="40% - 强调文字颜色 4 4 2 4" xfId="1423"/>
    <cellStyle name="40% - 强调文字颜色 4 4 2 4 2" xfId="1424"/>
    <cellStyle name="40% - 强调文字颜色 4 4 2 5" xfId="1425"/>
    <cellStyle name="40% - 强调文字颜色 4 4 2 6" xfId="1426"/>
    <cellStyle name="40% - 强调文字颜色 4 4 2 7" xfId="8671"/>
    <cellStyle name="40% - 强调文字颜色 4 4 2 7 2" xfId="9267"/>
    <cellStyle name="40% - 强调文字颜色 4 4 3" xfId="1427"/>
    <cellStyle name="40% - 强调文字颜色 4 4 3 2" xfId="1428"/>
    <cellStyle name="40% - 强调文字颜色 4 4 3 2 2" xfId="1429"/>
    <cellStyle name="40% - 强调文字颜色 4 4 3 3" xfId="1430"/>
    <cellStyle name="40% - 强调文字颜色 4 4 3 4" xfId="1431"/>
    <cellStyle name="40% - 强调文字颜色 4 4 4" xfId="1432"/>
    <cellStyle name="40% - 强调文字颜色 4 4 4 2" xfId="1433"/>
    <cellStyle name="40% - 强调文字颜色 4 4 5" xfId="1434"/>
    <cellStyle name="40% - 强调文字颜色 4 4 5 2" xfId="1435"/>
    <cellStyle name="40% - 强调文字颜色 4 4 6" xfId="1436"/>
    <cellStyle name="40% - 强调文字颜色 4 4 7" xfId="1437"/>
    <cellStyle name="40% - 强调文字颜色 4 4 8" xfId="8670"/>
    <cellStyle name="40% - 强调文字颜色 4 4 8 2" xfId="9266"/>
    <cellStyle name="40% - 强调文字颜色 4 5" xfId="1438"/>
    <cellStyle name="40% - 强调文字颜色 4 5 2" xfId="1439"/>
    <cellStyle name="40% - 强调文字颜色 4 5 2 2" xfId="1440"/>
    <cellStyle name="40% - 强调文字颜色 4 5 2 2 2" xfId="1441"/>
    <cellStyle name="40% - 强调文字颜色 4 5 2 3" xfId="1442"/>
    <cellStyle name="40% - 强调文字颜色 4 5 2 4" xfId="1443"/>
    <cellStyle name="40% - 强调文字颜色 4 5 3" xfId="1444"/>
    <cellStyle name="40% - 强调文字颜色 4 5 3 2" xfId="1445"/>
    <cellStyle name="40% - 强调文字颜色 4 5 4" xfId="1446"/>
    <cellStyle name="40% - 强调文字颜色 4 5 4 2" xfId="1447"/>
    <cellStyle name="40% - 强调文字颜色 4 5 5" xfId="1448"/>
    <cellStyle name="40% - 强调文字颜色 4 5 6" xfId="1449"/>
    <cellStyle name="40% - 强调文字颜色 4 6" xfId="1450"/>
    <cellStyle name="40% - 强调文字颜色 4 6 2" xfId="1451"/>
    <cellStyle name="40% - 强调文字颜色 4 6 2 2" xfId="1452"/>
    <cellStyle name="40% - 强调文字颜色 4 6 2 2 2" xfId="1453"/>
    <cellStyle name="40% - 强调文字颜色 4 6 2 3" xfId="1454"/>
    <cellStyle name="40% - 强调文字颜色 4 6 2 4" xfId="1455"/>
    <cellStyle name="40% - 强调文字颜色 4 6 3" xfId="1456"/>
    <cellStyle name="40% - 强调文字颜色 4 6 3 2" xfId="1457"/>
    <cellStyle name="40% - 强调文字颜色 4 6 4" xfId="1458"/>
    <cellStyle name="40% - 强调文字颜色 4 6 4 2" xfId="1459"/>
    <cellStyle name="40% - 强调文字颜色 4 6 5" xfId="1460"/>
    <cellStyle name="40% - 强调文字颜色 4 6 6" xfId="1461"/>
    <cellStyle name="40% - 强调文字颜色 4 7" xfId="1462"/>
    <cellStyle name="40% - 强调文字颜色 4 7 2" xfId="1463"/>
    <cellStyle name="40% - 强调文字颜色 4 7 2 2" xfId="1464"/>
    <cellStyle name="40% - 强调文字颜色 4 7 2 2 2" xfId="1465"/>
    <cellStyle name="40% - 强调文字颜色 4 7 2 3" xfId="1466"/>
    <cellStyle name="40% - 强调文字颜色 4 7 2 4" xfId="1467"/>
    <cellStyle name="40% - 强调文字颜色 4 7 3" xfId="1468"/>
    <cellStyle name="40% - 强调文字颜色 4 7 3 2" xfId="1469"/>
    <cellStyle name="40% - 强调文字颜色 4 7 4" xfId="1470"/>
    <cellStyle name="40% - 强调文字颜色 4 7 4 2" xfId="1471"/>
    <cellStyle name="40% - 强调文字颜色 4 7 5" xfId="1472"/>
    <cellStyle name="40% - 强调文字颜色 4 7 6" xfId="1473"/>
    <cellStyle name="40% - 强调文字颜色 5 2" xfId="1474"/>
    <cellStyle name="40% - 强调文字颜色 5 2 2" xfId="1475"/>
    <cellStyle name="40% - 强调文字颜色 5 2 2 2" xfId="1476"/>
    <cellStyle name="40% - 强调文字颜色 5 2 2 2 2" xfId="1477"/>
    <cellStyle name="40% - 强调文字颜色 5 2 2 2 2 2" xfId="1478"/>
    <cellStyle name="40% - 强调文字颜色 5 2 2 2 3" xfId="1479"/>
    <cellStyle name="40% - 强调文字颜色 5 2 2 2 4" xfId="1480"/>
    <cellStyle name="40% - 强调文字颜色 5 2 2 3" xfId="1481"/>
    <cellStyle name="40% - 强调文字颜色 5 2 2 3 2" xfId="1482"/>
    <cellStyle name="40% - 强调文字颜色 5 2 2 4" xfId="1483"/>
    <cellStyle name="40% - 强调文字颜色 5 2 2 4 2" xfId="1484"/>
    <cellStyle name="40% - 强调文字颜色 5 2 2 5" xfId="1485"/>
    <cellStyle name="40% - 强调文字颜色 5 2 2 6" xfId="1486"/>
    <cellStyle name="40% - 强调文字颜色 5 2 2 7" xfId="8673"/>
    <cellStyle name="40% - 强调文字颜色 5 2 2 7 2" xfId="9269"/>
    <cellStyle name="40% - 强调文字颜色 5 2 3" xfId="1487"/>
    <cellStyle name="40% - 强调文字颜色 5 2 3 2" xfId="1488"/>
    <cellStyle name="40% - 强调文字颜色 5 2 3 2 2" xfId="1489"/>
    <cellStyle name="40% - 强调文字颜色 5 2 3 3" xfId="1490"/>
    <cellStyle name="40% - 强调文字颜色 5 2 3 4" xfId="1491"/>
    <cellStyle name="40% - 强调文字颜色 5 2 4" xfId="1492"/>
    <cellStyle name="40% - 强调文字颜色 5 2 4 2" xfId="1493"/>
    <cellStyle name="40% - 强调文字颜色 5 2 5" xfId="1494"/>
    <cellStyle name="40% - 强调文字颜色 5 2 5 2" xfId="1495"/>
    <cellStyle name="40% - 强调文字颜色 5 2 6" xfId="1496"/>
    <cellStyle name="40% - 强调文字颜色 5 2 7" xfId="1497"/>
    <cellStyle name="40% - 强调文字颜色 5 2 8" xfId="8672"/>
    <cellStyle name="40% - 强调文字颜色 5 2 8 2" xfId="9268"/>
    <cellStyle name="40% - 强调文字颜色 5 3" xfId="1498"/>
    <cellStyle name="40% - 强调文字颜色 5 3 2" xfId="1499"/>
    <cellStyle name="40% - 强调文字颜色 5 3 2 2" xfId="1500"/>
    <cellStyle name="40% - 强调文字颜色 5 3 2 2 2" xfId="1501"/>
    <cellStyle name="40% - 强调文字颜色 5 3 2 2 2 2" xfId="1502"/>
    <cellStyle name="40% - 强调文字颜色 5 3 2 2 3" xfId="1503"/>
    <cellStyle name="40% - 强调文字颜色 5 3 2 2 4" xfId="1504"/>
    <cellStyle name="40% - 强调文字颜色 5 3 2 3" xfId="1505"/>
    <cellStyle name="40% - 强调文字颜色 5 3 2 3 2" xfId="1506"/>
    <cellStyle name="40% - 强调文字颜色 5 3 2 4" xfId="1507"/>
    <cellStyle name="40% - 强调文字颜色 5 3 2 4 2" xfId="1508"/>
    <cellStyle name="40% - 强调文字颜色 5 3 2 5" xfId="1509"/>
    <cellStyle name="40% - 强调文字颜色 5 3 2 6" xfId="1510"/>
    <cellStyle name="40% - 强调文字颜色 5 3 2 7" xfId="8675"/>
    <cellStyle name="40% - 强调文字颜色 5 3 2 7 2" xfId="9271"/>
    <cellStyle name="40% - 强调文字颜色 5 3 3" xfId="1511"/>
    <cellStyle name="40% - 强调文字颜色 5 3 3 2" xfId="1512"/>
    <cellStyle name="40% - 强调文字颜色 5 3 3 2 2" xfId="1513"/>
    <cellStyle name="40% - 强调文字颜色 5 3 3 3" xfId="1514"/>
    <cellStyle name="40% - 强调文字颜色 5 3 3 4" xfId="1515"/>
    <cellStyle name="40% - 强调文字颜色 5 3 4" xfId="1516"/>
    <cellStyle name="40% - 强调文字颜色 5 3 4 2" xfId="1517"/>
    <cellStyle name="40% - 强调文字颜色 5 3 5" xfId="1518"/>
    <cellStyle name="40% - 强调文字颜色 5 3 5 2" xfId="1519"/>
    <cellStyle name="40% - 强调文字颜色 5 3 6" xfId="1520"/>
    <cellStyle name="40% - 强调文字颜色 5 3 7" xfId="1521"/>
    <cellStyle name="40% - 强调文字颜色 5 3 8" xfId="8674"/>
    <cellStyle name="40% - 强调文字颜色 5 3 8 2" xfId="9270"/>
    <cellStyle name="40% - 强调文字颜色 5 4" xfId="1522"/>
    <cellStyle name="40% - 强调文字颜色 5 4 2" xfId="1523"/>
    <cellStyle name="40% - 强调文字颜色 5 4 2 2" xfId="1524"/>
    <cellStyle name="40% - 强调文字颜色 5 4 2 2 2" xfId="1525"/>
    <cellStyle name="40% - 强调文字颜色 5 4 2 2 2 2" xfId="1526"/>
    <cellStyle name="40% - 强调文字颜色 5 4 2 2 3" xfId="1527"/>
    <cellStyle name="40% - 强调文字颜色 5 4 2 2 4" xfId="1528"/>
    <cellStyle name="40% - 强调文字颜色 5 4 2 3" xfId="1529"/>
    <cellStyle name="40% - 强调文字颜色 5 4 2 3 2" xfId="1530"/>
    <cellStyle name="40% - 强调文字颜色 5 4 2 4" xfId="1531"/>
    <cellStyle name="40% - 强调文字颜色 5 4 2 4 2" xfId="1532"/>
    <cellStyle name="40% - 强调文字颜色 5 4 2 5" xfId="1533"/>
    <cellStyle name="40% - 强调文字颜色 5 4 2 6" xfId="1534"/>
    <cellStyle name="40% - 强调文字颜色 5 4 2 7" xfId="8677"/>
    <cellStyle name="40% - 强调文字颜色 5 4 2 7 2" xfId="9273"/>
    <cellStyle name="40% - 强调文字颜色 5 4 3" xfId="1535"/>
    <cellStyle name="40% - 强调文字颜色 5 4 3 2" xfId="1536"/>
    <cellStyle name="40% - 强调文字颜色 5 4 3 2 2" xfId="1537"/>
    <cellStyle name="40% - 强调文字颜色 5 4 3 3" xfId="1538"/>
    <cellStyle name="40% - 强调文字颜色 5 4 3 4" xfId="1539"/>
    <cellStyle name="40% - 强调文字颜色 5 4 4" xfId="1540"/>
    <cellStyle name="40% - 强调文字颜色 5 4 4 2" xfId="1541"/>
    <cellStyle name="40% - 强调文字颜色 5 4 5" xfId="1542"/>
    <cellStyle name="40% - 强调文字颜色 5 4 5 2" xfId="1543"/>
    <cellStyle name="40% - 强调文字颜色 5 4 6" xfId="1544"/>
    <cellStyle name="40% - 强调文字颜色 5 4 7" xfId="1545"/>
    <cellStyle name="40% - 强调文字颜色 5 4 8" xfId="8676"/>
    <cellStyle name="40% - 强调文字颜色 5 4 8 2" xfId="9272"/>
    <cellStyle name="40% - 强调文字颜色 5 5" xfId="1546"/>
    <cellStyle name="40% - 强调文字颜色 5 5 2" xfId="1547"/>
    <cellStyle name="40% - 强调文字颜色 5 5 2 2" xfId="1548"/>
    <cellStyle name="40% - 强调文字颜色 5 5 2 2 2" xfId="1549"/>
    <cellStyle name="40% - 强调文字颜色 5 5 2 3" xfId="1550"/>
    <cellStyle name="40% - 强调文字颜色 5 5 2 4" xfId="1551"/>
    <cellStyle name="40% - 强调文字颜色 5 5 3" xfId="1552"/>
    <cellStyle name="40% - 强调文字颜色 5 5 3 2" xfId="1553"/>
    <cellStyle name="40% - 强调文字颜色 5 5 4" xfId="1554"/>
    <cellStyle name="40% - 强调文字颜色 5 5 4 2" xfId="1555"/>
    <cellStyle name="40% - 强调文字颜色 5 5 5" xfId="1556"/>
    <cellStyle name="40% - 强调文字颜色 5 5 6" xfId="1557"/>
    <cellStyle name="40% - 强调文字颜色 5 6" xfId="1558"/>
    <cellStyle name="40% - 强调文字颜色 5 6 2" xfId="1559"/>
    <cellStyle name="40% - 强调文字颜色 5 6 2 2" xfId="1560"/>
    <cellStyle name="40% - 强调文字颜色 5 6 2 2 2" xfId="1561"/>
    <cellStyle name="40% - 强调文字颜色 5 6 2 3" xfId="1562"/>
    <cellStyle name="40% - 强调文字颜色 5 6 2 4" xfId="1563"/>
    <cellStyle name="40% - 强调文字颜色 5 6 3" xfId="1564"/>
    <cellStyle name="40% - 强调文字颜色 5 6 3 2" xfId="1565"/>
    <cellStyle name="40% - 强调文字颜色 5 6 4" xfId="1566"/>
    <cellStyle name="40% - 强调文字颜色 5 6 4 2" xfId="1567"/>
    <cellStyle name="40% - 强调文字颜色 5 6 5" xfId="1568"/>
    <cellStyle name="40% - 强调文字颜色 5 6 6" xfId="1569"/>
    <cellStyle name="40% - 强调文字颜色 5 7" xfId="1570"/>
    <cellStyle name="40% - 强调文字颜色 5 7 2" xfId="1571"/>
    <cellStyle name="40% - 强调文字颜色 5 7 2 2" xfId="1572"/>
    <cellStyle name="40% - 强调文字颜色 5 7 2 2 2" xfId="1573"/>
    <cellStyle name="40% - 强调文字颜色 5 7 2 3" xfId="1574"/>
    <cellStyle name="40% - 强调文字颜色 5 7 2 4" xfId="1575"/>
    <cellStyle name="40% - 强调文字颜色 5 7 3" xfId="1576"/>
    <cellStyle name="40% - 强调文字颜色 5 7 3 2" xfId="1577"/>
    <cellStyle name="40% - 强调文字颜色 5 7 4" xfId="1578"/>
    <cellStyle name="40% - 强调文字颜色 5 7 4 2" xfId="1579"/>
    <cellStyle name="40% - 强调文字颜色 5 7 5" xfId="1580"/>
    <cellStyle name="40% - 强调文字颜色 5 7 6" xfId="1581"/>
    <cellStyle name="40% - 强调文字颜色 6 2" xfId="1582"/>
    <cellStyle name="40% - 强调文字颜色 6 2 2" xfId="1583"/>
    <cellStyle name="40% - 强调文字颜色 6 2 2 2" xfId="1584"/>
    <cellStyle name="40% - 强调文字颜色 6 2 2 2 2" xfId="1585"/>
    <cellStyle name="40% - 强调文字颜色 6 2 2 2 2 2" xfId="1586"/>
    <cellStyle name="40% - 强调文字颜色 6 2 2 2 3" xfId="1587"/>
    <cellStyle name="40% - 强调文字颜色 6 2 2 2 4" xfId="1588"/>
    <cellStyle name="40% - 强调文字颜色 6 2 2 3" xfId="1589"/>
    <cellStyle name="40% - 强调文字颜色 6 2 2 3 2" xfId="1590"/>
    <cellStyle name="40% - 强调文字颜色 6 2 2 4" xfId="1591"/>
    <cellStyle name="40% - 强调文字颜色 6 2 2 4 2" xfId="1592"/>
    <cellStyle name="40% - 强调文字颜色 6 2 2 5" xfId="1593"/>
    <cellStyle name="40% - 强调文字颜色 6 2 2 6" xfId="1594"/>
    <cellStyle name="40% - 强调文字颜色 6 2 2 7" xfId="8679"/>
    <cellStyle name="40% - 强调文字颜色 6 2 2 7 2" xfId="9275"/>
    <cellStyle name="40% - 强调文字颜色 6 2 3" xfId="1595"/>
    <cellStyle name="40% - 强调文字颜色 6 2 3 2" xfId="1596"/>
    <cellStyle name="40% - 强调文字颜色 6 2 3 2 2" xfId="1597"/>
    <cellStyle name="40% - 强调文字颜色 6 2 3 3" xfId="1598"/>
    <cellStyle name="40% - 强调文字颜色 6 2 3 4" xfId="1599"/>
    <cellStyle name="40% - 强调文字颜色 6 2 4" xfId="1600"/>
    <cellStyle name="40% - 强调文字颜色 6 2 4 2" xfId="1601"/>
    <cellStyle name="40% - 强调文字颜色 6 2 5" xfId="1602"/>
    <cellStyle name="40% - 强调文字颜色 6 2 5 2" xfId="1603"/>
    <cellStyle name="40% - 强调文字颜色 6 2 6" xfId="1604"/>
    <cellStyle name="40% - 强调文字颜色 6 2 7" xfId="1605"/>
    <cellStyle name="40% - 强调文字颜色 6 2 8" xfId="8678"/>
    <cellStyle name="40% - 强调文字颜色 6 2 8 2" xfId="9274"/>
    <cellStyle name="40% - 强调文字颜色 6 3" xfId="1606"/>
    <cellStyle name="40% - 强调文字颜色 6 3 2" xfId="1607"/>
    <cellStyle name="40% - 强调文字颜色 6 3 2 2" xfId="1608"/>
    <cellStyle name="40% - 强调文字颜色 6 3 2 2 2" xfId="1609"/>
    <cellStyle name="40% - 强调文字颜色 6 3 2 2 2 2" xfId="1610"/>
    <cellStyle name="40% - 强调文字颜色 6 3 2 2 3" xfId="1611"/>
    <cellStyle name="40% - 强调文字颜色 6 3 2 2 4" xfId="1612"/>
    <cellStyle name="40% - 强调文字颜色 6 3 2 3" xfId="1613"/>
    <cellStyle name="40% - 强调文字颜色 6 3 2 3 2" xfId="1614"/>
    <cellStyle name="40% - 强调文字颜色 6 3 2 4" xfId="1615"/>
    <cellStyle name="40% - 强调文字颜色 6 3 2 4 2" xfId="1616"/>
    <cellStyle name="40% - 强调文字颜色 6 3 2 5" xfId="1617"/>
    <cellStyle name="40% - 强调文字颜色 6 3 2 6" xfId="1618"/>
    <cellStyle name="40% - 强调文字颜色 6 3 2 7" xfId="8681"/>
    <cellStyle name="40% - 强调文字颜色 6 3 2 7 2" xfId="9277"/>
    <cellStyle name="40% - 强调文字颜色 6 3 3" xfId="1619"/>
    <cellStyle name="40% - 强调文字颜色 6 3 3 2" xfId="1620"/>
    <cellStyle name="40% - 强调文字颜色 6 3 3 2 2" xfId="1621"/>
    <cellStyle name="40% - 强调文字颜色 6 3 3 3" xfId="1622"/>
    <cellStyle name="40% - 强调文字颜色 6 3 3 4" xfId="1623"/>
    <cellStyle name="40% - 强调文字颜色 6 3 4" xfId="1624"/>
    <cellStyle name="40% - 强调文字颜色 6 3 4 2" xfId="1625"/>
    <cellStyle name="40% - 强调文字颜色 6 3 5" xfId="1626"/>
    <cellStyle name="40% - 强调文字颜色 6 3 5 2" xfId="1627"/>
    <cellStyle name="40% - 强调文字颜色 6 3 6" xfId="1628"/>
    <cellStyle name="40% - 强调文字颜色 6 3 7" xfId="1629"/>
    <cellStyle name="40% - 强调文字颜色 6 3 8" xfId="8680"/>
    <cellStyle name="40% - 强调文字颜色 6 3 8 2" xfId="9276"/>
    <cellStyle name="40% - 强调文字颜色 6 4" xfId="1630"/>
    <cellStyle name="40% - 强调文字颜色 6 4 2" xfId="1631"/>
    <cellStyle name="40% - 强调文字颜色 6 4 2 2" xfId="1632"/>
    <cellStyle name="40% - 强调文字颜色 6 4 2 2 2" xfId="1633"/>
    <cellStyle name="40% - 强调文字颜色 6 4 2 2 2 2" xfId="1634"/>
    <cellStyle name="40% - 强调文字颜色 6 4 2 2 3" xfId="1635"/>
    <cellStyle name="40% - 强调文字颜色 6 4 2 2 4" xfId="1636"/>
    <cellStyle name="40% - 强调文字颜色 6 4 2 3" xfId="1637"/>
    <cellStyle name="40% - 强调文字颜色 6 4 2 3 2" xfId="1638"/>
    <cellStyle name="40% - 强调文字颜色 6 4 2 4" xfId="1639"/>
    <cellStyle name="40% - 强调文字颜色 6 4 2 4 2" xfId="1640"/>
    <cellStyle name="40% - 强调文字颜色 6 4 2 5" xfId="1641"/>
    <cellStyle name="40% - 强调文字颜色 6 4 2 6" xfId="1642"/>
    <cellStyle name="40% - 强调文字颜色 6 4 2 7" xfId="8683"/>
    <cellStyle name="40% - 强调文字颜色 6 4 2 7 2" xfId="9279"/>
    <cellStyle name="40% - 强调文字颜色 6 4 3" xfId="1643"/>
    <cellStyle name="40% - 强调文字颜色 6 4 3 2" xfId="1644"/>
    <cellStyle name="40% - 强调文字颜色 6 4 3 2 2" xfId="1645"/>
    <cellStyle name="40% - 强调文字颜色 6 4 3 3" xfId="1646"/>
    <cellStyle name="40% - 强调文字颜色 6 4 3 4" xfId="1647"/>
    <cellStyle name="40% - 强调文字颜色 6 4 4" xfId="1648"/>
    <cellStyle name="40% - 强调文字颜色 6 4 4 2" xfId="1649"/>
    <cellStyle name="40% - 强调文字颜色 6 4 5" xfId="1650"/>
    <cellStyle name="40% - 强调文字颜色 6 4 5 2" xfId="1651"/>
    <cellStyle name="40% - 强调文字颜色 6 4 6" xfId="1652"/>
    <cellStyle name="40% - 强调文字颜色 6 4 7" xfId="1653"/>
    <cellStyle name="40% - 强调文字颜色 6 4 8" xfId="8682"/>
    <cellStyle name="40% - 强调文字颜色 6 4 8 2" xfId="9278"/>
    <cellStyle name="40% - 强调文字颜色 6 5" xfId="1654"/>
    <cellStyle name="40% - 强调文字颜色 6 5 2" xfId="1655"/>
    <cellStyle name="40% - 强调文字颜色 6 5 2 2" xfId="1656"/>
    <cellStyle name="40% - 强调文字颜色 6 5 2 2 2" xfId="1657"/>
    <cellStyle name="40% - 强调文字颜色 6 5 2 3" xfId="1658"/>
    <cellStyle name="40% - 强调文字颜色 6 5 2 4" xfId="1659"/>
    <cellStyle name="40% - 强调文字颜色 6 5 3" xfId="1660"/>
    <cellStyle name="40% - 强调文字颜色 6 5 3 2" xfId="1661"/>
    <cellStyle name="40% - 强调文字颜色 6 5 4" xfId="1662"/>
    <cellStyle name="40% - 强调文字颜色 6 5 4 2" xfId="1663"/>
    <cellStyle name="40% - 强调文字颜色 6 5 5" xfId="1664"/>
    <cellStyle name="40% - 强调文字颜色 6 5 6" xfId="1665"/>
    <cellStyle name="40% - 强调文字颜色 6 6" xfId="1666"/>
    <cellStyle name="40% - 强调文字颜色 6 6 2" xfId="1667"/>
    <cellStyle name="40% - 强调文字颜色 6 6 2 2" xfId="1668"/>
    <cellStyle name="40% - 强调文字颜色 6 6 2 2 2" xfId="1669"/>
    <cellStyle name="40% - 强调文字颜色 6 6 2 3" xfId="1670"/>
    <cellStyle name="40% - 强调文字颜色 6 6 2 4" xfId="1671"/>
    <cellStyle name="40% - 强调文字颜色 6 6 3" xfId="1672"/>
    <cellStyle name="40% - 强调文字颜色 6 6 3 2" xfId="1673"/>
    <cellStyle name="40% - 强调文字颜色 6 6 4" xfId="1674"/>
    <cellStyle name="40% - 强调文字颜色 6 6 4 2" xfId="1675"/>
    <cellStyle name="40% - 强调文字颜色 6 6 5" xfId="1676"/>
    <cellStyle name="40% - 强调文字颜色 6 6 6" xfId="1677"/>
    <cellStyle name="40% - 强调文字颜色 6 7" xfId="1678"/>
    <cellStyle name="40% - 强调文字颜色 6 7 2" xfId="1679"/>
    <cellStyle name="40% - 强调文字颜色 6 7 2 2" xfId="1680"/>
    <cellStyle name="40% - 强调文字颜色 6 7 2 2 2" xfId="1681"/>
    <cellStyle name="40% - 强调文字颜色 6 7 2 3" xfId="1682"/>
    <cellStyle name="40% - 强调文字颜色 6 7 2 4" xfId="1683"/>
    <cellStyle name="40% - 强调文字颜色 6 7 3" xfId="1684"/>
    <cellStyle name="40% - 强调文字颜色 6 7 3 2" xfId="1685"/>
    <cellStyle name="40% - 强调文字颜色 6 7 4" xfId="1686"/>
    <cellStyle name="40% - 强调文字颜色 6 7 4 2" xfId="1687"/>
    <cellStyle name="40% - 强调文字颜色 6 7 5" xfId="1688"/>
    <cellStyle name="40% - 强调文字颜色 6 7 6" xfId="1689"/>
    <cellStyle name="40% - 着色 1" xfId="1690"/>
    <cellStyle name="40% - 着色 1 10" xfId="1691"/>
    <cellStyle name="40% - 着色 1 2" xfId="1692"/>
    <cellStyle name="40% - 着色 1 2 2" xfId="1693"/>
    <cellStyle name="40% - 着色 1 2 2 2" xfId="1694"/>
    <cellStyle name="40% - 着色 1 2 2 2 2" xfId="1695"/>
    <cellStyle name="40% - 着色 1 2 2 2 2 2" xfId="1696"/>
    <cellStyle name="40% - 着色 1 2 2 2 3" xfId="1697"/>
    <cellStyle name="40% - 着色 1 2 2 2 4" xfId="1698"/>
    <cellStyle name="40% - 着色 1 2 2 3" xfId="1699"/>
    <cellStyle name="40% - 着色 1 2 2 3 2" xfId="1700"/>
    <cellStyle name="40% - 着色 1 2 2 4" xfId="1701"/>
    <cellStyle name="40% - 着色 1 2 2 4 2" xfId="1702"/>
    <cellStyle name="40% - 着色 1 2 2 5" xfId="1703"/>
    <cellStyle name="40% - 着色 1 2 2 6" xfId="1704"/>
    <cellStyle name="40% - 着色 1 2 3" xfId="1705"/>
    <cellStyle name="40% - 着色 1 2 3 2" xfId="1706"/>
    <cellStyle name="40% - 着色 1 2 3 2 2" xfId="1707"/>
    <cellStyle name="40% - 着色 1 2 3 3" xfId="1708"/>
    <cellStyle name="40% - 着色 1 2 3 4" xfId="1709"/>
    <cellStyle name="40% - 着色 1 2 4" xfId="1710"/>
    <cellStyle name="40% - 着色 1 2 4 2" xfId="1711"/>
    <cellStyle name="40% - 着色 1 2 5" xfId="1712"/>
    <cellStyle name="40% - 着色 1 2 5 2" xfId="1713"/>
    <cellStyle name="40% - 着色 1 2 6" xfId="1714"/>
    <cellStyle name="40% - 着色 1 2 7" xfId="1715"/>
    <cellStyle name="40% - 着色 1 3" xfId="1716"/>
    <cellStyle name="40% - 着色 1 3 2" xfId="1717"/>
    <cellStyle name="40% - 着色 1 3 2 2" xfId="1718"/>
    <cellStyle name="40% - 着色 1 3 2 2 2" xfId="1719"/>
    <cellStyle name="40% - 着色 1 3 2 3" xfId="1720"/>
    <cellStyle name="40% - 着色 1 3 2 4" xfId="1721"/>
    <cellStyle name="40% - 着色 1 3 3" xfId="1722"/>
    <cellStyle name="40% - 着色 1 3 3 2" xfId="1723"/>
    <cellStyle name="40% - 着色 1 3 4" xfId="1724"/>
    <cellStyle name="40% - 着色 1 3 4 2" xfId="1725"/>
    <cellStyle name="40% - 着色 1 3 5" xfId="1726"/>
    <cellStyle name="40% - 着色 1 3 6" xfId="1727"/>
    <cellStyle name="40% - 着色 1 4" xfId="1728"/>
    <cellStyle name="40% - 着色 1 4 2" xfId="1729"/>
    <cellStyle name="40% - 着色 1 4 2 2" xfId="1730"/>
    <cellStyle name="40% - 着色 1 4 2 2 2" xfId="1731"/>
    <cellStyle name="40% - 着色 1 4 2 3" xfId="1732"/>
    <cellStyle name="40% - 着色 1 4 2 4" xfId="1733"/>
    <cellStyle name="40% - 着色 1 4 3" xfId="1734"/>
    <cellStyle name="40% - 着色 1 4 3 2" xfId="1735"/>
    <cellStyle name="40% - 着色 1 4 4" xfId="1736"/>
    <cellStyle name="40% - 着色 1 4 4 2" xfId="1737"/>
    <cellStyle name="40% - 着色 1 4 5" xfId="1738"/>
    <cellStyle name="40% - 着色 1 4 6" xfId="1739"/>
    <cellStyle name="40% - 着色 1 5" xfId="1740"/>
    <cellStyle name="40% - 着色 1 5 2" xfId="1741"/>
    <cellStyle name="40% - 着色 1 5 2 2" xfId="1742"/>
    <cellStyle name="40% - 着色 1 5 3" xfId="1743"/>
    <cellStyle name="40% - 着色 1 5 4" xfId="1744"/>
    <cellStyle name="40% - 着色 1 6" xfId="1745"/>
    <cellStyle name="40% - 着色 1 6 2" xfId="1746"/>
    <cellStyle name="40% - 着色 1 7" xfId="1747"/>
    <cellStyle name="40% - 着色 1 7 2" xfId="1748"/>
    <cellStyle name="40% - 着色 1 8" xfId="1749"/>
    <cellStyle name="40% - 着色 1 8 2" xfId="1750"/>
    <cellStyle name="40% - 着色 1 9" xfId="1751"/>
    <cellStyle name="40% - 着色 2" xfId="1752"/>
    <cellStyle name="40% - 着色 2 10" xfId="1753"/>
    <cellStyle name="40% - 着色 2 2" xfId="1754"/>
    <cellStyle name="40% - 着色 2 2 2" xfId="1755"/>
    <cellStyle name="40% - 着色 2 2 2 2" xfId="1756"/>
    <cellStyle name="40% - 着色 2 2 2 2 2" xfId="1757"/>
    <cellStyle name="40% - 着色 2 2 2 2 2 2" xfId="1758"/>
    <cellStyle name="40% - 着色 2 2 2 2 3" xfId="1759"/>
    <cellStyle name="40% - 着色 2 2 2 2 4" xfId="1760"/>
    <cellStyle name="40% - 着色 2 2 2 3" xfId="1761"/>
    <cellStyle name="40% - 着色 2 2 2 3 2" xfId="1762"/>
    <cellStyle name="40% - 着色 2 2 2 4" xfId="1763"/>
    <cellStyle name="40% - 着色 2 2 2 4 2" xfId="1764"/>
    <cellStyle name="40% - 着色 2 2 2 5" xfId="1765"/>
    <cellStyle name="40% - 着色 2 2 2 6" xfId="1766"/>
    <cellStyle name="40% - 着色 2 2 3" xfId="1767"/>
    <cellStyle name="40% - 着色 2 2 3 2" xfId="1768"/>
    <cellStyle name="40% - 着色 2 2 3 2 2" xfId="1769"/>
    <cellStyle name="40% - 着色 2 2 3 3" xfId="1770"/>
    <cellStyle name="40% - 着色 2 2 3 4" xfId="1771"/>
    <cellStyle name="40% - 着色 2 2 4" xfId="1772"/>
    <cellStyle name="40% - 着色 2 2 4 2" xfId="1773"/>
    <cellStyle name="40% - 着色 2 2 5" xfId="1774"/>
    <cellStyle name="40% - 着色 2 2 5 2" xfId="1775"/>
    <cellStyle name="40% - 着色 2 2 6" xfId="1776"/>
    <cellStyle name="40% - 着色 2 2 7" xfId="1777"/>
    <cellStyle name="40% - 着色 2 3" xfId="1778"/>
    <cellStyle name="40% - 着色 2 3 2" xfId="1779"/>
    <cellStyle name="40% - 着色 2 3 2 2" xfId="1780"/>
    <cellStyle name="40% - 着色 2 3 2 2 2" xfId="1781"/>
    <cellStyle name="40% - 着色 2 3 2 3" xfId="1782"/>
    <cellStyle name="40% - 着色 2 3 2 4" xfId="1783"/>
    <cellStyle name="40% - 着色 2 3 3" xfId="1784"/>
    <cellStyle name="40% - 着色 2 3 3 2" xfId="1785"/>
    <cellStyle name="40% - 着色 2 3 4" xfId="1786"/>
    <cellStyle name="40% - 着色 2 3 4 2" xfId="1787"/>
    <cellStyle name="40% - 着色 2 3 5" xfId="1788"/>
    <cellStyle name="40% - 着色 2 3 6" xfId="1789"/>
    <cellStyle name="40% - 着色 2 4" xfId="1790"/>
    <cellStyle name="40% - 着色 2 4 2" xfId="1791"/>
    <cellStyle name="40% - 着色 2 4 2 2" xfId="1792"/>
    <cellStyle name="40% - 着色 2 4 2 2 2" xfId="1793"/>
    <cellStyle name="40% - 着色 2 4 2 3" xfId="1794"/>
    <cellStyle name="40% - 着色 2 4 2 4" xfId="1795"/>
    <cellStyle name="40% - 着色 2 4 3" xfId="1796"/>
    <cellStyle name="40% - 着色 2 4 3 2" xfId="1797"/>
    <cellStyle name="40% - 着色 2 4 4" xfId="1798"/>
    <cellStyle name="40% - 着色 2 4 4 2" xfId="1799"/>
    <cellStyle name="40% - 着色 2 4 5" xfId="1800"/>
    <cellStyle name="40% - 着色 2 4 6" xfId="1801"/>
    <cellStyle name="40% - 着色 2 5" xfId="1802"/>
    <cellStyle name="40% - 着色 2 5 2" xfId="1803"/>
    <cellStyle name="40% - 着色 2 5 2 2" xfId="1804"/>
    <cellStyle name="40% - 着色 2 5 3" xfId="1805"/>
    <cellStyle name="40% - 着色 2 5 4" xfId="1806"/>
    <cellStyle name="40% - 着色 2 6" xfId="1807"/>
    <cellStyle name="40% - 着色 2 6 2" xfId="1808"/>
    <cellStyle name="40% - 着色 2 7" xfId="1809"/>
    <cellStyle name="40% - 着色 2 7 2" xfId="1810"/>
    <cellStyle name="40% - 着色 2 8" xfId="1811"/>
    <cellStyle name="40% - 着色 2 8 2" xfId="1812"/>
    <cellStyle name="40% - 着色 2 9" xfId="1813"/>
    <cellStyle name="40% - 着色 3" xfId="1814"/>
    <cellStyle name="40% - 着色 3 10" xfId="1815"/>
    <cellStyle name="40% - 着色 3 2" xfId="1816"/>
    <cellStyle name="40% - 着色 3 2 2" xfId="1817"/>
    <cellStyle name="40% - 着色 3 2 2 2" xfId="1818"/>
    <cellStyle name="40% - 着色 3 2 2 2 2" xfId="1819"/>
    <cellStyle name="40% - 着色 3 2 2 2 2 2" xfId="1820"/>
    <cellStyle name="40% - 着色 3 2 2 2 3" xfId="1821"/>
    <cellStyle name="40% - 着色 3 2 2 2 4" xfId="1822"/>
    <cellStyle name="40% - 着色 3 2 2 3" xfId="1823"/>
    <cellStyle name="40% - 着色 3 2 2 3 2" xfId="1824"/>
    <cellStyle name="40% - 着色 3 2 2 4" xfId="1825"/>
    <cellStyle name="40% - 着色 3 2 2 4 2" xfId="1826"/>
    <cellStyle name="40% - 着色 3 2 2 5" xfId="1827"/>
    <cellStyle name="40% - 着色 3 2 2 6" xfId="1828"/>
    <cellStyle name="40% - 着色 3 2 3" xfId="1829"/>
    <cellStyle name="40% - 着色 3 2 3 2" xfId="1830"/>
    <cellStyle name="40% - 着色 3 2 3 2 2" xfId="1831"/>
    <cellStyle name="40% - 着色 3 2 3 3" xfId="1832"/>
    <cellStyle name="40% - 着色 3 2 3 4" xfId="1833"/>
    <cellStyle name="40% - 着色 3 2 4" xfId="1834"/>
    <cellStyle name="40% - 着色 3 2 4 2" xfId="1835"/>
    <cellStyle name="40% - 着色 3 2 5" xfId="1836"/>
    <cellStyle name="40% - 着色 3 2 5 2" xfId="1837"/>
    <cellStyle name="40% - 着色 3 2 6" xfId="1838"/>
    <cellStyle name="40% - 着色 3 2 7" xfId="1839"/>
    <cellStyle name="40% - 着色 3 3" xfId="1840"/>
    <cellStyle name="40% - 着色 3 3 2" xfId="1841"/>
    <cellStyle name="40% - 着色 3 3 2 2" xfId="1842"/>
    <cellStyle name="40% - 着色 3 3 2 2 2" xfId="1843"/>
    <cellStyle name="40% - 着色 3 3 2 3" xfId="1844"/>
    <cellStyle name="40% - 着色 3 3 2 4" xfId="1845"/>
    <cellStyle name="40% - 着色 3 3 3" xfId="1846"/>
    <cellStyle name="40% - 着色 3 3 3 2" xfId="1847"/>
    <cellStyle name="40% - 着色 3 3 4" xfId="1848"/>
    <cellStyle name="40% - 着色 3 3 4 2" xfId="1849"/>
    <cellStyle name="40% - 着色 3 3 5" xfId="1850"/>
    <cellStyle name="40% - 着色 3 3 6" xfId="1851"/>
    <cellStyle name="40% - 着色 3 4" xfId="1852"/>
    <cellStyle name="40% - 着色 3 4 2" xfId="1853"/>
    <cellStyle name="40% - 着色 3 4 2 2" xfId="1854"/>
    <cellStyle name="40% - 着色 3 4 2 2 2" xfId="1855"/>
    <cellStyle name="40% - 着色 3 4 2 3" xfId="1856"/>
    <cellStyle name="40% - 着色 3 4 2 4" xfId="1857"/>
    <cellStyle name="40% - 着色 3 4 3" xfId="1858"/>
    <cellStyle name="40% - 着色 3 4 3 2" xfId="1859"/>
    <cellStyle name="40% - 着色 3 4 4" xfId="1860"/>
    <cellStyle name="40% - 着色 3 4 4 2" xfId="1861"/>
    <cellStyle name="40% - 着色 3 4 5" xfId="1862"/>
    <cellStyle name="40% - 着色 3 4 6" xfId="1863"/>
    <cellStyle name="40% - 着色 3 5" xfId="1864"/>
    <cellStyle name="40% - 着色 3 5 2" xfId="1865"/>
    <cellStyle name="40% - 着色 3 5 2 2" xfId="1866"/>
    <cellStyle name="40% - 着色 3 5 3" xfId="1867"/>
    <cellStyle name="40% - 着色 3 5 4" xfId="1868"/>
    <cellStyle name="40% - 着色 3 6" xfId="1869"/>
    <cellStyle name="40% - 着色 3 6 2" xfId="1870"/>
    <cellStyle name="40% - 着色 3 7" xfId="1871"/>
    <cellStyle name="40% - 着色 3 7 2" xfId="1872"/>
    <cellStyle name="40% - 着色 3 8" xfId="1873"/>
    <cellStyle name="40% - 着色 3 8 2" xfId="1874"/>
    <cellStyle name="40% - 着色 3 9" xfId="1875"/>
    <cellStyle name="40% - 着色 4" xfId="1876"/>
    <cellStyle name="40% - 着色 4 10" xfId="1877"/>
    <cellStyle name="40% - 着色 4 2" xfId="1878"/>
    <cellStyle name="40% - 着色 4 2 2" xfId="1879"/>
    <cellStyle name="40% - 着色 4 2 2 2" xfId="1880"/>
    <cellStyle name="40% - 着色 4 2 2 2 2" xfId="1881"/>
    <cellStyle name="40% - 着色 4 2 2 2 2 2" xfId="1882"/>
    <cellStyle name="40% - 着色 4 2 2 2 3" xfId="1883"/>
    <cellStyle name="40% - 着色 4 2 2 2 4" xfId="1884"/>
    <cellStyle name="40% - 着色 4 2 2 3" xfId="1885"/>
    <cellStyle name="40% - 着色 4 2 2 3 2" xfId="1886"/>
    <cellStyle name="40% - 着色 4 2 2 4" xfId="1887"/>
    <cellStyle name="40% - 着色 4 2 2 4 2" xfId="1888"/>
    <cellStyle name="40% - 着色 4 2 2 5" xfId="1889"/>
    <cellStyle name="40% - 着色 4 2 2 6" xfId="1890"/>
    <cellStyle name="40% - 着色 4 2 3" xfId="1891"/>
    <cellStyle name="40% - 着色 4 2 3 2" xfId="1892"/>
    <cellStyle name="40% - 着色 4 2 3 2 2" xfId="1893"/>
    <cellStyle name="40% - 着色 4 2 3 3" xfId="1894"/>
    <cellStyle name="40% - 着色 4 2 3 4" xfId="1895"/>
    <cellStyle name="40% - 着色 4 2 4" xfId="1896"/>
    <cellStyle name="40% - 着色 4 2 4 2" xfId="1897"/>
    <cellStyle name="40% - 着色 4 2 5" xfId="1898"/>
    <cellStyle name="40% - 着色 4 2 5 2" xfId="1899"/>
    <cellStyle name="40% - 着色 4 2 6" xfId="1900"/>
    <cellStyle name="40% - 着色 4 2 7" xfId="1901"/>
    <cellStyle name="40% - 着色 4 3" xfId="1902"/>
    <cellStyle name="40% - 着色 4 3 2" xfId="1903"/>
    <cellStyle name="40% - 着色 4 3 2 2" xfId="1904"/>
    <cellStyle name="40% - 着色 4 3 2 2 2" xfId="1905"/>
    <cellStyle name="40% - 着色 4 3 2 3" xfId="1906"/>
    <cellStyle name="40% - 着色 4 3 2 4" xfId="1907"/>
    <cellStyle name="40% - 着色 4 3 3" xfId="1908"/>
    <cellStyle name="40% - 着色 4 3 3 2" xfId="1909"/>
    <cellStyle name="40% - 着色 4 3 4" xfId="1910"/>
    <cellStyle name="40% - 着色 4 3 4 2" xfId="1911"/>
    <cellStyle name="40% - 着色 4 3 5" xfId="1912"/>
    <cellStyle name="40% - 着色 4 3 6" xfId="1913"/>
    <cellStyle name="40% - 着色 4 4" xfId="1914"/>
    <cellStyle name="40% - 着色 4 4 2" xfId="1915"/>
    <cellStyle name="40% - 着色 4 4 2 2" xfId="1916"/>
    <cellStyle name="40% - 着色 4 4 2 2 2" xfId="1917"/>
    <cellStyle name="40% - 着色 4 4 2 3" xfId="1918"/>
    <cellStyle name="40% - 着色 4 4 2 4" xfId="1919"/>
    <cellStyle name="40% - 着色 4 4 3" xfId="1920"/>
    <cellStyle name="40% - 着色 4 4 3 2" xfId="1921"/>
    <cellStyle name="40% - 着色 4 4 4" xfId="1922"/>
    <cellStyle name="40% - 着色 4 4 4 2" xfId="1923"/>
    <cellStyle name="40% - 着色 4 4 5" xfId="1924"/>
    <cellStyle name="40% - 着色 4 4 6" xfId="1925"/>
    <cellStyle name="40% - 着色 4 5" xfId="1926"/>
    <cellStyle name="40% - 着色 4 5 2" xfId="1927"/>
    <cellStyle name="40% - 着色 4 5 2 2" xfId="1928"/>
    <cellStyle name="40% - 着色 4 5 3" xfId="1929"/>
    <cellStyle name="40% - 着色 4 5 4" xfId="1930"/>
    <cellStyle name="40% - 着色 4 6" xfId="1931"/>
    <cellStyle name="40% - 着色 4 6 2" xfId="1932"/>
    <cellStyle name="40% - 着色 4 7" xfId="1933"/>
    <cellStyle name="40% - 着色 4 7 2" xfId="1934"/>
    <cellStyle name="40% - 着色 4 8" xfId="1935"/>
    <cellStyle name="40% - 着色 4 8 2" xfId="1936"/>
    <cellStyle name="40% - 着色 4 9" xfId="1937"/>
    <cellStyle name="40% - 着色 5" xfId="1938"/>
    <cellStyle name="40% - 着色 5 10" xfId="1939"/>
    <cellStyle name="40% - 着色 5 2" xfId="1940"/>
    <cellStyle name="40% - 着色 5 2 2" xfId="1941"/>
    <cellStyle name="40% - 着色 5 2 2 2" xfId="1942"/>
    <cellStyle name="40% - 着色 5 2 2 2 2" xfId="1943"/>
    <cellStyle name="40% - 着色 5 2 2 2 2 2" xfId="1944"/>
    <cellStyle name="40% - 着色 5 2 2 2 3" xfId="1945"/>
    <cellStyle name="40% - 着色 5 2 2 2 4" xfId="1946"/>
    <cellStyle name="40% - 着色 5 2 2 3" xfId="1947"/>
    <cellStyle name="40% - 着色 5 2 2 3 2" xfId="1948"/>
    <cellStyle name="40% - 着色 5 2 2 4" xfId="1949"/>
    <cellStyle name="40% - 着色 5 2 2 4 2" xfId="1950"/>
    <cellStyle name="40% - 着色 5 2 2 5" xfId="1951"/>
    <cellStyle name="40% - 着色 5 2 2 6" xfId="1952"/>
    <cellStyle name="40% - 着色 5 2 3" xfId="1953"/>
    <cellStyle name="40% - 着色 5 2 3 2" xfId="1954"/>
    <cellStyle name="40% - 着色 5 2 3 2 2" xfId="1955"/>
    <cellStyle name="40% - 着色 5 2 3 3" xfId="1956"/>
    <cellStyle name="40% - 着色 5 2 3 4" xfId="1957"/>
    <cellStyle name="40% - 着色 5 2 4" xfId="1958"/>
    <cellStyle name="40% - 着色 5 2 4 2" xfId="1959"/>
    <cellStyle name="40% - 着色 5 2 5" xfId="1960"/>
    <cellStyle name="40% - 着色 5 2 5 2" xfId="1961"/>
    <cellStyle name="40% - 着色 5 2 6" xfId="1962"/>
    <cellStyle name="40% - 着色 5 2 7" xfId="1963"/>
    <cellStyle name="40% - 着色 5 3" xfId="1964"/>
    <cellStyle name="40% - 着色 5 3 2" xfId="1965"/>
    <cellStyle name="40% - 着色 5 3 2 2" xfId="1966"/>
    <cellStyle name="40% - 着色 5 3 2 2 2" xfId="1967"/>
    <cellStyle name="40% - 着色 5 3 2 3" xfId="1968"/>
    <cellStyle name="40% - 着色 5 3 2 4" xfId="1969"/>
    <cellStyle name="40% - 着色 5 3 3" xfId="1970"/>
    <cellStyle name="40% - 着色 5 3 3 2" xfId="1971"/>
    <cellStyle name="40% - 着色 5 3 4" xfId="1972"/>
    <cellStyle name="40% - 着色 5 3 4 2" xfId="1973"/>
    <cellStyle name="40% - 着色 5 3 5" xfId="1974"/>
    <cellStyle name="40% - 着色 5 3 6" xfId="1975"/>
    <cellStyle name="40% - 着色 5 4" xfId="1976"/>
    <cellStyle name="40% - 着色 5 4 2" xfId="1977"/>
    <cellStyle name="40% - 着色 5 4 2 2" xfId="1978"/>
    <cellStyle name="40% - 着色 5 4 2 2 2" xfId="1979"/>
    <cellStyle name="40% - 着色 5 4 2 3" xfId="1980"/>
    <cellStyle name="40% - 着色 5 4 2 4" xfId="1981"/>
    <cellStyle name="40% - 着色 5 4 3" xfId="1982"/>
    <cellStyle name="40% - 着色 5 4 3 2" xfId="1983"/>
    <cellStyle name="40% - 着色 5 4 4" xfId="1984"/>
    <cellStyle name="40% - 着色 5 4 4 2" xfId="1985"/>
    <cellStyle name="40% - 着色 5 4 5" xfId="1986"/>
    <cellStyle name="40% - 着色 5 4 6" xfId="1987"/>
    <cellStyle name="40% - 着色 5 5" xfId="1988"/>
    <cellStyle name="40% - 着色 5 5 2" xfId="1989"/>
    <cellStyle name="40% - 着色 5 5 2 2" xfId="1990"/>
    <cellStyle name="40% - 着色 5 5 3" xfId="1991"/>
    <cellStyle name="40% - 着色 5 5 4" xfId="1992"/>
    <cellStyle name="40% - 着色 5 6" xfId="1993"/>
    <cellStyle name="40% - 着色 5 6 2" xfId="1994"/>
    <cellStyle name="40% - 着色 5 7" xfId="1995"/>
    <cellStyle name="40% - 着色 5 7 2" xfId="1996"/>
    <cellStyle name="40% - 着色 5 8" xfId="1997"/>
    <cellStyle name="40% - 着色 5 8 2" xfId="1998"/>
    <cellStyle name="40% - 着色 5 9" xfId="1999"/>
    <cellStyle name="40% - 着色 6" xfId="2000"/>
    <cellStyle name="40% - 着色 6 10" xfId="2001"/>
    <cellStyle name="40% - 着色 6 2" xfId="2002"/>
    <cellStyle name="40% - 着色 6 2 2" xfId="2003"/>
    <cellStyle name="40% - 着色 6 2 2 2" xfId="2004"/>
    <cellStyle name="40% - 着色 6 2 2 2 2" xfId="2005"/>
    <cellStyle name="40% - 着色 6 2 2 2 2 2" xfId="2006"/>
    <cellStyle name="40% - 着色 6 2 2 2 3" xfId="2007"/>
    <cellStyle name="40% - 着色 6 2 2 2 4" xfId="2008"/>
    <cellStyle name="40% - 着色 6 2 2 3" xfId="2009"/>
    <cellStyle name="40% - 着色 6 2 2 3 2" xfId="2010"/>
    <cellStyle name="40% - 着色 6 2 2 4" xfId="2011"/>
    <cellStyle name="40% - 着色 6 2 2 4 2" xfId="2012"/>
    <cellStyle name="40% - 着色 6 2 2 5" xfId="2013"/>
    <cellStyle name="40% - 着色 6 2 2 6" xfId="2014"/>
    <cellStyle name="40% - 着色 6 2 3" xfId="2015"/>
    <cellStyle name="40% - 着色 6 2 3 2" xfId="2016"/>
    <cellStyle name="40% - 着色 6 2 3 2 2" xfId="2017"/>
    <cellStyle name="40% - 着色 6 2 3 3" xfId="2018"/>
    <cellStyle name="40% - 着色 6 2 3 4" xfId="2019"/>
    <cellStyle name="40% - 着色 6 2 4" xfId="2020"/>
    <cellStyle name="40% - 着色 6 2 4 2" xfId="2021"/>
    <cellStyle name="40% - 着色 6 2 5" xfId="2022"/>
    <cellStyle name="40% - 着色 6 2 5 2" xfId="2023"/>
    <cellStyle name="40% - 着色 6 2 6" xfId="2024"/>
    <cellStyle name="40% - 着色 6 2 7" xfId="2025"/>
    <cellStyle name="40% - 着色 6 3" xfId="2026"/>
    <cellStyle name="40% - 着色 6 3 2" xfId="2027"/>
    <cellStyle name="40% - 着色 6 3 2 2" xfId="2028"/>
    <cellStyle name="40% - 着色 6 3 2 2 2" xfId="2029"/>
    <cellStyle name="40% - 着色 6 3 2 3" xfId="2030"/>
    <cellStyle name="40% - 着色 6 3 2 4" xfId="2031"/>
    <cellStyle name="40% - 着色 6 3 3" xfId="2032"/>
    <cellStyle name="40% - 着色 6 3 3 2" xfId="2033"/>
    <cellStyle name="40% - 着色 6 3 4" xfId="2034"/>
    <cellStyle name="40% - 着色 6 3 4 2" xfId="2035"/>
    <cellStyle name="40% - 着色 6 3 5" xfId="2036"/>
    <cellStyle name="40% - 着色 6 3 6" xfId="2037"/>
    <cellStyle name="40% - 着色 6 4" xfId="2038"/>
    <cellStyle name="40% - 着色 6 4 2" xfId="2039"/>
    <cellStyle name="40% - 着色 6 4 2 2" xfId="2040"/>
    <cellStyle name="40% - 着色 6 4 2 2 2" xfId="2041"/>
    <cellStyle name="40% - 着色 6 4 2 3" xfId="2042"/>
    <cellStyle name="40% - 着色 6 4 2 4" xfId="2043"/>
    <cellStyle name="40% - 着色 6 4 3" xfId="2044"/>
    <cellStyle name="40% - 着色 6 4 3 2" xfId="2045"/>
    <cellStyle name="40% - 着色 6 4 4" xfId="2046"/>
    <cellStyle name="40% - 着色 6 4 4 2" xfId="2047"/>
    <cellStyle name="40% - 着色 6 4 5" xfId="2048"/>
    <cellStyle name="40% - 着色 6 4 6" xfId="2049"/>
    <cellStyle name="40% - 着色 6 5" xfId="2050"/>
    <cellStyle name="40% - 着色 6 5 2" xfId="2051"/>
    <cellStyle name="40% - 着色 6 5 2 2" xfId="2052"/>
    <cellStyle name="40% - 着色 6 5 3" xfId="2053"/>
    <cellStyle name="40% - 着色 6 5 4" xfId="2054"/>
    <cellStyle name="40% - 着色 6 6" xfId="2055"/>
    <cellStyle name="40% - 着色 6 6 2" xfId="2056"/>
    <cellStyle name="40% - 着色 6 7" xfId="2057"/>
    <cellStyle name="40% - 着色 6 7 2" xfId="2058"/>
    <cellStyle name="40% - 着色 6 8" xfId="2059"/>
    <cellStyle name="40% - 着色 6 8 2" xfId="2060"/>
    <cellStyle name="40% - 着色 6 9" xfId="2061"/>
    <cellStyle name="60% - 强调文字颜色 1 2" xfId="2062"/>
    <cellStyle name="60% - 强调文字颜色 1 2 2" xfId="2063"/>
    <cellStyle name="60% - 强调文字颜色 1 2 2 2" xfId="2064"/>
    <cellStyle name="60% - 强调文字颜色 1 2 2 2 2" xfId="2065"/>
    <cellStyle name="60% - 强调文字颜色 1 2 2 2 2 2" xfId="2066"/>
    <cellStyle name="60% - 强调文字颜色 1 2 2 2 3" xfId="2067"/>
    <cellStyle name="60% - 强调文字颜色 1 2 2 3" xfId="2068"/>
    <cellStyle name="60% - 强调文字颜色 1 2 2 3 2" xfId="2069"/>
    <cellStyle name="60% - 强调文字颜色 1 2 2 4" xfId="2070"/>
    <cellStyle name="60% - 强调文字颜色 1 2 2 4 2" xfId="2071"/>
    <cellStyle name="60% - 强调文字颜色 1 2 2 5" xfId="2072"/>
    <cellStyle name="60% - 强调文字颜色 1 2 2 6" xfId="8685"/>
    <cellStyle name="60% - 强调文字颜色 1 2 3" xfId="2073"/>
    <cellStyle name="60% - 强调文字颜色 1 2 3 2" xfId="2074"/>
    <cellStyle name="60% - 强调文字颜色 1 2 3 2 2" xfId="2075"/>
    <cellStyle name="60% - 强调文字颜色 1 2 3 3" xfId="2076"/>
    <cellStyle name="60% - 强调文字颜色 1 2 4" xfId="2077"/>
    <cellStyle name="60% - 强调文字颜色 1 2 4 2" xfId="2078"/>
    <cellStyle name="60% - 强调文字颜色 1 2 5" xfId="2079"/>
    <cellStyle name="60% - 强调文字颜色 1 2 5 2" xfId="2080"/>
    <cellStyle name="60% - 强调文字颜色 1 2 6" xfId="2081"/>
    <cellStyle name="60% - 强调文字颜色 1 2 7" xfId="8684"/>
    <cellStyle name="60% - 强调文字颜色 1 3" xfId="2082"/>
    <cellStyle name="60% - 强调文字颜色 1 3 2" xfId="2083"/>
    <cellStyle name="60% - 强调文字颜色 1 3 2 2" xfId="2084"/>
    <cellStyle name="60% - 强调文字颜色 1 3 2 2 2" xfId="2085"/>
    <cellStyle name="60% - 强调文字颜色 1 3 2 2 2 2" xfId="2086"/>
    <cellStyle name="60% - 强调文字颜色 1 3 2 2 3" xfId="2087"/>
    <cellStyle name="60% - 强调文字颜色 1 3 2 3" xfId="2088"/>
    <cellStyle name="60% - 强调文字颜色 1 3 2 3 2" xfId="2089"/>
    <cellStyle name="60% - 强调文字颜色 1 3 2 4" xfId="2090"/>
    <cellStyle name="60% - 强调文字颜色 1 3 2 4 2" xfId="2091"/>
    <cellStyle name="60% - 强调文字颜色 1 3 2 5" xfId="2092"/>
    <cellStyle name="60% - 强调文字颜色 1 3 2 6" xfId="8687"/>
    <cellStyle name="60% - 强调文字颜色 1 3 3" xfId="2093"/>
    <cellStyle name="60% - 强调文字颜色 1 3 3 2" xfId="2094"/>
    <cellStyle name="60% - 强调文字颜色 1 3 3 2 2" xfId="2095"/>
    <cellStyle name="60% - 强调文字颜色 1 3 3 3" xfId="2096"/>
    <cellStyle name="60% - 强调文字颜色 1 3 4" xfId="2097"/>
    <cellStyle name="60% - 强调文字颜色 1 3 4 2" xfId="2098"/>
    <cellStyle name="60% - 强调文字颜色 1 3 5" xfId="2099"/>
    <cellStyle name="60% - 强调文字颜色 1 3 5 2" xfId="2100"/>
    <cellStyle name="60% - 强调文字颜色 1 3 6" xfId="2101"/>
    <cellStyle name="60% - 强调文字颜色 1 3 7" xfId="8686"/>
    <cellStyle name="60% - 强调文字颜色 1 4" xfId="2102"/>
    <cellStyle name="60% - 强调文字颜色 1 4 2" xfId="2103"/>
    <cellStyle name="60% - 强调文字颜色 1 4 2 2" xfId="2104"/>
    <cellStyle name="60% - 强调文字颜色 1 4 2 2 2" xfId="2105"/>
    <cellStyle name="60% - 强调文字颜色 1 4 2 2 2 2" xfId="2106"/>
    <cellStyle name="60% - 强调文字颜色 1 4 2 2 3" xfId="2107"/>
    <cellStyle name="60% - 强调文字颜色 1 4 2 3" xfId="2108"/>
    <cellStyle name="60% - 强调文字颜色 1 4 2 3 2" xfId="2109"/>
    <cellStyle name="60% - 强调文字颜色 1 4 2 4" xfId="2110"/>
    <cellStyle name="60% - 强调文字颜色 1 4 2 4 2" xfId="2111"/>
    <cellStyle name="60% - 强调文字颜色 1 4 2 5" xfId="2112"/>
    <cellStyle name="60% - 强调文字颜色 1 4 2 6" xfId="8689"/>
    <cellStyle name="60% - 强调文字颜色 1 4 3" xfId="2113"/>
    <cellStyle name="60% - 强调文字颜色 1 4 3 2" xfId="2114"/>
    <cellStyle name="60% - 强调文字颜色 1 4 3 2 2" xfId="2115"/>
    <cellStyle name="60% - 强调文字颜色 1 4 3 3" xfId="2116"/>
    <cellStyle name="60% - 强调文字颜色 1 4 4" xfId="2117"/>
    <cellStyle name="60% - 强调文字颜色 1 4 4 2" xfId="2118"/>
    <cellStyle name="60% - 强调文字颜色 1 4 5" xfId="2119"/>
    <cellStyle name="60% - 强调文字颜色 1 4 5 2" xfId="2120"/>
    <cellStyle name="60% - 强调文字颜色 1 4 6" xfId="2121"/>
    <cellStyle name="60% - 强调文字颜色 1 4 7" xfId="8688"/>
    <cellStyle name="60% - 强调文字颜色 1 5" xfId="2122"/>
    <cellStyle name="60% - 强调文字颜色 1 5 2" xfId="2123"/>
    <cellStyle name="60% - 强调文字颜色 1 5 2 2" xfId="2124"/>
    <cellStyle name="60% - 强调文字颜色 1 5 2 2 2" xfId="2125"/>
    <cellStyle name="60% - 强调文字颜色 1 5 2 3" xfId="2126"/>
    <cellStyle name="60% - 强调文字颜色 1 5 3" xfId="2127"/>
    <cellStyle name="60% - 强调文字颜色 1 5 3 2" xfId="2128"/>
    <cellStyle name="60% - 强调文字颜色 1 5 4" xfId="2129"/>
    <cellStyle name="60% - 强调文字颜色 1 5 4 2" xfId="2130"/>
    <cellStyle name="60% - 强调文字颜色 1 5 5" xfId="2131"/>
    <cellStyle name="60% - 强调文字颜色 1 6" xfId="2132"/>
    <cellStyle name="60% - 强调文字颜色 1 6 2" xfId="2133"/>
    <cellStyle name="60% - 强调文字颜色 1 6 2 2" xfId="2134"/>
    <cellStyle name="60% - 强调文字颜色 1 6 2 2 2" xfId="2135"/>
    <cellStyle name="60% - 强调文字颜色 1 6 2 3" xfId="2136"/>
    <cellStyle name="60% - 强调文字颜色 1 6 3" xfId="2137"/>
    <cellStyle name="60% - 强调文字颜色 1 6 3 2" xfId="2138"/>
    <cellStyle name="60% - 强调文字颜色 1 6 4" xfId="2139"/>
    <cellStyle name="60% - 强调文字颜色 1 6 4 2" xfId="2140"/>
    <cellStyle name="60% - 强调文字颜色 1 6 5" xfId="2141"/>
    <cellStyle name="60% - 强调文字颜色 1 7" xfId="2142"/>
    <cellStyle name="60% - 强调文字颜色 1 7 2" xfId="2143"/>
    <cellStyle name="60% - 强调文字颜色 1 7 2 2" xfId="2144"/>
    <cellStyle name="60% - 强调文字颜色 1 7 2 2 2" xfId="2145"/>
    <cellStyle name="60% - 强调文字颜色 1 7 2 3" xfId="2146"/>
    <cellStyle name="60% - 强调文字颜色 1 7 3" xfId="2147"/>
    <cellStyle name="60% - 强调文字颜色 1 7 3 2" xfId="2148"/>
    <cellStyle name="60% - 强调文字颜色 1 7 4" xfId="2149"/>
    <cellStyle name="60% - 强调文字颜色 1 7 4 2" xfId="2150"/>
    <cellStyle name="60% - 强调文字颜色 1 7 5" xfId="2151"/>
    <cellStyle name="60% - 强调文字颜色 2 2" xfId="2152"/>
    <cellStyle name="60% - 强调文字颜色 2 2 2" xfId="2153"/>
    <cellStyle name="60% - 强调文字颜色 2 2 2 2" xfId="2154"/>
    <cellStyle name="60% - 强调文字颜色 2 2 2 2 2" xfId="2155"/>
    <cellStyle name="60% - 强调文字颜色 2 2 2 2 2 2" xfId="2156"/>
    <cellStyle name="60% - 强调文字颜色 2 2 2 2 3" xfId="2157"/>
    <cellStyle name="60% - 强调文字颜色 2 2 2 3" xfId="2158"/>
    <cellStyle name="60% - 强调文字颜色 2 2 2 3 2" xfId="2159"/>
    <cellStyle name="60% - 强调文字颜色 2 2 2 4" xfId="2160"/>
    <cellStyle name="60% - 强调文字颜色 2 2 2 4 2" xfId="2161"/>
    <cellStyle name="60% - 强调文字颜色 2 2 2 5" xfId="2162"/>
    <cellStyle name="60% - 强调文字颜色 2 2 2 6" xfId="8691"/>
    <cellStyle name="60% - 强调文字颜色 2 2 3" xfId="2163"/>
    <cellStyle name="60% - 强调文字颜色 2 2 3 2" xfId="2164"/>
    <cellStyle name="60% - 强调文字颜色 2 2 3 2 2" xfId="2165"/>
    <cellStyle name="60% - 强调文字颜色 2 2 3 3" xfId="2166"/>
    <cellStyle name="60% - 强调文字颜色 2 2 4" xfId="2167"/>
    <cellStyle name="60% - 强调文字颜色 2 2 4 2" xfId="2168"/>
    <cellStyle name="60% - 强调文字颜色 2 2 5" xfId="2169"/>
    <cellStyle name="60% - 强调文字颜色 2 2 5 2" xfId="2170"/>
    <cellStyle name="60% - 强调文字颜色 2 2 6" xfId="2171"/>
    <cellStyle name="60% - 强调文字颜色 2 2 7" xfId="8690"/>
    <cellStyle name="60% - 强调文字颜色 2 3" xfId="2172"/>
    <cellStyle name="60% - 强调文字颜色 2 3 2" xfId="2173"/>
    <cellStyle name="60% - 强调文字颜色 2 3 2 2" xfId="2174"/>
    <cellStyle name="60% - 强调文字颜色 2 3 2 2 2" xfId="2175"/>
    <cellStyle name="60% - 强调文字颜色 2 3 2 2 2 2" xfId="2176"/>
    <cellStyle name="60% - 强调文字颜色 2 3 2 2 3" xfId="2177"/>
    <cellStyle name="60% - 强调文字颜色 2 3 2 3" xfId="2178"/>
    <cellStyle name="60% - 强调文字颜色 2 3 2 3 2" xfId="2179"/>
    <cellStyle name="60% - 强调文字颜色 2 3 2 4" xfId="2180"/>
    <cellStyle name="60% - 强调文字颜色 2 3 2 4 2" xfId="2181"/>
    <cellStyle name="60% - 强调文字颜色 2 3 2 5" xfId="2182"/>
    <cellStyle name="60% - 强调文字颜色 2 3 2 6" xfId="8693"/>
    <cellStyle name="60% - 强调文字颜色 2 3 3" xfId="2183"/>
    <cellStyle name="60% - 强调文字颜色 2 3 3 2" xfId="2184"/>
    <cellStyle name="60% - 强调文字颜色 2 3 3 2 2" xfId="2185"/>
    <cellStyle name="60% - 强调文字颜色 2 3 3 3" xfId="2186"/>
    <cellStyle name="60% - 强调文字颜色 2 3 4" xfId="2187"/>
    <cellStyle name="60% - 强调文字颜色 2 3 4 2" xfId="2188"/>
    <cellStyle name="60% - 强调文字颜色 2 3 5" xfId="2189"/>
    <cellStyle name="60% - 强调文字颜色 2 3 5 2" xfId="2190"/>
    <cellStyle name="60% - 强调文字颜色 2 3 6" xfId="2191"/>
    <cellStyle name="60% - 强调文字颜色 2 3 7" xfId="8692"/>
    <cellStyle name="60% - 强调文字颜色 2 4" xfId="2192"/>
    <cellStyle name="60% - 强调文字颜色 2 4 2" xfId="2193"/>
    <cellStyle name="60% - 强调文字颜色 2 4 2 2" xfId="2194"/>
    <cellStyle name="60% - 强调文字颜色 2 4 2 2 2" xfId="2195"/>
    <cellStyle name="60% - 强调文字颜色 2 4 2 2 2 2" xfId="2196"/>
    <cellStyle name="60% - 强调文字颜色 2 4 2 2 3" xfId="2197"/>
    <cellStyle name="60% - 强调文字颜色 2 4 2 3" xfId="2198"/>
    <cellStyle name="60% - 强调文字颜色 2 4 2 3 2" xfId="2199"/>
    <cellStyle name="60% - 强调文字颜色 2 4 2 4" xfId="2200"/>
    <cellStyle name="60% - 强调文字颜色 2 4 2 4 2" xfId="2201"/>
    <cellStyle name="60% - 强调文字颜色 2 4 2 5" xfId="2202"/>
    <cellStyle name="60% - 强调文字颜色 2 4 2 6" xfId="8695"/>
    <cellStyle name="60% - 强调文字颜色 2 4 3" xfId="2203"/>
    <cellStyle name="60% - 强调文字颜色 2 4 3 2" xfId="2204"/>
    <cellStyle name="60% - 强调文字颜色 2 4 3 2 2" xfId="2205"/>
    <cellStyle name="60% - 强调文字颜色 2 4 3 3" xfId="2206"/>
    <cellStyle name="60% - 强调文字颜色 2 4 4" xfId="2207"/>
    <cellStyle name="60% - 强调文字颜色 2 4 4 2" xfId="2208"/>
    <cellStyle name="60% - 强调文字颜色 2 4 5" xfId="2209"/>
    <cellStyle name="60% - 强调文字颜色 2 4 5 2" xfId="2210"/>
    <cellStyle name="60% - 强调文字颜色 2 4 6" xfId="2211"/>
    <cellStyle name="60% - 强调文字颜色 2 4 7" xfId="8694"/>
    <cellStyle name="60% - 强调文字颜色 2 5" xfId="2212"/>
    <cellStyle name="60% - 强调文字颜色 2 5 2" xfId="2213"/>
    <cellStyle name="60% - 强调文字颜色 2 5 2 2" xfId="2214"/>
    <cellStyle name="60% - 强调文字颜色 2 5 2 2 2" xfId="2215"/>
    <cellStyle name="60% - 强调文字颜色 2 5 2 3" xfId="2216"/>
    <cellStyle name="60% - 强调文字颜色 2 5 3" xfId="2217"/>
    <cellStyle name="60% - 强调文字颜色 2 5 3 2" xfId="2218"/>
    <cellStyle name="60% - 强调文字颜色 2 5 4" xfId="2219"/>
    <cellStyle name="60% - 强调文字颜色 2 5 4 2" xfId="2220"/>
    <cellStyle name="60% - 强调文字颜色 2 5 5" xfId="2221"/>
    <cellStyle name="60% - 强调文字颜色 2 6" xfId="2222"/>
    <cellStyle name="60% - 强调文字颜色 2 6 2" xfId="2223"/>
    <cellStyle name="60% - 强调文字颜色 2 6 2 2" xfId="2224"/>
    <cellStyle name="60% - 强调文字颜色 2 6 2 2 2" xfId="2225"/>
    <cellStyle name="60% - 强调文字颜色 2 6 2 3" xfId="2226"/>
    <cellStyle name="60% - 强调文字颜色 2 6 3" xfId="2227"/>
    <cellStyle name="60% - 强调文字颜色 2 6 3 2" xfId="2228"/>
    <cellStyle name="60% - 强调文字颜色 2 6 4" xfId="2229"/>
    <cellStyle name="60% - 强调文字颜色 2 6 4 2" xfId="2230"/>
    <cellStyle name="60% - 强调文字颜色 2 6 5" xfId="2231"/>
    <cellStyle name="60% - 强调文字颜色 2 7" xfId="2232"/>
    <cellStyle name="60% - 强调文字颜色 2 7 2" xfId="2233"/>
    <cellStyle name="60% - 强调文字颜色 2 7 2 2" xfId="2234"/>
    <cellStyle name="60% - 强调文字颜色 2 7 2 2 2" xfId="2235"/>
    <cellStyle name="60% - 强调文字颜色 2 7 2 3" xfId="2236"/>
    <cellStyle name="60% - 强调文字颜色 2 7 3" xfId="2237"/>
    <cellStyle name="60% - 强调文字颜色 2 7 3 2" xfId="2238"/>
    <cellStyle name="60% - 强调文字颜色 2 7 4" xfId="2239"/>
    <cellStyle name="60% - 强调文字颜色 2 7 4 2" xfId="2240"/>
    <cellStyle name="60% - 强调文字颜色 2 7 5" xfId="2241"/>
    <cellStyle name="60% - 强调文字颜色 3 2" xfId="2242"/>
    <cellStyle name="60% - 强调文字颜色 3 2 2" xfId="2243"/>
    <cellStyle name="60% - 强调文字颜色 3 2 2 2" xfId="2244"/>
    <cellStyle name="60% - 强调文字颜色 3 2 2 2 2" xfId="2245"/>
    <cellStyle name="60% - 强调文字颜色 3 2 2 2 2 2" xfId="2246"/>
    <cellStyle name="60% - 强调文字颜色 3 2 2 2 3" xfId="2247"/>
    <cellStyle name="60% - 强调文字颜色 3 2 2 3" xfId="2248"/>
    <cellStyle name="60% - 强调文字颜色 3 2 2 3 2" xfId="2249"/>
    <cellStyle name="60% - 强调文字颜色 3 2 2 4" xfId="2250"/>
    <cellStyle name="60% - 强调文字颜色 3 2 2 4 2" xfId="2251"/>
    <cellStyle name="60% - 强调文字颜色 3 2 2 5" xfId="2252"/>
    <cellStyle name="60% - 强调文字颜色 3 2 2 6" xfId="8697"/>
    <cellStyle name="60% - 强调文字颜色 3 2 3" xfId="2253"/>
    <cellStyle name="60% - 强调文字颜色 3 2 3 2" xfId="2254"/>
    <cellStyle name="60% - 强调文字颜色 3 2 3 2 2" xfId="2255"/>
    <cellStyle name="60% - 强调文字颜色 3 2 3 3" xfId="2256"/>
    <cellStyle name="60% - 强调文字颜色 3 2 4" xfId="2257"/>
    <cellStyle name="60% - 强调文字颜色 3 2 4 2" xfId="2258"/>
    <cellStyle name="60% - 强调文字颜色 3 2 5" xfId="2259"/>
    <cellStyle name="60% - 强调文字颜色 3 2 5 2" xfId="2260"/>
    <cellStyle name="60% - 强调文字颜色 3 2 6" xfId="2261"/>
    <cellStyle name="60% - 强调文字颜色 3 2 7" xfId="8696"/>
    <cellStyle name="60% - 强调文字颜色 3 3" xfId="2262"/>
    <cellStyle name="60% - 强调文字颜色 3 3 2" xfId="2263"/>
    <cellStyle name="60% - 强调文字颜色 3 3 2 2" xfId="2264"/>
    <cellStyle name="60% - 强调文字颜色 3 3 2 2 2" xfId="2265"/>
    <cellStyle name="60% - 强调文字颜色 3 3 2 2 2 2" xfId="2266"/>
    <cellStyle name="60% - 强调文字颜色 3 3 2 2 3" xfId="2267"/>
    <cellStyle name="60% - 强调文字颜色 3 3 2 3" xfId="2268"/>
    <cellStyle name="60% - 强调文字颜色 3 3 2 3 2" xfId="2269"/>
    <cellStyle name="60% - 强调文字颜色 3 3 2 4" xfId="2270"/>
    <cellStyle name="60% - 强调文字颜色 3 3 2 4 2" xfId="2271"/>
    <cellStyle name="60% - 强调文字颜色 3 3 2 5" xfId="2272"/>
    <cellStyle name="60% - 强调文字颜色 3 3 2 6" xfId="8699"/>
    <cellStyle name="60% - 强调文字颜色 3 3 3" xfId="2273"/>
    <cellStyle name="60% - 强调文字颜色 3 3 3 2" xfId="2274"/>
    <cellStyle name="60% - 强调文字颜色 3 3 3 2 2" xfId="2275"/>
    <cellStyle name="60% - 强调文字颜色 3 3 3 3" xfId="2276"/>
    <cellStyle name="60% - 强调文字颜色 3 3 4" xfId="2277"/>
    <cellStyle name="60% - 强调文字颜色 3 3 4 2" xfId="2278"/>
    <cellStyle name="60% - 强调文字颜色 3 3 5" xfId="2279"/>
    <cellStyle name="60% - 强调文字颜色 3 3 5 2" xfId="2280"/>
    <cellStyle name="60% - 强调文字颜色 3 3 6" xfId="2281"/>
    <cellStyle name="60% - 强调文字颜色 3 3 7" xfId="8698"/>
    <cellStyle name="60% - 强调文字颜色 3 4" xfId="2282"/>
    <cellStyle name="60% - 强调文字颜色 3 4 2" xfId="2283"/>
    <cellStyle name="60% - 强调文字颜色 3 4 2 2" xfId="2284"/>
    <cellStyle name="60% - 强调文字颜色 3 4 2 2 2" xfId="2285"/>
    <cellStyle name="60% - 强调文字颜色 3 4 2 2 2 2" xfId="2286"/>
    <cellStyle name="60% - 强调文字颜色 3 4 2 2 3" xfId="2287"/>
    <cellStyle name="60% - 强调文字颜色 3 4 2 3" xfId="2288"/>
    <cellStyle name="60% - 强调文字颜色 3 4 2 3 2" xfId="2289"/>
    <cellStyle name="60% - 强调文字颜色 3 4 2 4" xfId="2290"/>
    <cellStyle name="60% - 强调文字颜色 3 4 2 4 2" xfId="2291"/>
    <cellStyle name="60% - 强调文字颜色 3 4 2 5" xfId="2292"/>
    <cellStyle name="60% - 强调文字颜色 3 4 2 6" xfId="8701"/>
    <cellStyle name="60% - 强调文字颜色 3 4 3" xfId="2293"/>
    <cellStyle name="60% - 强调文字颜色 3 4 3 2" xfId="2294"/>
    <cellStyle name="60% - 强调文字颜色 3 4 3 2 2" xfId="2295"/>
    <cellStyle name="60% - 强调文字颜色 3 4 3 3" xfId="2296"/>
    <cellStyle name="60% - 强调文字颜色 3 4 4" xfId="2297"/>
    <cellStyle name="60% - 强调文字颜色 3 4 4 2" xfId="2298"/>
    <cellStyle name="60% - 强调文字颜色 3 4 5" xfId="2299"/>
    <cellStyle name="60% - 强调文字颜色 3 4 5 2" xfId="2300"/>
    <cellStyle name="60% - 强调文字颜色 3 4 6" xfId="2301"/>
    <cellStyle name="60% - 强调文字颜色 3 4 7" xfId="8700"/>
    <cellStyle name="60% - 强调文字颜色 3 5" xfId="2302"/>
    <cellStyle name="60% - 强调文字颜色 3 5 2" xfId="2303"/>
    <cellStyle name="60% - 强调文字颜色 3 5 2 2" xfId="2304"/>
    <cellStyle name="60% - 强调文字颜色 3 5 2 2 2" xfId="2305"/>
    <cellStyle name="60% - 强调文字颜色 3 5 2 3" xfId="2306"/>
    <cellStyle name="60% - 强调文字颜色 3 5 3" xfId="2307"/>
    <cellStyle name="60% - 强调文字颜色 3 5 3 2" xfId="2308"/>
    <cellStyle name="60% - 强调文字颜色 3 5 4" xfId="2309"/>
    <cellStyle name="60% - 强调文字颜色 3 5 4 2" xfId="2310"/>
    <cellStyle name="60% - 强调文字颜色 3 5 5" xfId="2311"/>
    <cellStyle name="60% - 强调文字颜色 3 6" xfId="2312"/>
    <cellStyle name="60% - 强调文字颜色 3 6 2" xfId="2313"/>
    <cellStyle name="60% - 强调文字颜色 3 6 2 2" xfId="2314"/>
    <cellStyle name="60% - 强调文字颜色 3 6 2 2 2" xfId="2315"/>
    <cellStyle name="60% - 强调文字颜色 3 6 2 3" xfId="2316"/>
    <cellStyle name="60% - 强调文字颜色 3 6 3" xfId="2317"/>
    <cellStyle name="60% - 强调文字颜色 3 6 3 2" xfId="2318"/>
    <cellStyle name="60% - 强调文字颜色 3 6 4" xfId="2319"/>
    <cellStyle name="60% - 强调文字颜色 3 6 4 2" xfId="2320"/>
    <cellStyle name="60% - 强调文字颜色 3 6 5" xfId="2321"/>
    <cellStyle name="60% - 强调文字颜色 3 7" xfId="2322"/>
    <cellStyle name="60% - 强调文字颜色 3 7 2" xfId="2323"/>
    <cellStyle name="60% - 强调文字颜色 3 7 2 2" xfId="2324"/>
    <cellStyle name="60% - 强调文字颜色 3 7 2 2 2" xfId="2325"/>
    <cellStyle name="60% - 强调文字颜色 3 7 2 3" xfId="2326"/>
    <cellStyle name="60% - 强调文字颜色 3 7 3" xfId="2327"/>
    <cellStyle name="60% - 强调文字颜色 3 7 3 2" xfId="2328"/>
    <cellStyle name="60% - 强调文字颜色 3 7 4" xfId="2329"/>
    <cellStyle name="60% - 强调文字颜色 3 7 4 2" xfId="2330"/>
    <cellStyle name="60% - 强调文字颜色 3 7 5" xfId="2331"/>
    <cellStyle name="60% - 强调文字颜色 4 2" xfId="2332"/>
    <cellStyle name="60% - 强调文字颜色 4 2 2" xfId="2333"/>
    <cellStyle name="60% - 强调文字颜色 4 2 2 2" xfId="2334"/>
    <cellStyle name="60% - 强调文字颜色 4 2 2 2 2" xfId="2335"/>
    <cellStyle name="60% - 强调文字颜色 4 2 2 2 2 2" xfId="2336"/>
    <cellStyle name="60% - 强调文字颜色 4 2 2 2 3" xfId="2337"/>
    <cellStyle name="60% - 强调文字颜色 4 2 2 3" xfId="2338"/>
    <cellStyle name="60% - 强调文字颜色 4 2 2 3 2" xfId="2339"/>
    <cellStyle name="60% - 强调文字颜色 4 2 2 4" xfId="2340"/>
    <cellStyle name="60% - 强调文字颜色 4 2 2 4 2" xfId="2341"/>
    <cellStyle name="60% - 强调文字颜色 4 2 2 5" xfId="2342"/>
    <cellStyle name="60% - 强调文字颜色 4 2 2 6" xfId="8703"/>
    <cellStyle name="60% - 强调文字颜色 4 2 3" xfId="2343"/>
    <cellStyle name="60% - 强调文字颜色 4 2 3 2" xfId="2344"/>
    <cellStyle name="60% - 强调文字颜色 4 2 3 2 2" xfId="2345"/>
    <cellStyle name="60% - 强调文字颜色 4 2 3 3" xfId="2346"/>
    <cellStyle name="60% - 强调文字颜色 4 2 4" xfId="2347"/>
    <cellStyle name="60% - 强调文字颜色 4 2 4 2" xfId="2348"/>
    <cellStyle name="60% - 强调文字颜色 4 2 5" xfId="2349"/>
    <cellStyle name="60% - 强调文字颜色 4 2 5 2" xfId="2350"/>
    <cellStyle name="60% - 强调文字颜色 4 2 6" xfId="2351"/>
    <cellStyle name="60% - 强调文字颜色 4 2 7" xfId="8702"/>
    <cellStyle name="60% - 强调文字颜色 4 3" xfId="2352"/>
    <cellStyle name="60% - 强调文字颜色 4 3 2" xfId="2353"/>
    <cellStyle name="60% - 强调文字颜色 4 3 2 2" xfId="2354"/>
    <cellStyle name="60% - 强调文字颜色 4 3 2 2 2" xfId="2355"/>
    <cellStyle name="60% - 强调文字颜色 4 3 2 2 2 2" xfId="2356"/>
    <cellStyle name="60% - 强调文字颜色 4 3 2 2 3" xfId="2357"/>
    <cellStyle name="60% - 强调文字颜色 4 3 2 3" xfId="2358"/>
    <cellStyle name="60% - 强调文字颜色 4 3 2 3 2" xfId="2359"/>
    <cellStyle name="60% - 强调文字颜色 4 3 2 4" xfId="2360"/>
    <cellStyle name="60% - 强调文字颜色 4 3 2 4 2" xfId="2361"/>
    <cellStyle name="60% - 强调文字颜色 4 3 2 5" xfId="2362"/>
    <cellStyle name="60% - 强调文字颜色 4 3 2 6" xfId="8705"/>
    <cellStyle name="60% - 强调文字颜色 4 3 3" xfId="2363"/>
    <cellStyle name="60% - 强调文字颜色 4 3 3 2" xfId="2364"/>
    <cellStyle name="60% - 强调文字颜色 4 3 3 2 2" xfId="2365"/>
    <cellStyle name="60% - 强调文字颜色 4 3 3 3" xfId="2366"/>
    <cellStyle name="60% - 强调文字颜色 4 3 4" xfId="2367"/>
    <cellStyle name="60% - 强调文字颜色 4 3 4 2" xfId="2368"/>
    <cellStyle name="60% - 强调文字颜色 4 3 5" xfId="2369"/>
    <cellStyle name="60% - 强调文字颜色 4 3 5 2" xfId="2370"/>
    <cellStyle name="60% - 强调文字颜色 4 3 6" xfId="2371"/>
    <cellStyle name="60% - 强调文字颜色 4 3 7" xfId="8704"/>
    <cellStyle name="60% - 强调文字颜色 4 4" xfId="2372"/>
    <cellStyle name="60% - 强调文字颜色 4 4 2" xfId="2373"/>
    <cellStyle name="60% - 强调文字颜色 4 4 2 2" xfId="2374"/>
    <cellStyle name="60% - 强调文字颜色 4 4 2 2 2" xfId="2375"/>
    <cellStyle name="60% - 强调文字颜色 4 4 2 2 2 2" xfId="2376"/>
    <cellStyle name="60% - 强调文字颜色 4 4 2 2 3" xfId="2377"/>
    <cellStyle name="60% - 强调文字颜色 4 4 2 3" xfId="2378"/>
    <cellStyle name="60% - 强调文字颜色 4 4 2 3 2" xfId="2379"/>
    <cellStyle name="60% - 强调文字颜色 4 4 2 4" xfId="2380"/>
    <cellStyle name="60% - 强调文字颜色 4 4 2 4 2" xfId="2381"/>
    <cellStyle name="60% - 强调文字颜色 4 4 2 5" xfId="2382"/>
    <cellStyle name="60% - 强调文字颜色 4 4 2 6" xfId="8707"/>
    <cellStyle name="60% - 强调文字颜色 4 4 3" xfId="2383"/>
    <cellStyle name="60% - 强调文字颜色 4 4 3 2" xfId="2384"/>
    <cellStyle name="60% - 强调文字颜色 4 4 3 2 2" xfId="2385"/>
    <cellStyle name="60% - 强调文字颜色 4 4 3 3" xfId="2386"/>
    <cellStyle name="60% - 强调文字颜色 4 4 4" xfId="2387"/>
    <cellStyle name="60% - 强调文字颜色 4 4 4 2" xfId="2388"/>
    <cellStyle name="60% - 强调文字颜色 4 4 5" xfId="2389"/>
    <cellStyle name="60% - 强调文字颜色 4 4 5 2" xfId="2390"/>
    <cellStyle name="60% - 强调文字颜色 4 4 6" xfId="2391"/>
    <cellStyle name="60% - 强调文字颜色 4 4 7" xfId="8706"/>
    <cellStyle name="60% - 强调文字颜色 4 5" xfId="2392"/>
    <cellStyle name="60% - 强调文字颜色 4 5 2" xfId="2393"/>
    <cellStyle name="60% - 强调文字颜色 4 5 2 2" xfId="2394"/>
    <cellStyle name="60% - 强调文字颜色 4 5 2 2 2" xfId="2395"/>
    <cellStyle name="60% - 强调文字颜色 4 5 2 3" xfId="2396"/>
    <cellStyle name="60% - 强调文字颜色 4 5 3" xfId="2397"/>
    <cellStyle name="60% - 强调文字颜色 4 5 3 2" xfId="2398"/>
    <cellStyle name="60% - 强调文字颜色 4 5 4" xfId="2399"/>
    <cellStyle name="60% - 强调文字颜色 4 5 4 2" xfId="2400"/>
    <cellStyle name="60% - 强调文字颜色 4 5 5" xfId="2401"/>
    <cellStyle name="60% - 强调文字颜色 4 6" xfId="2402"/>
    <cellStyle name="60% - 强调文字颜色 4 6 2" xfId="2403"/>
    <cellStyle name="60% - 强调文字颜色 4 6 2 2" xfId="2404"/>
    <cellStyle name="60% - 强调文字颜色 4 6 2 2 2" xfId="2405"/>
    <cellStyle name="60% - 强调文字颜色 4 6 2 3" xfId="2406"/>
    <cellStyle name="60% - 强调文字颜色 4 6 3" xfId="2407"/>
    <cellStyle name="60% - 强调文字颜色 4 6 3 2" xfId="2408"/>
    <cellStyle name="60% - 强调文字颜色 4 6 4" xfId="2409"/>
    <cellStyle name="60% - 强调文字颜色 4 6 4 2" xfId="2410"/>
    <cellStyle name="60% - 强调文字颜色 4 6 5" xfId="2411"/>
    <cellStyle name="60% - 强调文字颜色 4 7" xfId="2412"/>
    <cellStyle name="60% - 强调文字颜色 4 7 2" xfId="2413"/>
    <cellStyle name="60% - 强调文字颜色 4 7 2 2" xfId="2414"/>
    <cellStyle name="60% - 强调文字颜色 4 7 2 2 2" xfId="2415"/>
    <cellStyle name="60% - 强调文字颜色 4 7 2 3" xfId="2416"/>
    <cellStyle name="60% - 强调文字颜色 4 7 3" xfId="2417"/>
    <cellStyle name="60% - 强调文字颜色 4 7 3 2" xfId="2418"/>
    <cellStyle name="60% - 强调文字颜色 4 7 4" xfId="2419"/>
    <cellStyle name="60% - 强调文字颜色 4 7 4 2" xfId="2420"/>
    <cellStyle name="60% - 强调文字颜色 4 7 5" xfId="2421"/>
    <cellStyle name="60% - 强调文字颜色 5 2" xfId="2422"/>
    <cellStyle name="60% - 强调文字颜色 5 2 2" xfId="2423"/>
    <cellStyle name="60% - 强调文字颜色 5 2 2 2" xfId="2424"/>
    <cellStyle name="60% - 强调文字颜色 5 2 2 2 2" xfId="2425"/>
    <cellStyle name="60% - 强调文字颜色 5 2 2 2 2 2" xfId="2426"/>
    <cellStyle name="60% - 强调文字颜色 5 2 2 2 3" xfId="2427"/>
    <cellStyle name="60% - 强调文字颜色 5 2 2 3" xfId="2428"/>
    <cellStyle name="60% - 强调文字颜色 5 2 2 3 2" xfId="2429"/>
    <cellStyle name="60% - 强调文字颜色 5 2 2 4" xfId="2430"/>
    <cellStyle name="60% - 强调文字颜色 5 2 2 4 2" xfId="2431"/>
    <cellStyle name="60% - 强调文字颜色 5 2 2 5" xfId="2432"/>
    <cellStyle name="60% - 强调文字颜色 5 2 2 6" xfId="8709"/>
    <cellStyle name="60% - 强调文字颜色 5 2 3" xfId="2433"/>
    <cellStyle name="60% - 强调文字颜色 5 2 3 2" xfId="2434"/>
    <cellStyle name="60% - 强调文字颜色 5 2 3 2 2" xfId="2435"/>
    <cellStyle name="60% - 强调文字颜色 5 2 3 3" xfId="2436"/>
    <cellStyle name="60% - 强调文字颜色 5 2 4" xfId="2437"/>
    <cellStyle name="60% - 强调文字颜色 5 2 4 2" xfId="2438"/>
    <cellStyle name="60% - 强调文字颜色 5 2 5" xfId="2439"/>
    <cellStyle name="60% - 强调文字颜色 5 2 5 2" xfId="2440"/>
    <cellStyle name="60% - 强调文字颜色 5 2 6" xfId="2441"/>
    <cellStyle name="60% - 强调文字颜色 5 2 7" xfId="8708"/>
    <cellStyle name="60% - 强调文字颜色 5 3" xfId="2442"/>
    <cellStyle name="60% - 强调文字颜色 5 3 2" xfId="2443"/>
    <cellStyle name="60% - 强调文字颜色 5 3 2 2" xfId="2444"/>
    <cellStyle name="60% - 强调文字颜色 5 3 2 2 2" xfId="2445"/>
    <cellStyle name="60% - 强调文字颜色 5 3 2 2 2 2" xfId="2446"/>
    <cellStyle name="60% - 强调文字颜色 5 3 2 2 3" xfId="2447"/>
    <cellStyle name="60% - 强调文字颜色 5 3 2 3" xfId="2448"/>
    <cellStyle name="60% - 强调文字颜色 5 3 2 3 2" xfId="2449"/>
    <cellStyle name="60% - 强调文字颜色 5 3 2 4" xfId="2450"/>
    <cellStyle name="60% - 强调文字颜色 5 3 2 4 2" xfId="2451"/>
    <cellStyle name="60% - 强调文字颜色 5 3 2 5" xfId="2452"/>
    <cellStyle name="60% - 强调文字颜色 5 3 2 6" xfId="8711"/>
    <cellStyle name="60% - 强调文字颜色 5 3 3" xfId="2453"/>
    <cellStyle name="60% - 强调文字颜色 5 3 3 2" xfId="2454"/>
    <cellStyle name="60% - 强调文字颜色 5 3 3 2 2" xfId="2455"/>
    <cellStyle name="60% - 强调文字颜色 5 3 3 3" xfId="2456"/>
    <cellStyle name="60% - 强调文字颜色 5 3 4" xfId="2457"/>
    <cellStyle name="60% - 强调文字颜色 5 3 4 2" xfId="2458"/>
    <cellStyle name="60% - 强调文字颜色 5 3 5" xfId="2459"/>
    <cellStyle name="60% - 强调文字颜色 5 3 5 2" xfId="2460"/>
    <cellStyle name="60% - 强调文字颜色 5 3 6" xfId="2461"/>
    <cellStyle name="60% - 强调文字颜色 5 3 7" xfId="8710"/>
    <cellStyle name="60% - 强调文字颜色 5 4" xfId="2462"/>
    <cellStyle name="60% - 强调文字颜色 5 4 2" xfId="2463"/>
    <cellStyle name="60% - 强调文字颜色 5 4 2 2" xfId="2464"/>
    <cellStyle name="60% - 强调文字颜色 5 4 2 2 2" xfId="2465"/>
    <cellStyle name="60% - 强调文字颜色 5 4 2 2 2 2" xfId="2466"/>
    <cellStyle name="60% - 强调文字颜色 5 4 2 2 3" xfId="2467"/>
    <cellStyle name="60% - 强调文字颜色 5 4 2 3" xfId="2468"/>
    <cellStyle name="60% - 强调文字颜色 5 4 2 3 2" xfId="2469"/>
    <cellStyle name="60% - 强调文字颜色 5 4 2 4" xfId="2470"/>
    <cellStyle name="60% - 强调文字颜色 5 4 2 4 2" xfId="2471"/>
    <cellStyle name="60% - 强调文字颜色 5 4 2 5" xfId="2472"/>
    <cellStyle name="60% - 强调文字颜色 5 4 2 6" xfId="8713"/>
    <cellStyle name="60% - 强调文字颜色 5 4 3" xfId="2473"/>
    <cellStyle name="60% - 强调文字颜色 5 4 3 2" xfId="2474"/>
    <cellStyle name="60% - 强调文字颜色 5 4 3 2 2" xfId="2475"/>
    <cellStyle name="60% - 强调文字颜色 5 4 3 3" xfId="2476"/>
    <cellStyle name="60% - 强调文字颜色 5 4 4" xfId="2477"/>
    <cellStyle name="60% - 强调文字颜色 5 4 4 2" xfId="2478"/>
    <cellStyle name="60% - 强调文字颜色 5 4 5" xfId="2479"/>
    <cellStyle name="60% - 强调文字颜色 5 4 5 2" xfId="2480"/>
    <cellStyle name="60% - 强调文字颜色 5 4 6" xfId="2481"/>
    <cellStyle name="60% - 强调文字颜色 5 4 7" xfId="8712"/>
    <cellStyle name="60% - 强调文字颜色 5 5" xfId="2482"/>
    <cellStyle name="60% - 强调文字颜色 5 5 2" xfId="2483"/>
    <cellStyle name="60% - 强调文字颜色 5 5 2 2" xfId="2484"/>
    <cellStyle name="60% - 强调文字颜色 5 5 2 2 2" xfId="2485"/>
    <cellStyle name="60% - 强调文字颜色 5 5 2 3" xfId="2486"/>
    <cellStyle name="60% - 强调文字颜色 5 5 3" xfId="2487"/>
    <cellStyle name="60% - 强调文字颜色 5 5 3 2" xfId="2488"/>
    <cellStyle name="60% - 强调文字颜色 5 5 4" xfId="2489"/>
    <cellStyle name="60% - 强调文字颜色 5 5 4 2" xfId="2490"/>
    <cellStyle name="60% - 强调文字颜色 5 5 5" xfId="2491"/>
    <cellStyle name="60% - 强调文字颜色 5 6" xfId="2492"/>
    <cellStyle name="60% - 强调文字颜色 5 6 2" xfId="2493"/>
    <cellStyle name="60% - 强调文字颜色 5 6 2 2" xfId="2494"/>
    <cellStyle name="60% - 强调文字颜色 5 6 2 2 2" xfId="2495"/>
    <cellStyle name="60% - 强调文字颜色 5 6 2 3" xfId="2496"/>
    <cellStyle name="60% - 强调文字颜色 5 6 3" xfId="2497"/>
    <cellStyle name="60% - 强调文字颜色 5 6 3 2" xfId="2498"/>
    <cellStyle name="60% - 强调文字颜色 5 6 4" xfId="2499"/>
    <cellStyle name="60% - 强调文字颜色 5 6 4 2" xfId="2500"/>
    <cellStyle name="60% - 强调文字颜色 5 6 5" xfId="2501"/>
    <cellStyle name="60% - 强调文字颜色 5 7" xfId="2502"/>
    <cellStyle name="60% - 强调文字颜色 5 7 2" xfId="2503"/>
    <cellStyle name="60% - 强调文字颜色 5 7 2 2" xfId="2504"/>
    <cellStyle name="60% - 强调文字颜色 5 7 2 2 2" xfId="2505"/>
    <cellStyle name="60% - 强调文字颜色 5 7 2 3" xfId="2506"/>
    <cellStyle name="60% - 强调文字颜色 5 7 3" xfId="2507"/>
    <cellStyle name="60% - 强调文字颜色 5 7 3 2" xfId="2508"/>
    <cellStyle name="60% - 强调文字颜色 5 7 4" xfId="2509"/>
    <cellStyle name="60% - 强调文字颜色 5 7 4 2" xfId="2510"/>
    <cellStyle name="60% - 强调文字颜色 5 7 5" xfId="2511"/>
    <cellStyle name="60% - 强调文字颜色 6 2" xfId="2512"/>
    <cellStyle name="60% - 强调文字颜色 6 2 2" xfId="2513"/>
    <cellStyle name="60% - 强调文字颜色 6 2 2 2" xfId="2514"/>
    <cellStyle name="60% - 强调文字颜色 6 2 2 2 2" xfId="2515"/>
    <cellStyle name="60% - 强调文字颜色 6 2 2 2 2 2" xfId="2516"/>
    <cellStyle name="60% - 强调文字颜色 6 2 2 2 3" xfId="2517"/>
    <cellStyle name="60% - 强调文字颜色 6 2 2 3" xfId="2518"/>
    <cellStyle name="60% - 强调文字颜色 6 2 2 3 2" xfId="2519"/>
    <cellStyle name="60% - 强调文字颜色 6 2 2 4" xfId="2520"/>
    <cellStyle name="60% - 强调文字颜色 6 2 2 4 2" xfId="2521"/>
    <cellStyle name="60% - 强调文字颜色 6 2 2 5" xfId="2522"/>
    <cellStyle name="60% - 强调文字颜色 6 2 2 6" xfId="8715"/>
    <cellStyle name="60% - 强调文字颜色 6 2 3" xfId="2523"/>
    <cellStyle name="60% - 强调文字颜色 6 2 3 2" xfId="2524"/>
    <cellStyle name="60% - 强调文字颜色 6 2 3 2 2" xfId="2525"/>
    <cellStyle name="60% - 强调文字颜色 6 2 3 3" xfId="2526"/>
    <cellStyle name="60% - 强调文字颜色 6 2 4" xfId="2527"/>
    <cellStyle name="60% - 强调文字颜色 6 2 4 2" xfId="2528"/>
    <cellStyle name="60% - 强调文字颜色 6 2 5" xfId="2529"/>
    <cellStyle name="60% - 强调文字颜色 6 2 5 2" xfId="2530"/>
    <cellStyle name="60% - 强调文字颜色 6 2 6" xfId="2531"/>
    <cellStyle name="60% - 强调文字颜色 6 2 7" xfId="8714"/>
    <cellStyle name="60% - 强调文字颜色 6 3" xfId="2532"/>
    <cellStyle name="60% - 强调文字颜色 6 3 2" xfId="2533"/>
    <cellStyle name="60% - 强调文字颜色 6 3 2 2" xfId="2534"/>
    <cellStyle name="60% - 强调文字颜色 6 3 2 2 2" xfId="2535"/>
    <cellStyle name="60% - 强调文字颜色 6 3 2 2 2 2" xfId="2536"/>
    <cellStyle name="60% - 强调文字颜色 6 3 2 2 3" xfId="2537"/>
    <cellStyle name="60% - 强调文字颜色 6 3 2 3" xfId="2538"/>
    <cellStyle name="60% - 强调文字颜色 6 3 2 3 2" xfId="2539"/>
    <cellStyle name="60% - 强调文字颜色 6 3 2 4" xfId="2540"/>
    <cellStyle name="60% - 强调文字颜色 6 3 2 4 2" xfId="2541"/>
    <cellStyle name="60% - 强调文字颜色 6 3 2 5" xfId="2542"/>
    <cellStyle name="60% - 强调文字颜色 6 3 2 6" xfId="8717"/>
    <cellStyle name="60% - 强调文字颜色 6 3 3" xfId="2543"/>
    <cellStyle name="60% - 强调文字颜色 6 3 3 2" xfId="2544"/>
    <cellStyle name="60% - 强调文字颜色 6 3 3 2 2" xfId="2545"/>
    <cellStyle name="60% - 强调文字颜色 6 3 3 3" xfId="2546"/>
    <cellStyle name="60% - 强调文字颜色 6 3 4" xfId="2547"/>
    <cellStyle name="60% - 强调文字颜色 6 3 4 2" xfId="2548"/>
    <cellStyle name="60% - 强调文字颜色 6 3 5" xfId="2549"/>
    <cellStyle name="60% - 强调文字颜色 6 3 5 2" xfId="2550"/>
    <cellStyle name="60% - 强调文字颜色 6 3 6" xfId="2551"/>
    <cellStyle name="60% - 强调文字颜色 6 3 7" xfId="8716"/>
    <cellStyle name="60% - 强调文字颜色 6 4" xfId="2552"/>
    <cellStyle name="60% - 强调文字颜色 6 4 2" xfId="2553"/>
    <cellStyle name="60% - 强调文字颜色 6 4 2 2" xfId="2554"/>
    <cellStyle name="60% - 强调文字颜色 6 4 2 2 2" xfId="2555"/>
    <cellStyle name="60% - 强调文字颜色 6 4 2 2 2 2" xfId="2556"/>
    <cellStyle name="60% - 强调文字颜色 6 4 2 2 3" xfId="2557"/>
    <cellStyle name="60% - 强调文字颜色 6 4 2 3" xfId="2558"/>
    <cellStyle name="60% - 强调文字颜色 6 4 2 3 2" xfId="2559"/>
    <cellStyle name="60% - 强调文字颜色 6 4 2 4" xfId="2560"/>
    <cellStyle name="60% - 强调文字颜色 6 4 2 4 2" xfId="2561"/>
    <cellStyle name="60% - 强调文字颜色 6 4 2 5" xfId="2562"/>
    <cellStyle name="60% - 强调文字颜色 6 4 2 6" xfId="8719"/>
    <cellStyle name="60% - 强调文字颜色 6 4 3" xfId="2563"/>
    <cellStyle name="60% - 强调文字颜色 6 4 3 2" xfId="2564"/>
    <cellStyle name="60% - 强调文字颜色 6 4 3 2 2" xfId="2565"/>
    <cellStyle name="60% - 强调文字颜色 6 4 3 3" xfId="2566"/>
    <cellStyle name="60% - 强调文字颜色 6 4 4" xfId="2567"/>
    <cellStyle name="60% - 强调文字颜色 6 4 4 2" xfId="2568"/>
    <cellStyle name="60% - 强调文字颜色 6 4 5" xfId="2569"/>
    <cellStyle name="60% - 强调文字颜色 6 4 5 2" xfId="2570"/>
    <cellStyle name="60% - 强调文字颜色 6 4 6" xfId="2571"/>
    <cellStyle name="60% - 强调文字颜色 6 4 7" xfId="8718"/>
    <cellStyle name="60% - 强调文字颜色 6 5" xfId="2572"/>
    <cellStyle name="60% - 强调文字颜色 6 5 2" xfId="2573"/>
    <cellStyle name="60% - 强调文字颜色 6 5 2 2" xfId="2574"/>
    <cellStyle name="60% - 强调文字颜色 6 5 2 2 2" xfId="2575"/>
    <cellStyle name="60% - 强调文字颜色 6 5 2 3" xfId="2576"/>
    <cellStyle name="60% - 强调文字颜色 6 5 3" xfId="2577"/>
    <cellStyle name="60% - 强调文字颜色 6 5 3 2" xfId="2578"/>
    <cellStyle name="60% - 强调文字颜色 6 5 4" xfId="2579"/>
    <cellStyle name="60% - 强调文字颜色 6 5 4 2" xfId="2580"/>
    <cellStyle name="60% - 强调文字颜色 6 5 5" xfId="2581"/>
    <cellStyle name="60% - 强调文字颜色 6 6" xfId="2582"/>
    <cellStyle name="60% - 强调文字颜色 6 6 2" xfId="2583"/>
    <cellStyle name="60% - 强调文字颜色 6 6 2 2" xfId="2584"/>
    <cellStyle name="60% - 强调文字颜色 6 6 2 2 2" xfId="2585"/>
    <cellStyle name="60% - 强调文字颜色 6 6 2 3" xfId="2586"/>
    <cellStyle name="60% - 强调文字颜色 6 6 3" xfId="2587"/>
    <cellStyle name="60% - 强调文字颜色 6 6 3 2" xfId="2588"/>
    <cellStyle name="60% - 强调文字颜色 6 6 4" xfId="2589"/>
    <cellStyle name="60% - 强调文字颜色 6 6 4 2" xfId="2590"/>
    <cellStyle name="60% - 强调文字颜色 6 6 5" xfId="2591"/>
    <cellStyle name="60% - 强调文字颜色 6 7" xfId="2592"/>
    <cellStyle name="60% - 强调文字颜色 6 7 2" xfId="2593"/>
    <cellStyle name="60% - 强调文字颜色 6 7 2 2" xfId="2594"/>
    <cellStyle name="60% - 强调文字颜色 6 7 2 2 2" xfId="2595"/>
    <cellStyle name="60% - 强调文字颜色 6 7 2 3" xfId="2596"/>
    <cellStyle name="60% - 强调文字颜色 6 7 3" xfId="2597"/>
    <cellStyle name="60% - 强调文字颜色 6 7 3 2" xfId="2598"/>
    <cellStyle name="60% - 强调文字颜色 6 7 4" xfId="2599"/>
    <cellStyle name="60% - 强调文字颜色 6 7 4 2" xfId="2600"/>
    <cellStyle name="60% - 强调文字颜色 6 7 5" xfId="2601"/>
    <cellStyle name="60% - 着色 1" xfId="2602"/>
    <cellStyle name="60% - 着色 1 2" xfId="2603"/>
    <cellStyle name="60% - 着色 1 2 2" xfId="2604"/>
    <cellStyle name="60% - 着色 1 2 2 2" xfId="2605"/>
    <cellStyle name="60% - 着色 1 2 2 2 2" xfId="2606"/>
    <cellStyle name="60% - 着色 1 2 2 2 2 2" xfId="2607"/>
    <cellStyle name="60% - 着色 1 2 2 2 3" xfId="2608"/>
    <cellStyle name="60% - 着色 1 2 2 3" xfId="2609"/>
    <cellStyle name="60% - 着色 1 2 2 3 2" xfId="2610"/>
    <cellStyle name="60% - 着色 1 2 2 4" xfId="2611"/>
    <cellStyle name="60% - 着色 1 2 2 4 2" xfId="2612"/>
    <cellStyle name="60% - 着色 1 2 2 5" xfId="2613"/>
    <cellStyle name="60% - 着色 1 2 3" xfId="2614"/>
    <cellStyle name="60% - 着色 1 2 3 2" xfId="2615"/>
    <cellStyle name="60% - 着色 1 2 3 2 2" xfId="2616"/>
    <cellStyle name="60% - 着色 1 2 3 3" xfId="2617"/>
    <cellStyle name="60% - 着色 1 2 4" xfId="2618"/>
    <cellStyle name="60% - 着色 1 2 4 2" xfId="2619"/>
    <cellStyle name="60% - 着色 1 2 5" xfId="2620"/>
    <cellStyle name="60% - 着色 1 2 5 2" xfId="2621"/>
    <cellStyle name="60% - 着色 1 2 6" xfId="2622"/>
    <cellStyle name="60% - 着色 1 3" xfId="2623"/>
    <cellStyle name="60% - 着色 1 3 2" xfId="2624"/>
    <cellStyle name="60% - 着色 1 3 2 2" xfId="2625"/>
    <cellStyle name="60% - 着色 1 3 2 2 2" xfId="2626"/>
    <cellStyle name="60% - 着色 1 3 2 3" xfId="2627"/>
    <cellStyle name="60% - 着色 1 3 3" xfId="2628"/>
    <cellStyle name="60% - 着色 1 3 3 2" xfId="2629"/>
    <cellStyle name="60% - 着色 1 3 4" xfId="2630"/>
    <cellStyle name="60% - 着色 1 3 4 2" xfId="2631"/>
    <cellStyle name="60% - 着色 1 3 5" xfId="2632"/>
    <cellStyle name="60% - 着色 1 4" xfId="2633"/>
    <cellStyle name="60% - 着色 1 4 2" xfId="2634"/>
    <cellStyle name="60% - 着色 1 4 2 2" xfId="2635"/>
    <cellStyle name="60% - 着色 1 4 2 2 2" xfId="2636"/>
    <cellStyle name="60% - 着色 1 4 2 3" xfId="2637"/>
    <cellStyle name="60% - 着色 1 4 3" xfId="2638"/>
    <cellStyle name="60% - 着色 1 4 3 2" xfId="2639"/>
    <cellStyle name="60% - 着色 1 4 4" xfId="2640"/>
    <cellStyle name="60% - 着色 1 4 4 2" xfId="2641"/>
    <cellStyle name="60% - 着色 1 4 5" xfId="2642"/>
    <cellStyle name="60% - 着色 1 5" xfId="2643"/>
    <cellStyle name="60% - 着色 1 5 2" xfId="2644"/>
    <cellStyle name="60% - 着色 1 5 2 2" xfId="2645"/>
    <cellStyle name="60% - 着色 1 5 3" xfId="2646"/>
    <cellStyle name="60% - 着色 1 6" xfId="2647"/>
    <cellStyle name="60% - 着色 1 6 2" xfId="2648"/>
    <cellStyle name="60% - 着色 1 7" xfId="2649"/>
    <cellStyle name="60% - 着色 1 7 2" xfId="2650"/>
    <cellStyle name="60% - 着色 1 8" xfId="2651"/>
    <cellStyle name="60% - 着色 1 8 2" xfId="2652"/>
    <cellStyle name="60% - 着色 1 9" xfId="2653"/>
    <cellStyle name="60% - 着色 2" xfId="2654"/>
    <cellStyle name="60% - 着色 2 2" xfId="2655"/>
    <cellStyle name="60% - 着色 2 2 2" xfId="2656"/>
    <cellStyle name="60% - 着色 2 2 2 2" xfId="2657"/>
    <cellStyle name="60% - 着色 2 2 2 2 2" xfId="2658"/>
    <cellStyle name="60% - 着色 2 2 2 2 2 2" xfId="2659"/>
    <cellStyle name="60% - 着色 2 2 2 2 3" xfId="2660"/>
    <cellStyle name="60% - 着色 2 2 2 3" xfId="2661"/>
    <cellStyle name="60% - 着色 2 2 2 3 2" xfId="2662"/>
    <cellStyle name="60% - 着色 2 2 2 4" xfId="2663"/>
    <cellStyle name="60% - 着色 2 2 2 4 2" xfId="2664"/>
    <cellStyle name="60% - 着色 2 2 2 5" xfId="2665"/>
    <cellStyle name="60% - 着色 2 2 3" xfId="2666"/>
    <cellStyle name="60% - 着色 2 2 3 2" xfId="2667"/>
    <cellStyle name="60% - 着色 2 2 3 2 2" xfId="2668"/>
    <cellStyle name="60% - 着色 2 2 3 3" xfId="2669"/>
    <cellStyle name="60% - 着色 2 2 4" xfId="2670"/>
    <cellStyle name="60% - 着色 2 2 4 2" xfId="2671"/>
    <cellStyle name="60% - 着色 2 2 5" xfId="2672"/>
    <cellStyle name="60% - 着色 2 2 5 2" xfId="2673"/>
    <cellStyle name="60% - 着色 2 2 6" xfId="2674"/>
    <cellStyle name="60% - 着色 2 3" xfId="2675"/>
    <cellStyle name="60% - 着色 2 3 2" xfId="2676"/>
    <cellStyle name="60% - 着色 2 3 2 2" xfId="2677"/>
    <cellStyle name="60% - 着色 2 3 2 2 2" xfId="2678"/>
    <cellStyle name="60% - 着色 2 3 2 3" xfId="2679"/>
    <cellStyle name="60% - 着色 2 3 3" xfId="2680"/>
    <cellStyle name="60% - 着色 2 3 3 2" xfId="2681"/>
    <cellStyle name="60% - 着色 2 3 4" xfId="2682"/>
    <cellStyle name="60% - 着色 2 3 4 2" xfId="2683"/>
    <cellStyle name="60% - 着色 2 3 5" xfId="2684"/>
    <cellStyle name="60% - 着色 2 4" xfId="2685"/>
    <cellStyle name="60% - 着色 2 4 2" xfId="2686"/>
    <cellStyle name="60% - 着色 2 4 2 2" xfId="2687"/>
    <cellStyle name="60% - 着色 2 4 2 2 2" xfId="2688"/>
    <cellStyle name="60% - 着色 2 4 2 3" xfId="2689"/>
    <cellStyle name="60% - 着色 2 4 3" xfId="2690"/>
    <cellStyle name="60% - 着色 2 4 3 2" xfId="2691"/>
    <cellStyle name="60% - 着色 2 4 4" xfId="2692"/>
    <cellStyle name="60% - 着色 2 4 4 2" xfId="2693"/>
    <cellStyle name="60% - 着色 2 4 5" xfId="2694"/>
    <cellStyle name="60% - 着色 2 5" xfId="2695"/>
    <cellStyle name="60% - 着色 2 5 2" xfId="2696"/>
    <cellStyle name="60% - 着色 2 5 2 2" xfId="2697"/>
    <cellStyle name="60% - 着色 2 5 3" xfId="2698"/>
    <cellStyle name="60% - 着色 2 6" xfId="2699"/>
    <cellStyle name="60% - 着色 2 6 2" xfId="2700"/>
    <cellStyle name="60% - 着色 2 7" xfId="2701"/>
    <cellStyle name="60% - 着色 2 7 2" xfId="2702"/>
    <cellStyle name="60% - 着色 2 8" xfId="2703"/>
    <cellStyle name="60% - 着色 2 8 2" xfId="2704"/>
    <cellStyle name="60% - 着色 2 9" xfId="2705"/>
    <cellStyle name="60% - 着色 3" xfId="2706"/>
    <cellStyle name="60% - 着色 3 2" xfId="2707"/>
    <cellStyle name="60% - 着色 3 2 2" xfId="2708"/>
    <cellStyle name="60% - 着色 3 2 2 2" xfId="2709"/>
    <cellStyle name="60% - 着色 3 2 2 2 2" xfId="2710"/>
    <cellStyle name="60% - 着色 3 2 2 2 2 2" xfId="2711"/>
    <cellStyle name="60% - 着色 3 2 2 2 3" xfId="2712"/>
    <cellStyle name="60% - 着色 3 2 2 3" xfId="2713"/>
    <cellStyle name="60% - 着色 3 2 2 3 2" xfId="2714"/>
    <cellStyle name="60% - 着色 3 2 2 4" xfId="2715"/>
    <cellStyle name="60% - 着色 3 2 2 4 2" xfId="2716"/>
    <cellStyle name="60% - 着色 3 2 2 5" xfId="2717"/>
    <cellStyle name="60% - 着色 3 2 3" xfId="2718"/>
    <cellStyle name="60% - 着色 3 2 3 2" xfId="2719"/>
    <cellStyle name="60% - 着色 3 2 3 2 2" xfId="2720"/>
    <cellStyle name="60% - 着色 3 2 3 3" xfId="2721"/>
    <cellStyle name="60% - 着色 3 2 4" xfId="2722"/>
    <cellStyle name="60% - 着色 3 2 4 2" xfId="2723"/>
    <cellStyle name="60% - 着色 3 2 5" xfId="2724"/>
    <cellStyle name="60% - 着色 3 2 5 2" xfId="2725"/>
    <cellStyle name="60% - 着色 3 2 6" xfId="2726"/>
    <cellStyle name="60% - 着色 3 3" xfId="2727"/>
    <cellStyle name="60% - 着色 3 3 2" xfId="2728"/>
    <cellStyle name="60% - 着色 3 3 2 2" xfId="2729"/>
    <cellStyle name="60% - 着色 3 3 2 2 2" xfId="2730"/>
    <cellStyle name="60% - 着色 3 3 2 3" xfId="2731"/>
    <cellStyle name="60% - 着色 3 3 3" xfId="2732"/>
    <cellStyle name="60% - 着色 3 3 3 2" xfId="2733"/>
    <cellStyle name="60% - 着色 3 3 4" xfId="2734"/>
    <cellStyle name="60% - 着色 3 3 4 2" xfId="2735"/>
    <cellStyle name="60% - 着色 3 3 5" xfId="2736"/>
    <cellStyle name="60% - 着色 3 4" xfId="2737"/>
    <cellStyle name="60% - 着色 3 4 2" xfId="2738"/>
    <cellStyle name="60% - 着色 3 4 2 2" xfId="2739"/>
    <cellStyle name="60% - 着色 3 4 2 2 2" xfId="2740"/>
    <cellStyle name="60% - 着色 3 4 2 3" xfId="2741"/>
    <cellStyle name="60% - 着色 3 4 3" xfId="2742"/>
    <cellStyle name="60% - 着色 3 4 3 2" xfId="2743"/>
    <cellStyle name="60% - 着色 3 4 4" xfId="2744"/>
    <cellStyle name="60% - 着色 3 4 4 2" xfId="2745"/>
    <cellStyle name="60% - 着色 3 4 5" xfId="2746"/>
    <cellStyle name="60% - 着色 3 5" xfId="2747"/>
    <cellStyle name="60% - 着色 3 5 2" xfId="2748"/>
    <cellStyle name="60% - 着色 3 5 2 2" xfId="2749"/>
    <cellStyle name="60% - 着色 3 5 3" xfId="2750"/>
    <cellStyle name="60% - 着色 3 6" xfId="2751"/>
    <cellStyle name="60% - 着色 3 6 2" xfId="2752"/>
    <cellStyle name="60% - 着色 3 7" xfId="2753"/>
    <cellStyle name="60% - 着色 3 7 2" xfId="2754"/>
    <cellStyle name="60% - 着色 3 8" xfId="2755"/>
    <cellStyle name="60% - 着色 3 8 2" xfId="2756"/>
    <cellStyle name="60% - 着色 3 9" xfId="2757"/>
    <cellStyle name="60% - 着色 4" xfId="2758"/>
    <cellStyle name="60% - 着色 4 2" xfId="2759"/>
    <cellStyle name="60% - 着色 4 2 2" xfId="2760"/>
    <cellStyle name="60% - 着色 4 2 2 2" xfId="2761"/>
    <cellStyle name="60% - 着色 4 2 2 2 2" xfId="2762"/>
    <cellStyle name="60% - 着色 4 2 2 2 2 2" xfId="2763"/>
    <cellStyle name="60% - 着色 4 2 2 2 3" xfId="2764"/>
    <cellStyle name="60% - 着色 4 2 2 3" xfId="2765"/>
    <cellStyle name="60% - 着色 4 2 2 3 2" xfId="2766"/>
    <cellStyle name="60% - 着色 4 2 2 4" xfId="2767"/>
    <cellStyle name="60% - 着色 4 2 2 4 2" xfId="2768"/>
    <cellStyle name="60% - 着色 4 2 2 5" xfId="2769"/>
    <cellStyle name="60% - 着色 4 2 3" xfId="2770"/>
    <cellStyle name="60% - 着色 4 2 3 2" xfId="2771"/>
    <cellStyle name="60% - 着色 4 2 3 2 2" xfId="2772"/>
    <cellStyle name="60% - 着色 4 2 3 3" xfId="2773"/>
    <cellStyle name="60% - 着色 4 2 4" xfId="2774"/>
    <cellStyle name="60% - 着色 4 2 4 2" xfId="2775"/>
    <cellStyle name="60% - 着色 4 2 5" xfId="2776"/>
    <cellStyle name="60% - 着色 4 2 5 2" xfId="2777"/>
    <cellStyle name="60% - 着色 4 2 6" xfId="2778"/>
    <cellStyle name="60% - 着色 4 3" xfId="2779"/>
    <cellStyle name="60% - 着色 4 3 2" xfId="2780"/>
    <cellStyle name="60% - 着色 4 3 2 2" xfId="2781"/>
    <cellStyle name="60% - 着色 4 3 2 2 2" xfId="2782"/>
    <cellStyle name="60% - 着色 4 3 2 3" xfId="2783"/>
    <cellStyle name="60% - 着色 4 3 3" xfId="2784"/>
    <cellStyle name="60% - 着色 4 3 3 2" xfId="2785"/>
    <cellStyle name="60% - 着色 4 3 4" xfId="2786"/>
    <cellStyle name="60% - 着色 4 3 4 2" xfId="2787"/>
    <cellStyle name="60% - 着色 4 3 5" xfId="2788"/>
    <cellStyle name="60% - 着色 4 4" xfId="2789"/>
    <cellStyle name="60% - 着色 4 4 2" xfId="2790"/>
    <cellStyle name="60% - 着色 4 4 2 2" xfId="2791"/>
    <cellStyle name="60% - 着色 4 4 2 2 2" xfId="2792"/>
    <cellStyle name="60% - 着色 4 4 2 3" xfId="2793"/>
    <cellStyle name="60% - 着色 4 4 3" xfId="2794"/>
    <cellStyle name="60% - 着色 4 4 3 2" xfId="2795"/>
    <cellStyle name="60% - 着色 4 4 4" xfId="2796"/>
    <cellStyle name="60% - 着色 4 4 4 2" xfId="2797"/>
    <cellStyle name="60% - 着色 4 4 5" xfId="2798"/>
    <cellStyle name="60% - 着色 4 5" xfId="2799"/>
    <cellStyle name="60% - 着色 4 5 2" xfId="2800"/>
    <cellStyle name="60% - 着色 4 5 2 2" xfId="2801"/>
    <cellStyle name="60% - 着色 4 5 3" xfId="2802"/>
    <cellStyle name="60% - 着色 4 6" xfId="2803"/>
    <cellStyle name="60% - 着色 4 6 2" xfId="2804"/>
    <cellStyle name="60% - 着色 4 7" xfId="2805"/>
    <cellStyle name="60% - 着色 4 7 2" xfId="2806"/>
    <cellStyle name="60% - 着色 4 8" xfId="2807"/>
    <cellStyle name="60% - 着色 4 8 2" xfId="2808"/>
    <cellStyle name="60% - 着色 4 9" xfId="2809"/>
    <cellStyle name="60% - 着色 5" xfId="2810"/>
    <cellStyle name="60% - 着色 5 2" xfId="2811"/>
    <cellStyle name="60% - 着色 5 2 2" xfId="2812"/>
    <cellStyle name="60% - 着色 5 2 2 2" xfId="2813"/>
    <cellStyle name="60% - 着色 5 2 2 2 2" xfId="2814"/>
    <cellStyle name="60% - 着色 5 2 2 2 2 2" xfId="2815"/>
    <cellStyle name="60% - 着色 5 2 2 2 3" xfId="2816"/>
    <cellStyle name="60% - 着色 5 2 2 3" xfId="2817"/>
    <cellStyle name="60% - 着色 5 2 2 3 2" xfId="2818"/>
    <cellStyle name="60% - 着色 5 2 2 4" xfId="2819"/>
    <cellStyle name="60% - 着色 5 2 2 4 2" xfId="2820"/>
    <cellStyle name="60% - 着色 5 2 2 5" xfId="2821"/>
    <cellStyle name="60% - 着色 5 2 3" xfId="2822"/>
    <cellStyle name="60% - 着色 5 2 3 2" xfId="2823"/>
    <cellStyle name="60% - 着色 5 2 3 2 2" xfId="2824"/>
    <cellStyle name="60% - 着色 5 2 3 3" xfId="2825"/>
    <cellStyle name="60% - 着色 5 2 4" xfId="2826"/>
    <cellStyle name="60% - 着色 5 2 4 2" xfId="2827"/>
    <cellStyle name="60% - 着色 5 2 5" xfId="2828"/>
    <cellStyle name="60% - 着色 5 2 5 2" xfId="2829"/>
    <cellStyle name="60% - 着色 5 2 6" xfId="2830"/>
    <cellStyle name="60% - 着色 5 3" xfId="2831"/>
    <cellStyle name="60% - 着色 5 3 2" xfId="2832"/>
    <cellStyle name="60% - 着色 5 3 2 2" xfId="2833"/>
    <cellStyle name="60% - 着色 5 3 2 2 2" xfId="2834"/>
    <cellStyle name="60% - 着色 5 3 2 3" xfId="2835"/>
    <cellStyle name="60% - 着色 5 3 3" xfId="2836"/>
    <cellStyle name="60% - 着色 5 3 3 2" xfId="2837"/>
    <cellStyle name="60% - 着色 5 3 4" xfId="2838"/>
    <cellStyle name="60% - 着色 5 3 4 2" xfId="2839"/>
    <cellStyle name="60% - 着色 5 3 5" xfId="2840"/>
    <cellStyle name="60% - 着色 5 4" xfId="2841"/>
    <cellStyle name="60% - 着色 5 4 2" xfId="2842"/>
    <cellStyle name="60% - 着色 5 4 2 2" xfId="2843"/>
    <cellStyle name="60% - 着色 5 4 2 2 2" xfId="2844"/>
    <cellStyle name="60% - 着色 5 4 2 3" xfId="2845"/>
    <cellStyle name="60% - 着色 5 4 3" xfId="2846"/>
    <cellStyle name="60% - 着色 5 4 3 2" xfId="2847"/>
    <cellStyle name="60% - 着色 5 4 4" xfId="2848"/>
    <cellStyle name="60% - 着色 5 4 4 2" xfId="2849"/>
    <cellStyle name="60% - 着色 5 4 5" xfId="2850"/>
    <cellStyle name="60% - 着色 5 5" xfId="2851"/>
    <cellStyle name="60% - 着色 5 5 2" xfId="2852"/>
    <cellStyle name="60% - 着色 5 5 2 2" xfId="2853"/>
    <cellStyle name="60% - 着色 5 5 3" xfId="2854"/>
    <cellStyle name="60% - 着色 5 6" xfId="2855"/>
    <cellStyle name="60% - 着色 5 6 2" xfId="2856"/>
    <cellStyle name="60% - 着色 5 7" xfId="2857"/>
    <cellStyle name="60% - 着色 5 7 2" xfId="2858"/>
    <cellStyle name="60% - 着色 5 8" xfId="2859"/>
    <cellStyle name="60% - 着色 5 8 2" xfId="2860"/>
    <cellStyle name="60% - 着色 5 9" xfId="2861"/>
    <cellStyle name="60% - 着色 6" xfId="2862"/>
    <cellStyle name="60% - 着色 6 2" xfId="2863"/>
    <cellStyle name="60% - 着色 6 2 2" xfId="2864"/>
    <cellStyle name="60% - 着色 6 2 2 2" xfId="2865"/>
    <cellStyle name="60% - 着色 6 2 2 2 2" xfId="2866"/>
    <cellStyle name="60% - 着色 6 2 2 2 2 2" xfId="2867"/>
    <cellStyle name="60% - 着色 6 2 2 2 3" xfId="2868"/>
    <cellStyle name="60% - 着色 6 2 2 3" xfId="2869"/>
    <cellStyle name="60% - 着色 6 2 2 3 2" xfId="2870"/>
    <cellStyle name="60% - 着色 6 2 2 4" xfId="2871"/>
    <cellStyle name="60% - 着色 6 2 2 4 2" xfId="2872"/>
    <cellStyle name="60% - 着色 6 2 2 5" xfId="2873"/>
    <cellStyle name="60% - 着色 6 2 3" xfId="2874"/>
    <cellStyle name="60% - 着色 6 2 3 2" xfId="2875"/>
    <cellStyle name="60% - 着色 6 2 3 2 2" xfId="2876"/>
    <cellStyle name="60% - 着色 6 2 3 3" xfId="2877"/>
    <cellStyle name="60% - 着色 6 2 4" xfId="2878"/>
    <cellStyle name="60% - 着色 6 2 4 2" xfId="2879"/>
    <cellStyle name="60% - 着色 6 2 5" xfId="2880"/>
    <cellStyle name="60% - 着色 6 2 5 2" xfId="2881"/>
    <cellStyle name="60% - 着色 6 2 6" xfId="2882"/>
    <cellStyle name="60% - 着色 6 3" xfId="2883"/>
    <cellStyle name="60% - 着色 6 3 2" xfId="2884"/>
    <cellStyle name="60% - 着色 6 3 2 2" xfId="2885"/>
    <cellStyle name="60% - 着色 6 3 2 2 2" xfId="2886"/>
    <cellStyle name="60% - 着色 6 3 2 3" xfId="2887"/>
    <cellStyle name="60% - 着色 6 3 3" xfId="2888"/>
    <cellStyle name="60% - 着色 6 3 3 2" xfId="2889"/>
    <cellStyle name="60% - 着色 6 3 4" xfId="2890"/>
    <cellStyle name="60% - 着色 6 3 4 2" xfId="2891"/>
    <cellStyle name="60% - 着色 6 3 5" xfId="2892"/>
    <cellStyle name="60% - 着色 6 4" xfId="2893"/>
    <cellStyle name="60% - 着色 6 4 2" xfId="2894"/>
    <cellStyle name="60% - 着色 6 4 2 2" xfId="2895"/>
    <cellStyle name="60% - 着色 6 4 2 2 2" xfId="2896"/>
    <cellStyle name="60% - 着色 6 4 2 3" xfId="2897"/>
    <cellStyle name="60% - 着色 6 4 3" xfId="2898"/>
    <cellStyle name="60% - 着色 6 4 3 2" xfId="2899"/>
    <cellStyle name="60% - 着色 6 4 4" xfId="2900"/>
    <cellStyle name="60% - 着色 6 4 4 2" xfId="2901"/>
    <cellStyle name="60% - 着色 6 4 5" xfId="2902"/>
    <cellStyle name="60% - 着色 6 5" xfId="2903"/>
    <cellStyle name="60% - 着色 6 5 2" xfId="2904"/>
    <cellStyle name="60% - 着色 6 5 2 2" xfId="2905"/>
    <cellStyle name="60% - 着色 6 5 3" xfId="2906"/>
    <cellStyle name="60% - 着色 6 6" xfId="2907"/>
    <cellStyle name="60% - 着色 6 6 2" xfId="2908"/>
    <cellStyle name="60% - 着色 6 7" xfId="2909"/>
    <cellStyle name="60% - 着色 6 7 2" xfId="2910"/>
    <cellStyle name="60% - 着色 6 8" xfId="2911"/>
    <cellStyle name="60% - 着色 6 8 2" xfId="2912"/>
    <cellStyle name="60% - 着色 6 9" xfId="2913"/>
    <cellStyle name="Normal" xfId="8911"/>
    <cellStyle name="Normal 2" xfId="8963"/>
    <cellStyle name="RowLevel_1" xfId="2914"/>
    <cellStyle name="百分比" xfId="17" builtinId="5"/>
    <cellStyle name="百分比 2" xfId="2915"/>
    <cellStyle name="百分比 2 10" xfId="2916"/>
    <cellStyle name="百分比 2 10 2" xfId="2917"/>
    <cellStyle name="百分比 2 11" xfId="2918"/>
    <cellStyle name="百分比 2 2" xfId="2919"/>
    <cellStyle name="百分比 2 2 2" xfId="2920"/>
    <cellStyle name="百分比 2 2 2 2" xfId="2921"/>
    <cellStyle name="百分比 2 2 2 2 2" xfId="2922"/>
    <cellStyle name="百分比 2 2 2 2 2 2" xfId="2923"/>
    <cellStyle name="百分比 2 2 2 2 3" xfId="2924"/>
    <cellStyle name="百分比 2 2 2 3" xfId="2925"/>
    <cellStyle name="百分比 2 2 2 3 2" xfId="2926"/>
    <cellStyle name="百分比 2 2 2 4" xfId="2927"/>
    <cellStyle name="百分比 2 2 2 4 2" xfId="2928"/>
    <cellStyle name="百分比 2 2 2 5" xfId="2929"/>
    <cellStyle name="百分比 2 2 2 6" xfId="9185"/>
    <cellStyle name="百分比 2 2 3" xfId="2930"/>
    <cellStyle name="百分比 2 2 3 2" xfId="2931"/>
    <cellStyle name="百分比 2 2 3 2 2" xfId="2932"/>
    <cellStyle name="百分比 2 2 3 3" xfId="2933"/>
    <cellStyle name="百分比 2 2 4" xfId="2934"/>
    <cellStyle name="百分比 2 2 4 2" xfId="2935"/>
    <cellStyle name="百分比 2 2 5" xfId="2936"/>
    <cellStyle name="百分比 2 2 5 2" xfId="2937"/>
    <cellStyle name="百分比 2 2 6" xfId="2938"/>
    <cellStyle name="百分比 2 3" xfId="2939"/>
    <cellStyle name="百分比 2 3 2" xfId="2940"/>
    <cellStyle name="百分比 2 3 2 2" xfId="2941"/>
    <cellStyle name="百分比 2 3 2 2 2" xfId="2942"/>
    <cellStyle name="百分比 2 3 2 3" xfId="2943"/>
    <cellStyle name="百分比 2 3 3" xfId="2944"/>
    <cellStyle name="百分比 2 3 3 2" xfId="2945"/>
    <cellStyle name="百分比 2 3 4" xfId="2946"/>
    <cellStyle name="百分比 2 3 4 2" xfId="2947"/>
    <cellStyle name="百分比 2 3 5" xfId="2948"/>
    <cellStyle name="百分比 2 3 6" xfId="9183"/>
    <cellStyle name="百分比 2 4" xfId="2949"/>
    <cellStyle name="百分比 2 4 2" xfId="2950"/>
    <cellStyle name="百分比 2 4 2 2" xfId="2951"/>
    <cellStyle name="百分比 2 4 2 2 2" xfId="2952"/>
    <cellStyle name="百分比 2 4 2 3" xfId="2953"/>
    <cellStyle name="百分比 2 4 3" xfId="2954"/>
    <cellStyle name="百分比 2 4 3 2" xfId="2955"/>
    <cellStyle name="百分比 2 4 4" xfId="2956"/>
    <cellStyle name="百分比 2 4 4 2" xfId="2957"/>
    <cellStyle name="百分比 2 4 5" xfId="2958"/>
    <cellStyle name="百分比 2 5" xfId="2959"/>
    <cellStyle name="百分比 2 5 2" xfId="2960"/>
    <cellStyle name="百分比 2 5 2 2" xfId="2961"/>
    <cellStyle name="百分比 2 5 2 2 2" xfId="2962"/>
    <cellStyle name="百分比 2 5 2 3" xfId="2963"/>
    <cellStyle name="百分比 2 5 2 4" xfId="2964"/>
    <cellStyle name="百分比 2 5 3" xfId="2965"/>
    <cellStyle name="百分比 2 5 3 2" xfId="2966"/>
    <cellStyle name="百分比 2 5 4" xfId="2967"/>
    <cellStyle name="百分比 2 5 4 2" xfId="2968"/>
    <cellStyle name="百分比 2 5 5" xfId="2969"/>
    <cellStyle name="百分比 2 5 6" xfId="2970"/>
    <cellStyle name="百分比 2 6" xfId="2971"/>
    <cellStyle name="百分比 2 6 2" xfId="2972"/>
    <cellStyle name="百分比 2 6 2 2" xfId="2973"/>
    <cellStyle name="百分比 2 6 2 2 2" xfId="2974"/>
    <cellStyle name="百分比 2 6 2 3" xfId="2975"/>
    <cellStyle name="百分比 2 6 3" xfId="2976"/>
    <cellStyle name="百分比 2 6 3 2" xfId="2977"/>
    <cellStyle name="百分比 2 6 4" xfId="2978"/>
    <cellStyle name="百分比 2 6 4 2" xfId="2979"/>
    <cellStyle name="百分比 2 6 5" xfId="2980"/>
    <cellStyle name="百分比 2 7" xfId="2981"/>
    <cellStyle name="百分比 2 7 2" xfId="2982"/>
    <cellStyle name="百分比 2 7 2 2" xfId="2983"/>
    <cellStyle name="百分比 2 7 3" xfId="2984"/>
    <cellStyle name="百分比 2 8" xfId="2985"/>
    <cellStyle name="百分比 2 8 2" xfId="2986"/>
    <cellStyle name="百分比 2 9" xfId="2987"/>
    <cellStyle name="百分比 2 9 2" xfId="2988"/>
    <cellStyle name="百分比 3" xfId="2989"/>
    <cellStyle name="百分比 3 10" xfId="2990"/>
    <cellStyle name="百分比 3 11" xfId="9169"/>
    <cellStyle name="百分比 3 2" xfId="2991"/>
    <cellStyle name="百分比 3 2 2" xfId="2992"/>
    <cellStyle name="百分比 3 2 2 2" xfId="2993"/>
    <cellStyle name="百分比 3 2 2 2 2" xfId="2994"/>
    <cellStyle name="百分比 3 2 2 2 2 2" xfId="2995"/>
    <cellStyle name="百分比 3 2 2 2 3" xfId="2996"/>
    <cellStyle name="百分比 3 2 2 3" xfId="2997"/>
    <cellStyle name="百分比 3 2 2 3 2" xfId="2998"/>
    <cellStyle name="百分比 3 2 2 4" xfId="2999"/>
    <cellStyle name="百分比 3 2 2 4 2" xfId="3000"/>
    <cellStyle name="百分比 3 2 2 5" xfId="3001"/>
    <cellStyle name="百分比 3 2 3" xfId="3002"/>
    <cellStyle name="百分比 3 2 3 2" xfId="3003"/>
    <cellStyle name="百分比 3 2 3 2 2" xfId="3004"/>
    <cellStyle name="百分比 3 2 3 3" xfId="3005"/>
    <cellStyle name="百分比 3 2 4" xfId="3006"/>
    <cellStyle name="百分比 3 2 4 2" xfId="3007"/>
    <cellStyle name="百分比 3 2 5" xfId="3008"/>
    <cellStyle name="百分比 3 2 5 2" xfId="3009"/>
    <cellStyle name="百分比 3 2 6" xfId="3010"/>
    <cellStyle name="百分比 3 2 7" xfId="9181"/>
    <cellStyle name="百分比 3 3" xfId="3011"/>
    <cellStyle name="百分比 3 3 2" xfId="3012"/>
    <cellStyle name="百分比 3 3 2 2" xfId="3013"/>
    <cellStyle name="百分比 3 3 2 2 2" xfId="3014"/>
    <cellStyle name="百分比 3 3 2 3" xfId="3015"/>
    <cellStyle name="百分比 3 3 3" xfId="3016"/>
    <cellStyle name="百分比 3 3 3 2" xfId="3017"/>
    <cellStyle name="百分比 3 3 4" xfId="3018"/>
    <cellStyle name="百分比 3 3 4 2" xfId="3019"/>
    <cellStyle name="百分比 3 3 5" xfId="3020"/>
    <cellStyle name="百分比 3 4" xfId="3021"/>
    <cellStyle name="百分比 3 4 2" xfId="3022"/>
    <cellStyle name="百分比 3 4 2 2" xfId="3023"/>
    <cellStyle name="百分比 3 4 2 2 2" xfId="3024"/>
    <cellStyle name="百分比 3 4 2 3" xfId="3025"/>
    <cellStyle name="百分比 3 4 3" xfId="3026"/>
    <cellStyle name="百分比 3 4 3 2" xfId="3027"/>
    <cellStyle name="百分比 3 4 4" xfId="3028"/>
    <cellStyle name="百分比 3 4 4 2" xfId="3029"/>
    <cellStyle name="百分比 3 4 5" xfId="3030"/>
    <cellStyle name="百分比 3 5" xfId="3031"/>
    <cellStyle name="百分比 3 5 2" xfId="3032"/>
    <cellStyle name="百分比 3 5 2 2" xfId="3033"/>
    <cellStyle name="百分比 3 5 2 2 2" xfId="3034"/>
    <cellStyle name="百分比 3 5 2 3" xfId="3035"/>
    <cellStyle name="百分比 3 5 3" xfId="3036"/>
    <cellStyle name="百分比 3 5 3 2" xfId="3037"/>
    <cellStyle name="百分比 3 5 4" xfId="3038"/>
    <cellStyle name="百分比 3 5 4 2" xfId="3039"/>
    <cellStyle name="百分比 3 5 5" xfId="3040"/>
    <cellStyle name="百分比 3 6" xfId="3041"/>
    <cellStyle name="百分比 3 6 2" xfId="3042"/>
    <cellStyle name="百分比 3 6 2 2" xfId="3043"/>
    <cellStyle name="百分比 3 6 3" xfId="3044"/>
    <cellStyle name="百分比 3 7" xfId="3045"/>
    <cellStyle name="百分比 3 7 2" xfId="3046"/>
    <cellStyle name="百分比 3 8" xfId="3047"/>
    <cellStyle name="百分比 3 8 2" xfId="3048"/>
    <cellStyle name="百分比 3 9" xfId="3049"/>
    <cellStyle name="百分比 3 9 2" xfId="3050"/>
    <cellStyle name="百分比 4" xfId="3051"/>
    <cellStyle name="百分比 4 2" xfId="3052"/>
    <cellStyle name="百分比 4 2 2" xfId="3053"/>
    <cellStyle name="百分比 4 2 2 2" xfId="3054"/>
    <cellStyle name="百分比 4 2 2 2 2" xfId="3055"/>
    <cellStyle name="百分比 4 2 2 3" xfId="3056"/>
    <cellStyle name="百分比 4 2 3" xfId="3057"/>
    <cellStyle name="百分比 4 2 3 2" xfId="3058"/>
    <cellStyle name="百分比 4 2 4" xfId="3059"/>
    <cellStyle name="百分比 4 2 4 2" xfId="3060"/>
    <cellStyle name="百分比 4 2 5" xfId="3061"/>
    <cellStyle name="百分比 4 3" xfId="3062"/>
    <cellStyle name="百分比 4 3 2" xfId="3063"/>
    <cellStyle name="百分比 4 3 2 2" xfId="3064"/>
    <cellStyle name="百分比 4 3 3" xfId="3065"/>
    <cellStyle name="百分比 4 4" xfId="3066"/>
    <cellStyle name="百分比 4 4 2" xfId="3067"/>
    <cellStyle name="百分比 4 5" xfId="3068"/>
    <cellStyle name="百分比 4 5 2" xfId="3069"/>
    <cellStyle name="百分比 4 6" xfId="3070"/>
    <cellStyle name="百分比 5" xfId="3071"/>
    <cellStyle name="百分比 5 2" xfId="3072"/>
    <cellStyle name="百分比 5 2 2" xfId="3073"/>
    <cellStyle name="百分比 5 2 2 2" xfId="3074"/>
    <cellStyle name="百分比 5 2 2 2 2" xfId="3075"/>
    <cellStyle name="百分比 5 2 2 3" xfId="3076"/>
    <cellStyle name="百分比 5 2 3" xfId="3077"/>
    <cellStyle name="百分比 5 2 3 2" xfId="3078"/>
    <cellStyle name="百分比 5 2 4" xfId="3079"/>
    <cellStyle name="百分比 5 2 4 2" xfId="3080"/>
    <cellStyle name="百分比 5 2 5" xfId="3081"/>
    <cellStyle name="百分比 5 3" xfId="3082"/>
    <cellStyle name="百分比 5 3 2" xfId="3083"/>
    <cellStyle name="百分比 5 3 2 2" xfId="3084"/>
    <cellStyle name="百分比 5 3 3" xfId="3085"/>
    <cellStyle name="百分比 5 4" xfId="3086"/>
    <cellStyle name="百分比 5 4 2" xfId="3087"/>
    <cellStyle name="百分比 5 5" xfId="3088"/>
    <cellStyle name="百分比 5 5 2" xfId="3089"/>
    <cellStyle name="百分比 5 6" xfId="3090"/>
    <cellStyle name="百分比 6" xfId="3091"/>
    <cellStyle name="百分比 6 2" xfId="3092"/>
    <cellStyle name="百分比 6 2 2" xfId="3093"/>
    <cellStyle name="百分比 6 2 2 2" xfId="3094"/>
    <cellStyle name="百分比 6 2 3" xfId="3095"/>
    <cellStyle name="百分比 6 2 4" xfId="3096"/>
    <cellStyle name="百分比 6 3" xfId="3097"/>
    <cellStyle name="百分比 6 3 2" xfId="3098"/>
    <cellStyle name="百分比 6 4" xfId="3099"/>
    <cellStyle name="百分比 6 4 2" xfId="3100"/>
    <cellStyle name="百分比 6 5" xfId="3101"/>
    <cellStyle name="百分比 6 6" xfId="3102"/>
    <cellStyle name="百分比 7" xfId="3103"/>
    <cellStyle name="百分比 7 2" xfId="3104"/>
    <cellStyle name="百分比 7 2 2" xfId="3105"/>
    <cellStyle name="百分比 7 2 2 2" xfId="3106"/>
    <cellStyle name="百分比 7 2 3" xfId="3107"/>
    <cellStyle name="百分比 7 3" xfId="3108"/>
    <cellStyle name="百分比 7 3 2" xfId="3109"/>
    <cellStyle name="百分比 7 4" xfId="3110"/>
    <cellStyle name="百分比 7 4 2" xfId="3111"/>
    <cellStyle name="百分比 7 5" xfId="3112"/>
    <cellStyle name="百分比 8" xfId="3113"/>
    <cellStyle name="百分比 8 2" xfId="3114"/>
    <cellStyle name="百分比 8 2 2" xfId="3115"/>
    <cellStyle name="百分比 8 3" xfId="3116"/>
    <cellStyle name="百分比 9" xfId="3117"/>
    <cellStyle name="百分比 9 2" xfId="3118"/>
    <cellStyle name="标题 1 2" xfId="3119"/>
    <cellStyle name="标题 1 2 2" xfId="3120"/>
    <cellStyle name="标题 1 2 2 2" xfId="3121"/>
    <cellStyle name="标题 1 2 2 2 2" xfId="3122"/>
    <cellStyle name="标题 1 2 2 2 2 2" xfId="3123"/>
    <cellStyle name="标题 1 2 2 2 3" xfId="3124"/>
    <cellStyle name="标题 1 2 2 3" xfId="3125"/>
    <cellStyle name="标题 1 2 2 3 2" xfId="3126"/>
    <cellStyle name="标题 1 2 2 4" xfId="3127"/>
    <cellStyle name="标题 1 2 2 4 2" xfId="3128"/>
    <cellStyle name="标题 1 2 2 5" xfId="3129"/>
    <cellStyle name="标题 1 2 2 6" xfId="8721"/>
    <cellStyle name="标题 1 2 3" xfId="3130"/>
    <cellStyle name="标题 1 2 3 2" xfId="3131"/>
    <cellStyle name="标题 1 2 3 2 2" xfId="3132"/>
    <cellStyle name="标题 1 2 3 3" xfId="3133"/>
    <cellStyle name="标题 1 2 4" xfId="3134"/>
    <cellStyle name="标题 1 2 4 2" xfId="3135"/>
    <cellStyle name="标题 1 2 5" xfId="3136"/>
    <cellStyle name="标题 1 2 5 2" xfId="3137"/>
    <cellStyle name="标题 1 2 6" xfId="3138"/>
    <cellStyle name="标题 1 2 7" xfId="8720"/>
    <cellStyle name="标题 1 2 8" xfId="8923"/>
    <cellStyle name="标题 1 2 9" xfId="8964"/>
    <cellStyle name="标题 1 3" xfId="3139"/>
    <cellStyle name="标题 1 3 2" xfId="3140"/>
    <cellStyle name="标题 1 3 2 2" xfId="3141"/>
    <cellStyle name="标题 1 3 2 2 2" xfId="3142"/>
    <cellStyle name="标题 1 3 2 2 2 2" xfId="3143"/>
    <cellStyle name="标题 1 3 2 2 3" xfId="3144"/>
    <cellStyle name="标题 1 3 2 3" xfId="3145"/>
    <cellStyle name="标题 1 3 2 3 2" xfId="3146"/>
    <cellStyle name="标题 1 3 2 4" xfId="3147"/>
    <cellStyle name="标题 1 3 2 4 2" xfId="3148"/>
    <cellStyle name="标题 1 3 2 5" xfId="3149"/>
    <cellStyle name="标题 1 3 2 6" xfId="8723"/>
    <cellStyle name="标题 1 3 3" xfId="3150"/>
    <cellStyle name="标题 1 3 3 2" xfId="3151"/>
    <cellStyle name="标题 1 3 3 2 2" xfId="3152"/>
    <cellStyle name="标题 1 3 3 3" xfId="3153"/>
    <cellStyle name="标题 1 3 4" xfId="3154"/>
    <cellStyle name="标题 1 3 4 2" xfId="3155"/>
    <cellStyle name="标题 1 3 5" xfId="3156"/>
    <cellStyle name="标题 1 3 5 2" xfId="3157"/>
    <cellStyle name="标题 1 3 6" xfId="3158"/>
    <cellStyle name="标题 1 3 7" xfId="8722"/>
    <cellStyle name="标题 1 4" xfId="3159"/>
    <cellStyle name="标题 1 4 2" xfId="3160"/>
    <cellStyle name="标题 1 4 2 2" xfId="3161"/>
    <cellStyle name="标题 1 4 2 2 2" xfId="3162"/>
    <cellStyle name="标题 1 4 2 2 2 2" xfId="3163"/>
    <cellStyle name="标题 1 4 2 2 3" xfId="3164"/>
    <cellStyle name="标题 1 4 2 3" xfId="3165"/>
    <cellStyle name="标题 1 4 2 3 2" xfId="3166"/>
    <cellStyle name="标题 1 4 2 4" xfId="3167"/>
    <cellStyle name="标题 1 4 2 4 2" xfId="3168"/>
    <cellStyle name="标题 1 4 2 5" xfId="3169"/>
    <cellStyle name="标题 1 4 2 6" xfId="8725"/>
    <cellStyle name="标题 1 4 3" xfId="3170"/>
    <cellStyle name="标题 1 4 3 2" xfId="3171"/>
    <cellStyle name="标题 1 4 3 2 2" xfId="3172"/>
    <cellStyle name="标题 1 4 3 3" xfId="3173"/>
    <cellStyle name="标题 1 4 4" xfId="3174"/>
    <cellStyle name="标题 1 4 4 2" xfId="3175"/>
    <cellStyle name="标题 1 4 5" xfId="3176"/>
    <cellStyle name="标题 1 4 5 2" xfId="3177"/>
    <cellStyle name="标题 1 4 6" xfId="3178"/>
    <cellStyle name="标题 1 4 7" xfId="8724"/>
    <cellStyle name="标题 1 5" xfId="3179"/>
    <cellStyle name="标题 1 5 2" xfId="3180"/>
    <cellStyle name="标题 1 5 2 2" xfId="3181"/>
    <cellStyle name="标题 1 5 2 2 2" xfId="3182"/>
    <cellStyle name="标题 1 5 2 3" xfId="3183"/>
    <cellStyle name="标题 1 5 3" xfId="3184"/>
    <cellStyle name="标题 1 5 3 2" xfId="3185"/>
    <cellStyle name="标题 1 5 4" xfId="3186"/>
    <cellStyle name="标题 1 5 4 2" xfId="3187"/>
    <cellStyle name="标题 1 5 5" xfId="3188"/>
    <cellStyle name="标题 1 6" xfId="3189"/>
    <cellStyle name="标题 1 6 2" xfId="3190"/>
    <cellStyle name="标题 1 6 2 2" xfId="3191"/>
    <cellStyle name="标题 1 6 2 2 2" xfId="3192"/>
    <cellStyle name="标题 1 6 2 3" xfId="3193"/>
    <cellStyle name="标题 1 6 3" xfId="3194"/>
    <cellStyle name="标题 1 6 3 2" xfId="3195"/>
    <cellStyle name="标题 1 6 4" xfId="3196"/>
    <cellStyle name="标题 1 6 4 2" xfId="3197"/>
    <cellStyle name="标题 1 6 5" xfId="3198"/>
    <cellStyle name="标题 2 2" xfId="3199"/>
    <cellStyle name="标题 2 2 2" xfId="3200"/>
    <cellStyle name="标题 2 2 2 2" xfId="3201"/>
    <cellStyle name="标题 2 2 2 2 2" xfId="3202"/>
    <cellStyle name="标题 2 2 2 2 2 2" xfId="3203"/>
    <cellStyle name="标题 2 2 2 2 3" xfId="3204"/>
    <cellStyle name="标题 2 2 2 3" xfId="3205"/>
    <cellStyle name="标题 2 2 2 3 2" xfId="3206"/>
    <cellStyle name="标题 2 2 2 4" xfId="3207"/>
    <cellStyle name="标题 2 2 2 4 2" xfId="3208"/>
    <cellStyle name="标题 2 2 2 5" xfId="3209"/>
    <cellStyle name="标题 2 2 2 6" xfId="8727"/>
    <cellStyle name="标题 2 2 3" xfId="3210"/>
    <cellStyle name="标题 2 2 3 2" xfId="3211"/>
    <cellStyle name="标题 2 2 3 2 2" xfId="3212"/>
    <cellStyle name="标题 2 2 3 3" xfId="3213"/>
    <cellStyle name="标题 2 2 4" xfId="3214"/>
    <cellStyle name="标题 2 2 4 2" xfId="3215"/>
    <cellStyle name="标题 2 2 5" xfId="3216"/>
    <cellStyle name="标题 2 2 5 2" xfId="3217"/>
    <cellStyle name="标题 2 2 6" xfId="3218"/>
    <cellStyle name="标题 2 2 7" xfId="8726"/>
    <cellStyle name="标题 2 2 8" xfId="8924"/>
    <cellStyle name="标题 2 2 9" xfId="8965"/>
    <cellStyle name="标题 2 3" xfId="3219"/>
    <cellStyle name="标题 2 3 2" xfId="3220"/>
    <cellStyle name="标题 2 3 2 2" xfId="3221"/>
    <cellStyle name="标题 2 3 2 2 2" xfId="3222"/>
    <cellStyle name="标题 2 3 2 2 2 2" xfId="3223"/>
    <cellStyle name="标题 2 3 2 2 3" xfId="3224"/>
    <cellStyle name="标题 2 3 2 3" xfId="3225"/>
    <cellStyle name="标题 2 3 2 3 2" xfId="3226"/>
    <cellStyle name="标题 2 3 2 4" xfId="3227"/>
    <cellStyle name="标题 2 3 2 4 2" xfId="3228"/>
    <cellStyle name="标题 2 3 2 5" xfId="3229"/>
    <cellStyle name="标题 2 3 2 6" xfId="8729"/>
    <cellStyle name="标题 2 3 3" xfId="3230"/>
    <cellStyle name="标题 2 3 3 2" xfId="3231"/>
    <cellStyle name="标题 2 3 3 2 2" xfId="3232"/>
    <cellStyle name="标题 2 3 3 3" xfId="3233"/>
    <cellStyle name="标题 2 3 4" xfId="3234"/>
    <cellStyle name="标题 2 3 4 2" xfId="3235"/>
    <cellStyle name="标题 2 3 5" xfId="3236"/>
    <cellStyle name="标题 2 3 5 2" xfId="3237"/>
    <cellStyle name="标题 2 3 6" xfId="3238"/>
    <cellStyle name="标题 2 3 7" xfId="8728"/>
    <cellStyle name="标题 2 4" xfId="3239"/>
    <cellStyle name="标题 2 4 2" xfId="3240"/>
    <cellStyle name="标题 2 4 2 2" xfId="3241"/>
    <cellStyle name="标题 2 4 2 2 2" xfId="3242"/>
    <cellStyle name="标题 2 4 2 2 2 2" xfId="3243"/>
    <cellStyle name="标题 2 4 2 2 3" xfId="3244"/>
    <cellStyle name="标题 2 4 2 3" xfId="3245"/>
    <cellStyle name="标题 2 4 2 3 2" xfId="3246"/>
    <cellStyle name="标题 2 4 2 4" xfId="3247"/>
    <cellStyle name="标题 2 4 2 4 2" xfId="3248"/>
    <cellStyle name="标题 2 4 2 5" xfId="3249"/>
    <cellStyle name="标题 2 4 2 6" xfId="8731"/>
    <cellStyle name="标题 2 4 3" xfId="3250"/>
    <cellStyle name="标题 2 4 3 2" xfId="3251"/>
    <cellStyle name="标题 2 4 3 2 2" xfId="3252"/>
    <cellStyle name="标题 2 4 3 3" xfId="3253"/>
    <cellStyle name="标题 2 4 4" xfId="3254"/>
    <cellStyle name="标题 2 4 4 2" xfId="3255"/>
    <cellStyle name="标题 2 4 5" xfId="3256"/>
    <cellStyle name="标题 2 4 5 2" xfId="3257"/>
    <cellStyle name="标题 2 4 6" xfId="3258"/>
    <cellStyle name="标题 2 4 7" xfId="8730"/>
    <cellStyle name="标题 2 5" xfId="3259"/>
    <cellStyle name="标题 2 5 2" xfId="3260"/>
    <cellStyle name="标题 2 5 2 2" xfId="3261"/>
    <cellStyle name="标题 2 5 2 2 2" xfId="3262"/>
    <cellStyle name="标题 2 5 2 3" xfId="3263"/>
    <cellStyle name="标题 2 5 3" xfId="3264"/>
    <cellStyle name="标题 2 5 3 2" xfId="3265"/>
    <cellStyle name="标题 2 5 4" xfId="3266"/>
    <cellStyle name="标题 2 5 4 2" xfId="3267"/>
    <cellStyle name="标题 2 5 5" xfId="3268"/>
    <cellStyle name="标题 2 6" xfId="3269"/>
    <cellStyle name="标题 2 6 2" xfId="3270"/>
    <cellStyle name="标题 2 6 2 2" xfId="3271"/>
    <cellStyle name="标题 2 6 2 2 2" xfId="3272"/>
    <cellStyle name="标题 2 6 2 3" xfId="3273"/>
    <cellStyle name="标题 2 6 3" xfId="3274"/>
    <cellStyle name="标题 2 6 3 2" xfId="3275"/>
    <cellStyle name="标题 2 6 4" xfId="3276"/>
    <cellStyle name="标题 2 6 4 2" xfId="3277"/>
    <cellStyle name="标题 2 6 5" xfId="3278"/>
    <cellStyle name="标题 3 2" xfId="3279"/>
    <cellStyle name="标题 3 2 2" xfId="3280"/>
    <cellStyle name="标题 3 2 2 2" xfId="3281"/>
    <cellStyle name="标题 3 2 2 2 2" xfId="3282"/>
    <cellStyle name="标题 3 2 2 2 2 2" xfId="3283"/>
    <cellStyle name="标题 3 2 2 2 3" xfId="3284"/>
    <cellStyle name="标题 3 2 2 3" xfId="3285"/>
    <cellStyle name="标题 3 2 2 3 2" xfId="3286"/>
    <cellStyle name="标题 3 2 2 4" xfId="3287"/>
    <cellStyle name="标题 3 2 2 4 2" xfId="3288"/>
    <cellStyle name="标题 3 2 2 5" xfId="3289"/>
    <cellStyle name="标题 3 2 2 6" xfId="8733"/>
    <cellStyle name="标题 3 2 3" xfId="3290"/>
    <cellStyle name="标题 3 2 3 2" xfId="3291"/>
    <cellStyle name="标题 3 2 3 2 2" xfId="3292"/>
    <cellStyle name="标题 3 2 3 3" xfId="3293"/>
    <cellStyle name="标题 3 2 4" xfId="3294"/>
    <cellStyle name="标题 3 2 4 2" xfId="3295"/>
    <cellStyle name="标题 3 2 5" xfId="3296"/>
    <cellStyle name="标题 3 2 5 2" xfId="3297"/>
    <cellStyle name="标题 3 2 6" xfId="3298"/>
    <cellStyle name="标题 3 2 7" xfId="8732"/>
    <cellStyle name="标题 3 2 8" xfId="8925"/>
    <cellStyle name="标题 3 2 9" xfId="8966"/>
    <cellStyle name="标题 3 3" xfId="3299"/>
    <cellStyle name="标题 3 3 2" xfId="3300"/>
    <cellStyle name="标题 3 3 2 2" xfId="3301"/>
    <cellStyle name="标题 3 3 2 2 2" xfId="3302"/>
    <cellStyle name="标题 3 3 2 2 2 2" xfId="3303"/>
    <cellStyle name="标题 3 3 2 2 3" xfId="3304"/>
    <cellStyle name="标题 3 3 2 3" xfId="3305"/>
    <cellStyle name="标题 3 3 2 3 2" xfId="3306"/>
    <cellStyle name="标题 3 3 2 4" xfId="3307"/>
    <cellStyle name="标题 3 3 2 4 2" xfId="3308"/>
    <cellStyle name="标题 3 3 2 5" xfId="3309"/>
    <cellStyle name="标题 3 3 2 6" xfId="8735"/>
    <cellStyle name="标题 3 3 3" xfId="3310"/>
    <cellStyle name="标题 3 3 3 2" xfId="3311"/>
    <cellStyle name="标题 3 3 3 2 2" xfId="3312"/>
    <cellStyle name="标题 3 3 3 3" xfId="3313"/>
    <cellStyle name="标题 3 3 4" xfId="3314"/>
    <cellStyle name="标题 3 3 4 2" xfId="3315"/>
    <cellStyle name="标题 3 3 5" xfId="3316"/>
    <cellStyle name="标题 3 3 5 2" xfId="3317"/>
    <cellStyle name="标题 3 3 6" xfId="3318"/>
    <cellStyle name="标题 3 3 7" xfId="8734"/>
    <cellStyle name="标题 3 4" xfId="3319"/>
    <cellStyle name="标题 3 4 2" xfId="3320"/>
    <cellStyle name="标题 3 4 2 2" xfId="3321"/>
    <cellStyle name="标题 3 4 2 2 2" xfId="3322"/>
    <cellStyle name="标题 3 4 2 2 2 2" xfId="3323"/>
    <cellStyle name="标题 3 4 2 2 3" xfId="3324"/>
    <cellStyle name="标题 3 4 2 3" xfId="3325"/>
    <cellStyle name="标题 3 4 2 3 2" xfId="3326"/>
    <cellStyle name="标题 3 4 2 4" xfId="3327"/>
    <cellStyle name="标题 3 4 2 4 2" xfId="3328"/>
    <cellStyle name="标题 3 4 2 5" xfId="3329"/>
    <cellStyle name="标题 3 4 2 6" xfId="8737"/>
    <cellStyle name="标题 3 4 3" xfId="3330"/>
    <cellStyle name="标题 3 4 3 2" xfId="3331"/>
    <cellStyle name="标题 3 4 3 2 2" xfId="3332"/>
    <cellStyle name="标题 3 4 3 3" xfId="3333"/>
    <cellStyle name="标题 3 4 4" xfId="3334"/>
    <cellStyle name="标题 3 4 4 2" xfId="3335"/>
    <cellStyle name="标题 3 4 5" xfId="3336"/>
    <cellStyle name="标题 3 4 5 2" xfId="3337"/>
    <cellStyle name="标题 3 4 6" xfId="3338"/>
    <cellStyle name="标题 3 4 7" xfId="8736"/>
    <cellStyle name="标题 3 5" xfId="3339"/>
    <cellStyle name="标题 3 5 2" xfId="3340"/>
    <cellStyle name="标题 3 5 2 2" xfId="3341"/>
    <cellStyle name="标题 3 5 2 2 2" xfId="3342"/>
    <cellStyle name="标题 3 5 2 3" xfId="3343"/>
    <cellStyle name="标题 3 5 3" xfId="3344"/>
    <cellStyle name="标题 3 5 3 2" xfId="3345"/>
    <cellStyle name="标题 3 5 4" xfId="3346"/>
    <cellStyle name="标题 3 5 4 2" xfId="3347"/>
    <cellStyle name="标题 3 5 5" xfId="3348"/>
    <cellStyle name="标题 3 6" xfId="3349"/>
    <cellStyle name="标题 3 6 2" xfId="3350"/>
    <cellStyle name="标题 3 6 2 2" xfId="3351"/>
    <cellStyle name="标题 3 6 2 2 2" xfId="3352"/>
    <cellStyle name="标题 3 6 2 3" xfId="3353"/>
    <cellStyle name="标题 3 6 3" xfId="3354"/>
    <cellStyle name="标题 3 6 3 2" xfId="3355"/>
    <cellStyle name="标题 3 6 4" xfId="3356"/>
    <cellStyle name="标题 3 6 4 2" xfId="3357"/>
    <cellStyle name="标题 3 6 5" xfId="3358"/>
    <cellStyle name="标题 4 2" xfId="3359"/>
    <cellStyle name="标题 4 2 2" xfId="3360"/>
    <cellStyle name="标题 4 2 2 2" xfId="3361"/>
    <cellStyle name="标题 4 2 2 2 2" xfId="3362"/>
    <cellStyle name="标题 4 2 2 2 2 2" xfId="3363"/>
    <cellStyle name="标题 4 2 2 2 3" xfId="3364"/>
    <cellStyle name="标题 4 2 2 3" xfId="3365"/>
    <cellStyle name="标题 4 2 2 3 2" xfId="3366"/>
    <cellStyle name="标题 4 2 2 4" xfId="3367"/>
    <cellStyle name="标题 4 2 2 4 2" xfId="3368"/>
    <cellStyle name="标题 4 2 2 5" xfId="3369"/>
    <cellStyle name="标题 4 2 2 6" xfId="8739"/>
    <cellStyle name="标题 4 2 3" xfId="3370"/>
    <cellStyle name="标题 4 2 3 2" xfId="3371"/>
    <cellStyle name="标题 4 2 3 2 2" xfId="3372"/>
    <cellStyle name="标题 4 2 3 3" xfId="3373"/>
    <cellStyle name="标题 4 2 4" xfId="3374"/>
    <cellStyle name="标题 4 2 4 2" xfId="3375"/>
    <cellStyle name="标题 4 2 5" xfId="3376"/>
    <cellStyle name="标题 4 2 5 2" xfId="3377"/>
    <cellStyle name="标题 4 2 6" xfId="3378"/>
    <cellStyle name="标题 4 2 7" xfId="8738"/>
    <cellStyle name="标题 4 2 8" xfId="8926"/>
    <cellStyle name="标题 4 2 9" xfId="8967"/>
    <cellStyle name="标题 4 3" xfId="3379"/>
    <cellStyle name="标题 4 3 2" xfId="3380"/>
    <cellStyle name="标题 4 3 2 2" xfId="3381"/>
    <cellStyle name="标题 4 3 2 2 2" xfId="3382"/>
    <cellStyle name="标题 4 3 2 2 2 2" xfId="3383"/>
    <cellStyle name="标题 4 3 2 2 3" xfId="3384"/>
    <cellStyle name="标题 4 3 2 3" xfId="3385"/>
    <cellStyle name="标题 4 3 2 3 2" xfId="3386"/>
    <cellStyle name="标题 4 3 2 4" xfId="3387"/>
    <cellStyle name="标题 4 3 2 4 2" xfId="3388"/>
    <cellStyle name="标题 4 3 2 5" xfId="3389"/>
    <cellStyle name="标题 4 3 2 6" xfId="8741"/>
    <cellStyle name="标题 4 3 3" xfId="3390"/>
    <cellStyle name="标题 4 3 3 2" xfId="3391"/>
    <cellStyle name="标题 4 3 3 2 2" xfId="3392"/>
    <cellStyle name="标题 4 3 3 3" xfId="3393"/>
    <cellStyle name="标题 4 3 4" xfId="3394"/>
    <cellStyle name="标题 4 3 4 2" xfId="3395"/>
    <cellStyle name="标题 4 3 5" xfId="3396"/>
    <cellStyle name="标题 4 3 5 2" xfId="3397"/>
    <cellStyle name="标题 4 3 6" xfId="3398"/>
    <cellStyle name="标题 4 3 7" xfId="8740"/>
    <cellStyle name="标题 4 4" xfId="3399"/>
    <cellStyle name="标题 4 4 2" xfId="3400"/>
    <cellStyle name="标题 4 4 2 2" xfId="3401"/>
    <cellStyle name="标题 4 4 2 2 2" xfId="3402"/>
    <cellStyle name="标题 4 4 2 2 2 2" xfId="3403"/>
    <cellStyle name="标题 4 4 2 2 3" xfId="3404"/>
    <cellStyle name="标题 4 4 2 3" xfId="3405"/>
    <cellStyle name="标题 4 4 2 3 2" xfId="3406"/>
    <cellStyle name="标题 4 4 2 4" xfId="3407"/>
    <cellStyle name="标题 4 4 2 4 2" xfId="3408"/>
    <cellStyle name="标题 4 4 2 5" xfId="3409"/>
    <cellStyle name="标题 4 4 2 6" xfId="8743"/>
    <cellStyle name="标题 4 4 3" xfId="3410"/>
    <cellStyle name="标题 4 4 3 2" xfId="3411"/>
    <cellStyle name="标题 4 4 3 2 2" xfId="3412"/>
    <cellStyle name="标题 4 4 3 3" xfId="3413"/>
    <cellStyle name="标题 4 4 4" xfId="3414"/>
    <cellStyle name="标题 4 4 4 2" xfId="3415"/>
    <cellStyle name="标题 4 4 5" xfId="3416"/>
    <cellStyle name="标题 4 4 5 2" xfId="3417"/>
    <cellStyle name="标题 4 4 6" xfId="3418"/>
    <cellStyle name="标题 4 4 7" xfId="8742"/>
    <cellStyle name="标题 4 5" xfId="3419"/>
    <cellStyle name="标题 4 5 2" xfId="3420"/>
    <cellStyle name="标题 4 5 2 2" xfId="3421"/>
    <cellStyle name="标题 4 5 2 2 2" xfId="3422"/>
    <cellStyle name="标题 4 5 2 3" xfId="3423"/>
    <cellStyle name="标题 4 5 3" xfId="3424"/>
    <cellStyle name="标题 4 5 3 2" xfId="3425"/>
    <cellStyle name="标题 4 5 4" xfId="3426"/>
    <cellStyle name="标题 4 5 4 2" xfId="3427"/>
    <cellStyle name="标题 4 5 5" xfId="3428"/>
    <cellStyle name="标题 4 6" xfId="3429"/>
    <cellStyle name="标题 4 6 2" xfId="3430"/>
    <cellStyle name="标题 4 6 2 2" xfId="3431"/>
    <cellStyle name="标题 4 6 2 2 2" xfId="3432"/>
    <cellStyle name="标题 4 6 2 3" xfId="3433"/>
    <cellStyle name="标题 4 6 3" xfId="3434"/>
    <cellStyle name="标题 4 6 3 2" xfId="3435"/>
    <cellStyle name="标题 4 6 4" xfId="3436"/>
    <cellStyle name="标题 4 6 4 2" xfId="3437"/>
    <cellStyle name="标题 4 6 5" xfId="3438"/>
    <cellStyle name="标题 5" xfId="3439"/>
    <cellStyle name="标题 5 2" xfId="3440"/>
    <cellStyle name="标题 5 2 2" xfId="3441"/>
    <cellStyle name="标题 5 2 2 2" xfId="3442"/>
    <cellStyle name="标题 5 2 2 2 2" xfId="3443"/>
    <cellStyle name="标题 5 2 2 3" xfId="3444"/>
    <cellStyle name="标题 5 2 3" xfId="3445"/>
    <cellStyle name="标题 5 2 3 2" xfId="3446"/>
    <cellStyle name="标题 5 2 4" xfId="3447"/>
    <cellStyle name="标题 5 2 4 2" xfId="3448"/>
    <cellStyle name="标题 5 2 5" xfId="3449"/>
    <cellStyle name="标题 5 2 6" xfId="8745"/>
    <cellStyle name="标题 5 3" xfId="3450"/>
    <cellStyle name="标题 5 3 2" xfId="3451"/>
    <cellStyle name="标题 5 3 2 2" xfId="3452"/>
    <cellStyle name="标题 5 3 3" xfId="3453"/>
    <cellStyle name="标题 5 4" xfId="3454"/>
    <cellStyle name="标题 5 4 2" xfId="3455"/>
    <cellStyle name="标题 5 5" xfId="3456"/>
    <cellStyle name="标题 5 5 2" xfId="3457"/>
    <cellStyle name="标题 5 6" xfId="3458"/>
    <cellStyle name="标题 5 7" xfId="8744"/>
    <cellStyle name="标题 5 8" xfId="8922"/>
    <cellStyle name="标题 5 9" xfId="8968"/>
    <cellStyle name="标题 6" xfId="3459"/>
    <cellStyle name="标题 6 2" xfId="3460"/>
    <cellStyle name="标题 6 2 2" xfId="3461"/>
    <cellStyle name="标题 6 2 2 2" xfId="3462"/>
    <cellStyle name="标题 6 2 2 2 2" xfId="3463"/>
    <cellStyle name="标题 6 2 2 3" xfId="3464"/>
    <cellStyle name="标题 6 2 3" xfId="3465"/>
    <cellStyle name="标题 6 2 3 2" xfId="3466"/>
    <cellStyle name="标题 6 2 4" xfId="3467"/>
    <cellStyle name="标题 6 2 4 2" xfId="3468"/>
    <cellStyle name="标题 6 2 5" xfId="3469"/>
    <cellStyle name="标题 6 2 6" xfId="8747"/>
    <cellStyle name="标题 6 3" xfId="3470"/>
    <cellStyle name="标题 6 3 2" xfId="3471"/>
    <cellStyle name="标题 6 3 2 2" xfId="3472"/>
    <cellStyle name="标题 6 3 3" xfId="3473"/>
    <cellStyle name="标题 6 4" xfId="3474"/>
    <cellStyle name="标题 6 4 2" xfId="3475"/>
    <cellStyle name="标题 6 5" xfId="3476"/>
    <cellStyle name="标题 6 5 2" xfId="3477"/>
    <cellStyle name="标题 6 6" xfId="3478"/>
    <cellStyle name="标题 6 7" xfId="8746"/>
    <cellStyle name="标题 7" xfId="3479"/>
    <cellStyle name="标题 7 2" xfId="3480"/>
    <cellStyle name="标题 7 2 2" xfId="3481"/>
    <cellStyle name="标题 7 2 2 2" xfId="3482"/>
    <cellStyle name="标题 7 2 2 2 2" xfId="3483"/>
    <cellStyle name="标题 7 2 2 3" xfId="3484"/>
    <cellStyle name="标题 7 2 3" xfId="3485"/>
    <cellStyle name="标题 7 2 3 2" xfId="3486"/>
    <cellStyle name="标题 7 2 4" xfId="3487"/>
    <cellStyle name="标题 7 2 4 2" xfId="3488"/>
    <cellStyle name="标题 7 2 5" xfId="3489"/>
    <cellStyle name="标题 7 2 6" xfId="8749"/>
    <cellStyle name="标题 7 3" xfId="3490"/>
    <cellStyle name="标题 7 3 2" xfId="3491"/>
    <cellStyle name="标题 7 3 2 2" xfId="3492"/>
    <cellStyle name="标题 7 3 3" xfId="3493"/>
    <cellStyle name="标题 7 4" xfId="3494"/>
    <cellStyle name="标题 7 4 2" xfId="3495"/>
    <cellStyle name="标题 7 5" xfId="3496"/>
    <cellStyle name="标题 7 5 2" xfId="3497"/>
    <cellStyle name="标题 7 6" xfId="3498"/>
    <cellStyle name="标题 7 7" xfId="8748"/>
    <cellStyle name="标题 8" xfId="3499"/>
    <cellStyle name="标题 8 2" xfId="3500"/>
    <cellStyle name="标题 8 2 2" xfId="3501"/>
    <cellStyle name="标题 8 2 2 2" xfId="3502"/>
    <cellStyle name="标题 8 2 3" xfId="3503"/>
    <cellStyle name="标题 8 3" xfId="3504"/>
    <cellStyle name="标题 8 3 2" xfId="3505"/>
    <cellStyle name="标题 8 4" xfId="3506"/>
    <cellStyle name="标题 8 4 2" xfId="3507"/>
    <cellStyle name="标题 8 5" xfId="3508"/>
    <cellStyle name="标题 9" xfId="3509"/>
    <cellStyle name="标题 9 2" xfId="3510"/>
    <cellStyle name="标题 9 2 2" xfId="3511"/>
    <cellStyle name="标题 9 2 2 2" xfId="3512"/>
    <cellStyle name="标题 9 2 3" xfId="3513"/>
    <cellStyle name="标题 9 3" xfId="3514"/>
    <cellStyle name="标题 9 3 2" xfId="3515"/>
    <cellStyle name="标题 9 4" xfId="3516"/>
    <cellStyle name="标题 9 4 2" xfId="3517"/>
    <cellStyle name="标题 9 5" xfId="3518"/>
    <cellStyle name="差 2" xfId="3519"/>
    <cellStyle name="差 2 2" xfId="3520"/>
    <cellStyle name="差 2 2 2" xfId="3521"/>
    <cellStyle name="差 2 2 2 2" xfId="3522"/>
    <cellStyle name="差 2 2 2 2 2" xfId="3523"/>
    <cellStyle name="差 2 2 2 3" xfId="3524"/>
    <cellStyle name="差 2 2 3" xfId="3525"/>
    <cellStyle name="差 2 2 3 2" xfId="3526"/>
    <cellStyle name="差 2 2 4" xfId="3527"/>
    <cellStyle name="差 2 2 4 2" xfId="3528"/>
    <cellStyle name="差 2 2 5" xfId="3529"/>
    <cellStyle name="差 2 2 6" xfId="8751"/>
    <cellStyle name="差 2 3" xfId="3530"/>
    <cellStyle name="差 2 3 2" xfId="3531"/>
    <cellStyle name="差 2 3 2 2" xfId="3532"/>
    <cellStyle name="差 2 3 3" xfId="3533"/>
    <cellStyle name="差 2 4" xfId="3534"/>
    <cellStyle name="差 2 4 2" xfId="3535"/>
    <cellStyle name="差 2 5" xfId="3536"/>
    <cellStyle name="差 2 5 2" xfId="3537"/>
    <cellStyle name="差 2 6" xfId="3538"/>
    <cellStyle name="差 2 7" xfId="8750"/>
    <cellStyle name="差 2 8" xfId="8927"/>
    <cellStyle name="差 2 9" xfId="8969"/>
    <cellStyle name="差 3" xfId="3539"/>
    <cellStyle name="差 3 2" xfId="3540"/>
    <cellStyle name="差 3 2 2" xfId="3541"/>
    <cellStyle name="差 3 2 2 2" xfId="3542"/>
    <cellStyle name="差 3 2 2 2 2" xfId="3543"/>
    <cellStyle name="差 3 2 2 3" xfId="3544"/>
    <cellStyle name="差 3 2 3" xfId="3545"/>
    <cellStyle name="差 3 2 3 2" xfId="3546"/>
    <cellStyle name="差 3 2 4" xfId="3547"/>
    <cellStyle name="差 3 2 4 2" xfId="3548"/>
    <cellStyle name="差 3 2 5" xfId="3549"/>
    <cellStyle name="差 3 2 6" xfId="8753"/>
    <cellStyle name="差 3 3" xfId="3550"/>
    <cellStyle name="差 3 3 2" xfId="3551"/>
    <cellStyle name="差 3 3 2 2" xfId="3552"/>
    <cellStyle name="差 3 3 3" xfId="3553"/>
    <cellStyle name="差 3 4" xfId="3554"/>
    <cellStyle name="差 3 4 2" xfId="3555"/>
    <cellStyle name="差 3 5" xfId="3556"/>
    <cellStyle name="差 3 5 2" xfId="3557"/>
    <cellStyle name="差 3 6" xfId="3558"/>
    <cellStyle name="差 3 7" xfId="8752"/>
    <cellStyle name="差 4" xfId="3559"/>
    <cellStyle name="差 4 2" xfId="3560"/>
    <cellStyle name="差 4 2 2" xfId="3561"/>
    <cellStyle name="差 4 2 2 2" xfId="3562"/>
    <cellStyle name="差 4 2 2 2 2" xfId="3563"/>
    <cellStyle name="差 4 2 2 3" xfId="3564"/>
    <cellStyle name="差 4 2 3" xfId="3565"/>
    <cellStyle name="差 4 2 3 2" xfId="3566"/>
    <cellStyle name="差 4 2 4" xfId="3567"/>
    <cellStyle name="差 4 2 4 2" xfId="3568"/>
    <cellStyle name="差 4 2 5" xfId="3569"/>
    <cellStyle name="差 4 2 6" xfId="8755"/>
    <cellStyle name="差 4 3" xfId="3570"/>
    <cellStyle name="差 4 3 2" xfId="3571"/>
    <cellStyle name="差 4 3 2 2" xfId="3572"/>
    <cellStyle name="差 4 3 3" xfId="3573"/>
    <cellStyle name="差 4 4" xfId="3574"/>
    <cellStyle name="差 4 4 2" xfId="3575"/>
    <cellStyle name="差 4 5" xfId="3576"/>
    <cellStyle name="差 4 5 2" xfId="3577"/>
    <cellStyle name="差 4 6" xfId="3578"/>
    <cellStyle name="差 4 7" xfId="8754"/>
    <cellStyle name="差 5" xfId="3579"/>
    <cellStyle name="差 5 2" xfId="3580"/>
    <cellStyle name="差 5 2 2" xfId="3581"/>
    <cellStyle name="差 5 2 2 2" xfId="3582"/>
    <cellStyle name="差 5 2 3" xfId="3583"/>
    <cellStyle name="差 5 3" xfId="3584"/>
    <cellStyle name="差 5 3 2" xfId="3585"/>
    <cellStyle name="差 5 4" xfId="3586"/>
    <cellStyle name="差 5 4 2" xfId="3587"/>
    <cellStyle name="差 5 5" xfId="3588"/>
    <cellStyle name="差 6" xfId="3589"/>
    <cellStyle name="差 6 2" xfId="3590"/>
    <cellStyle name="差 6 2 2" xfId="3591"/>
    <cellStyle name="差 6 2 2 2" xfId="3592"/>
    <cellStyle name="差 6 2 3" xfId="3593"/>
    <cellStyle name="差 6 3" xfId="3594"/>
    <cellStyle name="差 6 3 2" xfId="3595"/>
    <cellStyle name="差 6 4" xfId="3596"/>
    <cellStyle name="差 6 4 2" xfId="3597"/>
    <cellStyle name="差 6 5" xfId="3598"/>
    <cellStyle name="差 7" xfId="3599"/>
    <cellStyle name="差 7 2" xfId="3600"/>
    <cellStyle name="差 7 2 2" xfId="3601"/>
    <cellStyle name="差 7 2 2 2" xfId="3602"/>
    <cellStyle name="差 7 2 3" xfId="3603"/>
    <cellStyle name="差 7 3" xfId="3604"/>
    <cellStyle name="差 7 3 2" xfId="3605"/>
    <cellStyle name="差 7 4" xfId="3606"/>
    <cellStyle name="差 7 4 2" xfId="3607"/>
    <cellStyle name="差 7 5" xfId="3608"/>
    <cellStyle name="差_2013见习培训经费表下半年(chen)2014年9月" xfId="3609"/>
    <cellStyle name="差_2013见习培训经费表下半年(chen)2014年9月 2" xfId="3610"/>
    <cellStyle name="差_2013见习培训经费表下半年(chen)2014年9月 2 2" xfId="3611"/>
    <cellStyle name="差_2013见习培训经费表下半年(chen)2014年9月 2 2 2" xfId="3612"/>
    <cellStyle name="差_2013见习培训经费表下半年(chen)2014年9月 2 2 2 2" xfId="3613"/>
    <cellStyle name="差_2013见习培训经费表下半年(chen)2014年9月 2 2 2 2 2" xfId="3614"/>
    <cellStyle name="差_2013见习培训经费表下半年(chen)2014年9月 2 2 2 3" xfId="3615"/>
    <cellStyle name="差_2013见习培训经费表下半年(chen)2014年9月 2 2 3" xfId="3616"/>
    <cellStyle name="差_2013见习培训经费表下半年(chen)2014年9月 2 2 3 2" xfId="3617"/>
    <cellStyle name="差_2013见习培训经费表下半年(chen)2014年9月 2 2 4" xfId="3618"/>
    <cellStyle name="差_2013见习培训经费表下半年(chen)2014年9月 2 2 4 2" xfId="3619"/>
    <cellStyle name="差_2013见习培训经费表下半年(chen)2014年9月 2 2 5" xfId="3620"/>
    <cellStyle name="差_2013见习培训经费表下半年(chen)2014年9月 2 3" xfId="3621"/>
    <cellStyle name="差_2013见习培训经费表下半年(chen)2014年9月 2 3 2" xfId="3622"/>
    <cellStyle name="差_2013见习培训经费表下半年(chen)2014年9月 2 3 2 2" xfId="3623"/>
    <cellStyle name="差_2013见习培训经费表下半年(chen)2014年9月 2 3 3" xfId="3624"/>
    <cellStyle name="差_2013见习培训经费表下半年(chen)2014年9月 2 4" xfId="3625"/>
    <cellStyle name="差_2013见习培训经费表下半年(chen)2014年9月 2 4 2" xfId="3626"/>
    <cellStyle name="差_2013见习培训经费表下半年(chen)2014年9月 2 5" xfId="3627"/>
    <cellStyle name="差_2013见习培训经费表下半年(chen)2014年9月 2 5 2" xfId="3628"/>
    <cellStyle name="差_2013见习培训经费表下半年(chen)2014年9月 2 6" xfId="3629"/>
    <cellStyle name="差_2013见习培训经费表下半年(chen)2014年9月 3" xfId="3630"/>
    <cellStyle name="差_2013见习培训经费表下半年(chen)2014年9月 3 2" xfId="3631"/>
    <cellStyle name="差_2013见习培训经费表下半年(chen)2014年9月 3 2 2" xfId="3632"/>
    <cellStyle name="差_2013见习培训经费表下半年(chen)2014年9月 3 2 2 2" xfId="3633"/>
    <cellStyle name="差_2013见习培训经费表下半年(chen)2014年9月 3 2 3" xfId="3634"/>
    <cellStyle name="差_2013见习培训经费表下半年(chen)2014年9月 3 3" xfId="3635"/>
    <cellStyle name="差_2013见习培训经费表下半年(chen)2014年9月 3 3 2" xfId="3636"/>
    <cellStyle name="差_2013见习培训经费表下半年(chen)2014年9月 3 4" xfId="3637"/>
    <cellStyle name="差_2013见习培训经费表下半年(chen)2014年9月 3 4 2" xfId="3638"/>
    <cellStyle name="差_2013见习培训经费表下半年(chen)2014年9月 3 5" xfId="3639"/>
    <cellStyle name="差_2013见习培训经费表下半年(chen)2014年9月 4" xfId="3640"/>
    <cellStyle name="差_2013见习培训经费表下半年(chen)2014年9月 4 2" xfId="3641"/>
    <cellStyle name="差_2013见习培训经费表下半年(chen)2014年9月 4 2 2" xfId="3642"/>
    <cellStyle name="差_2013见习培训经费表下半年(chen)2014年9月 4 2 2 2" xfId="3643"/>
    <cellStyle name="差_2013见习培训经费表下半年(chen)2014年9月 4 2 3" xfId="3644"/>
    <cellStyle name="差_2013见习培训经费表下半年(chen)2014年9月 4 3" xfId="3645"/>
    <cellStyle name="差_2013见习培训经费表下半年(chen)2014年9月 4 3 2" xfId="3646"/>
    <cellStyle name="差_2013见习培训经费表下半年(chen)2014年9月 4 4" xfId="3647"/>
    <cellStyle name="差_2013见习培训经费表下半年(chen)2014年9月 4 4 2" xfId="3648"/>
    <cellStyle name="差_2013见习培训经费表下半年(chen)2014年9月 4 5" xfId="3649"/>
    <cellStyle name="差_2013见习培训经费表下半年(chen)2014年9月 5" xfId="3650"/>
    <cellStyle name="差_2013见习培训经费表下半年(chen)2014年9月 5 2" xfId="3651"/>
    <cellStyle name="差_2013见习培训经费表下半年(chen)2014年9月 5 2 2" xfId="3652"/>
    <cellStyle name="差_2013见习培训经费表下半年(chen)2014年9月 5 3" xfId="3653"/>
    <cellStyle name="差_2013见习培训经费表下半年(chen)2014年9月 6" xfId="3654"/>
    <cellStyle name="差_2013见习培训经费表下半年(chen)2014年9月 6 2" xfId="3655"/>
    <cellStyle name="差_2013见习培训经费表下半年(chen)2014年9月 7" xfId="3656"/>
    <cellStyle name="差_2013见习培训经费表下半年(chen)2014年9月 7 2" xfId="3657"/>
    <cellStyle name="差_2013见习培训经费表下半年(chen)2014年9月 8" xfId="3658"/>
    <cellStyle name="差_2013见习培训经费表下半年(chen)2014年9月 8 2" xfId="3659"/>
    <cellStyle name="差_2013见习培训经费表下半年(chen)2014年9月 9" xfId="3660"/>
    <cellStyle name="差_2014年聘用学校导师带教经费表" xfId="3661"/>
    <cellStyle name="差_2014年聘用学校导师带教经费表 10" xfId="3662"/>
    <cellStyle name="差_2014年聘用学校导师带教经费表 10 2" xfId="3663"/>
    <cellStyle name="差_2014年聘用学校导师带教经费表 11" xfId="3664"/>
    <cellStyle name="差_2014年聘用学校导师带教经费表 2" xfId="3665"/>
    <cellStyle name="差_2014年聘用学校导师带教经费表 2 2" xfId="3666"/>
    <cellStyle name="差_2014年聘用学校导师带教经费表 2 2 2" xfId="3667"/>
    <cellStyle name="差_2014年聘用学校导师带教经费表 2 2 2 2" xfId="3668"/>
    <cellStyle name="差_2014年聘用学校导师带教经费表 2 2 2 2 2" xfId="3669"/>
    <cellStyle name="差_2014年聘用学校导师带教经费表 2 2 2 3" xfId="3670"/>
    <cellStyle name="差_2014年聘用学校导师带教经费表 2 2 3" xfId="3671"/>
    <cellStyle name="差_2014年聘用学校导师带教经费表 2 2 3 2" xfId="3672"/>
    <cellStyle name="差_2014年聘用学校导师带教经费表 2 2 4" xfId="3673"/>
    <cellStyle name="差_2014年聘用学校导师带教经费表 2 2 4 2" xfId="3674"/>
    <cellStyle name="差_2014年聘用学校导师带教经费表 2 2 5" xfId="3675"/>
    <cellStyle name="差_2014年聘用学校导师带教经费表 2 3" xfId="3676"/>
    <cellStyle name="差_2014年聘用学校导师带教经费表 2 3 2" xfId="3677"/>
    <cellStyle name="差_2014年聘用学校导师带教经费表 2 3 2 2" xfId="3678"/>
    <cellStyle name="差_2014年聘用学校导师带教经费表 2 3 3" xfId="3679"/>
    <cellStyle name="差_2014年聘用学校导师带教经费表 2 4" xfId="3680"/>
    <cellStyle name="差_2014年聘用学校导师带教经费表 2 4 2" xfId="3681"/>
    <cellStyle name="差_2014年聘用学校导师带教经费表 2 5" xfId="3682"/>
    <cellStyle name="差_2014年聘用学校导师带教经费表 2 5 2" xfId="3683"/>
    <cellStyle name="差_2014年聘用学校导师带教经费表 2 6" xfId="3684"/>
    <cellStyle name="差_2014年聘用学校导师带教经费表 3" xfId="3685"/>
    <cellStyle name="差_2014年聘用学校导师带教经费表 3 2" xfId="3686"/>
    <cellStyle name="差_2014年聘用学校导师带教经费表 3 2 2" xfId="3687"/>
    <cellStyle name="差_2014年聘用学校导师带教经费表 3 2 2 2" xfId="3688"/>
    <cellStyle name="差_2014年聘用学校导师带教经费表 3 2 2 2 2" xfId="3689"/>
    <cellStyle name="差_2014年聘用学校导师带教经费表 3 2 2 3" xfId="3690"/>
    <cellStyle name="差_2014年聘用学校导师带教经费表 3 2 3" xfId="3691"/>
    <cellStyle name="差_2014年聘用学校导师带教经费表 3 2 3 2" xfId="3692"/>
    <cellStyle name="差_2014年聘用学校导师带教经费表 3 2 4" xfId="3693"/>
    <cellStyle name="差_2014年聘用学校导师带教经费表 3 2 4 2" xfId="3694"/>
    <cellStyle name="差_2014年聘用学校导师带教经费表 3 2 5" xfId="3695"/>
    <cellStyle name="差_2014年聘用学校导师带教经费表 3 3" xfId="3696"/>
    <cellStyle name="差_2014年聘用学校导师带教经费表 3 3 2" xfId="3697"/>
    <cellStyle name="差_2014年聘用学校导师带教经费表 3 3 2 2" xfId="3698"/>
    <cellStyle name="差_2014年聘用学校导师带教经费表 3 3 3" xfId="3699"/>
    <cellStyle name="差_2014年聘用学校导师带教经费表 3 4" xfId="3700"/>
    <cellStyle name="差_2014年聘用学校导师带教经费表 3 4 2" xfId="3701"/>
    <cellStyle name="差_2014年聘用学校导师带教经费表 3 5" xfId="3702"/>
    <cellStyle name="差_2014年聘用学校导师带教经费表 3 5 2" xfId="3703"/>
    <cellStyle name="差_2014年聘用学校导师带教经费表 3 6" xfId="3704"/>
    <cellStyle name="差_2014年聘用学校导师带教经费表 4" xfId="3705"/>
    <cellStyle name="差_2014年聘用学校导师带教经费表 4 2" xfId="3706"/>
    <cellStyle name="差_2014年聘用学校导师带教经费表 4 2 2" xfId="3707"/>
    <cellStyle name="差_2014年聘用学校导师带教经费表 4 2 2 2" xfId="3708"/>
    <cellStyle name="差_2014年聘用学校导师带教经费表 4 2 2 2 2" xfId="3709"/>
    <cellStyle name="差_2014年聘用学校导师带教经费表 4 2 2 3" xfId="3710"/>
    <cellStyle name="差_2014年聘用学校导师带教经费表 4 2 3" xfId="3711"/>
    <cellStyle name="差_2014年聘用学校导师带教经费表 4 2 3 2" xfId="3712"/>
    <cellStyle name="差_2014年聘用学校导师带教经费表 4 2 4" xfId="3713"/>
    <cellStyle name="差_2014年聘用学校导师带教经费表 4 2 4 2" xfId="3714"/>
    <cellStyle name="差_2014年聘用学校导师带教经费表 4 2 5" xfId="3715"/>
    <cellStyle name="差_2014年聘用学校导师带教经费表 4 3" xfId="3716"/>
    <cellStyle name="差_2014年聘用学校导师带教经费表 4 3 2" xfId="3717"/>
    <cellStyle name="差_2014年聘用学校导师带教经费表 4 3 2 2" xfId="3718"/>
    <cellStyle name="差_2014年聘用学校导师带教经费表 4 3 3" xfId="3719"/>
    <cellStyle name="差_2014年聘用学校导师带教经费表 4 4" xfId="3720"/>
    <cellStyle name="差_2014年聘用学校导师带教经费表 4 4 2" xfId="3721"/>
    <cellStyle name="差_2014年聘用学校导师带教经费表 4 5" xfId="3722"/>
    <cellStyle name="差_2014年聘用学校导师带教经费表 4 5 2" xfId="3723"/>
    <cellStyle name="差_2014年聘用学校导师带教经费表 4 6" xfId="3724"/>
    <cellStyle name="差_2014年聘用学校导师带教经费表 5" xfId="3725"/>
    <cellStyle name="差_2014年聘用学校导师带教经费表 5 2" xfId="3726"/>
    <cellStyle name="差_2014年聘用学校导师带教经费表 5 2 2" xfId="3727"/>
    <cellStyle name="差_2014年聘用学校导师带教经费表 5 2 2 2" xfId="3728"/>
    <cellStyle name="差_2014年聘用学校导师带教经费表 5 2 3" xfId="3729"/>
    <cellStyle name="差_2014年聘用学校导师带教经费表 5 3" xfId="3730"/>
    <cellStyle name="差_2014年聘用学校导师带教经费表 5 3 2" xfId="3731"/>
    <cellStyle name="差_2014年聘用学校导师带教经费表 5 4" xfId="3732"/>
    <cellStyle name="差_2014年聘用学校导师带教经费表 5 4 2" xfId="3733"/>
    <cellStyle name="差_2014年聘用学校导师带教经费表 5 5" xfId="3734"/>
    <cellStyle name="差_2014年聘用学校导师带教经费表 6" xfId="3735"/>
    <cellStyle name="差_2014年聘用学校导师带教经费表 6 2" xfId="3736"/>
    <cellStyle name="差_2014年聘用学校导师带教经费表 6 2 2" xfId="3737"/>
    <cellStyle name="差_2014年聘用学校导师带教经费表 6 2 2 2" xfId="3738"/>
    <cellStyle name="差_2014年聘用学校导师带教经费表 6 2 3" xfId="3739"/>
    <cellStyle name="差_2014年聘用学校导师带教经费表 6 3" xfId="3740"/>
    <cellStyle name="差_2014年聘用学校导师带教经费表 6 3 2" xfId="3741"/>
    <cellStyle name="差_2014年聘用学校导师带教经费表 6 4" xfId="3742"/>
    <cellStyle name="差_2014年聘用学校导师带教经费表 6 4 2" xfId="3743"/>
    <cellStyle name="差_2014年聘用学校导师带教经费表 6 5" xfId="3744"/>
    <cellStyle name="差_2014年聘用学校导师带教经费表 7" xfId="3745"/>
    <cellStyle name="差_2014年聘用学校导师带教经费表 7 2" xfId="3746"/>
    <cellStyle name="差_2014年聘用学校导师带教经费表 7 2 2" xfId="3747"/>
    <cellStyle name="差_2014年聘用学校导师带教经费表 7 3" xfId="3748"/>
    <cellStyle name="差_2014年聘用学校导师带教经费表 8" xfId="3749"/>
    <cellStyle name="差_2014年聘用学校导师带教经费表 8 2" xfId="3750"/>
    <cellStyle name="差_2014年聘用学校导师带教经费表 9" xfId="3751"/>
    <cellStyle name="差_2014年聘用学校导师带教经费表 9 2" xfId="3752"/>
    <cellStyle name="差_2014年终考核奖完整版-给核算中心" xfId="3753"/>
    <cellStyle name="差_2014年终考核奖完整版-给核算中心 2" xfId="3754"/>
    <cellStyle name="差_2014年终考核奖完整版-给核算中心 2 2" xfId="3755"/>
    <cellStyle name="差_2014年终考核奖完整版-给核算中心 2 2 2" xfId="3756"/>
    <cellStyle name="差_2014年终考核奖完整版-给核算中心 2 2 2 2" xfId="3757"/>
    <cellStyle name="差_2014年终考核奖完整版-给核算中心 2 2 2 2 2" xfId="3758"/>
    <cellStyle name="差_2014年终考核奖完整版-给核算中心 2 2 2 3" xfId="3759"/>
    <cellStyle name="差_2014年终考核奖完整版-给核算中心 2 2 3" xfId="3760"/>
    <cellStyle name="差_2014年终考核奖完整版-给核算中心 2 2 3 2" xfId="3761"/>
    <cellStyle name="差_2014年终考核奖完整版-给核算中心 2 2 4" xfId="3762"/>
    <cellStyle name="差_2014年终考核奖完整版-给核算中心 2 2 4 2" xfId="3763"/>
    <cellStyle name="差_2014年终考核奖完整版-给核算中心 2 2 5" xfId="3764"/>
    <cellStyle name="差_2014年终考核奖完整版-给核算中心 2 3" xfId="3765"/>
    <cellStyle name="差_2014年终考核奖完整版-给核算中心 2 3 2" xfId="3766"/>
    <cellStyle name="差_2014年终考核奖完整版-给核算中心 2 3 2 2" xfId="3767"/>
    <cellStyle name="差_2014年终考核奖完整版-给核算中心 2 3 3" xfId="3768"/>
    <cellStyle name="差_2014年终考核奖完整版-给核算中心 2 4" xfId="3769"/>
    <cellStyle name="差_2014年终考核奖完整版-给核算中心 2 4 2" xfId="3770"/>
    <cellStyle name="差_2014年终考核奖完整版-给核算中心 2 5" xfId="3771"/>
    <cellStyle name="差_2014年终考核奖完整版-给核算中心 2 5 2" xfId="3772"/>
    <cellStyle name="差_2014年终考核奖完整版-给核算中心 2 6" xfId="3773"/>
    <cellStyle name="差_2014年终考核奖完整版-给核算中心 3" xfId="3774"/>
    <cellStyle name="差_2014年终考核奖完整版-给核算中心 3 2" xfId="3775"/>
    <cellStyle name="差_2014年终考核奖完整版-给核算中心 3 2 2" xfId="3776"/>
    <cellStyle name="差_2014年终考核奖完整版-给核算中心 3 2 2 2" xfId="3777"/>
    <cellStyle name="差_2014年终考核奖完整版-给核算中心 3 2 3" xfId="3778"/>
    <cellStyle name="差_2014年终考核奖完整版-给核算中心 3 3" xfId="3779"/>
    <cellStyle name="差_2014年终考核奖完整版-给核算中心 3 3 2" xfId="3780"/>
    <cellStyle name="差_2014年终考核奖完整版-给核算中心 3 4" xfId="3781"/>
    <cellStyle name="差_2014年终考核奖完整版-给核算中心 3 4 2" xfId="3782"/>
    <cellStyle name="差_2014年终考核奖完整版-给核算中心 3 5" xfId="3783"/>
    <cellStyle name="差_2014年终考核奖完整版-给核算中心 4" xfId="3784"/>
    <cellStyle name="差_2014年终考核奖完整版-给核算中心 4 2" xfId="3785"/>
    <cellStyle name="差_2014年终考核奖完整版-给核算中心 4 2 2" xfId="3786"/>
    <cellStyle name="差_2014年终考核奖完整版-给核算中心 4 2 2 2" xfId="3787"/>
    <cellStyle name="差_2014年终考核奖完整版-给核算中心 4 2 3" xfId="3788"/>
    <cellStyle name="差_2014年终考核奖完整版-给核算中心 4 3" xfId="3789"/>
    <cellStyle name="差_2014年终考核奖完整版-给核算中心 4 3 2" xfId="3790"/>
    <cellStyle name="差_2014年终考核奖完整版-给核算中心 4 4" xfId="3791"/>
    <cellStyle name="差_2014年终考核奖完整版-给核算中心 4 4 2" xfId="3792"/>
    <cellStyle name="差_2014年终考核奖完整版-给核算中心 4 5" xfId="3793"/>
    <cellStyle name="差_2014年终考核奖完整版-给核算中心 5" xfId="3794"/>
    <cellStyle name="差_2014年终考核奖完整版-给核算中心 5 2" xfId="3795"/>
    <cellStyle name="差_2014年终考核奖完整版-给核算中心 5 2 2" xfId="3796"/>
    <cellStyle name="差_2014年终考核奖完整版-给核算中心 5 3" xfId="3797"/>
    <cellStyle name="差_2014年终考核奖完整版-给核算中心 6" xfId="3798"/>
    <cellStyle name="差_2014年终考核奖完整版-给核算中心 6 2" xfId="3799"/>
    <cellStyle name="差_2014年终考核奖完整版-给核算中心 7" xfId="3800"/>
    <cellStyle name="差_2014年终考核奖完整版-给核算中心 7 2" xfId="3801"/>
    <cellStyle name="差_2014年终考核奖完整版-给核算中心 8" xfId="3802"/>
    <cellStyle name="差_2014年终考核奖完整版-给核算中心 8 2" xfId="3803"/>
    <cellStyle name="差_2014年终考核奖完整版-给核算中心 9" xfId="3804"/>
    <cellStyle name="差_2014优秀学校奖励测算表" xfId="3805"/>
    <cellStyle name="差_2014优秀学校奖励测算表 2" xfId="3806"/>
    <cellStyle name="差_2014优秀学校奖励测算表 2 2" xfId="3807"/>
    <cellStyle name="差_2014优秀学校奖励测算表 2 2 2" xfId="3808"/>
    <cellStyle name="差_2014优秀学校奖励测算表 2 2 2 2" xfId="3809"/>
    <cellStyle name="差_2014优秀学校奖励测算表 2 2 2 2 2" xfId="3810"/>
    <cellStyle name="差_2014优秀学校奖励测算表 2 2 2 3" xfId="3811"/>
    <cellStyle name="差_2014优秀学校奖励测算表 2 2 3" xfId="3812"/>
    <cellStyle name="差_2014优秀学校奖励测算表 2 2 3 2" xfId="3813"/>
    <cellStyle name="差_2014优秀学校奖励测算表 2 2 4" xfId="3814"/>
    <cellStyle name="差_2014优秀学校奖励测算表 2 2 4 2" xfId="3815"/>
    <cellStyle name="差_2014优秀学校奖励测算表 2 2 5" xfId="3816"/>
    <cellStyle name="差_2014优秀学校奖励测算表 2 3" xfId="3817"/>
    <cellStyle name="差_2014优秀学校奖励测算表 2 3 2" xfId="3818"/>
    <cellStyle name="差_2014优秀学校奖励测算表 2 3 2 2" xfId="3819"/>
    <cellStyle name="差_2014优秀学校奖励测算表 2 3 3" xfId="3820"/>
    <cellStyle name="差_2014优秀学校奖励测算表 2 4" xfId="3821"/>
    <cellStyle name="差_2014优秀学校奖励测算表 2 4 2" xfId="3822"/>
    <cellStyle name="差_2014优秀学校奖励测算表 2 5" xfId="3823"/>
    <cellStyle name="差_2014优秀学校奖励测算表 2 5 2" xfId="3824"/>
    <cellStyle name="差_2014优秀学校奖励测算表 2 6" xfId="3825"/>
    <cellStyle name="差_2014优秀学校奖励测算表 3" xfId="3826"/>
    <cellStyle name="差_2014优秀学校奖励测算表 3 2" xfId="3827"/>
    <cellStyle name="差_2014优秀学校奖励测算表 3 2 2" xfId="3828"/>
    <cellStyle name="差_2014优秀学校奖励测算表 3 2 2 2" xfId="3829"/>
    <cellStyle name="差_2014优秀学校奖励测算表 3 2 3" xfId="3830"/>
    <cellStyle name="差_2014优秀学校奖励测算表 3 3" xfId="3831"/>
    <cellStyle name="差_2014优秀学校奖励测算表 3 3 2" xfId="3832"/>
    <cellStyle name="差_2014优秀学校奖励测算表 3 4" xfId="3833"/>
    <cellStyle name="差_2014优秀学校奖励测算表 3 4 2" xfId="3834"/>
    <cellStyle name="差_2014优秀学校奖励测算表 3 5" xfId="3835"/>
    <cellStyle name="差_2014优秀学校奖励测算表 4" xfId="3836"/>
    <cellStyle name="差_2014优秀学校奖励测算表 4 2" xfId="3837"/>
    <cellStyle name="差_2014优秀学校奖励测算表 4 2 2" xfId="3838"/>
    <cellStyle name="差_2014优秀学校奖励测算表 4 2 2 2" xfId="3839"/>
    <cellStyle name="差_2014优秀学校奖励测算表 4 2 3" xfId="3840"/>
    <cellStyle name="差_2014优秀学校奖励测算表 4 3" xfId="3841"/>
    <cellStyle name="差_2014优秀学校奖励测算表 4 3 2" xfId="3842"/>
    <cellStyle name="差_2014优秀学校奖励测算表 4 4" xfId="3843"/>
    <cellStyle name="差_2014优秀学校奖励测算表 4 4 2" xfId="3844"/>
    <cellStyle name="差_2014优秀学校奖励测算表 4 5" xfId="3845"/>
    <cellStyle name="差_2014优秀学校奖励测算表 5" xfId="3846"/>
    <cellStyle name="差_2014优秀学校奖励测算表 5 2" xfId="3847"/>
    <cellStyle name="差_2014优秀学校奖励测算表 5 2 2" xfId="3848"/>
    <cellStyle name="差_2014优秀学校奖励测算表 5 3" xfId="3849"/>
    <cellStyle name="差_2014优秀学校奖励测算表 6" xfId="3850"/>
    <cellStyle name="差_2014优秀学校奖励测算表 6 2" xfId="3851"/>
    <cellStyle name="差_2014优秀学校奖励测算表 7" xfId="3852"/>
    <cellStyle name="差_2014优秀学校奖励测算表 7 2" xfId="3853"/>
    <cellStyle name="差_2014优秀学校奖励测算表 8" xfId="3854"/>
    <cellStyle name="差_2014优秀学校奖励测算表 8 2" xfId="3855"/>
    <cellStyle name="差_2014优秀学校奖励测算表 9" xfId="3856"/>
    <cellStyle name="差_2015年年终奖预发表-给核算中心" xfId="3857"/>
    <cellStyle name="差_2015年年终奖预发表-给核算中心 2" xfId="3858"/>
    <cellStyle name="差_2015年年终奖预发表-给核算中心 2 2" xfId="3859"/>
    <cellStyle name="差_2015年年终奖预发表-给核算中心 2 2 2" xfId="3860"/>
    <cellStyle name="差_2015年年终奖预发表-给核算中心 2 2 2 2" xfId="3861"/>
    <cellStyle name="差_2015年年终奖预发表-给核算中心 2 2 2 2 2" xfId="3862"/>
    <cellStyle name="差_2015年年终奖预发表-给核算中心 2 2 2 3" xfId="3863"/>
    <cellStyle name="差_2015年年终奖预发表-给核算中心 2 2 3" xfId="3864"/>
    <cellStyle name="差_2015年年终奖预发表-给核算中心 2 2 3 2" xfId="3865"/>
    <cellStyle name="差_2015年年终奖预发表-给核算中心 2 2 4" xfId="3866"/>
    <cellStyle name="差_2015年年终奖预发表-给核算中心 2 2 4 2" xfId="3867"/>
    <cellStyle name="差_2015年年终奖预发表-给核算中心 2 2 5" xfId="3868"/>
    <cellStyle name="差_2015年年终奖预发表-给核算中心 2 3" xfId="3869"/>
    <cellStyle name="差_2015年年终奖预发表-给核算中心 2 3 2" xfId="3870"/>
    <cellStyle name="差_2015年年终奖预发表-给核算中心 2 3 2 2" xfId="3871"/>
    <cellStyle name="差_2015年年终奖预发表-给核算中心 2 3 3" xfId="3872"/>
    <cellStyle name="差_2015年年终奖预发表-给核算中心 2 4" xfId="3873"/>
    <cellStyle name="差_2015年年终奖预发表-给核算中心 2 4 2" xfId="3874"/>
    <cellStyle name="差_2015年年终奖预发表-给核算中心 2 5" xfId="3875"/>
    <cellStyle name="差_2015年年终奖预发表-给核算中心 2 5 2" xfId="3876"/>
    <cellStyle name="差_2015年年终奖预发表-给核算中心 2 6" xfId="3877"/>
    <cellStyle name="差_2015年年终奖预发表-给核算中心 3" xfId="3878"/>
    <cellStyle name="差_2015年年终奖预发表-给核算中心 3 2" xfId="3879"/>
    <cellStyle name="差_2015年年终奖预发表-给核算中心 3 2 2" xfId="3880"/>
    <cellStyle name="差_2015年年终奖预发表-给核算中心 3 2 2 2" xfId="3881"/>
    <cellStyle name="差_2015年年终奖预发表-给核算中心 3 2 3" xfId="3882"/>
    <cellStyle name="差_2015年年终奖预发表-给核算中心 3 3" xfId="3883"/>
    <cellStyle name="差_2015年年终奖预发表-给核算中心 3 3 2" xfId="3884"/>
    <cellStyle name="差_2015年年终奖预发表-给核算中心 3 4" xfId="3885"/>
    <cellStyle name="差_2015年年终奖预发表-给核算中心 3 4 2" xfId="3886"/>
    <cellStyle name="差_2015年年终奖预发表-给核算中心 3 5" xfId="3887"/>
    <cellStyle name="差_2015年年终奖预发表-给核算中心 4" xfId="3888"/>
    <cellStyle name="差_2015年年终奖预发表-给核算中心 4 2" xfId="3889"/>
    <cellStyle name="差_2015年年终奖预发表-给核算中心 4 2 2" xfId="3890"/>
    <cellStyle name="差_2015年年终奖预发表-给核算中心 4 2 2 2" xfId="3891"/>
    <cellStyle name="差_2015年年终奖预发表-给核算中心 4 2 3" xfId="3892"/>
    <cellStyle name="差_2015年年终奖预发表-给核算中心 4 3" xfId="3893"/>
    <cellStyle name="差_2015年年终奖预发表-给核算中心 4 3 2" xfId="3894"/>
    <cellStyle name="差_2015年年终奖预发表-给核算中心 4 4" xfId="3895"/>
    <cellStyle name="差_2015年年终奖预发表-给核算中心 4 4 2" xfId="3896"/>
    <cellStyle name="差_2015年年终奖预发表-给核算中心 4 5" xfId="3897"/>
    <cellStyle name="差_2015年年终奖预发表-给核算中心 5" xfId="3898"/>
    <cellStyle name="差_2015年年终奖预发表-给核算中心 5 2" xfId="3899"/>
    <cellStyle name="差_2015年年终奖预发表-给核算中心 5 2 2" xfId="3900"/>
    <cellStyle name="差_2015年年终奖预发表-给核算中心 5 3" xfId="3901"/>
    <cellStyle name="差_2015年年终奖预发表-给核算中心 6" xfId="3902"/>
    <cellStyle name="差_2015年年终奖预发表-给核算中心 6 2" xfId="3903"/>
    <cellStyle name="差_2015年年终奖预发表-给核算中心 7" xfId="3904"/>
    <cellStyle name="差_2015年年终奖预发表-给核算中心 7 2" xfId="3905"/>
    <cellStyle name="差_2015年年终奖预发表-给核算中心 8" xfId="3906"/>
    <cellStyle name="差_2015年年终奖预发表-给核算中心 8 2" xfId="3907"/>
    <cellStyle name="差_2015年年终奖预发表-给核算中心 9" xfId="3908"/>
    <cellStyle name="差_2016年3月校长职级工资（核算中心）" xfId="3909"/>
    <cellStyle name="差_2016年3月校长职级工资（核算中心） 2" xfId="3910"/>
    <cellStyle name="差_2016年3月校长职级工资（核算中心） 2 2" xfId="3911"/>
    <cellStyle name="差_2016年3月校长职级工资（核算中心） 2 2 2" xfId="3912"/>
    <cellStyle name="差_2016年3月校长职级工资（核算中心） 2 2 2 2" xfId="3913"/>
    <cellStyle name="差_2016年3月校长职级工资（核算中心） 2 2 2 2 2" xfId="3914"/>
    <cellStyle name="差_2016年3月校长职级工资（核算中心） 2 2 2 3" xfId="3915"/>
    <cellStyle name="差_2016年3月校长职级工资（核算中心） 2 2 3" xfId="3916"/>
    <cellStyle name="差_2016年3月校长职级工资（核算中心） 2 2 3 2" xfId="3917"/>
    <cellStyle name="差_2016年3月校长职级工资（核算中心） 2 2 4" xfId="3918"/>
    <cellStyle name="差_2016年3月校长职级工资（核算中心） 2 2 4 2" xfId="3919"/>
    <cellStyle name="差_2016年3月校长职级工资（核算中心） 2 2 5" xfId="3920"/>
    <cellStyle name="差_2016年3月校长职级工资（核算中心） 2 3" xfId="3921"/>
    <cellStyle name="差_2016年3月校长职级工资（核算中心） 2 3 2" xfId="3922"/>
    <cellStyle name="差_2016年3月校长职级工资（核算中心） 2 3 2 2" xfId="3923"/>
    <cellStyle name="差_2016年3月校长职级工资（核算中心） 2 3 3" xfId="3924"/>
    <cellStyle name="差_2016年3月校长职级工资（核算中心） 2 4" xfId="3925"/>
    <cellStyle name="差_2016年3月校长职级工资（核算中心） 2 4 2" xfId="3926"/>
    <cellStyle name="差_2016年3月校长职级工资（核算中心） 2 5" xfId="3927"/>
    <cellStyle name="差_2016年3月校长职级工资（核算中心） 2 5 2" xfId="3928"/>
    <cellStyle name="差_2016年3月校长职级工资（核算中心） 2 6" xfId="3929"/>
    <cellStyle name="差_2016年3月校长职级工资（核算中心） 3" xfId="3930"/>
    <cellStyle name="差_2016年3月校长职级工资（核算中心） 3 2" xfId="3931"/>
    <cellStyle name="差_2016年3月校长职级工资（核算中心） 3 2 2" xfId="3932"/>
    <cellStyle name="差_2016年3月校长职级工资（核算中心） 3 2 2 2" xfId="3933"/>
    <cellStyle name="差_2016年3月校长职级工资（核算中心） 3 2 3" xfId="3934"/>
    <cellStyle name="差_2016年3月校长职级工资（核算中心） 3 3" xfId="3935"/>
    <cellStyle name="差_2016年3月校长职级工资（核算中心） 3 3 2" xfId="3936"/>
    <cellStyle name="差_2016年3月校长职级工资（核算中心） 3 4" xfId="3937"/>
    <cellStyle name="差_2016年3月校长职级工资（核算中心） 3 4 2" xfId="3938"/>
    <cellStyle name="差_2016年3月校长职级工资（核算中心） 3 5" xfId="3939"/>
    <cellStyle name="差_2016年3月校长职级工资（核算中心） 4" xfId="3940"/>
    <cellStyle name="差_2016年3月校长职级工资（核算中心） 4 2" xfId="3941"/>
    <cellStyle name="差_2016年3月校长职级工资（核算中心） 4 2 2" xfId="3942"/>
    <cellStyle name="差_2016年3月校长职级工资（核算中心） 4 2 2 2" xfId="3943"/>
    <cellStyle name="差_2016年3月校长职级工资（核算中心） 4 2 3" xfId="3944"/>
    <cellStyle name="差_2016年3月校长职级工资（核算中心） 4 3" xfId="3945"/>
    <cellStyle name="差_2016年3月校长职级工资（核算中心） 4 3 2" xfId="3946"/>
    <cellStyle name="差_2016年3月校长职级工资（核算中心） 4 4" xfId="3947"/>
    <cellStyle name="差_2016年3月校长职级工资（核算中心） 4 4 2" xfId="3948"/>
    <cellStyle name="差_2016年3月校长职级工资（核算中心） 4 5" xfId="3949"/>
    <cellStyle name="差_2016年3月校长职级工资（核算中心） 5" xfId="3950"/>
    <cellStyle name="差_2016年3月校长职级工资（核算中心） 5 2" xfId="3951"/>
    <cellStyle name="差_2016年3月校长职级工资（核算中心） 5 2 2" xfId="3952"/>
    <cellStyle name="差_2016年3月校长职级工资（核算中心） 5 3" xfId="3953"/>
    <cellStyle name="差_2016年3月校长职级工资（核算中心） 6" xfId="3954"/>
    <cellStyle name="差_2016年3月校长职级工资（核算中心） 6 2" xfId="3955"/>
    <cellStyle name="差_2016年3月校长职级工资（核算中心） 7" xfId="3956"/>
    <cellStyle name="差_2016年3月校长职级工资（核算中心） 7 2" xfId="3957"/>
    <cellStyle name="差_2016年3月校长职级工资（核算中心） 8" xfId="3958"/>
    <cellStyle name="差_2016年3月校长职级工资（核算中心） 8 2" xfId="3959"/>
    <cellStyle name="差_2016年3月校长职级工资（核算中心） 9" xfId="3960"/>
    <cellStyle name="差_2016统计人数汇总表（完稿版）9.12" xfId="3961"/>
    <cellStyle name="差_2016统计人数汇总表（完稿版）9.12 2" xfId="3962"/>
    <cellStyle name="差_2016统计人数汇总表（完稿版）9.12 2 2" xfId="3963"/>
    <cellStyle name="差_2016统计人数汇总表（完稿版）9.12 2 2 2" xfId="3964"/>
    <cellStyle name="差_2016统计人数汇总表（完稿版）9.12 2 2 2 2" xfId="3965"/>
    <cellStyle name="差_2016统计人数汇总表（完稿版）9.12 2 2 2 2 2" xfId="3966"/>
    <cellStyle name="差_2016统计人数汇总表（完稿版）9.12 2 2 2 3" xfId="3967"/>
    <cellStyle name="差_2016统计人数汇总表（完稿版）9.12 2 2 3" xfId="3968"/>
    <cellStyle name="差_2016统计人数汇总表（完稿版）9.12 2 2 3 2" xfId="3969"/>
    <cellStyle name="差_2016统计人数汇总表（完稿版）9.12 2 2 4" xfId="3970"/>
    <cellStyle name="差_2016统计人数汇总表（完稿版）9.12 2 2 4 2" xfId="3971"/>
    <cellStyle name="差_2016统计人数汇总表（完稿版）9.12 2 2 5" xfId="3972"/>
    <cellStyle name="差_2016统计人数汇总表（完稿版）9.12 2 3" xfId="3973"/>
    <cellStyle name="差_2016统计人数汇总表（完稿版）9.12 2 3 2" xfId="3974"/>
    <cellStyle name="差_2016统计人数汇总表（完稿版）9.12 2 3 2 2" xfId="3975"/>
    <cellStyle name="差_2016统计人数汇总表（完稿版）9.12 2 3 3" xfId="3976"/>
    <cellStyle name="差_2016统计人数汇总表（完稿版）9.12 2 4" xfId="3977"/>
    <cellStyle name="差_2016统计人数汇总表（完稿版）9.12 2 4 2" xfId="3978"/>
    <cellStyle name="差_2016统计人数汇总表（完稿版）9.12 2 5" xfId="3979"/>
    <cellStyle name="差_2016统计人数汇总表（完稿版）9.12 2 5 2" xfId="3980"/>
    <cellStyle name="差_2016统计人数汇总表（完稿版）9.12 2 6" xfId="3981"/>
    <cellStyle name="差_2016统计人数汇总表（完稿版）9.12 3" xfId="3982"/>
    <cellStyle name="差_2016统计人数汇总表（完稿版）9.12 3 2" xfId="3983"/>
    <cellStyle name="差_2016统计人数汇总表（完稿版）9.12 3 2 2" xfId="3984"/>
    <cellStyle name="差_2016统计人数汇总表（完稿版）9.12 3 2 2 2" xfId="3985"/>
    <cellStyle name="差_2016统计人数汇总表（完稿版）9.12 3 2 3" xfId="3986"/>
    <cellStyle name="差_2016统计人数汇总表（完稿版）9.12 3 3" xfId="3987"/>
    <cellStyle name="差_2016统计人数汇总表（完稿版）9.12 3 3 2" xfId="3988"/>
    <cellStyle name="差_2016统计人数汇总表（完稿版）9.12 3 4" xfId="3989"/>
    <cellStyle name="差_2016统计人数汇总表（完稿版）9.12 3 4 2" xfId="3990"/>
    <cellStyle name="差_2016统计人数汇总表（完稿版）9.12 3 5" xfId="3991"/>
    <cellStyle name="差_2016统计人数汇总表（完稿版）9.12 4" xfId="3992"/>
    <cellStyle name="差_2016统计人数汇总表（完稿版）9.12 4 2" xfId="3993"/>
    <cellStyle name="差_2016统计人数汇总表（完稿版）9.12 4 2 2" xfId="3994"/>
    <cellStyle name="差_2016统计人数汇总表（完稿版）9.12 4 2 2 2" xfId="3995"/>
    <cellStyle name="差_2016统计人数汇总表（完稿版）9.12 4 2 3" xfId="3996"/>
    <cellStyle name="差_2016统计人数汇总表（完稿版）9.12 4 3" xfId="3997"/>
    <cellStyle name="差_2016统计人数汇总表（完稿版）9.12 4 3 2" xfId="3998"/>
    <cellStyle name="差_2016统计人数汇总表（完稿版）9.12 4 4" xfId="3999"/>
    <cellStyle name="差_2016统计人数汇总表（完稿版）9.12 4 4 2" xfId="4000"/>
    <cellStyle name="差_2016统计人数汇总表（完稿版）9.12 4 5" xfId="4001"/>
    <cellStyle name="差_2016统计人数汇总表（完稿版）9.12 5" xfId="4002"/>
    <cellStyle name="差_2016统计人数汇总表（完稿版）9.12 5 2" xfId="4003"/>
    <cellStyle name="差_2016统计人数汇总表（完稿版）9.12 5 2 2" xfId="4004"/>
    <cellStyle name="差_2016统计人数汇总表（完稿版）9.12 5 3" xfId="4005"/>
    <cellStyle name="差_2016统计人数汇总表（完稿版）9.12 6" xfId="4006"/>
    <cellStyle name="差_2016统计人数汇总表（完稿版）9.12 6 2" xfId="4007"/>
    <cellStyle name="差_2016统计人数汇总表（完稿版）9.12 7" xfId="4008"/>
    <cellStyle name="差_2016统计人数汇总表（完稿版）9.12 7 2" xfId="4009"/>
    <cellStyle name="差_2016统计人数汇总表（完稿版）9.12 8" xfId="4010"/>
    <cellStyle name="差_2016统计人数汇总表（完稿版）9.12 8 2" xfId="4011"/>
    <cellStyle name="差_2016统计人数汇总表（完稿版）9.12 9" xfId="4012"/>
    <cellStyle name="差_2017" xfId="8920"/>
    <cellStyle name="差_2017 2" xfId="8928"/>
    <cellStyle name="差_2017 2 2" xfId="8971"/>
    <cellStyle name="差_2017 3" xfId="8972"/>
    <cellStyle name="差_2017 4" xfId="8970"/>
    <cellStyle name="差_A0汇总表（报计财科：项目津贴发放）" xfId="4013"/>
    <cellStyle name="差_A0汇总表（报计财科：项目津贴发放） 2" xfId="4014"/>
    <cellStyle name="差_A0汇总表（报计财科：项目津贴发放） 2 2" xfId="4015"/>
    <cellStyle name="差_A0汇总表（报计财科：项目津贴发放） 2 2 2" xfId="4016"/>
    <cellStyle name="差_A0汇总表（报计财科：项目津贴发放） 2 2 2 2" xfId="4017"/>
    <cellStyle name="差_A0汇总表（报计财科：项目津贴发放） 2 2 2 2 2" xfId="4018"/>
    <cellStyle name="差_A0汇总表（报计财科：项目津贴发放） 2 2 2 3" xfId="4019"/>
    <cellStyle name="差_A0汇总表（报计财科：项目津贴发放） 2 2 3" xfId="4020"/>
    <cellStyle name="差_A0汇总表（报计财科：项目津贴发放） 2 2 3 2" xfId="4021"/>
    <cellStyle name="差_A0汇总表（报计财科：项目津贴发放） 2 2 4" xfId="4022"/>
    <cellStyle name="差_A0汇总表（报计财科：项目津贴发放） 2 2 4 2" xfId="4023"/>
    <cellStyle name="差_A0汇总表（报计财科：项目津贴发放） 2 2 5" xfId="4024"/>
    <cellStyle name="差_A0汇总表（报计财科：项目津贴发放） 2 3" xfId="4025"/>
    <cellStyle name="差_A0汇总表（报计财科：项目津贴发放） 2 3 2" xfId="4026"/>
    <cellStyle name="差_A0汇总表（报计财科：项目津贴发放） 2 3 2 2" xfId="4027"/>
    <cellStyle name="差_A0汇总表（报计财科：项目津贴发放） 2 3 3" xfId="4028"/>
    <cellStyle name="差_A0汇总表（报计财科：项目津贴发放） 2 4" xfId="4029"/>
    <cellStyle name="差_A0汇总表（报计财科：项目津贴发放） 2 4 2" xfId="4030"/>
    <cellStyle name="差_A0汇总表（报计财科：项目津贴发放） 2 5" xfId="4031"/>
    <cellStyle name="差_A0汇总表（报计财科：项目津贴发放） 2 5 2" xfId="4032"/>
    <cellStyle name="差_A0汇总表（报计财科：项目津贴发放） 2 6" xfId="4033"/>
    <cellStyle name="差_A0汇总表（报计财科：项目津贴发放） 3" xfId="4034"/>
    <cellStyle name="差_A0汇总表（报计财科：项目津贴发放） 3 2" xfId="4035"/>
    <cellStyle name="差_A0汇总表（报计财科：项目津贴发放） 3 2 2" xfId="4036"/>
    <cellStyle name="差_A0汇总表（报计财科：项目津贴发放） 3 2 2 2" xfId="4037"/>
    <cellStyle name="差_A0汇总表（报计财科：项目津贴发放） 3 2 3" xfId="4038"/>
    <cellStyle name="差_A0汇总表（报计财科：项目津贴发放） 3 3" xfId="4039"/>
    <cellStyle name="差_A0汇总表（报计财科：项目津贴发放） 3 3 2" xfId="4040"/>
    <cellStyle name="差_A0汇总表（报计财科：项目津贴发放） 3 4" xfId="4041"/>
    <cellStyle name="差_A0汇总表（报计财科：项目津贴发放） 3 4 2" xfId="4042"/>
    <cellStyle name="差_A0汇总表（报计财科：项目津贴发放） 3 5" xfId="4043"/>
    <cellStyle name="差_A0汇总表（报计财科：项目津贴发放） 4" xfId="4044"/>
    <cellStyle name="差_A0汇总表（报计财科：项目津贴发放） 4 2" xfId="4045"/>
    <cellStyle name="差_A0汇总表（报计财科：项目津贴发放） 4 2 2" xfId="4046"/>
    <cellStyle name="差_A0汇总表（报计财科：项目津贴发放） 4 2 2 2" xfId="4047"/>
    <cellStyle name="差_A0汇总表（报计财科：项目津贴发放） 4 2 3" xfId="4048"/>
    <cellStyle name="差_A0汇总表（报计财科：项目津贴发放） 4 3" xfId="4049"/>
    <cellStyle name="差_A0汇总表（报计财科：项目津贴发放） 4 3 2" xfId="4050"/>
    <cellStyle name="差_A0汇总表（报计财科：项目津贴发放） 4 4" xfId="4051"/>
    <cellStyle name="差_A0汇总表（报计财科：项目津贴发放） 4 4 2" xfId="4052"/>
    <cellStyle name="差_A0汇总表（报计财科：项目津贴发放） 4 5" xfId="4053"/>
    <cellStyle name="差_A0汇总表（报计财科：项目津贴发放） 5" xfId="4054"/>
    <cellStyle name="差_A0汇总表（报计财科：项目津贴发放） 5 2" xfId="4055"/>
    <cellStyle name="差_A0汇总表（报计财科：项目津贴发放） 5 2 2" xfId="4056"/>
    <cellStyle name="差_A0汇总表（报计财科：项目津贴发放） 5 3" xfId="4057"/>
    <cellStyle name="差_A0汇总表（报计财科：项目津贴发放） 6" xfId="4058"/>
    <cellStyle name="差_A0汇总表（报计财科：项目津贴发放） 6 2" xfId="4059"/>
    <cellStyle name="差_A0汇总表（报计财科：项目津贴发放） 7" xfId="4060"/>
    <cellStyle name="差_A0汇总表（报计财科：项目津贴发放） 7 2" xfId="4061"/>
    <cellStyle name="差_A0汇总表（报计财科：项目津贴发放） 8" xfId="4062"/>
    <cellStyle name="差_A0汇总表（报计财科：项目津贴发放） 8 2" xfId="4063"/>
    <cellStyle name="差_A0汇总表（报计财科：项目津贴发放） 9" xfId="4064"/>
    <cellStyle name="差_统筹-校长（暂估）" xfId="4065"/>
    <cellStyle name="差_统筹-校长（暂估） 2" xfId="4066"/>
    <cellStyle name="差_统筹-校长（暂估） 2 2" xfId="4067"/>
    <cellStyle name="差_统筹-校长（暂估） 2 2 2" xfId="4068"/>
    <cellStyle name="差_统筹-校长（暂估） 2 2 2 2" xfId="4069"/>
    <cellStyle name="差_统筹-校长（暂估） 2 2 2 2 2" xfId="4070"/>
    <cellStyle name="差_统筹-校长（暂估） 2 2 2 3" xfId="4071"/>
    <cellStyle name="差_统筹-校长（暂估） 2 2 3" xfId="4072"/>
    <cellStyle name="差_统筹-校长（暂估） 2 2 3 2" xfId="4073"/>
    <cellStyle name="差_统筹-校长（暂估） 2 2 4" xfId="4074"/>
    <cellStyle name="差_统筹-校长（暂估） 2 2 4 2" xfId="4075"/>
    <cellStyle name="差_统筹-校长（暂估） 2 2 5" xfId="4076"/>
    <cellStyle name="差_统筹-校长（暂估） 2 3" xfId="4077"/>
    <cellStyle name="差_统筹-校长（暂估） 2 3 2" xfId="4078"/>
    <cellStyle name="差_统筹-校长（暂估） 2 3 2 2" xfId="4079"/>
    <cellStyle name="差_统筹-校长（暂估） 2 3 3" xfId="4080"/>
    <cellStyle name="差_统筹-校长（暂估） 2 4" xfId="4081"/>
    <cellStyle name="差_统筹-校长（暂估） 2 4 2" xfId="4082"/>
    <cellStyle name="差_统筹-校长（暂估） 2 5" xfId="4083"/>
    <cellStyle name="差_统筹-校长（暂估） 2 5 2" xfId="4084"/>
    <cellStyle name="差_统筹-校长（暂估） 2 6" xfId="4085"/>
    <cellStyle name="差_统筹-校长（暂估） 3" xfId="4086"/>
    <cellStyle name="差_统筹-校长（暂估） 3 2" xfId="4087"/>
    <cellStyle name="差_统筹-校长（暂估） 3 2 2" xfId="4088"/>
    <cellStyle name="差_统筹-校长（暂估） 3 2 2 2" xfId="4089"/>
    <cellStyle name="差_统筹-校长（暂估） 3 2 3" xfId="4090"/>
    <cellStyle name="差_统筹-校长（暂估） 3 3" xfId="4091"/>
    <cellStyle name="差_统筹-校长（暂估） 3 3 2" xfId="4092"/>
    <cellStyle name="差_统筹-校长（暂估） 3 4" xfId="4093"/>
    <cellStyle name="差_统筹-校长（暂估） 3 4 2" xfId="4094"/>
    <cellStyle name="差_统筹-校长（暂估） 3 5" xfId="4095"/>
    <cellStyle name="差_统筹-校长（暂估） 4" xfId="4096"/>
    <cellStyle name="差_统筹-校长（暂估） 4 2" xfId="4097"/>
    <cellStyle name="差_统筹-校长（暂估） 4 2 2" xfId="4098"/>
    <cellStyle name="差_统筹-校长（暂估） 4 2 2 2" xfId="4099"/>
    <cellStyle name="差_统筹-校长（暂估） 4 2 3" xfId="4100"/>
    <cellStyle name="差_统筹-校长（暂估） 4 3" xfId="4101"/>
    <cellStyle name="差_统筹-校长（暂估） 4 3 2" xfId="4102"/>
    <cellStyle name="差_统筹-校长（暂估） 4 4" xfId="4103"/>
    <cellStyle name="差_统筹-校长（暂估） 4 4 2" xfId="4104"/>
    <cellStyle name="差_统筹-校长（暂估） 4 5" xfId="4105"/>
    <cellStyle name="差_统筹-校长（暂估） 5" xfId="4106"/>
    <cellStyle name="差_统筹-校长（暂估） 5 2" xfId="4107"/>
    <cellStyle name="差_统筹-校长（暂估） 5 2 2" xfId="4108"/>
    <cellStyle name="差_统筹-校长（暂估） 5 3" xfId="4109"/>
    <cellStyle name="差_统筹-校长（暂估） 6" xfId="4110"/>
    <cellStyle name="差_统筹-校长（暂估） 6 2" xfId="4111"/>
    <cellStyle name="差_统筹-校长（暂估） 7" xfId="4112"/>
    <cellStyle name="差_统筹-校长（暂估） 7 2" xfId="4113"/>
    <cellStyle name="差_统筹-校长（暂估） 8" xfId="4114"/>
    <cellStyle name="差_统筹-校长（暂估） 8 2" xfId="4115"/>
    <cellStyle name="差_统筹-校长（暂估） 9" xfId="4116"/>
    <cellStyle name="差_校长、书记2015年增量部分发放清单" xfId="4117"/>
    <cellStyle name="差_校长、书记2015年增量部分发放清单 2" xfId="4118"/>
    <cellStyle name="差_校长、书记2015年增量部分发放清单 2 2" xfId="4119"/>
    <cellStyle name="差_校长、书记2015年增量部分发放清单 2 2 2" xfId="4120"/>
    <cellStyle name="差_校长、书记2015年增量部分发放清单 2 2 2 2" xfId="4121"/>
    <cellStyle name="差_校长、书记2015年增量部分发放清单 2 2 2 2 2" xfId="4122"/>
    <cellStyle name="差_校长、书记2015年增量部分发放清单 2 2 2 3" xfId="4123"/>
    <cellStyle name="差_校长、书记2015年增量部分发放清单 2 2 3" xfId="4124"/>
    <cellStyle name="差_校长、书记2015年增量部分发放清单 2 2 3 2" xfId="4125"/>
    <cellStyle name="差_校长、书记2015年增量部分发放清单 2 2 4" xfId="4126"/>
    <cellStyle name="差_校长、书记2015年增量部分发放清单 2 2 4 2" xfId="4127"/>
    <cellStyle name="差_校长、书记2015年增量部分发放清单 2 2 5" xfId="4128"/>
    <cellStyle name="差_校长、书记2015年增量部分发放清单 2 3" xfId="4129"/>
    <cellStyle name="差_校长、书记2015年增量部分发放清单 2 3 2" xfId="4130"/>
    <cellStyle name="差_校长、书记2015年增量部分发放清单 2 3 2 2" xfId="4131"/>
    <cellStyle name="差_校长、书记2015年增量部分发放清单 2 3 3" xfId="4132"/>
    <cellStyle name="差_校长、书记2015年增量部分发放清单 2 4" xfId="4133"/>
    <cellStyle name="差_校长、书记2015年增量部分发放清单 2 4 2" xfId="4134"/>
    <cellStyle name="差_校长、书记2015年增量部分发放清单 2 5" xfId="4135"/>
    <cellStyle name="差_校长、书记2015年增量部分发放清单 2 5 2" xfId="4136"/>
    <cellStyle name="差_校长、书记2015年增量部分发放清单 2 6" xfId="4137"/>
    <cellStyle name="差_校长、书记2015年增量部分发放清单 3" xfId="4138"/>
    <cellStyle name="差_校长、书记2015年增量部分发放清单 3 2" xfId="4139"/>
    <cellStyle name="差_校长、书记2015年增量部分发放清单 3 2 2" xfId="4140"/>
    <cellStyle name="差_校长、书记2015年增量部分发放清单 3 2 2 2" xfId="4141"/>
    <cellStyle name="差_校长、书记2015年增量部分发放清单 3 2 3" xfId="4142"/>
    <cellStyle name="差_校长、书记2015年增量部分发放清单 3 3" xfId="4143"/>
    <cellStyle name="差_校长、书记2015年增量部分发放清单 3 3 2" xfId="4144"/>
    <cellStyle name="差_校长、书记2015年增量部分发放清单 3 4" xfId="4145"/>
    <cellStyle name="差_校长、书记2015年增量部分发放清单 3 4 2" xfId="4146"/>
    <cellStyle name="差_校长、书记2015年增量部分发放清单 3 5" xfId="4147"/>
    <cellStyle name="差_校长、书记2015年增量部分发放清单 4" xfId="4148"/>
    <cellStyle name="差_校长、书记2015年增量部分发放清单 4 2" xfId="4149"/>
    <cellStyle name="差_校长、书记2015年增量部分发放清单 4 2 2" xfId="4150"/>
    <cellStyle name="差_校长、书记2015年增量部分发放清单 4 2 2 2" xfId="4151"/>
    <cellStyle name="差_校长、书记2015年增量部分发放清单 4 2 3" xfId="4152"/>
    <cellStyle name="差_校长、书记2015年增量部分发放清单 4 3" xfId="4153"/>
    <cellStyle name="差_校长、书记2015年增量部分发放清单 4 3 2" xfId="4154"/>
    <cellStyle name="差_校长、书记2015年增量部分发放清单 4 4" xfId="4155"/>
    <cellStyle name="差_校长、书记2015年增量部分发放清单 4 4 2" xfId="4156"/>
    <cellStyle name="差_校长、书记2015年增量部分发放清单 4 5" xfId="4157"/>
    <cellStyle name="差_校长、书记2015年增量部分发放清单 5" xfId="4158"/>
    <cellStyle name="差_校长、书记2015年增量部分发放清单 5 2" xfId="4159"/>
    <cellStyle name="差_校长、书记2015年增量部分发放清单 5 2 2" xfId="4160"/>
    <cellStyle name="差_校长、书记2015年增量部分发放清单 5 3" xfId="4161"/>
    <cellStyle name="差_校长、书记2015年增量部分发放清单 6" xfId="4162"/>
    <cellStyle name="差_校长、书记2015年增量部分发放清单 6 2" xfId="4163"/>
    <cellStyle name="差_校长、书记2015年增量部分发放清单 7" xfId="4164"/>
    <cellStyle name="差_校长、书记2015年增量部分发放清单 7 2" xfId="4165"/>
    <cellStyle name="差_校长、书记2015年增量部分发放清单 8" xfId="4166"/>
    <cellStyle name="差_校长、书记2015年增量部分发放清单 8 2" xfId="4167"/>
    <cellStyle name="差_校长、书记2015年增量部分发放清单 9" xfId="4168"/>
    <cellStyle name="差_校长职级、亚信会奖励、教师节奖励镇管" xfId="4169"/>
    <cellStyle name="差_校长职级、亚信会奖励、教师节奖励镇管 2" xfId="4170"/>
    <cellStyle name="差_校长职级、亚信会奖励、教师节奖励镇管 2 2" xfId="4171"/>
    <cellStyle name="差_校长职级、亚信会奖励、教师节奖励镇管 2 2 2" xfId="4172"/>
    <cellStyle name="差_校长职级、亚信会奖励、教师节奖励镇管 2 2 2 2" xfId="4173"/>
    <cellStyle name="差_校长职级、亚信会奖励、教师节奖励镇管 2 2 2 2 2" xfId="4174"/>
    <cellStyle name="差_校长职级、亚信会奖励、教师节奖励镇管 2 2 2 3" xfId="4175"/>
    <cellStyle name="差_校长职级、亚信会奖励、教师节奖励镇管 2 2 3" xfId="4176"/>
    <cellStyle name="差_校长职级、亚信会奖励、教师节奖励镇管 2 2 3 2" xfId="4177"/>
    <cellStyle name="差_校长职级、亚信会奖励、教师节奖励镇管 2 2 4" xfId="4178"/>
    <cellStyle name="差_校长职级、亚信会奖励、教师节奖励镇管 2 2 4 2" xfId="4179"/>
    <cellStyle name="差_校长职级、亚信会奖励、教师节奖励镇管 2 2 5" xfId="4180"/>
    <cellStyle name="差_校长职级、亚信会奖励、教师节奖励镇管 2 3" xfId="4181"/>
    <cellStyle name="差_校长职级、亚信会奖励、教师节奖励镇管 2 3 2" xfId="4182"/>
    <cellStyle name="差_校长职级、亚信会奖励、教师节奖励镇管 2 3 2 2" xfId="4183"/>
    <cellStyle name="差_校长职级、亚信会奖励、教师节奖励镇管 2 3 3" xfId="4184"/>
    <cellStyle name="差_校长职级、亚信会奖励、教师节奖励镇管 2 4" xfId="4185"/>
    <cellStyle name="差_校长职级、亚信会奖励、教师节奖励镇管 2 4 2" xfId="4186"/>
    <cellStyle name="差_校长职级、亚信会奖励、教师节奖励镇管 2 5" xfId="4187"/>
    <cellStyle name="差_校长职级、亚信会奖励、教师节奖励镇管 2 5 2" xfId="4188"/>
    <cellStyle name="差_校长职级、亚信会奖励、教师节奖励镇管 2 6" xfId="4189"/>
    <cellStyle name="差_校长职级、亚信会奖励、教师节奖励镇管 3" xfId="4190"/>
    <cellStyle name="差_校长职级、亚信会奖励、教师节奖励镇管 3 2" xfId="4191"/>
    <cellStyle name="差_校长职级、亚信会奖励、教师节奖励镇管 3 2 2" xfId="4192"/>
    <cellStyle name="差_校长职级、亚信会奖励、教师节奖励镇管 3 2 2 2" xfId="4193"/>
    <cellStyle name="差_校长职级、亚信会奖励、教师节奖励镇管 3 2 3" xfId="4194"/>
    <cellStyle name="差_校长职级、亚信会奖励、教师节奖励镇管 3 3" xfId="4195"/>
    <cellStyle name="差_校长职级、亚信会奖励、教师节奖励镇管 3 3 2" xfId="4196"/>
    <cellStyle name="差_校长职级、亚信会奖励、教师节奖励镇管 3 4" xfId="4197"/>
    <cellStyle name="差_校长职级、亚信会奖励、教师节奖励镇管 3 4 2" xfId="4198"/>
    <cellStyle name="差_校长职级、亚信会奖励、教师节奖励镇管 3 5" xfId="4199"/>
    <cellStyle name="差_校长职级、亚信会奖励、教师节奖励镇管 4" xfId="4200"/>
    <cellStyle name="差_校长职级、亚信会奖励、教师节奖励镇管 4 2" xfId="4201"/>
    <cellStyle name="差_校长职级、亚信会奖励、教师节奖励镇管 4 2 2" xfId="4202"/>
    <cellStyle name="差_校长职级、亚信会奖励、教师节奖励镇管 4 2 2 2" xfId="4203"/>
    <cellStyle name="差_校长职级、亚信会奖励、教师节奖励镇管 4 2 3" xfId="4204"/>
    <cellStyle name="差_校长职级、亚信会奖励、教师节奖励镇管 4 3" xfId="4205"/>
    <cellStyle name="差_校长职级、亚信会奖励、教师节奖励镇管 4 3 2" xfId="4206"/>
    <cellStyle name="差_校长职级、亚信会奖励、教师节奖励镇管 4 4" xfId="4207"/>
    <cellStyle name="差_校长职级、亚信会奖励、教师节奖励镇管 4 4 2" xfId="4208"/>
    <cellStyle name="差_校长职级、亚信会奖励、教师节奖励镇管 4 5" xfId="4209"/>
    <cellStyle name="差_校长职级、亚信会奖励、教师节奖励镇管 5" xfId="4210"/>
    <cellStyle name="差_校长职级、亚信会奖励、教师节奖励镇管 5 2" xfId="4211"/>
    <cellStyle name="差_校长职级、亚信会奖励、教师节奖励镇管 5 2 2" xfId="4212"/>
    <cellStyle name="差_校长职级、亚信会奖励、教师节奖励镇管 5 3" xfId="4213"/>
    <cellStyle name="差_校长职级、亚信会奖励、教师节奖励镇管 6" xfId="4214"/>
    <cellStyle name="差_校长职级、亚信会奖励、教师节奖励镇管 6 2" xfId="4215"/>
    <cellStyle name="差_校长职级、亚信会奖励、教师节奖励镇管 7" xfId="4216"/>
    <cellStyle name="差_校长职级、亚信会奖励、教师节奖励镇管 7 2" xfId="4217"/>
    <cellStyle name="差_校长职级、亚信会奖励、教师节奖励镇管 8" xfId="4218"/>
    <cellStyle name="差_校长职级、亚信会奖励、教师节奖励镇管 8 2" xfId="4219"/>
    <cellStyle name="差_校长职级、亚信会奖励、教师节奖励镇管 9" xfId="4220"/>
    <cellStyle name="差_镇管汇总" xfId="4221"/>
    <cellStyle name="差_镇管汇总 2" xfId="4222"/>
    <cellStyle name="差_镇管汇总 2 2" xfId="4223"/>
    <cellStyle name="差_镇管汇总 2 2 2" xfId="4224"/>
    <cellStyle name="差_镇管汇总 2 2 2 2" xfId="4225"/>
    <cellStyle name="差_镇管汇总 2 2 2 2 2" xfId="4226"/>
    <cellStyle name="差_镇管汇总 2 2 2 3" xfId="4227"/>
    <cellStyle name="差_镇管汇总 2 2 3" xfId="4228"/>
    <cellStyle name="差_镇管汇总 2 2 3 2" xfId="4229"/>
    <cellStyle name="差_镇管汇总 2 2 4" xfId="4230"/>
    <cellStyle name="差_镇管汇总 2 2 4 2" xfId="4231"/>
    <cellStyle name="差_镇管汇总 2 2 5" xfId="4232"/>
    <cellStyle name="差_镇管汇总 2 3" xfId="4233"/>
    <cellStyle name="差_镇管汇总 2 3 2" xfId="4234"/>
    <cellStyle name="差_镇管汇总 2 3 2 2" xfId="4235"/>
    <cellStyle name="差_镇管汇总 2 3 3" xfId="4236"/>
    <cellStyle name="差_镇管汇总 2 4" xfId="4237"/>
    <cellStyle name="差_镇管汇总 2 4 2" xfId="4238"/>
    <cellStyle name="差_镇管汇总 2 5" xfId="4239"/>
    <cellStyle name="差_镇管汇总 2 5 2" xfId="4240"/>
    <cellStyle name="差_镇管汇总 2 6" xfId="4241"/>
    <cellStyle name="差_镇管汇总 3" xfId="4242"/>
    <cellStyle name="差_镇管汇总 3 2" xfId="4243"/>
    <cellStyle name="差_镇管汇总 3 2 2" xfId="4244"/>
    <cellStyle name="差_镇管汇总 3 2 2 2" xfId="4245"/>
    <cellStyle name="差_镇管汇总 3 2 3" xfId="4246"/>
    <cellStyle name="差_镇管汇总 3 3" xfId="4247"/>
    <cellStyle name="差_镇管汇总 3 3 2" xfId="4248"/>
    <cellStyle name="差_镇管汇总 3 4" xfId="4249"/>
    <cellStyle name="差_镇管汇总 3 4 2" xfId="4250"/>
    <cellStyle name="差_镇管汇总 3 5" xfId="4251"/>
    <cellStyle name="差_镇管汇总 4" xfId="4252"/>
    <cellStyle name="差_镇管汇总 4 2" xfId="4253"/>
    <cellStyle name="差_镇管汇总 4 2 2" xfId="4254"/>
    <cellStyle name="差_镇管汇总 4 2 2 2" xfId="4255"/>
    <cellStyle name="差_镇管汇总 4 2 3" xfId="4256"/>
    <cellStyle name="差_镇管汇总 4 3" xfId="4257"/>
    <cellStyle name="差_镇管汇总 4 3 2" xfId="4258"/>
    <cellStyle name="差_镇管汇总 4 4" xfId="4259"/>
    <cellStyle name="差_镇管汇总 4 4 2" xfId="4260"/>
    <cellStyle name="差_镇管汇总 4 5" xfId="4261"/>
    <cellStyle name="差_镇管汇总 5" xfId="4262"/>
    <cellStyle name="差_镇管汇总 5 2" xfId="4263"/>
    <cellStyle name="差_镇管汇总 5 2 2" xfId="4264"/>
    <cellStyle name="差_镇管汇总 5 3" xfId="4265"/>
    <cellStyle name="差_镇管汇总 6" xfId="4266"/>
    <cellStyle name="差_镇管汇总 6 2" xfId="4267"/>
    <cellStyle name="差_镇管汇总 7" xfId="4268"/>
    <cellStyle name="差_镇管汇总 7 2" xfId="4269"/>
    <cellStyle name="差_镇管汇总 8" xfId="4270"/>
    <cellStyle name="差_镇管汇总 8 2" xfId="4271"/>
    <cellStyle name="差_镇管汇总 9" xfId="4272"/>
    <cellStyle name="常规" xfId="0" builtinId="0"/>
    <cellStyle name="常规 10" xfId="2"/>
    <cellStyle name="常规 10 10" xfId="9170"/>
    <cellStyle name="常规 10 10 2" xfId="9316"/>
    <cellStyle name="常规 10 11" xfId="4273"/>
    <cellStyle name="常规 10 2" xfId="18"/>
    <cellStyle name="常规 10 2 2" xfId="4275"/>
    <cellStyle name="常规 10 2 2 2" xfId="4276"/>
    <cellStyle name="常规 10 2 2 2 2" xfId="4277"/>
    <cellStyle name="常规 10 2 2 3" xfId="4278"/>
    <cellStyle name="常规 10 2 3" xfId="4279"/>
    <cellStyle name="常规 10 2 3 2" xfId="4280"/>
    <cellStyle name="常规 10 2 4" xfId="4281"/>
    <cellStyle name="常规 10 2 4 2" xfId="4282"/>
    <cellStyle name="常规 10 2 5" xfId="4283"/>
    <cellStyle name="常规 10 2 6" xfId="9186"/>
    <cellStyle name="常规 10 2 7" xfId="4274"/>
    <cellStyle name="常规 10 3" xfId="4284"/>
    <cellStyle name="常规 10 3 2" xfId="4285"/>
    <cellStyle name="常规 10 3 2 2" xfId="4286"/>
    <cellStyle name="常规 10 3 3" xfId="4287"/>
    <cellStyle name="常规 10 4" xfId="4288"/>
    <cellStyle name="常规 10 4 2" xfId="4289"/>
    <cellStyle name="常规 10 4 2 2" xfId="4290"/>
    <cellStyle name="常规 10 4 3" xfId="4291"/>
    <cellStyle name="常规 10 5" xfId="4292"/>
    <cellStyle name="常规 10 5 2" xfId="4293"/>
    <cellStyle name="常规 10 6" xfId="4294"/>
    <cellStyle name="常规 10 6 2" xfId="4295"/>
    <cellStyle name="常规 10 7" xfId="4296"/>
    <cellStyle name="常规 10 7 2" xfId="4297"/>
    <cellStyle name="常规 10 8" xfId="4298"/>
    <cellStyle name="常规 10 9" xfId="8886"/>
    <cellStyle name="常规 100" xfId="7"/>
    <cellStyle name="常规 100 2" xfId="12"/>
    <cellStyle name="常规 100 2 2" xfId="4300"/>
    <cellStyle name="常规 100 2 3" xfId="9220"/>
    <cellStyle name="常规 100 3" xfId="4299"/>
    <cellStyle name="常规 101" xfId="4"/>
    <cellStyle name="常规 101 2" xfId="9"/>
    <cellStyle name="常规 101 2 2" xfId="4303"/>
    <cellStyle name="常规 101 2 3" xfId="4302"/>
    <cellStyle name="常规 101 2 4" xfId="9219"/>
    <cellStyle name="常规 101 3" xfId="4304"/>
    <cellStyle name="常规 101 4" xfId="4301"/>
    <cellStyle name="常规 102" xfId="14"/>
    <cellStyle name="常规 102 2" xfId="4306"/>
    <cellStyle name="常规 102 3" xfId="4305"/>
    <cellStyle name="常规 102 4" xfId="9221"/>
    <cellStyle name="常规 103" xfId="4307"/>
    <cellStyle name="常规 103 2" xfId="4308"/>
    <cellStyle name="常规 104" xfId="4309"/>
    <cellStyle name="常规 104 2" xfId="4310"/>
    <cellStyle name="常规 104 2 2" xfId="4311"/>
    <cellStyle name="常规 104 3" xfId="4312"/>
    <cellStyle name="常规 105" xfId="4313"/>
    <cellStyle name="常规 105 2" xfId="4314"/>
    <cellStyle name="常规 106" xfId="4315"/>
    <cellStyle name="常规 107" xfId="8"/>
    <cellStyle name="常规 107 2" xfId="8587"/>
    <cellStyle name="常规 107 2 2" xfId="9222"/>
    <cellStyle name="常规 107 3" xfId="9218"/>
    <cellStyle name="常规 108" xfId="8589"/>
    <cellStyle name="常规 109" xfId="8598"/>
    <cellStyle name="常规 11" xfId="4316"/>
    <cellStyle name="常规 11 2" xfId="4317"/>
    <cellStyle name="常规 11 2 2" xfId="4318"/>
    <cellStyle name="常规 11 2 2 2" xfId="4319"/>
    <cellStyle name="常规 11 2 2 2 2" xfId="4320"/>
    <cellStyle name="常规 11 2 2 3" xfId="4321"/>
    <cellStyle name="常规 11 2 3" xfId="4322"/>
    <cellStyle name="常规 11 2 3 2" xfId="4323"/>
    <cellStyle name="常规 11 2 4" xfId="4324"/>
    <cellStyle name="常规 11 2 5" xfId="9187"/>
    <cellStyle name="常规 11 3" xfId="4325"/>
    <cellStyle name="常规 11 3 2" xfId="4326"/>
    <cellStyle name="常规 11 3 2 2" xfId="4327"/>
    <cellStyle name="常规 11 3 3" xfId="4328"/>
    <cellStyle name="常规 11 4" xfId="4329"/>
    <cellStyle name="常规 11 4 2" xfId="4330"/>
    <cellStyle name="常规 11 4 2 2" xfId="4331"/>
    <cellStyle name="常规 11 4 3" xfId="4332"/>
    <cellStyle name="常规 11 5" xfId="4333"/>
    <cellStyle name="常规 11 5 2" xfId="4334"/>
    <cellStyle name="常规 11 6" xfId="4335"/>
    <cellStyle name="常规 11 7" xfId="8887"/>
    <cellStyle name="常规 11 8" xfId="9168"/>
    <cellStyle name="常规 11 8 2" xfId="9315"/>
    <cellStyle name="常规 110" xfId="8599"/>
    <cellStyle name="常规 111" xfId="1"/>
    <cellStyle name="常规 111 2" xfId="21"/>
    <cellStyle name="常规 112" xfId="8882"/>
    <cellStyle name="常规 113" xfId="8948"/>
    <cellStyle name="常规 114" xfId="8959"/>
    <cellStyle name="常规 115" xfId="8962"/>
    <cellStyle name="常规 116" xfId="8996"/>
    <cellStyle name="常规 117" xfId="9000"/>
    <cellStyle name="常规 118" xfId="9001"/>
    <cellStyle name="常规 119" xfId="9002"/>
    <cellStyle name="常规 12" xfId="4336"/>
    <cellStyle name="常规 12 2" xfId="4337"/>
    <cellStyle name="常规 12 2 2" xfId="4338"/>
    <cellStyle name="常规 12 2 2 2" xfId="4339"/>
    <cellStyle name="常规 12 2 2 2 2" xfId="4340"/>
    <cellStyle name="常规 12 2 2 3" xfId="4341"/>
    <cellStyle name="常规 12 2 3" xfId="4342"/>
    <cellStyle name="常规 12 2 3 2" xfId="4343"/>
    <cellStyle name="常规 12 2 4" xfId="4344"/>
    <cellStyle name="常规 12 2 4 2" xfId="4345"/>
    <cellStyle name="常规 12 2 5" xfId="4346"/>
    <cellStyle name="常规 12 3" xfId="4347"/>
    <cellStyle name="常规 12 3 2" xfId="4348"/>
    <cellStyle name="常规 12 3 2 2" xfId="4349"/>
    <cellStyle name="常规 12 3 3" xfId="4350"/>
    <cellStyle name="常规 12 4" xfId="4351"/>
    <cellStyle name="常规 12 4 2" xfId="4352"/>
    <cellStyle name="常规 12 4 2 2" xfId="4353"/>
    <cellStyle name="常规 12 4 3" xfId="4354"/>
    <cellStyle name="常规 12 5" xfId="4355"/>
    <cellStyle name="常规 12 5 2" xfId="4356"/>
    <cellStyle name="常规 12 6" xfId="4357"/>
    <cellStyle name="常规 12 6 2" xfId="4358"/>
    <cellStyle name="常规 12 7" xfId="4359"/>
    <cellStyle name="常规 12 8" xfId="9179"/>
    <cellStyle name="常规 120" xfId="9003"/>
    <cellStyle name="常规 121" xfId="9004"/>
    <cellStyle name="常规 122" xfId="9005"/>
    <cellStyle name="常规 123" xfId="9006"/>
    <cellStyle name="常规 124" xfId="9007"/>
    <cellStyle name="常规 125" xfId="9008"/>
    <cellStyle name="常规 126" xfId="9009"/>
    <cellStyle name="常规 127" xfId="9010"/>
    <cellStyle name="常规 128" xfId="9011"/>
    <cellStyle name="常规 129" xfId="9012"/>
    <cellStyle name="常规 13" xfId="6"/>
    <cellStyle name="常规 13 2" xfId="11"/>
    <cellStyle name="常规 13 2 2" xfId="4362"/>
    <cellStyle name="常规 13 2 2 2" xfId="4363"/>
    <cellStyle name="常规 13 2 3" xfId="4364"/>
    <cellStyle name="常规 13 2 4" xfId="4361"/>
    <cellStyle name="常规 13 3" xfId="4365"/>
    <cellStyle name="常规 13 3 2" xfId="4366"/>
    <cellStyle name="常规 13 4" xfId="4367"/>
    <cellStyle name="常规 13 4 2" xfId="4368"/>
    <cellStyle name="常规 13 5" xfId="4369"/>
    <cellStyle name="常规 13 6" xfId="8973"/>
    <cellStyle name="常规 13 6 2" xfId="9311"/>
    <cellStyle name="常规 13 7" xfId="4360"/>
    <cellStyle name="常规 130" xfId="9013"/>
    <cellStyle name="常规 131" xfId="9014"/>
    <cellStyle name="常规 132" xfId="9015"/>
    <cellStyle name="常规 133" xfId="9016"/>
    <cellStyle name="常规 134" xfId="9017"/>
    <cellStyle name="常规 135" xfId="9018"/>
    <cellStyle name="常规 136" xfId="9019"/>
    <cellStyle name="常规 137" xfId="9020"/>
    <cellStyle name="常规 138" xfId="9021"/>
    <cellStyle name="常规 139" xfId="9022"/>
    <cellStyle name="常规 14" xfId="4370"/>
    <cellStyle name="常规 14 2" xfId="4371"/>
    <cellStyle name="常规 14 2 2" xfId="4372"/>
    <cellStyle name="常规 14 2 2 2" xfId="4373"/>
    <cellStyle name="常规 14 2 3" xfId="4374"/>
    <cellStyle name="常规 14 3" xfId="4375"/>
    <cellStyle name="常规 14 3 2" xfId="4376"/>
    <cellStyle name="常规 14 4" xfId="4377"/>
    <cellStyle name="常规 14 4 2" xfId="4378"/>
    <cellStyle name="常规 14 5" xfId="4379"/>
    <cellStyle name="常规 14 6" xfId="8885"/>
    <cellStyle name="常规 140" xfId="9023"/>
    <cellStyle name="常规 141" xfId="9024"/>
    <cellStyle name="常规 142" xfId="9025"/>
    <cellStyle name="常规 143" xfId="9026"/>
    <cellStyle name="常规 144" xfId="9027"/>
    <cellStyle name="常规 145" xfId="9028"/>
    <cellStyle name="常规 146" xfId="9029"/>
    <cellStyle name="常规 147" xfId="9030"/>
    <cellStyle name="常规 148" xfId="9031"/>
    <cellStyle name="常规 149" xfId="9032"/>
    <cellStyle name="常规 15" xfId="4380"/>
    <cellStyle name="常规 15 2" xfId="4381"/>
    <cellStyle name="常规 15 2 2" xfId="4382"/>
    <cellStyle name="常规 15 2 2 2" xfId="4383"/>
    <cellStyle name="常规 15 2 3" xfId="4384"/>
    <cellStyle name="常规 15 3" xfId="4385"/>
    <cellStyle name="常规 15 3 2" xfId="4386"/>
    <cellStyle name="常规 15 4" xfId="4387"/>
    <cellStyle name="常规 15 4 2" xfId="4388"/>
    <cellStyle name="常规 15 5" xfId="4389"/>
    <cellStyle name="常规 15 6" xfId="8898"/>
    <cellStyle name="常规 150" xfId="9033"/>
    <cellStyle name="常规 151" xfId="9034"/>
    <cellStyle name="常规 152" xfId="9035"/>
    <cellStyle name="常规 153" xfId="9036"/>
    <cellStyle name="常规 154" xfId="9037"/>
    <cellStyle name="常规 155" xfId="9038"/>
    <cellStyle name="常规 156" xfId="9039"/>
    <cellStyle name="常规 157" xfId="9040"/>
    <cellStyle name="常规 158" xfId="9041"/>
    <cellStyle name="常规 159" xfId="9042"/>
    <cellStyle name="常规 16" xfId="4390"/>
    <cellStyle name="常规 16 2" xfId="4391"/>
    <cellStyle name="常规 16 2 2" xfId="4392"/>
    <cellStyle name="常规 16 2 2 2" xfId="4393"/>
    <cellStyle name="常规 16 2 3" xfId="4394"/>
    <cellStyle name="常规 16 3" xfId="4395"/>
    <cellStyle name="常规 16 3 2" xfId="4396"/>
    <cellStyle name="常规 16 4" xfId="4397"/>
    <cellStyle name="常规 16 4 2" xfId="4398"/>
    <cellStyle name="常规 16 5" xfId="4399"/>
    <cellStyle name="常规 160" xfId="9043"/>
    <cellStyle name="常规 161" xfId="9044"/>
    <cellStyle name="常规 162" xfId="9045"/>
    <cellStyle name="常规 163" xfId="9046"/>
    <cellStyle name="常规 164" xfId="9047"/>
    <cellStyle name="常规 165" xfId="9048"/>
    <cellStyle name="常规 166" xfId="9049"/>
    <cellStyle name="常规 167" xfId="9050"/>
    <cellStyle name="常规 168" xfId="9051"/>
    <cellStyle name="常规 169" xfId="9052"/>
    <cellStyle name="常规 17" xfId="4400"/>
    <cellStyle name="常规 17 2" xfId="4401"/>
    <cellStyle name="常规 17 2 2" xfId="4402"/>
    <cellStyle name="常规 17 2 2 2" xfId="4403"/>
    <cellStyle name="常规 17 2 3" xfId="4404"/>
    <cellStyle name="常规 17 3" xfId="4405"/>
    <cellStyle name="常规 17 3 2" xfId="4406"/>
    <cellStyle name="常规 17 4" xfId="4407"/>
    <cellStyle name="常规 17 4 2" xfId="4408"/>
    <cellStyle name="常规 17 5" xfId="4409"/>
    <cellStyle name="常规 17 6" xfId="8597"/>
    <cellStyle name="常规 170" xfId="9053"/>
    <cellStyle name="常规 171" xfId="9054"/>
    <cellStyle name="常规 172" xfId="9055"/>
    <cellStyle name="常规 173" xfId="9056"/>
    <cellStyle name="常规 174" xfId="9057"/>
    <cellStyle name="常规 175" xfId="9058"/>
    <cellStyle name="常规 176" xfId="9059"/>
    <cellStyle name="常规 177" xfId="9060"/>
    <cellStyle name="常规 178" xfId="9061"/>
    <cellStyle name="常规 179" xfId="9062"/>
    <cellStyle name="常规 18" xfId="4410"/>
    <cellStyle name="常规 18 2" xfId="4411"/>
    <cellStyle name="常规 18 2 2" xfId="4412"/>
    <cellStyle name="常规 18 2 2 2" xfId="4413"/>
    <cellStyle name="常规 18 2 3" xfId="4414"/>
    <cellStyle name="常规 18 3" xfId="4415"/>
    <cellStyle name="常规 18 3 2" xfId="4416"/>
    <cellStyle name="常规 18 3 3" xfId="8593"/>
    <cellStyle name="常规 18 4" xfId="4417"/>
    <cellStyle name="常规 18 4 2" xfId="4418"/>
    <cellStyle name="常规 18 5" xfId="4419"/>
    <cellStyle name="常规 180" xfId="9063"/>
    <cellStyle name="常规 181" xfId="9064"/>
    <cellStyle name="常规 182" xfId="9065"/>
    <cellStyle name="常规 183" xfId="9066"/>
    <cellStyle name="常规 184" xfId="9067"/>
    <cellStyle name="常规 185" xfId="9068"/>
    <cellStyle name="常规 186" xfId="9069"/>
    <cellStyle name="常规 187" xfId="9070"/>
    <cellStyle name="常规 188" xfId="9071"/>
    <cellStyle name="常规 189" xfId="9072"/>
    <cellStyle name="常规 19" xfId="4420"/>
    <cellStyle name="常规 19 2" xfId="4421"/>
    <cellStyle name="常规 19 2 2" xfId="4422"/>
    <cellStyle name="常规 19 2 2 2" xfId="4423"/>
    <cellStyle name="常规 19 2 3" xfId="4424"/>
    <cellStyle name="常规 19 3" xfId="4425"/>
    <cellStyle name="常规 19 3 2" xfId="4426"/>
    <cellStyle name="常规 19 4" xfId="4427"/>
    <cellStyle name="常规 19 4 2" xfId="4428"/>
    <cellStyle name="常规 19 5" xfId="4429"/>
    <cellStyle name="常规 190" xfId="9073"/>
    <cellStyle name="常规 191" xfId="9074"/>
    <cellStyle name="常规 192" xfId="9075"/>
    <cellStyle name="常规 193" xfId="9076"/>
    <cellStyle name="常规 194" xfId="9077"/>
    <cellStyle name="常规 195" xfId="9078"/>
    <cellStyle name="常规 196" xfId="9079"/>
    <cellStyle name="常规 197" xfId="9080"/>
    <cellStyle name="常规 198" xfId="9081"/>
    <cellStyle name="常规 199" xfId="9082"/>
    <cellStyle name="常规 2" xfId="4430"/>
    <cellStyle name="常规 2 10" xfId="4431"/>
    <cellStyle name="常规 2 10 2" xfId="4432"/>
    <cellStyle name="常规 2 10 2 2" xfId="4433"/>
    <cellStyle name="常规 2 10 3" xfId="4434"/>
    <cellStyle name="常规 2 10 4" xfId="4435"/>
    <cellStyle name="常规 2 11" xfId="4436"/>
    <cellStyle name="常规 2 11 2" xfId="4437"/>
    <cellStyle name="常规 2 11 2 2" xfId="4438"/>
    <cellStyle name="常规 2 11 3" xfId="4439"/>
    <cellStyle name="常规 2 11 4" xfId="4440"/>
    <cellStyle name="常规 2 12" xfId="4441"/>
    <cellStyle name="常规 2 12 2" xfId="4442"/>
    <cellStyle name="常规 2 12 3" xfId="8596"/>
    <cellStyle name="常规 2 13" xfId="4443"/>
    <cellStyle name="常规 2 13 2" xfId="4444"/>
    <cellStyle name="常规 2 14" xfId="4445"/>
    <cellStyle name="常规 2 14 2" xfId="4446"/>
    <cellStyle name="常规 2 15" xfId="4447"/>
    <cellStyle name="常规 2 16" xfId="4448"/>
    <cellStyle name="常规 2 17" xfId="8600"/>
    <cellStyle name="常规 2 18" xfId="8756"/>
    <cellStyle name="常规 2 18 2" xfId="9280"/>
    <cellStyle name="常规 2 19" xfId="8883"/>
    <cellStyle name="常规 2 19 2" xfId="9307"/>
    <cellStyle name="常规 2 2" xfId="4449"/>
    <cellStyle name="常规 2 2 10" xfId="4450"/>
    <cellStyle name="常规 2 2 10 2" xfId="8907"/>
    <cellStyle name="常规 2 2 11" xfId="8757"/>
    <cellStyle name="常规 2 2 12" xfId="8910"/>
    <cellStyle name="常规 2 2 13" xfId="8975"/>
    <cellStyle name="常规 2 2 14" xfId="9188"/>
    <cellStyle name="常规 2 2 15" xfId="9211"/>
    <cellStyle name="常规 2 2 15 2" xfId="9326"/>
    <cellStyle name="常规 2 2 2" xfId="4451"/>
    <cellStyle name="常规 2 2 2 2" xfId="4452"/>
    <cellStyle name="常规 2 2 2 2 2" xfId="4453"/>
    <cellStyle name="常规 2 2 2 2 2 2" xfId="4454"/>
    <cellStyle name="常规 2 2 2 2 2 2 2" xfId="4455"/>
    <cellStyle name="常规 2 2 2 2 2 3" xfId="4456"/>
    <cellStyle name="常规 2 2 2 2 2 4" xfId="4457"/>
    <cellStyle name="常规 2 2 2 2 3" xfId="4458"/>
    <cellStyle name="常规 2 2 2 2 3 2" xfId="4459"/>
    <cellStyle name="常规 2 2 2 2 4" xfId="4460"/>
    <cellStyle name="常规 2 2 2 2 4 2" xfId="4461"/>
    <cellStyle name="常规 2 2 2 2 5" xfId="4462"/>
    <cellStyle name="常规 2 2 2 2 6" xfId="4463"/>
    <cellStyle name="常规 2 2 2 3" xfId="4464"/>
    <cellStyle name="常规 2 2 2 3 2" xfId="4465"/>
    <cellStyle name="常规 2 2 2 3 2 2" xfId="4466"/>
    <cellStyle name="常规 2 2 2 3 3" xfId="4467"/>
    <cellStyle name="常规 2 2 2 3 4" xfId="4468"/>
    <cellStyle name="常规 2 2 2 4" xfId="4469"/>
    <cellStyle name="常规 2 2 2 4 2" xfId="4470"/>
    <cellStyle name="常规 2 2 2 5" xfId="4471"/>
    <cellStyle name="常规 2 2 2 5 2" xfId="4472"/>
    <cellStyle name="常规 2 2 2 6" xfId="4473"/>
    <cellStyle name="常规 2 2 2 7" xfId="4474"/>
    <cellStyle name="常规 2 2 2 8" xfId="8891"/>
    <cellStyle name="常规 2 2 2 9" xfId="8976"/>
    <cellStyle name="常规 2 2 3" xfId="4475"/>
    <cellStyle name="常规 2 2 3 2" xfId="4476"/>
    <cellStyle name="常规 2 2 3 2 2" xfId="4477"/>
    <cellStyle name="常规 2 2 3 2 2 2" xfId="4478"/>
    <cellStyle name="常规 2 2 3 2 3" xfId="4479"/>
    <cellStyle name="常规 2 2 3 2 4" xfId="4480"/>
    <cellStyle name="常规 2 2 3 3" xfId="4481"/>
    <cellStyle name="常规 2 2 3 3 2" xfId="4482"/>
    <cellStyle name="常规 2 2 3 4" xfId="4483"/>
    <cellStyle name="常规 2 2 3 4 2" xfId="4484"/>
    <cellStyle name="常规 2 2 3 5" xfId="4485"/>
    <cellStyle name="常规 2 2 3 6" xfId="4486"/>
    <cellStyle name="常规 2 2 4" xfId="4487"/>
    <cellStyle name="常规 2 2 4 2" xfId="4488"/>
    <cellStyle name="常规 2 2 4 2 2" xfId="4489"/>
    <cellStyle name="常规 2 2 4 2 2 2" xfId="4490"/>
    <cellStyle name="常规 2 2 4 2 3" xfId="4491"/>
    <cellStyle name="常规 2 2 4 2 4" xfId="4492"/>
    <cellStyle name="常规 2 2 4 3" xfId="4493"/>
    <cellStyle name="常规 2 2 4 3 2" xfId="4494"/>
    <cellStyle name="常规 2 2 4 4" xfId="4495"/>
    <cellStyle name="常规 2 2 4 4 2" xfId="4496"/>
    <cellStyle name="常规 2 2 4 5" xfId="4497"/>
    <cellStyle name="常规 2 2 4 6" xfId="4498"/>
    <cellStyle name="常规 2 2 5" xfId="4499"/>
    <cellStyle name="常规 2 2 5 2" xfId="4500"/>
    <cellStyle name="常规 2 2 5 2 2" xfId="4501"/>
    <cellStyle name="常规 2 2 5 3" xfId="4502"/>
    <cellStyle name="常规 2 2 5 4" xfId="4503"/>
    <cellStyle name="常规 2 2 6" xfId="4504"/>
    <cellStyle name="常规 2 2 6 2" xfId="4505"/>
    <cellStyle name="常规 2 2 7" xfId="4506"/>
    <cellStyle name="常规 2 2 7 2" xfId="4507"/>
    <cellStyle name="常规 2 2 8" xfId="4508"/>
    <cellStyle name="常规 2 2 8 2" xfId="4509"/>
    <cellStyle name="常规 2 2 9" xfId="4510"/>
    <cellStyle name="常规 2 20" xfId="8960"/>
    <cellStyle name="常规 2 20 2" xfId="9309"/>
    <cellStyle name="常规 2 21" xfId="8974"/>
    <cellStyle name="常规 2 22" xfId="8997"/>
    <cellStyle name="常规 2 22 2" xfId="9313"/>
    <cellStyle name="常规 2 23" xfId="9171"/>
    <cellStyle name="常规 2 24" xfId="9207"/>
    <cellStyle name="常规 2 24 2" xfId="9323"/>
    <cellStyle name="常规 2 25" xfId="9214"/>
    <cellStyle name="常规 2 3" xfId="4511"/>
    <cellStyle name="常规 2 3 10" xfId="8977"/>
    <cellStyle name="常规 2 3 2" xfId="4512"/>
    <cellStyle name="常规 2 3 2 2" xfId="4513"/>
    <cellStyle name="常规 2 3 2 2 2" xfId="4514"/>
    <cellStyle name="常规 2 3 2 2 2 2" xfId="4515"/>
    <cellStyle name="常规 2 3 2 2 3" xfId="4516"/>
    <cellStyle name="常规 2 3 2 2 4" xfId="4517"/>
    <cellStyle name="常规 2 3 2 3" xfId="4518"/>
    <cellStyle name="常规 2 3 2 3 2" xfId="4519"/>
    <cellStyle name="常规 2 3 2 4" xfId="4520"/>
    <cellStyle name="常规 2 3 2 4 2" xfId="4521"/>
    <cellStyle name="常规 2 3 2 5" xfId="4522"/>
    <cellStyle name="常规 2 3 2 6" xfId="4523"/>
    <cellStyle name="常规 2 3 3" xfId="4524"/>
    <cellStyle name="常规 2 3 3 2" xfId="4525"/>
    <cellStyle name="常规 2 3 3 2 2" xfId="4526"/>
    <cellStyle name="常规 2 3 3 3" xfId="4527"/>
    <cellStyle name="常规 2 3 3 4" xfId="4528"/>
    <cellStyle name="常规 2 3 4" xfId="4529"/>
    <cellStyle name="常规 2 3 4 2" xfId="4530"/>
    <cellStyle name="常规 2 3 4 2 2" xfId="4531"/>
    <cellStyle name="常规 2 3 4 3" xfId="4532"/>
    <cellStyle name="常规 2 3 4 4" xfId="4533"/>
    <cellStyle name="常规 2 3 5" xfId="4534"/>
    <cellStyle name="常规 2 3 5 2" xfId="4535"/>
    <cellStyle name="常规 2 3 6" xfId="4536"/>
    <cellStyle name="常规 2 3 6 2" xfId="4537"/>
    <cellStyle name="常规 2 3 7" xfId="4538"/>
    <cellStyle name="常规 2 3 8" xfId="8758"/>
    <cellStyle name="常规 2 3 8 2" xfId="9281"/>
    <cellStyle name="常规 2 3 9" xfId="8915"/>
    <cellStyle name="常规 2 4" xfId="4539"/>
    <cellStyle name="常规 2 4 2" xfId="4540"/>
    <cellStyle name="常规 2 4 2 2" xfId="4541"/>
    <cellStyle name="常规 2 4 2 2 2" xfId="4542"/>
    <cellStyle name="常规 2 4 2 2 2 2" xfId="4543"/>
    <cellStyle name="常规 2 4 2 2 3" xfId="4544"/>
    <cellStyle name="常规 2 4 2 2 4" xfId="4545"/>
    <cellStyle name="常规 2 4 2 3" xfId="4546"/>
    <cellStyle name="常规 2 4 2 3 2" xfId="4547"/>
    <cellStyle name="常规 2 4 2 4" xfId="4548"/>
    <cellStyle name="常规 2 4 2 4 2" xfId="4549"/>
    <cellStyle name="常规 2 4 2 5" xfId="4550"/>
    <cellStyle name="常规 2 4 2 6" xfId="4551"/>
    <cellStyle name="常规 2 4 2 7" xfId="8916"/>
    <cellStyle name="常规 2 4 3" xfId="4552"/>
    <cellStyle name="常规 2 4 3 2" xfId="4553"/>
    <cellStyle name="常规 2 4 3 2 2" xfId="4554"/>
    <cellStyle name="常规 2 4 3 3" xfId="4555"/>
    <cellStyle name="常规 2 4 3 4" xfId="4556"/>
    <cellStyle name="常规 2 4 4" xfId="4557"/>
    <cellStyle name="常规 2 4 4 2" xfId="4558"/>
    <cellStyle name="常规 2 4 5" xfId="4559"/>
    <cellStyle name="常规 2 4 5 2" xfId="4560"/>
    <cellStyle name="常规 2 4 6" xfId="4561"/>
    <cellStyle name="常规 2 4 7" xfId="4562"/>
    <cellStyle name="常规 2 4 8" xfId="8894"/>
    <cellStyle name="常规 2 4 8 2" xfId="9308"/>
    <cellStyle name="常规 2 5" xfId="4563"/>
    <cellStyle name="常规 2 5 2" xfId="4564"/>
    <cellStyle name="常规 2 5 2 2" xfId="4565"/>
    <cellStyle name="常规 2 5 2 2 2" xfId="4566"/>
    <cellStyle name="常规 2 5 2 3" xfId="4567"/>
    <cellStyle name="常规 2 5 2 4" xfId="4568"/>
    <cellStyle name="常规 2 5 3" xfId="4569"/>
    <cellStyle name="常规 2 5 3 2" xfId="4570"/>
    <cellStyle name="常规 2 5 4" xfId="4571"/>
    <cellStyle name="常规 2 5 4 2" xfId="4572"/>
    <cellStyle name="常规 2 5 5" xfId="4573"/>
    <cellStyle name="常规 2 5 6" xfId="4574"/>
    <cellStyle name="常规 2 5 7" xfId="8978"/>
    <cellStyle name="常规 2 6" xfId="4575"/>
    <cellStyle name="常规 2 6 2" xfId="4576"/>
    <cellStyle name="常规 2 6 2 2" xfId="4577"/>
    <cellStyle name="常规 2 6 2 2 2" xfId="4578"/>
    <cellStyle name="常规 2 6 2 3" xfId="4579"/>
    <cellStyle name="常规 2 6 3" xfId="4580"/>
    <cellStyle name="常规 2 6 3 2" xfId="4581"/>
    <cellStyle name="常规 2 6 4" xfId="4582"/>
    <cellStyle name="常规 2 6 4 2" xfId="4583"/>
    <cellStyle name="常规 2 6 5" xfId="4584"/>
    <cellStyle name="常规 2 7" xfId="4585"/>
    <cellStyle name="常规 2 7 2" xfId="8892"/>
    <cellStyle name="常规 2 8" xfId="4586"/>
    <cellStyle name="常规 2 8 2" xfId="4587"/>
    <cellStyle name="常规 2 8 2 2" xfId="4588"/>
    <cellStyle name="常规 2 8 2 2 2" xfId="4589"/>
    <cellStyle name="常规 2 8 2 3" xfId="4590"/>
    <cellStyle name="常规 2 8 2 4" xfId="4591"/>
    <cellStyle name="常规 2 8 3" xfId="4592"/>
    <cellStyle name="常规 2 8 3 2" xfId="4593"/>
    <cellStyle name="常规 2 8 4" xfId="4594"/>
    <cellStyle name="常规 2 8 4 2" xfId="4595"/>
    <cellStyle name="常规 2 8 5" xfId="4596"/>
    <cellStyle name="常规 2 8 6" xfId="4597"/>
    <cellStyle name="常规 2 9" xfId="4598"/>
    <cellStyle name="常规 2 9 2" xfId="4599"/>
    <cellStyle name="常规 2 9 2 2" xfId="4600"/>
    <cellStyle name="常规 2 9 2 2 2" xfId="4601"/>
    <cellStyle name="常规 2 9 2 3" xfId="4602"/>
    <cellStyle name="常规 2 9 2 4" xfId="4603"/>
    <cellStyle name="常规 2 9 3" xfId="4604"/>
    <cellStyle name="常规 2 9 3 2" xfId="4605"/>
    <cellStyle name="常规 2 9 4" xfId="4606"/>
    <cellStyle name="常规 2 9 4 2" xfId="4607"/>
    <cellStyle name="常规 2 9 5" xfId="4608"/>
    <cellStyle name="常规 2 9 6" xfId="4609"/>
    <cellStyle name="常规 2_统筹-校长（暂估）" xfId="4610"/>
    <cellStyle name="常规 20" xfId="4611"/>
    <cellStyle name="常规 200" xfId="9083"/>
    <cellStyle name="常规 201" xfId="9084"/>
    <cellStyle name="常规 202" xfId="9085"/>
    <cellStyle name="常规 203" xfId="9086"/>
    <cellStyle name="常规 204" xfId="9087"/>
    <cellStyle name="常规 205" xfId="9088"/>
    <cellStyle name="常规 206" xfId="9089"/>
    <cellStyle name="常规 207" xfId="9090"/>
    <cellStyle name="常规 208" xfId="9091"/>
    <cellStyle name="常规 209" xfId="9092"/>
    <cellStyle name="常规 21" xfId="4612"/>
    <cellStyle name="常规 21 2" xfId="4613"/>
    <cellStyle name="常规 21 2 2" xfId="4614"/>
    <cellStyle name="常规 21 2 2 2" xfId="4615"/>
    <cellStyle name="常规 21 2 3" xfId="4616"/>
    <cellStyle name="常规 21 3" xfId="4617"/>
    <cellStyle name="常规 21 3 2" xfId="4618"/>
    <cellStyle name="常规 21 4" xfId="4619"/>
    <cellStyle name="常规 21 4 2" xfId="4620"/>
    <cellStyle name="常规 21 5" xfId="4621"/>
    <cellStyle name="常规 210" xfId="9093"/>
    <cellStyle name="常规 211" xfId="9094"/>
    <cellStyle name="常规 212" xfId="9095"/>
    <cellStyle name="常规 213" xfId="9096"/>
    <cellStyle name="常规 214" xfId="9097"/>
    <cellStyle name="常规 215" xfId="9098"/>
    <cellStyle name="常规 216" xfId="9099"/>
    <cellStyle name="常规 217" xfId="9100"/>
    <cellStyle name="常规 218" xfId="9101"/>
    <cellStyle name="常规 219" xfId="9102"/>
    <cellStyle name="常规 22" xfId="4622"/>
    <cellStyle name="常规 220" xfId="9103"/>
    <cellStyle name="常规 221" xfId="9104"/>
    <cellStyle name="常规 222" xfId="9105"/>
    <cellStyle name="常规 223" xfId="9106"/>
    <cellStyle name="常规 224" xfId="9107"/>
    <cellStyle name="常规 225" xfId="9108"/>
    <cellStyle name="常规 226" xfId="9109"/>
    <cellStyle name="常规 227" xfId="9110"/>
    <cellStyle name="常规 228" xfId="9111"/>
    <cellStyle name="常规 229" xfId="9112"/>
    <cellStyle name="常规 23" xfId="4623"/>
    <cellStyle name="常规 23 2" xfId="4624"/>
    <cellStyle name="常规 23 2 2" xfId="4625"/>
    <cellStyle name="常规 23 2 2 2" xfId="4626"/>
    <cellStyle name="常规 23 2 3" xfId="4627"/>
    <cellStyle name="常规 23 3" xfId="4628"/>
    <cellStyle name="常规 23 3 2" xfId="4629"/>
    <cellStyle name="常规 23 4" xfId="4630"/>
    <cellStyle name="常规 23 4 2" xfId="4631"/>
    <cellStyle name="常规 23 5" xfId="4632"/>
    <cellStyle name="常规 230" xfId="9113"/>
    <cellStyle name="常规 231" xfId="9114"/>
    <cellStyle name="常规 232" xfId="9115"/>
    <cellStyle name="常规 233" xfId="9116"/>
    <cellStyle name="常规 234" xfId="9117"/>
    <cellStyle name="常规 235" xfId="9118"/>
    <cellStyle name="常规 236" xfId="9119"/>
    <cellStyle name="常规 237" xfId="9120"/>
    <cellStyle name="常规 238" xfId="9121"/>
    <cellStyle name="常规 239" xfId="9122"/>
    <cellStyle name="常规 24" xfId="4633"/>
    <cellStyle name="常规 240" xfId="9123"/>
    <cellStyle name="常规 241" xfId="9124"/>
    <cellStyle name="常规 242" xfId="9125"/>
    <cellStyle name="常规 243" xfId="9126"/>
    <cellStyle name="常规 244" xfId="9127"/>
    <cellStyle name="常规 245" xfId="9128"/>
    <cellStyle name="常规 246" xfId="9129"/>
    <cellStyle name="常规 247" xfId="9130"/>
    <cellStyle name="常规 248" xfId="9131"/>
    <cellStyle name="常规 249" xfId="9132"/>
    <cellStyle name="常规 25" xfId="4634"/>
    <cellStyle name="常规 25 2" xfId="4635"/>
    <cellStyle name="常规 25 2 2" xfId="4636"/>
    <cellStyle name="常规 25 2 2 2" xfId="4637"/>
    <cellStyle name="常规 25 2 3" xfId="4638"/>
    <cellStyle name="常规 25 3" xfId="4639"/>
    <cellStyle name="常规 25 3 2" xfId="4640"/>
    <cellStyle name="常规 25 4" xfId="4641"/>
    <cellStyle name="常规 25 4 2" xfId="4642"/>
    <cellStyle name="常规 25 5" xfId="4643"/>
    <cellStyle name="常规 250" xfId="9133"/>
    <cellStyle name="常规 251" xfId="9134"/>
    <cellStyle name="常规 252" xfId="9135"/>
    <cellStyle name="常规 253" xfId="9136"/>
    <cellStyle name="常规 254" xfId="9137"/>
    <cellStyle name="常规 255" xfId="9138"/>
    <cellStyle name="常规 256" xfId="9139"/>
    <cellStyle name="常规 257" xfId="9140"/>
    <cellStyle name="常规 258" xfId="9141"/>
    <cellStyle name="常规 259" xfId="9142"/>
    <cellStyle name="常规 26" xfId="4644"/>
    <cellStyle name="常规 26 2" xfId="4645"/>
    <cellStyle name="常规 26 2 2" xfId="4646"/>
    <cellStyle name="常规 26 2 2 2" xfId="4647"/>
    <cellStyle name="常规 26 2 3" xfId="4648"/>
    <cellStyle name="常规 26 3" xfId="4649"/>
    <cellStyle name="常规 26 3 2" xfId="4650"/>
    <cellStyle name="常规 26 4" xfId="4651"/>
    <cellStyle name="常规 26 4 2" xfId="4652"/>
    <cellStyle name="常规 26 5" xfId="4653"/>
    <cellStyle name="常规 260" xfId="9143"/>
    <cellStyle name="常规 261" xfId="9144"/>
    <cellStyle name="常规 262" xfId="9145"/>
    <cellStyle name="常规 263" xfId="9146"/>
    <cellStyle name="常规 264" xfId="9147"/>
    <cellStyle name="常规 265" xfId="9148"/>
    <cellStyle name="常规 266" xfId="9149"/>
    <cellStyle name="常规 267" xfId="9150"/>
    <cellStyle name="常规 268" xfId="9151"/>
    <cellStyle name="常规 269" xfId="9152"/>
    <cellStyle name="常规 27" xfId="4654"/>
    <cellStyle name="常规 27 2" xfId="4655"/>
    <cellStyle name="常规 27 2 2" xfId="4656"/>
    <cellStyle name="常规 27 2 2 2" xfId="4657"/>
    <cellStyle name="常规 27 2 3" xfId="4658"/>
    <cellStyle name="常规 27 3" xfId="4659"/>
    <cellStyle name="常规 27 3 2" xfId="4660"/>
    <cellStyle name="常规 27 4" xfId="4661"/>
    <cellStyle name="常规 27 4 2" xfId="4662"/>
    <cellStyle name="常规 27 5" xfId="4663"/>
    <cellStyle name="常规 270" xfId="9153"/>
    <cellStyle name="常规 271" xfId="9154"/>
    <cellStyle name="常规 272" xfId="9155"/>
    <cellStyle name="常规 273" xfId="9156"/>
    <cellStyle name="常规 274" xfId="9157"/>
    <cellStyle name="常规 275" xfId="9158"/>
    <cellStyle name="常规 276" xfId="9159"/>
    <cellStyle name="常规 277" xfId="9160"/>
    <cellStyle name="常规 278" xfId="9161"/>
    <cellStyle name="常规 279" xfId="9162"/>
    <cellStyle name="常规 28" xfId="4664"/>
    <cellStyle name="常规 28 2" xfId="4665"/>
    <cellStyle name="常规 28 2 2" xfId="4666"/>
    <cellStyle name="常规 28 2 2 2" xfId="4667"/>
    <cellStyle name="常规 28 2 3" xfId="4668"/>
    <cellStyle name="常规 28 3" xfId="4669"/>
    <cellStyle name="常规 28 3 2" xfId="4670"/>
    <cellStyle name="常规 28 4" xfId="4671"/>
    <cellStyle name="常规 28 4 2" xfId="4672"/>
    <cellStyle name="常规 28 5" xfId="4673"/>
    <cellStyle name="常规 280" xfId="9163"/>
    <cellStyle name="常规 281" xfId="9164"/>
    <cellStyle name="常规 282" xfId="9165"/>
    <cellStyle name="常规 283" xfId="9166"/>
    <cellStyle name="常规 284" xfId="9167"/>
    <cellStyle name="常规 285" xfId="9194"/>
    <cellStyle name="常规 286" xfId="9195"/>
    <cellStyle name="常规 287" xfId="9197"/>
    <cellStyle name="常规 288" xfId="9196"/>
    <cellStyle name="常规 289" xfId="9198"/>
    <cellStyle name="常规 29" xfId="4674"/>
    <cellStyle name="常规 29 2" xfId="4675"/>
    <cellStyle name="常规 29 2 2" xfId="4676"/>
    <cellStyle name="常规 29 2 2 2" xfId="4677"/>
    <cellStyle name="常规 29 2 3" xfId="4678"/>
    <cellStyle name="常规 29 3" xfId="4679"/>
    <cellStyle name="常规 29 3 2" xfId="4680"/>
    <cellStyle name="常规 29 4" xfId="4681"/>
    <cellStyle name="常规 29 4 2" xfId="4682"/>
    <cellStyle name="常规 29 5" xfId="4683"/>
    <cellStyle name="常规 290" xfId="9201"/>
    <cellStyle name="常规 291" xfId="9199"/>
    <cellStyle name="常规 292" xfId="19"/>
    <cellStyle name="常规 293" xfId="20"/>
    <cellStyle name="常规 294" xfId="9205"/>
    <cellStyle name="常规 294 2" xfId="9210"/>
    <cellStyle name="常规 294 2 2" xfId="9325"/>
    <cellStyle name="常规 294 3" xfId="9215"/>
    <cellStyle name="常规 295" xfId="9202"/>
    <cellStyle name="常规 296" xfId="9204"/>
    <cellStyle name="常规 297" xfId="9203"/>
    <cellStyle name="常规 298" xfId="9213"/>
    <cellStyle name="常规 299" xfId="9217"/>
    <cellStyle name="常规 3" xfId="4684"/>
    <cellStyle name="常规 3 10" xfId="4685"/>
    <cellStyle name="常规 3 10 2" xfId="4686"/>
    <cellStyle name="常规 3 11" xfId="4687"/>
    <cellStyle name="常规 3 11 2" xfId="4688"/>
    <cellStyle name="常规 3 12" xfId="4689"/>
    <cellStyle name="常规 3 13" xfId="4690"/>
    <cellStyle name="常规 3 14" xfId="8759"/>
    <cellStyle name="常规 3 14 2" xfId="9282"/>
    <cellStyle name="常规 3 15" xfId="8896"/>
    <cellStyle name="常规 3 16" xfId="8961"/>
    <cellStyle name="常规 3 16 2" xfId="9310"/>
    <cellStyle name="常规 3 17" xfId="8979"/>
    <cellStyle name="常规 3 18" xfId="8998"/>
    <cellStyle name="常规 3 18 2" xfId="9314"/>
    <cellStyle name="常规 3 19" xfId="9208"/>
    <cellStyle name="常规 3 19 2" xfId="9324"/>
    <cellStyle name="常规 3 2" xfId="5"/>
    <cellStyle name="常规 3 2 10" xfId="4692"/>
    <cellStyle name="常规 3 2 10 2" xfId="4693"/>
    <cellStyle name="常规 3 2 11" xfId="4694"/>
    <cellStyle name="常规 3 2 12" xfId="8760"/>
    <cellStyle name="常规 3 2 12 2" xfId="9283"/>
    <cellStyle name="常规 3 2 13" xfId="8906"/>
    <cellStyle name="常规 3 2 14" xfId="8980"/>
    <cellStyle name="常规 3 2 15" xfId="9189"/>
    <cellStyle name="常规 3 2 16" xfId="4691"/>
    <cellStyle name="常规 3 2 17" xfId="9212"/>
    <cellStyle name="常规 3 2 17 2" xfId="9327"/>
    <cellStyle name="常规 3 2 2" xfId="10"/>
    <cellStyle name="常规 3 2 2 2" xfId="4696"/>
    <cellStyle name="常规 3 2 2 2 2" xfId="4697"/>
    <cellStyle name="常规 3 2 2 2 2 2" xfId="4698"/>
    <cellStyle name="常规 3 2 2 2 2 2 2" xfId="4699"/>
    <cellStyle name="常规 3 2 2 2 2 3" xfId="4700"/>
    <cellStyle name="常规 3 2 2 2 3" xfId="4701"/>
    <cellStyle name="常规 3 2 2 2 3 2" xfId="4702"/>
    <cellStyle name="常规 3 2 2 2 4" xfId="4703"/>
    <cellStyle name="常规 3 2 2 2 4 2" xfId="4704"/>
    <cellStyle name="常规 3 2 2 2 5" xfId="4705"/>
    <cellStyle name="常规 3 2 2 3" xfId="4706"/>
    <cellStyle name="常规 3 2 2 3 2" xfId="4707"/>
    <cellStyle name="常规 3 2 2 3 2 2" xfId="4708"/>
    <cellStyle name="常规 3 2 2 3 3" xfId="4709"/>
    <cellStyle name="常规 3 2 2 4" xfId="4710"/>
    <cellStyle name="常规 3 2 2 4 2" xfId="4711"/>
    <cellStyle name="常规 3 2 2 5" xfId="4712"/>
    <cellStyle name="常规 3 2 2 5 2" xfId="4713"/>
    <cellStyle name="常规 3 2 2 6" xfId="4714"/>
    <cellStyle name="常规 3 2 2 7" xfId="4695"/>
    <cellStyle name="常规 3 2 3" xfId="4715"/>
    <cellStyle name="常规 3 2 3 2" xfId="4716"/>
    <cellStyle name="常规 3 2 3 2 2" xfId="4717"/>
    <cellStyle name="常规 3 2 3 2 2 2" xfId="4718"/>
    <cellStyle name="常规 3 2 3 2 3" xfId="4719"/>
    <cellStyle name="常规 3 2 3 3" xfId="4720"/>
    <cellStyle name="常规 3 2 3 3 2" xfId="4721"/>
    <cellStyle name="常规 3 2 3 4" xfId="4722"/>
    <cellStyle name="常规 3 2 3 4 2" xfId="4723"/>
    <cellStyle name="常规 3 2 3 5" xfId="4724"/>
    <cellStyle name="常规 3 2 4" xfId="4725"/>
    <cellStyle name="常规 3 2 4 2" xfId="4726"/>
    <cellStyle name="常规 3 2 4 2 2" xfId="4727"/>
    <cellStyle name="常规 3 2 4 2 2 2" xfId="4728"/>
    <cellStyle name="常规 3 2 4 2 3" xfId="4729"/>
    <cellStyle name="常规 3 2 4 3" xfId="4730"/>
    <cellStyle name="常规 3 2 4 3 2" xfId="4731"/>
    <cellStyle name="常规 3 2 4 4" xfId="4732"/>
    <cellStyle name="常规 3 2 4 4 2" xfId="4733"/>
    <cellStyle name="常规 3 2 4 5" xfId="4734"/>
    <cellStyle name="常规 3 2 5" xfId="4735"/>
    <cellStyle name="常规 3 2 5 2" xfId="4736"/>
    <cellStyle name="常规 3 2 5 2 2" xfId="4737"/>
    <cellStyle name="常规 3 2 5 2 2 2" xfId="4738"/>
    <cellStyle name="常规 3 2 5 2 3" xfId="4739"/>
    <cellStyle name="常规 3 2 5 3" xfId="4740"/>
    <cellStyle name="常规 3 2 5 3 2" xfId="4741"/>
    <cellStyle name="常规 3 2 5 4" xfId="4742"/>
    <cellStyle name="常规 3 2 5 4 2" xfId="4743"/>
    <cellStyle name="常规 3 2 5 5" xfId="4744"/>
    <cellStyle name="常规 3 2 6" xfId="4745"/>
    <cellStyle name="常规 3 2 6 2" xfId="4746"/>
    <cellStyle name="常规 3 2 6 2 2" xfId="4747"/>
    <cellStyle name="常规 3 2 6 3" xfId="4748"/>
    <cellStyle name="常规 3 2 7" xfId="4749"/>
    <cellStyle name="常规 3 2 7 2" xfId="4750"/>
    <cellStyle name="常规 3 2 7 2 2" xfId="4751"/>
    <cellStyle name="常规 3 2 7 3" xfId="4752"/>
    <cellStyle name="常规 3 2 8" xfId="4753"/>
    <cellStyle name="常规 3 2 8 2" xfId="4754"/>
    <cellStyle name="常规 3 2 9" xfId="4755"/>
    <cellStyle name="常规 3 2 9 2" xfId="4756"/>
    <cellStyle name="常规 3 20" xfId="9216"/>
    <cellStyle name="常规 3 3" xfId="4757"/>
    <cellStyle name="常规 3 3 10" xfId="4758"/>
    <cellStyle name="常规 3 3 11" xfId="8942"/>
    <cellStyle name="常规 3 3 2" xfId="4759"/>
    <cellStyle name="常规 3 3 2 2" xfId="4760"/>
    <cellStyle name="常规 3 3 2 2 2" xfId="4761"/>
    <cellStyle name="常规 3 3 2 2 2 2" xfId="4762"/>
    <cellStyle name="常规 3 3 2 2 2 2 2" xfId="4763"/>
    <cellStyle name="常规 3 3 2 2 2 3" xfId="4764"/>
    <cellStyle name="常规 3 3 2 2 3" xfId="4765"/>
    <cellStyle name="常规 3 3 2 2 3 2" xfId="4766"/>
    <cellStyle name="常规 3 3 2 2 4" xfId="4767"/>
    <cellStyle name="常规 3 3 2 2 4 2" xfId="4768"/>
    <cellStyle name="常规 3 3 2 2 5" xfId="4769"/>
    <cellStyle name="常规 3 3 2 3" xfId="4770"/>
    <cellStyle name="常规 3 3 2 3 2" xfId="4771"/>
    <cellStyle name="常规 3 3 2 3 2 2" xfId="4772"/>
    <cellStyle name="常规 3 3 2 3 3" xfId="4773"/>
    <cellStyle name="常规 3 3 2 4" xfId="4774"/>
    <cellStyle name="常规 3 3 2 4 2" xfId="4775"/>
    <cellStyle name="常规 3 3 2 5" xfId="4776"/>
    <cellStyle name="常规 3 3 2 5 2" xfId="4777"/>
    <cellStyle name="常规 3 3 2 6" xfId="4778"/>
    <cellStyle name="常规 3 3 3" xfId="4779"/>
    <cellStyle name="常规 3 3 3 2" xfId="4780"/>
    <cellStyle name="常规 3 3 3 2 2" xfId="4781"/>
    <cellStyle name="常规 3 3 3 2 2 2" xfId="4782"/>
    <cellStyle name="常规 3 3 3 2 3" xfId="4783"/>
    <cellStyle name="常规 3 3 3 3" xfId="4784"/>
    <cellStyle name="常规 3 3 3 3 2" xfId="4785"/>
    <cellStyle name="常规 3 3 3 4" xfId="4786"/>
    <cellStyle name="常规 3 3 3 4 2" xfId="4787"/>
    <cellStyle name="常规 3 3 3 5" xfId="4788"/>
    <cellStyle name="常规 3 3 4" xfId="4789"/>
    <cellStyle name="常规 3 3 4 2" xfId="4790"/>
    <cellStyle name="常规 3 3 4 2 2" xfId="4791"/>
    <cellStyle name="常规 3 3 4 2 2 2" xfId="4792"/>
    <cellStyle name="常规 3 3 4 2 3" xfId="4793"/>
    <cellStyle name="常规 3 3 4 3" xfId="4794"/>
    <cellStyle name="常规 3 3 4 3 2" xfId="4795"/>
    <cellStyle name="常规 3 3 4 4" xfId="4796"/>
    <cellStyle name="常规 3 3 4 4 2" xfId="4797"/>
    <cellStyle name="常规 3 3 4 5" xfId="4798"/>
    <cellStyle name="常规 3 3 5" xfId="4799"/>
    <cellStyle name="常规 3 3 5 2" xfId="4800"/>
    <cellStyle name="常规 3 3 5 2 2" xfId="4801"/>
    <cellStyle name="常规 3 3 5 2 2 2" xfId="4802"/>
    <cellStyle name="常规 3 3 5 2 3" xfId="4803"/>
    <cellStyle name="常规 3 3 5 3" xfId="4804"/>
    <cellStyle name="常规 3 3 5 3 2" xfId="4805"/>
    <cellStyle name="常规 3 3 5 4" xfId="4806"/>
    <cellStyle name="常规 3 3 5 4 2" xfId="4807"/>
    <cellStyle name="常规 3 3 5 5" xfId="4808"/>
    <cellStyle name="常规 3 3 6" xfId="4809"/>
    <cellStyle name="常规 3 3 6 2" xfId="4810"/>
    <cellStyle name="常规 3 3 6 2 2" xfId="4811"/>
    <cellStyle name="常规 3 3 6 3" xfId="4812"/>
    <cellStyle name="常规 3 3 7" xfId="4813"/>
    <cellStyle name="常规 3 3 7 2" xfId="4814"/>
    <cellStyle name="常规 3 3 8" xfId="4815"/>
    <cellStyle name="常规 3 3 8 2" xfId="4816"/>
    <cellStyle name="常规 3 3 9" xfId="4817"/>
    <cellStyle name="常规 3 3 9 2" xfId="4818"/>
    <cellStyle name="常规 3 4" xfId="4819"/>
    <cellStyle name="常规 3 4 2" xfId="4820"/>
    <cellStyle name="常规 3 4 2 2" xfId="4821"/>
    <cellStyle name="常规 3 4 2 2 2" xfId="4822"/>
    <cellStyle name="常规 3 4 2 2 2 2" xfId="4823"/>
    <cellStyle name="常规 3 4 2 2 3" xfId="4824"/>
    <cellStyle name="常规 3 4 2 2 4" xfId="4825"/>
    <cellStyle name="常规 3 4 2 3" xfId="4826"/>
    <cellStyle name="常规 3 4 2 3 2" xfId="4827"/>
    <cellStyle name="常规 3 4 2 4" xfId="4828"/>
    <cellStyle name="常规 3 4 2 4 2" xfId="4829"/>
    <cellStyle name="常规 3 4 2 5" xfId="4830"/>
    <cellStyle name="常规 3 4 2 6" xfId="4831"/>
    <cellStyle name="常规 3 4 3" xfId="4832"/>
    <cellStyle name="常规 3 4 3 2" xfId="4833"/>
    <cellStyle name="常规 3 4 3 2 2" xfId="4834"/>
    <cellStyle name="常规 3 4 3 3" xfId="4835"/>
    <cellStyle name="常规 3 4 3 4" xfId="4836"/>
    <cellStyle name="常规 3 4 4" xfId="4837"/>
    <cellStyle name="常规 3 4 4 2" xfId="4838"/>
    <cellStyle name="常规 3 4 4 2 2" xfId="4839"/>
    <cellStyle name="常规 3 4 4 3" xfId="4840"/>
    <cellStyle name="常规 3 4 4 4" xfId="4841"/>
    <cellStyle name="常规 3 4 5" xfId="4842"/>
    <cellStyle name="常规 3 4 5 2" xfId="4843"/>
    <cellStyle name="常规 3 4 6" xfId="4844"/>
    <cellStyle name="常规 3 4 6 2" xfId="4845"/>
    <cellStyle name="常规 3 4 7" xfId="4846"/>
    <cellStyle name="常规 3 4 8" xfId="8908"/>
    <cellStyle name="常规 3 5" xfId="4847"/>
    <cellStyle name="常规 3 5 2" xfId="4848"/>
    <cellStyle name="常规 3 5 2 2" xfId="4849"/>
    <cellStyle name="常规 3 5 2 2 2" xfId="4850"/>
    <cellStyle name="常规 3 5 2 3" xfId="4851"/>
    <cellStyle name="常规 3 5 2 4" xfId="4852"/>
    <cellStyle name="常规 3 5 3" xfId="4853"/>
    <cellStyle name="常规 3 5 3 2" xfId="4854"/>
    <cellStyle name="常规 3 5 4" xfId="4855"/>
    <cellStyle name="常规 3 5 4 2" xfId="4856"/>
    <cellStyle name="常规 3 5 5" xfId="4857"/>
    <cellStyle name="常规 3 5 6" xfId="4858"/>
    <cellStyle name="常规 3 6" xfId="4859"/>
    <cellStyle name="常规 3 6 2" xfId="4860"/>
    <cellStyle name="常规 3 6 2 2" xfId="4861"/>
    <cellStyle name="常规 3 6 3" xfId="4862"/>
    <cellStyle name="常规 3 6 3 2" xfId="4863"/>
    <cellStyle name="常规 3 6 4" xfId="4864"/>
    <cellStyle name="常规 3 7" xfId="4865"/>
    <cellStyle name="常规 3 7 2" xfId="4866"/>
    <cellStyle name="常规 3 7 2 2" xfId="4867"/>
    <cellStyle name="常规 3 7 2 2 2" xfId="4868"/>
    <cellStyle name="常规 3 7 2 3" xfId="4869"/>
    <cellStyle name="常规 3 7 2 4" xfId="4870"/>
    <cellStyle name="常规 3 7 3" xfId="4871"/>
    <cellStyle name="常规 3 7 3 2" xfId="4872"/>
    <cellStyle name="常规 3 7 4" xfId="4873"/>
    <cellStyle name="常规 3 7 4 2" xfId="4874"/>
    <cellStyle name="常规 3 7 5" xfId="4875"/>
    <cellStyle name="常规 3 7 6" xfId="4876"/>
    <cellStyle name="常规 3 8" xfId="4877"/>
    <cellStyle name="常规 3 8 2" xfId="4878"/>
    <cellStyle name="常规 3 8 2 2" xfId="4879"/>
    <cellStyle name="常规 3 8 3" xfId="4880"/>
    <cellStyle name="常规 3 8 4" xfId="4881"/>
    <cellStyle name="常规 3 9" xfId="4882"/>
    <cellStyle name="常规 3 9 2" xfId="4883"/>
    <cellStyle name="常规 3_统筹-校长（暂估）" xfId="4884"/>
    <cellStyle name="常规 30" xfId="4885"/>
    <cellStyle name="常规 30 2" xfId="4886"/>
    <cellStyle name="常规 30 2 2" xfId="4887"/>
    <cellStyle name="常规 30 2 2 2" xfId="4888"/>
    <cellStyle name="常规 30 2 3" xfId="4889"/>
    <cellStyle name="常规 30 3" xfId="4890"/>
    <cellStyle name="常规 30 3 2" xfId="4891"/>
    <cellStyle name="常规 30 4" xfId="4892"/>
    <cellStyle name="常规 30 4 2" xfId="4893"/>
    <cellStyle name="常规 30 5" xfId="4894"/>
    <cellStyle name="常规 31" xfId="4895"/>
    <cellStyle name="常规 31 2" xfId="4896"/>
    <cellStyle name="常规 31 2 2" xfId="4897"/>
    <cellStyle name="常规 31 2 2 2" xfId="4898"/>
    <cellStyle name="常规 31 2 3" xfId="4899"/>
    <cellStyle name="常规 31 3" xfId="4900"/>
    <cellStyle name="常规 31 3 2" xfId="4901"/>
    <cellStyle name="常规 31 4" xfId="4902"/>
    <cellStyle name="常规 31 4 2" xfId="4903"/>
    <cellStyle name="常规 31 5" xfId="4904"/>
    <cellStyle name="常规 31 6" xfId="8895"/>
    <cellStyle name="常规 32" xfId="4905"/>
    <cellStyle name="常规 32 2" xfId="4906"/>
    <cellStyle name="常规 32 2 2" xfId="4907"/>
    <cellStyle name="常规 32 2 2 2" xfId="4908"/>
    <cellStyle name="常规 32 2 3" xfId="4909"/>
    <cellStyle name="常规 32 3" xfId="4910"/>
    <cellStyle name="常规 32 3 2" xfId="4911"/>
    <cellStyle name="常规 32 4" xfId="4912"/>
    <cellStyle name="常规 32 4 2" xfId="4913"/>
    <cellStyle name="常规 32 5" xfId="4914"/>
    <cellStyle name="常规 33" xfId="4915"/>
    <cellStyle name="常规 33 2" xfId="4916"/>
    <cellStyle name="常规 33 2 2" xfId="4917"/>
    <cellStyle name="常规 33 2 2 2" xfId="4918"/>
    <cellStyle name="常规 33 2 3" xfId="4919"/>
    <cellStyle name="常规 33 3" xfId="4920"/>
    <cellStyle name="常规 33 3 2" xfId="4921"/>
    <cellStyle name="常规 33 4" xfId="4922"/>
    <cellStyle name="常规 33 4 2" xfId="4923"/>
    <cellStyle name="常规 33 5" xfId="4924"/>
    <cellStyle name="常规 34" xfId="4925"/>
    <cellStyle name="常规 34 2" xfId="4926"/>
    <cellStyle name="常规 34 2 2" xfId="4927"/>
    <cellStyle name="常规 34 2 2 2" xfId="4928"/>
    <cellStyle name="常规 34 2 3" xfId="4929"/>
    <cellStyle name="常规 34 3" xfId="4930"/>
    <cellStyle name="常规 34 3 2" xfId="4931"/>
    <cellStyle name="常规 34 4" xfId="4932"/>
    <cellStyle name="常规 34 4 2" xfId="4933"/>
    <cellStyle name="常规 34 5" xfId="4934"/>
    <cellStyle name="常规 35" xfId="4935"/>
    <cellStyle name="常规 35 2" xfId="4936"/>
    <cellStyle name="常规 35 2 2" xfId="4937"/>
    <cellStyle name="常规 35 2 2 2" xfId="4938"/>
    <cellStyle name="常规 35 2 3" xfId="4939"/>
    <cellStyle name="常规 35 3" xfId="4940"/>
    <cellStyle name="常规 35 3 2" xfId="4941"/>
    <cellStyle name="常规 35 4" xfId="4942"/>
    <cellStyle name="常规 35 4 2" xfId="4943"/>
    <cellStyle name="常规 35 5" xfId="4944"/>
    <cellStyle name="常规 36" xfId="4945"/>
    <cellStyle name="常规 36 2" xfId="4946"/>
    <cellStyle name="常规 36 2 2" xfId="4947"/>
    <cellStyle name="常规 36 2 2 2" xfId="4948"/>
    <cellStyle name="常规 36 2 3" xfId="4949"/>
    <cellStyle name="常规 36 3" xfId="4950"/>
    <cellStyle name="常规 36 3 2" xfId="4951"/>
    <cellStyle name="常规 36 4" xfId="4952"/>
    <cellStyle name="常规 36 4 2" xfId="4953"/>
    <cellStyle name="常规 36 5" xfId="4954"/>
    <cellStyle name="常规 37" xfId="4955"/>
    <cellStyle name="常规 37 2" xfId="4956"/>
    <cellStyle name="常规 37 2 2" xfId="4957"/>
    <cellStyle name="常规 37 2 2 2" xfId="4958"/>
    <cellStyle name="常规 37 2 3" xfId="4959"/>
    <cellStyle name="常规 37 3" xfId="4960"/>
    <cellStyle name="常规 37 3 2" xfId="4961"/>
    <cellStyle name="常规 37 4" xfId="4962"/>
    <cellStyle name="常规 37 4 2" xfId="4963"/>
    <cellStyle name="常规 37 5" xfId="4964"/>
    <cellStyle name="常规 38" xfId="4965"/>
    <cellStyle name="常规 38 2" xfId="4966"/>
    <cellStyle name="常规 38 2 2" xfId="4967"/>
    <cellStyle name="常规 38 2 2 2" xfId="4968"/>
    <cellStyle name="常规 38 2 3" xfId="4969"/>
    <cellStyle name="常规 38 3" xfId="4970"/>
    <cellStyle name="常规 38 3 2" xfId="4971"/>
    <cellStyle name="常规 38 4" xfId="4972"/>
    <cellStyle name="常规 38 4 2" xfId="4973"/>
    <cellStyle name="常规 38 5" xfId="4974"/>
    <cellStyle name="常规 39" xfId="4975"/>
    <cellStyle name="常规 39 2" xfId="4976"/>
    <cellStyle name="常规 39 2 2" xfId="4977"/>
    <cellStyle name="常规 39 2 2 2" xfId="4978"/>
    <cellStyle name="常规 39 2 3" xfId="4979"/>
    <cellStyle name="常规 39 3" xfId="4980"/>
    <cellStyle name="常规 39 3 2" xfId="4981"/>
    <cellStyle name="常规 39 4" xfId="4982"/>
    <cellStyle name="常规 39 4 2" xfId="4983"/>
    <cellStyle name="常规 39 5" xfId="4984"/>
    <cellStyle name="常规 4" xfId="4985"/>
    <cellStyle name="常规 4 10" xfId="4986"/>
    <cellStyle name="常规 4 10 2" xfId="4987"/>
    <cellStyle name="常规 4 11" xfId="4988"/>
    <cellStyle name="常规 4 11 2" xfId="4989"/>
    <cellStyle name="常规 4 12" xfId="4990"/>
    <cellStyle name="常规 4 13" xfId="8604"/>
    <cellStyle name="常规 4 14" xfId="8761"/>
    <cellStyle name="常规 4 14 2" xfId="9284"/>
    <cellStyle name="常规 4 15" xfId="8889"/>
    <cellStyle name="常规 4 16" xfId="8981"/>
    <cellStyle name="常规 4 16 2" xfId="9312"/>
    <cellStyle name="常规 4 17" xfId="9172"/>
    <cellStyle name="常规 4 17 2" xfId="9317"/>
    <cellStyle name="常规 4 18" xfId="9206"/>
    <cellStyle name="常规 4 2" xfId="4991"/>
    <cellStyle name="常规 4 2 2" xfId="4992"/>
    <cellStyle name="常规 4 2 2 2" xfId="4993"/>
    <cellStyle name="常规 4 2 2 2 2" xfId="4994"/>
    <cellStyle name="常规 4 2 2 2 2 2" xfId="4995"/>
    <cellStyle name="常规 4 2 2 2 3" xfId="4996"/>
    <cellStyle name="常规 4 2 2 3" xfId="4997"/>
    <cellStyle name="常规 4 2 2 3 2" xfId="4998"/>
    <cellStyle name="常规 4 2 2 4" xfId="4999"/>
    <cellStyle name="常规 4 2 2 4 2" xfId="5000"/>
    <cellStyle name="常规 4 2 2 5" xfId="5001"/>
    <cellStyle name="常规 4 2 3" xfId="5002"/>
    <cellStyle name="常规 4 2 3 2" xfId="5003"/>
    <cellStyle name="常规 4 2 3 2 2" xfId="5004"/>
    <cellStyle name="常规 4 2 3 3" xfId="5005"/>
    <cellStyle name="常规 4 2 4" xfId="5006"/>
    <cellStyle name="常规 4 2 4 2" xfId="5007"/>
    <cellStyle name="常规 4 2 5" xfId="5008"/>
    <cellStyle name="常规 4 2 5 2" xfId="5009"/>
    <cellStyle name="常规 4 2 6" xfId="5010"/>
    <cellStyle name="常规 4 2 7" xfId="8762"/>
    <cellStyle name="常规 4 2 7 2" xfId="9285"/>
    <cellStyle name="常规 4 2 8" xfId="8918"/>
    <cellStyle name="常规 4 2 9" xfId="9190"/>
    <cellStyle name="常规 4 3" xfId="5011"/>
    <cellStyle name="常规 4 3 2" xfId="5012"/>
    <cellStyle name="常规 4 3 2 2" xfId="5013"/>
    <cellStyle name="常规 4 3 2 2 2" xfId="5014"/>
    <cellStyle name="常规 4 3 2 3" xfId="5015"/>
    <cellStyle name="常规 4 3 3" xfId="5016"/>
    <cellStyle name="常规 4 3 3 2" xfId="5017"/>
    <cellStyle name="常规 4 3 4" xfId="5018"/>
    <cellStyle name="常规 4 3 4 2" xfId="5019"/>
    <cellStyle name="常规 4 3 5" xfId="5020"/>
    <cellStyle name="常规 4 4" xfId="5021"/>
    <cellStyle name="常规 4 4 2" xfId="5022"/>
    <cellStyle name="常规 4 4 2 2" xfId="5023"/>
    <cellStyle name="常规 4 4 2 2 2" xfId="5024"/>
    <cellStyle name="常规 4 4 2 3" xfId="5025"/>
    <cellStyle name="常规 4 4 3" xfId="5026"/>
    <cellStyle name="常规 4 4 3 2" xfId="5027"/>
    <cellStyle name="常规 4 4 4" xfId="5028"/>
    <cellStyle name="常规 4 4 4 2" xfId="5029"/>
    <cellStyle name="常规 4 4 5" xfId="5030"/>
    <cellStyle name="常规 4 5" xfId="5031"/>
    <cellStyle name="常规 4 5 2" xfId="5032"/>
    <cellStyle name="常规 4 5 2 2" xfId="5033"/>
    <cellStyle name="常规 4 5 2 2 2" xfId="5034"/>
    <cellStyle name="常规 4 5 2 3" xfId="5035"/>
    <cellStyle name="常规 4 5 3" xfId="5036"/>
    <cellStyle name="常规 4 5 3 2" xfId="5037"/>
    <cellStyle name="常规 4 5 4" xfId="5038"/>
    <cellStyle name="常规 4 5 4 2" xfId="5039"/>
    <cellStyle name="常规 4 5 5" xfId="5040"/>
    <cellStyle name="常规 4 6" xfId="5041"/>
    <cellStyle name="常规 4 6 2" xfId="5042"/>
    <cellStyle name="常规 4 6 2 2" xfId="5043"/>
    <cellStyle name="常规 4 6 2 2 2" xfId="5044"/>
    <cellStyle name="常规 4 6 2 3" xfId="5045"/>
    <cellStyle name="常规 4 6 3" xfId="5046"/>
    <cellStyle name="常规 4 6 3 2" xfId="5047"/>
    <cellStyle name="常规 4 6 4" xfId="5048"/>
    <cellStyle name="常规 4 6 4 2" xfId="5049"/>
    <cellStyle name="常规 4 6 5" xfId="5050"/>
    <cellStyle name="常规 4 7" xfId="5051"/>
    <cellStyle name="常规 4 7 2" xfId="5052"/>
    <cellStyle name="常规 4 7 2 2" xfId="5053"/>
    <cellStyle name="常规 4 7 3" xfId="5054"/>
    <cellStyle name="常规 4 8" xfId="5055"/>
    <cellStyle name="常规 4 8 2" xfId="5056"/>
    <cellStyle name="常规 4 8 2 2" xfId="5057"/>
    <cellStyle name="常规 4 8 3" xfId="5058"/>
    <cellStyle name="常规 4 9" xfId="5059"/>
    <cellStyle name="常规 4 9 2" xfId="5060"/>
    <cellStyle name="常规 40" xfId="5061"/>
    <cellStyle name="常规 40 2" xfId="5062"/>
    <cellStyle name="常规 40 2 2" xfId="5063"/>
    <cellStyle name="常规 40 2 2 2" xfId="5064"/>
    <cellStyle name="常规 40 2 3" xfId="5065"/>
    <cellStyle name="常规 40 3" xfId="5066"/>
    <cellStyle name="常规 40 3 2" xfId="5067"/>
    <cellStyle name="常规 40 4" xfId="5068"/>
    <cellStyle name="常规 40 4 2" xfId="5069"/>
    <cellStyle name="常规 40 5" xfId="5070"/>
    <cellStyle name="常规 41" xfId="5071"/>
    <cellStyle name="常规 41 2" xfId="5072"/>
    <cellStyle name="常规 41 2 2" xfId="5073"/>
    <cellStyle name="常规 41 2 2 2" xfId="5074"/>
    <cellStyle name="常规 41 2 3" xfId="5075"/>
    <cellStyle name="常规 41 3" xfId="5076"/>
    <cellStyle name="常规 41 3 2" xfId="5077"/>
    <cellStyle name="常规 41 4" xfId="5078"/>
    <cellStyle name="常规 41 4 2" xfId="5079"/>
    <cellStyle name="常规 41 5" xfId="5080"/>
    <cellStyle name="常规 42" xfId="5081"/>
    <cellStyle name="常规 42 2" xfId="5082"/>
    <cellStyle name="常规 42 2 2" xfId="5083"/>
    <cellStyle name="常规 42 2 2 2" xfId="5084"/>
    <cellStyle name="常规 42 2 3" xfId="5085"/>
    <cellStyle name="常规 42 3" xfId="5086"/>
    <cellStyle name="常规 42 3 2" xfId="5087"/>
    <cellStyle name="常规 42 4" xfId="5088"/>
    <cellStyle name="常规 42 4 2" xfId="5089"/>
    <cellStyle name="常规 42 5" xfId="5090"/>
    <cellStyle name="常规 43" xfId="5091"/>
    <cellStyle name="常规 43 2" xfId="5092"/>
    <cellStyle name="常规 43 2 2" xfId="5093"/>
    <cellStyle name="常规 43 2 2 2" xfId="5094"/>
    <cellStyle name="常规 43 2 3" xfId="5095"/>
    <cellStyle name="常规 43 3" xfId="5096"/>
    <cellStyle name="常规 43 3 2" xfId="5097"/>
    <cellStyle name="常规 43 4" xfId="5098"/>
    <cellStyle name="常规 43 4 2" xfId="5099"/>
    <cellStyle name="常规 43 5" xfId="5100"/>
    <cellStyle name="常规 44" xfId="5101"/>
    <cellStyle name="常规 44 2" xfId="5102"/>
    <cellStyle name="常规 44 2 2" xfId="5103"/>
    <cellStyle name="常规 44 2 2 2" xfId="5104"/>
    <cellStyle name="常规 44 2 3" xfId="5105"/>
    <cellStyle name="常规 44 3" xfId="5106"/>
    <cellStyle name="常规 44 3 2" xfId="5107"/>
    <cellStyle name="常规 44 4" xfId="5108"/>
    <cellStyle name="常规 44 4 2" xfId="5109"/>
    <cellStyle name="常规 44 5" xfId="5110"/>
    <cellStyle name="常规 45" xfId="5111"/>
    <cellStyle name="常规 45 2" xfId="5112"/>
    <cellStyle name="常规 45 2 2" xfId="5113"/>
    <cellStyle name="常规 45 2 2 2" xfId="5114"/>
    <cellStyle name="常规 45 2 3" xfId="5115"/>
    <cellStyle name="常规 45 3" xfId="5116"/>
    <cellStyle name="常规 45 3 2" xfId="5117"/>
    <cellStyle name="常规 45 4" xfId="5118"/>
    <cellStyle name="常规 45 4 2" xfId="5119"/>
    <cellStyle name="常规 45 5" xfId="5120"/>
    <cellStyle name="常规 46" xfId="5121"/>
    <cellStyle name="常规 46 2" xfId="5122"/>
    <cellStyle name="常规 46 2 2" xfId="5123"/>
    <cellStyle name="常规 46 2 2 2" xfId="5124"/>
    <cellStyle name="常规 46 2 3" xfId="5125"/>
    <cellStyle name="常规 46 3" xfId="5126"/>
    <cellStyle name="常规 46 3 2" xfId="5127"/>
    <cellStyle name="常规 46 4" xfId="5128"/>
    <cellStyle name="常规 46 4 2" xfId="5129"/>
    <cellStyle name="常规 46 5" xfId="5130"/>
    <cellStyle name="常规 47" xfId="5131"/>
    <cellStyle name="常规 47 2" xfId="5132"/>
    <cellStyle name="常规 47 2 2" xfId="5133"/>
    <cellStyle name="常规 47 2 2 2" xfId="5134"/>
    <cellStyle name="常规 47 2 3" xfId="5135"/>
    <cellStyle name="常规 47 3" xfId="5136"/>
    <cellStyle name="常规 47 3 2" xfId="5137"/>
    <cellStyle name="常规 47 4" xfId="5138"/>
    <cellStyle name="常规 47 4 2" xfId="5139"/>
    <cellStyle name="常规 47 5" xfId="5140"/>
    <cellStyle name="常规 48" xfId="5141"/>
    <cellStyle name="常规 48 2" xfId="5142"/>
    <cellStyle name="常规 48 2 2" xfId="5143"/>
    <cellStyle name="常规 48 2 2 2" xfId="5144"/>
    <cellStyle name="常规 48 2 3" xfId="5145"/>
    <cellStyle name="常规 48 3" xfId="5146"/>
    <cellStyle name="常规 48 3 2" xfId="5147"/>
    <cellStyle name="常规 48 4" xfId="5148"/>
    <cellStyle name="常规 48 4 2" xfId="5149"/>
    <cellStyle name="常规 48 5" xfId="5150"/>
    <cellStyle name="常规 49" xfId="5151"/>
    <cellStyle name="常规 49 2" xfId="5152"/>
    <cellStyle name="常规 49 2 2" xfId="5153"/>
    <cellStyle name="常规 49 2 2 2" xfId="5154"/>
    <cellStyle name="常规 49 2 3" xfId="5155"/>
    <cellStyle name="常规 49 3" xfId="5156"/>
    <cellStyle name="常规 49 3 2" xfId="5157"/>
    <cellStyle name="常规 49 4" xfId="5158"/>
    <cellStyle name="常规 49 4 2" xfId="5159"/>
    <cellStyle name="常规 49 5" xfId="5160"/>
    <cellStyle name="常规 5" xfId="5161"/>
    <cellStyle name="常规 5 10" xfId="5162"/>
    <cellStyle name="常规 5 11" xfId="8763"/>
    <cellStyle name="常规 5 12" xfId="8897"/>
    <cellStyle name="常规 5 13" xfId="9173"/>
    <cellStyle name="常规 5 13 2" xfId="9318"/>
    <cellStyle name="常规 5 14" xfId="9209"/>
    <cellStyle name="常规 5 2" xfId="5163"/>
    <cellStyle name="常规 5 2 2" xfId="5164"/>
    <cellStyle name="常规 5 2 2 2" xfId="5165"/>
    <cellStyle name="常规 5 2 2 2 2" xfId="5166"/>
    <cellStyle name="常规 5 2 2 2 2 2" xfId="5167"/>
    <cellStyle name="常规 5 2 2 2 3" xfId="5168"/>
    <cellStyle name="常规 5 2 2 3" xfId="5169"/>
    <cellStyle name="常规 5 2 2 3 2" xfId="5170"/>
    <cellStyle name="常规 5 2 2 4" xfId="5171"/>
    <cellStyle name="常规 5 2 2 4 2" xfId="5172"/>
    <cellStyle name="常规 5 2 2 5" xfId="5173"/>
    <cellStyle name="常规 5 2 3" xfId="5174"/>
    <cellStyle name="常规 5 2 3 2" xfId="5175"/>
    <cellStyle name="常规 5 2 3 2 2" xfId="5176"/>
    <cellStyle name="常规 5 2 3 3" xfId="5177"/>
    <cellStyle name="常规 5 2 4" xfId="5178"/>
    <cellStyle name="常规 5 2 4 2" xfId="5179"/>
    <cellStyle name="常规 5 2 5" xfId="5180"/>
    <cellStyle name="常规 5 2 5 2" xfId="5181"/>
    <cellStyle name="常规 5 2 6" xfId="5182"/>
    <cellStyle name="常规 5 2 7" xfId="8914"/>
    <cellStyle name="常规 5 2 8" xfId="9191"/>
    <cellStyle name="常规 5 3" xfId="5183"/>
    <cellStyle name="常规 5 3 2" xfId="5184"/>
    <cellStyle name="常规 5 3 2 2" xfId="5185"/>
    <cellStyle name="常规 5 3 2 2 2" xfId="5186"/>
    <cellStyle name="常规 5 3 2 3" xfId="5187"/>
    <cellStyle name="常规 5 3 3" xfId="5188"/>
    <cellStyle name="常规 5 3 3 2" xfId="5189"/>
    <cellStyle name="常规 5 3 4" xfId="5190"/>
    <cellStyle name="常规 5 3 4 2" xfId="5191"/>
    <cellStyle name="常规 5 3 5" xfId="5192"/>
    <cellStyle name="常规 5 4" xfId="5193"/>
    <cellStyle name="常规 5 4 2" xfId="5194"/>
    <cellStyle name="常规 5 4 2 2" xfId="5195"/>
    <cellStyle name="常规 5 4 2 2 2" xfId="5196"/>
    <cellStyle name="常规 5 4 2 3" xfId="5197"/>
    <cellStyle name="常规 5 4 3" xfId="5198"/>
    <cellStyle name="常规 5 4 3 2" xfId="5199"/>
    <cellStyle name="常规 5 4 4" xfId="5200"/>
    <cellStyle name="常规 5 4 4 2" xfId="5201"/>
    <cellStyle name="常规 5 4 5" xfId="5202"/>
    <cellStyle name="常规 5 5" xfId="5203"/>
    <cellStyle name="常规 5 5 2" xfId="5204"/>
    <cellStyle name="常规 5 5 2 2" xfId="5205"/>
    <cellStyle name="常规 5 5 2 2 2" xfId="5206"/>
    <cellStyle name="常规 5 5 2 3" xfId="5207"/>
    <cellStyle name="常规 5 5 3" xfId="5208"/>
    <cellStyle name="常规 5 5 3 2" xfId="5209"/>
    <cellStyle name="常规 5 5 4" xfId="5210"/>
    <cellStyle name="常规 5 5 4 2" xfId="5211"/>
    <cellStyle name="常规 5 5 5" xfId="5212"/>
    <cellStyle name="常规 5 6" xfId="5213"/>
    <cellStyle name="常规 5 6 2" xfId="5214"/>
    <cellStyle name="常规 5 6 2 2" xfId="5215"/>
    <cellStyle name="常规 5 6 3" xfId="5216"/>
    <cellStyle name="常规 5 7" xfId="5217"/>
    <cellStyle name="常规 5 7 2" xfId="5218"/>
    <cellStyle name="常规 5 8" xfId="5219"/>
    <cellStyle name="常规 5 8 2" xfId="5220"/>
    <cellStyle name="常规 5 9" xfId="5221"/>
    <cellStyle name="常规 5 9 2" xfId="5222"/>
    <cellStyle name="常规 50" xfId="5223"/>
    <cellStyle name="常规 50 2" xfId="5224"/>
    <cellStyle name="常规 50 2 2" xfId="5225"/>
    <cellStyle name="常规 50 2 2 2" xfId="5226"/>
    <cellStyle name="常规 50 2 3" xfId="5227"/>
    <cellStyle name="常规 50 3" xfId="5228"/>
    <cellStyle name="常规 50 3 2" xfId="5229"/>
    <cellStyle name="常规 50 4" xfId="5230"/>
    <cellStyle name="常规 50 4 2" xfId="5231"/>
    <cellStyle name="常规 50 5" xfId="5232"/>
    <cellStyle name="常规 51" xfId="5233"/>
    <cellStyle name="常规 51 2" xfId="5234"/>
    <cellStyle name="常规 51 2 2" xfId="5235"/>
    <cellStyle name="常规 51 2 2 2" xfId="5236"/>
    <cellStyle name="常规 51 2 3" xfId="5237"/>
    <cellStyle name="常规 51 3" xfId="5238"/>
    <cellStyle name="常规 51 3 2" xfId="5239"/>
    <cellStyle name="常规 51 4" xfId="5240"/>
    <cellStyle name="常规 51 4 2" xfId="5241"/>
    <cellStyle name="常规 51 5" xfId="5242"/>
    <cellStyle name="常规 52" xfId="5243"/>
    <cellStyle name="常规 52 2" xfId="5244"/>
    <cellStyle name="常规 52 2 2" xfId="5245"/>
    <cellStyle name="常规 52 2 2 2" xfId="5246"/>
    <cellStyle name="常规 52 2 3" xfId="5247"/>
    <cellStyle name="常规 52 3" xfId="5248"/>
    <cellStyle name="常规 52 3 2" xfId="5249"/>
    <cellStyle name="常规 52 4" xfId="5250"/>
    <cellStyle name="常规 52 4 2" xfId="5251"/>
    <cellStyle name="常规 52 5" xfId="5252"/>
    <cellStyle name="常规 53" xfId="5253"/>
    <cellStyle name="常规 53 2" xfId="5254"/>
    <cellStyle name="常规 53 2 2" xfId="5255"/>
    <cellStyle name="常规 53 2 2 2" xfId="5256"/>
    <cellStyle name="常规 53 2 3" xfId="5257"/>
    <cellStyle name="常规 53 3" xfId="5258"/>
    <cellStyle name="常规 53 3 2" xfId="5259"/>
    <cellStyle name="常规 53 4" xfId="5260"/>
    <cellStyle name="常规 53 4 2" xfId="5261"/>
    <cellStyle name="常规 53 5" xfId="5262"/>
    <cellStyle name="常规 54" xfId="5263"/>
    <cellStyle name="常规 54 2" xfId="5264"/>
    <cellStyle name="常规 54 2 2" xfId="5265"/>
    <cellStyle name="常规 54 2 2 2" xfId="5266"/>
    <cellStyle name="常规 54 2 3" xfId="5267"/>
    <cellStyle name="常规 54 3" xfId="5268"/>
    <cellStyle name="常规 54 3 2" xfId="5269"/>
    <cellStyle name="常规 54 4" xfId="5270"/>
    <cellStyle name="常规 54 4 2" xfId="5271"/>
    <cellStyle name="常规 54 5" xfId="5272"/>
    <cellStyle name="常规 55" xfId="5273"/>
    <cellStyle name="常规 55 2" xfId="5274"/>
    <cellStyle name="常规 55 2 2" xfId="5275"/>
    <cellStyle name="常规 55 2 2 2" xfId="5276"/>
    <cellStyle name="常规 55 2 3" xfId="5277"/>
    <cellStyle name="常规 55 3" xfId="5278"/>
    <cellStyle name="常规 55 3 2" xfId="5279"/>
    <cellStyle name="常规 55 4" xfId="5280"/>
    <cellStyle name="常规 55 4 2" xfId="5281"/>
    <cellStyle name="常规 55 5" xfId="5282"/>
    <cellStyle name="常规 56" xfId="5283"/>
    <cellStyle name="常规 56 2" xfId="5284"/>
    <cellStyle name="常规 56 2 2" xfId="5285"/>
    <cellStyle name="常规 56 2 2 2" xfId="5286"/>
    <cellStyle name="常规 56 2 3" xfId="5287"/>
    <cellStyle name="常规 56 3" xfId="5288"/>
    <cellStyle name="常规 56 3 2" xfId="5289"/>
    <cellStyle name="常规 56 4" xfId="5290"/>
    <cellStyle name="常规 56 4 2" xfId="5291"/>
    <cellStyle name="常规 56 5" xfId="5292"/>
    <cellStyle name="常规 57" xfId="5293"/>
    <cellStyle name="常规 57 2" xfId="5294"/>
    <cellStyle name="常规 57 2 2" xfId="5295"/>
    <cellStyle name="常规 57 2 2 2" xfId="5296"/>
    <cellStyle name="常规 57 2 3" xfId="5297"/>
    <cellStyle name="常规 57 3" xfId="5298"/>
    <cellStyle name="常规 57 3 2" xfId="5299"/>
    <cellStyle name="常规 57 4" xfId="5300"/>
    <cellStyle name="常规 57 4 2" xfId="5301"/>
    <cellStyle name="常规 57 5" xfId="5302"/>
    <cellStyle name="常规 58" xfId="5303"/>
    <cellStyle name="常规 58 2" xfId="5304"/>
    <cellStyle name="常规 58 2 2" xfId="5305"/>
    <cellStyle name="常规 58 2 2 2" xfId="5306"/>
    <cellStyle name="常规 58 2 3" xfId="5307"/>
    <cellStyle name="常规 58 3" xfId="5308"/>
    <cellStyle name="常规 58 3 2" xfId="5309"/>
    <cellStyle name="常规 58 4" xfId="5310"/>
    <cellStyle name="常规 58 4 2" xfId="5311"/>
    <cellStyle name="常规 58 5" xfId="5312"/>
    <cellStyle name="常规 58 6" xfId="8899"/>
    <cellStyle name="常规 59" xfId="5313"/>
    <cellStyle name="常规 59 2" xfId="5314"/>
    <cellStyle name="常规 59 2 2" xfId="5315"/>
    <cellStyle name="常规 59 2 2 2" xfId="5316"/>
    <cellStyle name="常规 59 2 3" xfId="5317"/>
    <cellStyle name="常规 59 3" xfId="5318"/>
    <cellStyle name="常规 59 3 2" xfId="5319"/>
    <cellStyle name="常规 59 4" xfId="5320"/>
    <cellStyle name="常规 59 4 2" xfId="5321"/>
    <cellStyle name="常规 59 5" xfId="5322"/>
    <cellStyle name="常规 6" xfId="5323"/>
    <cellStyle name="常规 6 10" xfId="5324"/>
    <cellStyle name="常规 6 11" xfId="8884"/>
    <cellStyle name="常规 6 12" xfId="8999"/>
    <cellStyle name="常规 6 13" xfId="9174"/>
    <cellStyle name="常规 6 13 2" xfId="9319"/>
    <cellStyle name="常规 6 2" xfId="5325"/>
    <cellStyle name="常规 6 2 2" xfId="5326"/>
    <cellStyle name="常规 6 2 2 2" xfId="5327"/>
    <cellStyle name="常规 6 2 2 2 2" xfId="5328"/>
    <cellStyle name="常规 6 2 2 2 2 2" xfId="5329"/>
    <cellStyle name="常规 6 2 2 2 3" xfId="5330"/>
    <cellStyle name="常规 6 2 2 3" xfId="5331"/>
    <cellStyle name="常规 6 2 2 3 2" xfId="5332"/>
    <cellStyle name="常规 6 2 2 4" xfId="5333"/>
    <cellStyle name="常规 6 2 2 4 2" xfId="5334"/>
    <cellStyle name="常规 6 2 2 5" xfId="5335"/>
    <cellStyle name="常规 6 2 3" xfId="5336"/>
    <cellStyle name="常规 6 2 3 2" xfId="5337"/>
    <cellStyle name="常规 6 2 3 2 2" xfId="5338"/>
    <cellStyle name="常规 6 2 3 3" xfId="5339"/>
    <cellStyle name="常规 6 2 4" xfId="5340"/>
    <cellStyle name="常规 6 2 4 2" xfId="5341"/>
    <cellStyle name="常规 6 2 5" xfId="5342"/>
    <cellStyle name="常规 6 2 5 2" xfId="5343"/>
    <cellStyle name="常规 6 2 6" xfId="5344"/>
    <cellStyle name="常规 6 2 7" xfId="9182"/>
    <cellStyle name="常规 6 3" xfId="5345"/>
    <cellStyle name="常规 6 3 2" xfId="5346"/>
    <cellStyle name="常规 6 3 2 2" xfId="5347"/>
    <cellStyle name="常规 6 3 2 2 2" xfId="5348"/>
    <cellStyle name="常规 6 3 2 3" xfId="5349"/>
    <cellStyle name="常规 6 3 3" xfId="5350"/>
    <cellStyle name="常规 6 3 3 2" xfId="5351"/>
    <cellStyle name="常规 6 3 4" xfId="5352"/>
    <cellStyle name="常规 6 3 4 2" xfId="5353"/>
    <cellStyle name="常规 6 3 5" xfId="5354"/>
    <cellStyle name="常规 6 4" xfId="5355"/>
    <cellStyle name="常规 6 4 2" xfId="5356"/>
    <cellStyle name="常规 6 4 2 2" xfId="5357"/>
    <cellStyle name="常规 6 4 2 2 2" xfId="5358"/>
    <cellStyle name="常规 6 4 2 3" xfId="5359"/>
    <cellStyle name="常规 6 4 3" xfId="5360"/>
    <cellStyle name="常规 6 4 3 2" xfId="5361"/>
    <cellStyle name="常规 6 4 4" xfId="5362"/>
    <cellStyle name="常规 6 4 4 2" xfId="5363"/>
    <cellStyle name="常规 6 4 5" xfId="5364"/>
    <cellStyle name="常规 6 5" xfId="5365"/>
    <cellStyle name="常规 6 5 2" xfId="5366"/>
    <cellStyle name="常规 6 5 2 2" xfId="5367"/>
    <cellStyle name="常规 6 5 2 2 2" xfId="5368"/>
    <cellStyle name="常规 6 5 2 3" xfId="5369"/>
    <cellStyle name="常规 6 5 3" xfId="5370"/>
    <cellStyle name="常规 6 5 3 2" xfId="5371"/>
    <cellStyle name="常规 6 5 4" xfId="5372"/>
    <cellStyle name="常规 6 5 4 2" xfId="5373"/>
    <cellStyle name="常规 6 5 5" xfId="5374"/>
    <cellStyle name="常规 6 6" xfId="5375"/>
    <cellStyle name="常规 6 6 2" xfId="5376"/>
    <cellStyle name="常规 6 6 2 2" xfId="5377"/>
    <cellStyle name="常规 6 6 3" xfId="5378"/>
    <cellStyle name="常规 6 7" xfId="5379"/>
    <cellStyle name="常规 6 7 2" xfId="5380"/>
    <cellStyle name="常规 6 8" xfId="5381"/>
    <cellStyle name="常规 6 8 2" xfId="5382"/>
    <cellStyle name="常规 6 9" xfId="5383"/>
    <cellStyle name="常规 6 9 2" xfId="5384"/>
    <cellStyle name="常规 60" xfId="5385"/>
    <cellStyle name="常规 60 2" xfId="5386"/>
    <cellStyle name="常规 60 2 2" xfId="5387"/>
    <cellStyle name="常规 60 2 2 2" xfId="5388"/>
    <cellStyle name="常规 60 2 3" xfId="5389"/>
    <cellStyle name="常规 60 3" xfId="5390"/>
    <cellStyle name="常规 60 3 2" xfId="5391"/>
    <cellStyle name="常规 60 4" xfId="5392"/>
    <cellStyle name="常规 60 4 2" xfId="5393"/>
    <cellStyle name="常规 60 5" xfId="5394"/>
    <cellStyle name="常规 60 6" xfId="8901"/>
    <cellStyle name="常规 61" xfId="5395"/>
    <cellStyle name="常规 61 2" xfId="5396"/>
    <cellStyle name="常规 61 2 2" xfId="5397"/>
    <cellStyle name="常规 61 2 2 2" xfId="5398"/>
    <cellStyle name="常规 61 2 3" xfId="5399"/>
    <cellStyle name="常规 61 3" xfId="5400"/>
    <cellStyle name="常规 61 3 2" xfId="5401"/>
    <cellStyle name="常规 61 4" xfId="5402"/>
    <cellStyle name="常规 61 4 2" xfId="5403"/>
    <cellStyle name="常规 61 5" xfId="5404"/>
    <cellStyle name="常规 61 6" xfId="8902"/>
    <cellStyle name="常规 62" xfId="5405"/>
    <cellStyle name="常规 62 2" xfId="5406"/>
    <cellStyle name="常规 62 2 2" xfId="5407"/>
    <cellStyle name="常规 62 2 2 2" xfId="5408"/>
    <cellStyle name="常规 62 2 3" xfId="5409"/>
    <cellStyle name="常规 62 3" xfId="5410"/>
    <cellStyle name="常规 62 3 2" xfId="5411"/>
    <cellStyle name="常规 62 4" xfId="5412"/>
    <cellStyle name="常规 62 4 2" xfId="5413"/>
    <cellStyle name="常规 62 5" xfId="5414"/>
    <cellStyle name="常规 62 6" xfId="8900"/>
    <cellStyle name="常规 63" xfId="5415"/>
    <cellStyle name="常规 63 2" xfId="5416"/>
    <cellStyle name="常规 63 2 2" xfId="5417"/>
    <cellStyle name="常规 63 2 2 2" xfId="5418"/>
    <cellStyle name="常规 63 2 3" xfId="5419"/>
    <cellStyle name="常规 63 3" xfId="5420"/>
    <cellStyle name="常规 63 3 2" xfId="5421"/>
    <cellStyle name="常规 63 4" xfId="5422"/>
    <cellStyle name="常规 63 4 2" xfId="5423"/>
    <cellStyle name="常规 63 5" xfId="5424"/>
    <cellStyle name="常规 63 6" xfId="8903"/>
    <cellStyle name="常规 64" xfId="5425"/>
    <cellStyle name="常规 64 2" xfId="5426"/>
    <cellStyle name="常规 64 2 2" xfId="5427"/>
    <cellStyle name="常规 64 2 2 2" xfId="5428"/>
    <cellStyle name="常规 64 2 3" xfId="5429"/>
    <cellStyle name="常规 64 3" xfId="5430"/>
    <cellStyle name="常规 64 3 2" xfId="5431"/>
    <cellStyle name="常规 64 4" xfId="5432"/>
    <cellStyle name="常规 64 4 2" xfId="5433"/>
    <cellStyle name="常规 64 5" xfId="5434"/>
    <cellStyle name="常规 65" xfId="5435"/>
    <cellStyle name="常规 65 2" xfId="5436"/>
    <cellStyle name="常规 65 2 2" xfId="5437"/>
    <cellStyle name="常规 65 3" xfId="5438"/>
    <cellStyle name="常规 66" xfId="5439"/>
    <cellStyle name="常规 66 2" xfId="5440"/>
    <cellStyle name="常规 66 2 2" xfId="5441"/>
    <cellStyle name="常规 66 3" xfId="5442"/>
    <cellStyle name="常规 67" xfId="5443"/>
    <cellStyle name="常规 67 2" xfId="5444"/>
    <cellStyle name="常规 67 2 2" xfId="5445"/>
    <cellStyle name="常规 67 3" xfId="5446"/>
    <cellStyle name="常规 68" xfId="5447"/>
    <cellStyle name="常规 68 2" xfId="5448"/>
    <cellStyle name="常规 68 2 2" xfId="5449"/>
    <cellStyle name="常规 68 3" xfId="5450"/>
    <cellStyle name="常规 69" xfId="5451"/>
    <cellStyle name="常规 69 2" xfId="5452"/>
    <cellStyle name="常规 69 2 2" xfId="5453"/>
    <cellStyle name="常规 69 3" xfId="5454"/>
    <cellStyle name="常规 7" xfId="5455"/>
    <cellStyle name="常规 7 10" xfId="5456"/>
    <cellStyle name="常规 7 11" xfId="8888"/>
    <cellStyle name="常规 7 12" xfId="9175"/>
    <cellStyle name="常规 7 12 2" xfId="9320"/>
    <cellStyle name="常规 7 2" xfId="5457"/>
    <cellStyle name="常规 7 2 2" xfId="5458"/>
    <cellStyle name="常规 7 2 2 2" xfId="5459"/>
    <cellStyle name="常规 7 2 2 2 2" xfId="5460"/>
    <cellStyle name="常规 7 2 2 2 2 2" xfId="5461"/>
    <cellStyle name="常规 7 2 2 2 3" xfId="5462"/>
    <cellStyle name="常规 7 2 2 3" xfId="5463"/>
    <cellStyle name="常规 7 2 2 3 2" xfId="5464"/>
    <cellStyle name="常规 7 2 2 4" xfId="5465"/>
    <cellStyle name="常规 7 2 2 4 2" xfId="5466"/>
    <cellStyle name="常规 7 2 2 5" xfId="5467"/>
    <cellStyle name="常规 7 2 3" xfId="5468"/>
    <cellStyle name="常规 7 2 3 2" xfId="5469"/>
    <cellStyle name="常规 7 2 3 2 2" xfId="5470"/>
    <cellStyle name="常规 7 2 3 3" xfId="5471"/>
    <cellStyle name="常规 7 2 4" xfId="5472"/>
    <cellStyle name="常规 7 2 4 2" xfId="5473"/>
    <cellStyle name="常规 7 2 5" xfId="5474"/>
    <cellStyle name="常规 7 2 5 2" xfId="5475"/>
    <cellStyle name="常规 7 2 6" xfId="5476"/>
    <cellStyle name="常规 7 2 7" xfId="9180"/>
    <cellStyle name="常规 7 3" xfId="5477"/>
    <cellStyle name="常规 7 3 2" xfId="5478"/>
    <cellStyle name="常规 7 3 2 2" xfId="5479"/>
    <cellStyle name="常规 7 3 2 2 2" xfId="5480"/>
    <cellStyle name="常规 7 3 2 3" xfId="5481"/>
    <cellStyle name="常规 7 3 3" xfId="5482"/>
    <cellStyle name="常规 7 3 3 2" xfId="5483"/>
    <cellStyle name="常规 7 3 4" xfId="5484"/>
    <cellStyle name="常规 7 3 4 2" xfId="5485"/>
    <cellStyle name="常规 7 3 5" xfId="5486"/>
    <cellStyle name="常规 7 4" xfId="5487"/>
    <cellStyle name="常规 7 4 2" xfId="5488"/>
    <cellStyle name="常规 7 4 2 2" xfId="5489"/>
    <cellStyle name="常规 7 4 2 2 2" xfId="5490"/>
    <cellStyle name="常规 7 4 2 3" xfId="5491"/>
    <cellStyle name="常规 7 4 3" xfId="5492"/>
    <cellStyle name="常规 7 4 3 2" xfId="5493"/>
    <cellStyle name="常规 7 4 4" xfId="5494"/>
    <cellStyle name="常规 7 4 4 2" xfId="5495"/>
    <cellStyle name="常规 7 4 5" xfId="5496"/>
    <cellStyle name="常规 7 5" xfId="5497"/>
    <cellStyle name="常规 7 5 2" xfId="5498"/>
    <cellStyle name="常规 7 5 2 2" xfId="5499"/>
    <cellStyle name="常规 7 5 2 2 2" xfId="5500"/>
    <cellStyle name="常规 7 5 2 3" xfId="5501"/>
    <cellStyle name="常规 7 5 3" xfId="5502"/>
    <cellStyle name="常规 7 5 3 2" xfId="5503"/>
    <cellStyle name="常规 7 5 4" xfId="5504"/>
    <cellStyle name="常规 7 5 4 2" xfId="5505"/>
    <cellStyle name="常规 7 5 5" xfId="5506"/>
    <cellStyle name="常规 7 6" xfId="5507"/>
    <cellStyle name="常规 7 6 2" xfId="5508"/>
    <cellStyle name="常规 7 6 2 2" xfId="5509"/>
    <cellStyle name="常规 7 6 3" xfId="5510"/>
    <cellStyle name="常规 7 7" xfId="5511"/>
    <cellStyle name="常规 7 7 2" xfId="5512"/>
    <cellStyle name="常规 7 8" xfId="5513"/>
    <cellStyle name="常规 7 8 2" xfId="5514"/>
    <cellStyle name="常规 7 9" xfId="5515"/>
    <cellStyle name="常规 7 9 2" xfId="5516"/>
    <cellStyle name="常规 70" xfId="5517"/>
    <cellStyle name="常规 70 2" xfId="5518"/>
    <cellStyle name="常规 70 2 2" xfId="5519"/>
    <cellStyle name="常规 70 3" xfId="5520"/>
    <cellStyle name="常规 71" xfId="5521"/>
    <cellStyle name="常规 71 2" xfId="5522"/>
    <cellStyle name="常规 71 2 2" xfId="5523"/>
    <cellStyle name="常规 71 3" xfId="5524"/>
    <cellStyle name="常规 72" xfId="5525"/>
    <cellStyle name="常规 72 2" xfId="5526"/>
    <cellStyle name="常规 72 2 2" xfId="5527"/>
    <cellStyle name="常规 72 3" xfId="5528"/>
    <cellStyle name="常规 73" xfId="5529"/>
    <cellStyle name="常规 73 2" xfId="5530"/>
    <cellStyle name="常规 73 2 2" xfId="5531"/>
    <cellStyle name="常规 73 3" xfId="5532"/>
    <cellStyle name="常规 74" xfId="5533"/>
    <cellStyle name="常规 74 2" xfId="5534"/>
    <cellStyle name="常规 74 2 2" xfId="5535"/>
    <cellStyle name="常规 74 3" xfId="5536"/>
    <cellStyle name="常规 75" xfId="5537"/>
    <cellStyle name="常规 75 2" xfId="5538"/>
    <cellStyle name="常规 75 2 2" xfId="5539"/>
    <cellStyle name="常规 75 3" xfId="5540"/>
    <cellStyle name="常规 76" xfId="5541"/>
    <cellStyle name="常规 76 2" xfId="5542"/>
    <cellStyle name="常规 76 2 2" xfId="5543"/>
    <cellStyle name="常规 76 3" xfId="5544"/>
    <cellStyle name="常规 77" xfId="5545"/>
    <cellStyle name="常规 77 2" xfId="5546"/>
    <cellStyle name="常规 77 2 2" xfId="5547"/>
    <cellStyle name="常规 77 3" xfId="5548"/>
    <cellStyle name="常规 78" xfId="5549"/>
    <cellStyle name="常规 78 2" xfId="5550"/>
    <cellStyle name="常规 78 2 2" xfId="5551"/>
    <cellStyle name="常规 78 3" xfId="5552"/>
    <cellStyle name="常规 79" xfId="5553"/>
    <cellStyle name="常规 79 2" xfId="5554"/>
    <cellStyle name="常规 79 2 2" xfId="5555"/>
    <cellStyle name="常规 79 3" xfId="5556"/>
    <cellStyle name="常规 8" xfId="13"/>
    <cellStyle name="常规 8 10" xfId="5558"/>
    <cellStyle name="常规 8 11" xfId="8602"/>
    <cellStyle name="常规 8 12" xfId="8890"/>
    <cellStyle name="常规 8 13" xfId="9176"/>
    <cellStyle name="常规 8 13 2" xfId="9321"/>
    <cellStyle name="常规 8 14" xfId="5557"/>
    <cellStyle name="常规 8 2" xfId="15"/>
    <cellStyle name="常规 8 2 2" xfId="5560"/>
    <cellStyle name="常规 8 2 2 2" xfId="5561"/>
    <cellStyle name="常规 8 2 2 2 2" xfId="5562"/>
    <cellStyle name="常规 8 2 2 2 2 2" xfId="5563"/>
    <cellStyle name="常规 8 2 2 2 3" xfId="5564"/>
    <cellStyle name="常规 8 2 2 3" xfId="5565"/>
    <cellStyle name="常规 8 2 2 3 2" xfId="5566"/>
    <cellStyle name="常规 8 2 2 4" xfId="5567"/>
    <cellStyle name="常规 8 2 2 4 2" xfId="5568"/>
    <cellStyle name="常规 8 2 2 5" xfId="5569"/>
    <cellStyle name="常规 8 2 3" xfId="5570"/>
    <cellStyle name="常规 8 2 3 2" xfId="5571"/>
    <cellStyle name="常规 8 2 3 2 2" xfId="5572"/>
    <cellStyle name="常规 8 2 3 3" xfId="5573"/>
    <cellStyle name="常规 8 2 4" xfId="5574"/>
    <cellStyle name="常规 8 2 4 2" xfId="5575"/>
    <cellStyle name="常规 8 2 5" xfId="5576"/>
    <cellStyle name="常规 8 2 5 2" xfId="5577"/>
    <cellStyle name="常规 8 2 6" xfId="5578"/>
    <cellStyle name="常规 8 2 7" xfId="8764"/>
    <cellStyle name="常规 8 2 8" xfId="9184"/>
    <cellStyle name="常规 8 2 9" xfId="5559"/>
    <cellStyle name="常规 8 3" xfId="5579"/>
    <cellStyle name="常规 8 3 2" xfId="5580"/>
    <cellStyle name="常规 8 3 2 2" xfId="5581"/>
    <cellStyle name="常规 8 3 2 2 2" xfId="5582"/>
    <cellStyle name="常规 8 3 2 3" xfId="5583"/>
    <cellStyle name="常规 8 3 3" xfId="5584"/>
    <cellStyle name="常规 8 3 3 2" xfId="5585"/>
    <cellStyle name="常规 8 3 4" xfId="5586"/>
    <cellStyle name="常规 8 3 4 2" xfId="5587"/>
    <cellStyle name="常规 8 3 5" xfId="5588"/>
    <cellStyle name="常规 8 4" xfId="5589"/>
    <cellStyle name="常规 8 4 2" xfId="5590"/>
    <cellStyle name="常规 8 4 2 2" xfId="5591"/>
    <cellStyle name="常规 8 4 2 2 2" xfId="5592"/>
    <cellStyle name="常规 8 4 2 3" xfId="5593"/>
    <cellStyle name="常规 8 4 3" xfId="5594"/>
    <cellStyle name="常规 8 4 3 2" xfId="5595"/>
    <cellStyle name="常规 8 4 4" xfId="5596"/>
    <cellStyle name="常规 8 4 4 2" xfId="5597"/>
    <cellStyle name="常规 8 4 5" xfId="5598"/>
    <cellStyle name="常规 8 5" xfId="5599"/>
    <cellStyle name="常规 8 5 2" xfId="5600"/>
    <cellStyle name="常规 8 5 2 2" xfId="5601"/>
    <cellStyle name="常规 8 5 2 2 2" xfId="5602"/>
    <cellStyle name="常规 8 5 2 3" xfId="5603"/>
    <cellStyle name="常规 8 5 3" xfId="5604"/>
    <cellStyle name="常规 8 5 3 2" xfId="5605"/>
    <cellStyle name="常规 8 5 4" xfId="5606"/>
    <cellStyle name="常规 8 5 4 2" xfId="5607"/>
    <cellStyle name="常规 8 5 5" xfId="5608"/>
    <cellStyle name="常规 8 6" xfId="5609"/>
    <cellStyle name="常规 8 6 2" xfId="5610"/>
    <cellStyle name="常规 8 6 2 2" xfId="5611"/>
    <cellStyle name="常规 8 6 3" xfId="5612"/>
    <cellStyle name="常规 8 7" xfId="5613"/>
    <cellStyle name="常规 8 7 2" xfId="5614"/>
    <cellStyle name="常规 8 8" xfId="5615"/>
    <cellStyle name="常规 8 8 2" xfId="5616"/>
    <cellStyle name="常规 8 9" xfId="5617"/>
    <cellStyle name="常规 8 9 2" xfId="5618"/>
    <cellStyle name="常规 80" xfId="5619"/>
    <cellStyle name="常规 80 2" xfId="5620"/>
    <cellStyle name="常规 80 2 2" xfId="5621"/>
    <cellStyle name="常规 80 3" xfId="5622"/>
    <cellStyle name="常规 81" xfId="5623"/>
    <cellStyle name="常规 81 2" xfId="5624"/>
    <cellStyle name="常规 81 2 2" xfId="5625"/>
    <cellStyle name="常规 81 3" xfId="5626"/>
    <cellStyle name="常规 82" xfId="5627"/>
    <cellStyle name="常规 82 2" xfId="5628"/>
    <cellStyle name="常规 82 2 2" xfId="5629"/>
    <cellStyle name="常规 82 3" xfId="5630"/>
    <cellStyle name="常规 83" xfId="5631"/>
    <cellStyle name="常规 83 2" xfId="5632"/>
    <cellStyle name="常规 83 2 2" xfId="5633"/>
    <cellStyle name="常规 83 3" xfId="5634"/>
    <cellStyle name="常规 84" xfId="5635"/>
    <cellStyle name="常规 84 2" xfId="5636"/>
    <cellStyle name="常规 84 2 2" xfId="5637"/>
    <cellStyle name="常规 84 3" xfId="5638"/>
    <cellStyle name="常规 85" xfId="5639"/>
    <cellStyle name="常规 85 2" xfId="5640"/>
    <cellStyle name="常规 85 2 2" xfId="5641"/>
    <cellStyle name="常规 85 3" xfId="5642"/>
    <cellStyle name="常规 86" xfId="5643"/>
    <cellStyle name="常规 86 2" xfId="5644"/>
    <cellStyle name="常规 86 2 2" xfId="5645"/>
    <cellStyle name="常规 86 3" xfId="5646"/>
    <cellStyle name="常规 87" xfId="5647"/>
    <cellStyle name="常规 87 2" xfId="5648"/>
    <cellStyle name="常规 87 2 2" xfId="5649"/>
    <cellStyle name="常规 87 3" xfId="5650"/>
    <cellStyle name="常规 88" xfId="5651"/>
    <cellStyle name="常规 88 2" xfId="5652"/>
    <cellStyle name="常规 88 2 2" xfId="5653"/>
    <cellStyle name="常规 88 3" xfId="5654"/>
    <cellStyle name="常规 89" xfId="5655"/>
    <cellStyle name="常规 89 2" xfId="5656"/>
    <cellStyle name="常规 89 2 2" xfId="5657"/>
    <cellStyle name="常规 89 3" xfId="5658"/>
    <cellStyle name="常规 9" xfId="5659"/>
    <cellStyle name="常规 9 10" xfId="5660"/>
    <cellStyle name="常规 9 11" xfId="8893"/>
    <cellStyle name="常规 9 12" xfId="9177"/>
    <cellStyle name="常规 9 12 2" xfId="9322"/>
    <cellStyle name="常规 9 2" xfId="5661"/>
    <cellStyle name="常规 9 2 2" xfId="5662"/>
    <cellStyle name="常规 9 2 2 2" xfId="5663"/>
    <cellStyle name="常规 9 2 2 2 2" xfId="5664"/>
    <cellStyle name="常规 9 2 2 2 2 2" xfId="5665"/>
    <cellStyle name="常规 9 2 2 2 3" xfId="5666"/>
    <cellStyle name="常规 9 2 2 2 4" xfId="5667"/>
    <cellStyle name="常规 9 2 2 3" xfId="5668"/>
    <cellStyle name="常规 9 2 2 3 2" xfId="5669"/>
    <cellStyle name="常规 9 2 2 4" xfId="5670"/>
    <cellStyle name="常规 9 2 2 4 2" xfId="5671"/>
    <cellStyle name="常规 9 2 2 5" xfId="5672"/>
    <cellStyle name="常规 9 2 2 6" xfId="5673"/>
    <cellStyle name="常规 9 2 3" xfId="5674"/>
    <cellStyle name="常规 9 2 3 2" xfId="5675"/>
    <cellStyle name="常规 9 2 3 2 2" xfId="5676"/>
    <cellStyle name="常规 9 2 3 3" xfId="5677"/>
    <cellStyle name="常规 9 2 3 4" xfId="5678"/>
    <cellStyle name="常规 9 2 4" xfId="5679"/>
    <cellStyle name="常规 9 2 4 2" xfId="5680"/>
    <cellStyle name="常规 9 2 5" xfId="5681"/>
    <cellStyle name="常规 9 2 5 2" xfId="5682"/>
    <cellStyle name="常规 9 2 6" xfId="5683"/>
    <cellStyle name="常规 9 2 7" xfId="5684"/>
    <cellStyle name="常规 9 2 8" xfId="9192"/>
    <cellStyle name="常规 9 3" xfId="5685"/>
    <cellStyle name="常规 9 3 2" xfId="5686"/>
    <cellStyle name="常规 9 3 2 2" xfId="5687"/>
    <cellStyle name="常规 9 3 2 2 2" xfId="5688"/>
    <cellStyle name="常规 9 3 2 3" xfId="5689"/>
    <cellStyle name="常规 9 3 2 4" xfId="5690"/>
    <cellStyle name="常规 9 3 3" xfId="5691"/>
    <cellStyle name="常规 9 3 3 2" xfId="5692"/>
    <cellStyle name="常规 9 3 4" xfId="5693"/>
    <cellStyle name="常规 9 3 4 2" xfId="5694"/>
    <cellStyle name="常规 9 3 5" xfId="5695"/>
    <cellStyle name="常规 9 3 6" xfId="5696"/>
    <cellStyle name="常规 9 4" xfId="5697"/>
    <cellStyle name="常规 9 4 2" xfId="5698"/>
    <cellStyle name="常规 9 4 2 2" xfId="5699"/>
    <cellStyle name="常规 9 4 2 2 2" xfId="5700"/>
    <cellStyle name="常规 9 4 2 3" xfId="5701"/>
    <cellStyle name="常规 9 4 2 4" xfId="5702"/>
    <cellStyle name="常规 9 4 3" xfId="5703"/>
    <cellStyle name="常规 9 4 3 2" xfId="5704"/>
    <cellStyle name="常规 9 4 4" xfId="5705"/>
    <cellStyle name="常规 9 4 4 2" xfId="5706"/>
    <cellStyle name="常规 9 4 5" xfId="5707"/>
    <cellStyle name="常规 9 4 6" xfId="5708"/>
    <cellStyle name="常规 9 5" xfId="5709"/>
    <cellStyle name="常规 9 5 2" xfId="5710"/>
    <cellStyle name="常规 9 5 2 2" xfId="5711"/>
    <cellStyle name="常规 9 5 3" xfId="5712"/>
    <cellStyle name="常规 9 5 4" xfId="5713"/>
    <cellStyle name="常规 9 6" xfId="5714"/>
    <cellStyle name="常规 9 6 2" xfId="5715"/>
    <cellStyle name="常规 9 7" xfId="5716"/>
    <cellStyle name="常规 9 7 2" xfId="5717"/>
    <cellStyle name="常规 9 8" xfId="5718"/>
    <cellStyle name="常规 9 8 2" xfId="5719"/>
    <cellStyle name="常规 9 9" xfId="5720"/>
    <cellStyle name="常规 90" xfId="5721"/>
    <cellStyle name="常规 90 2" xfId="5722"/>
    <cellStyle name="常规 90 2 2" xfId="5723"/>
    <cellStyle name="常规 90 3" xfId="5724"/>
    <cellStyle name="常规 91" xfId="5725"/>
    <cellStyle name="常规 91 2" xfId="5726"/>
    <cellStyle name="常规 91 2 2" xfId="5727"/>
    <cellStyle name="常规 91 3" xfId="5728"/>
    <cellStyle name="常规 92" xfId="5729"/>
    <cellStyle name="常规 92 2" xfId="5730"/>
    <cellStyle name="常规 92 2 2" xfId="5731"/>
    <cellStyle name="常规 92 3" xfId="5732"/>
    <cellStyle name="常规 93" xfId="5733"/>
    <cellStyle name="常规 93 2" xfId="5734"/>
    <cellStyle name="常规 93 2 2" xfId="5735"/>
    <cellStyle name="常规 93 3" xfId="5736"/>
    <cellStyle name="常规 94" xfId="5737"/>
    <cellStyle name="常规 94 2" xfId="5738"/>
    <cellStyle name="常规 94 2 2" xfId="5739"/>
    <cellStyle name="常规 94 3" xfId="5740"/>
    <cellStyle name="常规 95" xfId="5741"/>
    <cellStyle name="常规 95 2" xfId="5742"/>
    <cellStyle name="常规 95 2 2" xfId="5743"/>
    <cellStyle name="常规 95 3" xfId="5744"/>
    <cellStyle name="常规 96" xfId="5745"/>
    <cellStyle name="常规 96 2" xfId="5746"/>
    <cellStyle name="常规 96 2 2" xfId="5747"/>
    <cellStyle name="常规 96 3" xfId="5748"/>
    <cellStyle name="常规 97" xfId="5749"/>
    <cellStyle name="常规 97 2" xfId="5750"/>
    <cellStyle name="常规 97 2 2" xfId="5751"/>
    <cellStyle name="常规 97 3" xfId="5752"/>
    <cellStyle name="常规 98" xfId="5753"/>
    <cellStyle name="常规 98 2" xfId="5754"/>
    <cellStyle name="常规 98 2 2" xfId="5755"/>
    <cellStyle name="常规 98 3" xfId="5756"/>
    <cellStyle name="常规 99" xfId="5757"/>
    <cellStyle name="常规 99 2" xfId="5758"/>
    <cellStyle name="常规 99 2 2" xfId="5759"/>
    <cellStyle name="常规 99 3" xfId="5760"/>
    <cellStyle name="常规_Sheet1" xfId="9332"/>
    <cellStyle name="常规_Sheet1 2" xfId="9330"/>
    <cellStyle name="常规_Sheet1_1" xfId="9329"/>
    <cellStyle name="常规_小学设备预算" xfId="9331"/>
    <cellStyle name="超链接 2" xfId="5761"/>
    <cellStyle name="超链接 2 2" xfId="5762"/>
    <cellStyle name="超链接 2 2 2" xfId="5763"/>
    <cellStyle name="超链接 2 3" xfId="5764"/>
    <cellStyle name="超链接 2 3 2" xfId="5765"/>
    <cellStyle name="超链接 2 4" xfId="5766"/>
    <cellStyle name="好 2" xfId="5767"/>
    <cellStyle name="好 2 10" xfId="8982"/>
    <cellStyle name="好 2 2" xfId="5768"/>
    <cellStyle name="好 2 2 2" xfId="5769"/>
    <cellStyle name="好 2 2 2 2" xfId="5770"/>
    <cellStyle name="好 2 2 2 2 2" xfId="5771"/>
    <cellStyle name="好 2 2 2 3" xfId="5772"/>
    <cellStyle name="好 2 2 3" xfId="5773"/>
    <cellStyle name="好 2 2 3 2" xfId="5774"/>
    <cellStyle name="好 2 2 4" xfId="5775"/>
    <cellStyle name="好 2 2 4 2" xfId="5776"/>
    <cellStyle name="好 2 2 5" xfId="5777"/>
    <cellStyle name="好 2 2 6" xfId="8766"/>
    <cellStyle name="好 2 3" xfId="5778"/>
    <cellStyle name="好 2 3 2" xfId="5779"/>
    <cellStyle name="好 2 3 2 2" xfId="5780"/>
    <cellStyle name="好 2 3 3" xfId="5781"/>
    <cellStyle name="好 2 4" xfId="5782"/>
    <cellStyle name="好 2 4 2" xfId="5783"/>
    <cellStyle name="好 2 5" xfId="5784"/>
    <cellStyle name="好 2 5 2" xfId="5785"/>
    <cellStyle name="好 2 6" xfId="5786"/>
    <cellStyle name="好 2 7" xfId="8605"/>
    <cellStyle name="好 2 8" xfId="8765"/>
    <cellStyle name="好 2 9" xfId="8929"/>
    <cellStyle name="好 3" xfId="5787"/>
    <cellStyle name="好 3 2" xfId="5788"/>
    <cellStyle name="好 3 2 2" xfId="5789"/>
    <cellStyle name="好 3 2 2 2" xfId="5790"/>
    <cellStyle name="好 3 2 2 2 2" xfId="5791"/>
    <cellStyle name="好 3 2 2 3" xfId="5792"/>
    <cellStyle name="好 3 2 3" xfId="5793"/>
    <cellStyle name="好 3 2 3 2" xfId="5794"/>
    <cellStyle name="好 3 2 4" xfId="5795"/>
    <cellStyle name="好 3 2 4 2" xfId="5796"/>
    <cellStyle name="好 3 2 5" xfId="5797"/>
    <cellStyle name="好 3 2 6" xfId="8768"/>
    <cellStyle name="好 3 3" xfId="5798"/>
    <cellStyle name="好 3 3 2" xfId="5799"/>
    <cellStyle name="好 3 3 2 2" xfId="5800"/>
    <cellStyle name="好 3 3 3" xfId="5801"/>
    <cellStyle name="好 3 4" xfId="5802"/>
    <cellStyle name="好 3 4 2" xfId="5803"/>
    <cellStyle name="好 3 5" xfId="5804"/>
    <cellStyle name="好 3 5 2" xfId="5805"/>
    <cellStyle name="好 3 6" xfId="5806"/>
    <cellStyle name="好 3 7" xfId="8767"/>
    <cellStyle name="好 4" xfId="5807"/>
    <cellStyle name="好 4 2" xfId="5808"/>
    <cellStyle name="好 4 2 2" xfId="5809"/>
    <cellStyle name="好 4 2 2 2" xfId="5810"/>
    <cellStyle name="好 4 2 2 2 2" xfId="5811"/>
    <cellStyle name="好 4 2 2 3" xfId="5812"/>
    <cellStyle name="好 4 2 3" xfId="5813"/>
    <cellStyle name="好 4 2 3 2" xfId="5814"/>
    <cellStyle name="好 4 2 4" xfId="5815"/>
    <cellStyle name="好 4 2 4 2" xfId="5816"/>
    <cellStyle name="好 4 2 5" xfId="5817"/>
    <cellStyle name="好 4 2 6" xfId="8770"/>
    <cellStyle name="好 4 3" xfId="5818"/>
    <cellStyle name="好 4 3 2" xfId="5819"/>
    <cellStyle name="好 4 3 2 2" xfId="5820"/>
    <cellStyle name="好 4 3 3" xfId="5821"/>
    <cellStyle name="好 4 4" xfId="5822"/>
    <cellStyle name="好 4 4 2" xfId="5823"/>
    <cellStyle name="好 4 5" xfId="5824"/>
    <cellStyle name="好 4 5 2" xfId="5825"/>
    <cellStyle name="好 4 6" xfId="5826"/>
    <cellStyle name="好 4 7" xfId="8769"/>
    <cellStyle name="好 5" xfId="5827"/>
    <cellStyle name="好 5 2" xfId="5828"/>
    <cellStyle name="好 5 2 2" xfId="5829"/>
    <cellStyle name="好 5 2 2 2" xfId="5830"/>
    <cellStyle name="好 5 2 3" xfId="5831"/>
    <cellStyle name="好 5 3" xfId="5832"/>
    <cellStyle name="好 5 3 2" xfId="5833"/>
    <cellStyle name="好 5 4" xfId="5834"/>
    <cellStyle name="好 5 4 2" xfId="5835"/>
    <cellStyle name="好 5 5" xfId="5836"/>
    <cellStyle name="好 6" xfId="5837"/>
    <cellStyle name="好 6 2" xfId="5838"/>
    <cellStyle name="好 6 2 2" xfId="5839"/>
    <cellStyle name="好 6 2 2 2" xfId="5840"/>
    <cellStyle name="好 6 2 3" xfId="5841"/>
    <cellStyle name="好 6 3" xfId="5842"/>
    <cellStyle name="好 6 3 2" xfId="5843"/>
    <cellStyle name="好 6 4" xfId="5844"/>
    <cellStyle name="好 6 4 2" xfId="5845"/>
    <cellStyle name="好 6 5" xfId="5846"/>
    <cellStyle name="好 7" xfId="5847"/>
    <cellStyle name="好 7 2" xfId="5848"/>
    <cellStyle name="好 7 2 2" xfId="5849"/>
    <cellStyle name="好 7 2 2 2" xfId="5850"/>
    <cellStyle name="好 7 2 3" xfId="5851"/>
    <cellStyle name="好 7 3" xfId="5852"/>
    <cellStyle name="好 7 3 2" xfId="5853"/>
    <cellStyle name="好 7 4" xfId="5854"/>
    <cellStyle name="好 7 4 2" xfId="5855"/>
    <cellStyle name="好 7 5" xfId="5856"/>
    <cellStyle name="好 8" xfId="5857"/>
    <cellStyle name="好 8 2" xfId="5858"/>
    <cellStyle name="好 8 2 2" xfId="5859"/>
    <cellStyle name="好 8 3" xfId="5860"/>
    <cellStyle name="好_2013见习培训经费表下半年(chen)2014年9月" xfId="5861"/>
    <cellStyle name="好_2013见习培训经费表下半年(chen)2014年9月 2" xfId="5862"/>
    <cellStyle name="好_2013见习培训经费表下半年(chen)2014年9月 2 2" xfId="5863"/>
    <cellStyle name="好_2013见习培训经费表下半年(chen)2014年9月 2 2 2" xfId="5864"/>
    <cellStyle name="好_2013见习培训经费表下半年(chen)2014年9月 2 2 2 2" xfId="5865"/>
    <cellStyle name="好_2013见习培训经费表下半年(chen)2014年9月 2 2 2 2 2" xfId="5866"/>
    <cellStyle name="好_2013见习培训经费表下半年(chen)2014年9月 2 2 2 3" xfId="5867"/>
    <cellStyle name="好_2013见习培训经费表下半年(chen)2014年9月 2 2 3" xfId="5868"/>
    <cellStyle name="好_2013见习培训经费表下半年(chen)2014年9月 2 2 3 2" xfId="5869"/>
    <cellStyle name="好_2013见习培训经费表下半年(chen)2014年9月 2 2 4" xfId="5870"/>
    <cellStyle name="好_2013见习培训经费表下半年(chen)2014年9月 2 2 4 2" xfId="5871"/>
    <cellStyle name="好_2013见习培训经费表下半年(chen)2014年9月 2 2 5" xfId="5872"/>
    <cellStyle name="好_2013见习培训经费表下半年(chen)2014年9月 2 3" xfId="5873"/>
    <cellStyle name="好_2013见习培训经费表下半年(chen)2014年9月 2 3 2" xfId="5874"/>
    <cellStyle name="好_2013见习培训经费表下半年(chen)2014年9月 2 3 2 2" xfId="5875"/>
    <cellStyle name="好_2013见习培训经费表下半年(chen)2014年9月 2 3 3" xfId="5876"/>
    <cellStyle name="好_2013见习培训经费表下半年(chen)2014年9月 2 4" xfId="5877"/>
    <cellStyle name="好_2013见习培训经费表下半年(chen)2014年9月 2 4 2" xfId="5878"/>
    <cellStyle name="好_2013见习培训经费表下半年(chen)2014年9月 2 5" xfId="5879"/>
    <cellStyle name="好_2013见习培训经费表下半年(chen)2014年9月 2 5 2" xfId="5880"/>
    <cellStyle name="好_2013见习培训经费表下半年(chen)2014年9月 2 6" xfId="5881"/>
    <cellStyle name="好_2013见习培训经费表下半年(chen)2014年9月 3" xfId="5882"/>
    <cellStyle name="好_2013见习培训经费表下半年(chen)2014年9月 3 2" xfId="5883"/>
    <cellStyle name="好_2013见习培训经费表下半年(chen)2014年9月 3 2 2" xfId="5884"/>
    <cellStyle name="好_2013见习培训经费表下半年(chen)2014年9月 3 2 2 2" xfId="5885"/>
    <cellStyle name="好_2013见习培训经费表下半年(chen)2014年9月 3 2 3" xfId="5886"/>
    <cellStyle name="好_2013见习培训经费表下半年(chen)2014年9月 3 3" xfId="5887"/>
    <cellStyle name="好_2013见习培训经费表下半年(chen)2014年9月 3 3 2" xfId="5888"/>
    <cellStyle name="好_2013见习培训经费表下半年(chen)2014年9月 3 4" xfId="5889"/>
    <cellStyle name="好_2013见习培训经费表下半年(chen)2014年9月 3 4 2" xfId="5890"/>
    <cellStyle name="好_2013见习培训经费表下半年(chen)2014年9月 3 5" xfId="5891"/>
    <cellStyle name="好_2013见习培训经费表下半年(chen)2014年9月 4" xfId="5892"/>
    <cellStyle name="好_2013见习培训经费表下半年(chen)2014年9月 4 2" xfId="5893"/>
    <cellStyle name="好_2013见习培训经费表下半年(chen)2014年9月 4 2 2" xfId="5894"/>
    <cellStyle name="好_2013见习培训经费表下半年(chen)2014年9月 4 2 2 2" xfId="5895"/>
    <cellStyle name="好_2013见习培训经费表下半年(chen)2014年9月 4 2 3" xfId="5896"/>
    <cellStyle name="好_2013见习培训经费表下半年(chen)2014年9月 4 3" xfId="5897"/>
    <cellStyle name="好_2013见习培训经费表下半年(chen)2014年9月 4 3 2" xfId="5898"/>
    <cellStyle name="好_2013见习培训经费表下半年(chen)2014年9月 4 4" xfId="5899"/>
    <cellStyle name="好_2013见习培训经费表下半年(chen)2014年9月 4 4 2" xfId="5900"/>
    <cellStyle name="好_2013见习培训经费表下半年(chen)2014年9月 4 5" xfId="5901"/>
    <cellStyle name="好_2013见习培训经费表下半年(chen)2014年9月 5" xfId="5902"/>
    <cellStyle name="好_2013见习培训经费表下半年(chen)2014年9月 5 2" xfId="5903"/>
    <cellStyle name="好_2013见习培训经费表下半年(chen)2014年9月 5 2 2" xfId="5904"/>
    <cellStyle name="好_2013见习培训经费表下半年(chen)2014年9月 5 3" xfId="5905"/>
    <cellStyle name="好_2013见习培训经费表下半年(chen)2014年9月 6" xfId="5906"/>
    <cellStyle name="好_2013见习培训经费表下半年(chen)2014年9月 6 2" xfId="5907"/>
    <cellStyle name="好_2013见习培训经费表下半年(chen)2014年9月 7" xfId="5908"/>
    <cellStyle name="好_2013见习培训经费表下半年(chen)2014年9月 7 2" xfId="5909"/>
    <cellStyle name="好_2013见习培训经费表下半年(chen)2014年9月 8" xfId="5910"/>
    <cellStyle name="好_2013见习培训经费表下半年(chen)2014年9月 8 2" xfId="5911"/>
    <cellStyle name="好_2013见习培训经费表下半年(chen)2014年9月 9" xfId="5912"/>
    <cellStyle name="好_2014年聘用学校导师带教经费表" xfId="5913"/>
    <cellStyle name="好_2014年聘用学校导师带教经费表 10" xfId="5914"/>
    <cellStyle name="好_2014年聘用学校导师带教经费表 10 2" xfId="5915"/>
    <cellStyle name="好_2014年聘用学校导师带教经费表 11" xfId="5916"/>
    <cellStyle name="好_2014年聘用学校导师带教经费表 2" xfId="5917"/>
    <cellStyle name="好_2014年聘用学校导师带教经费表 2 2" xfId="5918"/>
    <cellStyle name="好_2014年聘用学校导师带教经费表 2 2 2" xfId="5919"/>
    <cellStyle name="好_2014年聘用学校导师带教经费表 2 2 2 2" xfId="5920"/>
    <cellStyle name="好_2014年聘用学校导师带教经费表 2 2 2 2 2" xfId="5921"/>
    <cellStyle name="好_2014年聘用学校导师带教经费表 2 2 2 3" xfId="5922"/>
    <cellStyle name="好_2014年聘用学校导师带教经费表 2 2 3" xfId="5923"/>
    <cellStyle name="好_2014年聘用学校导师带教经费表 2 2 3 2" xfId="5924"/>
    <cellStyle name="好_2014年聘用学校导师带教经费表 2 2 4" xfId="5925"/>
    <cellStyle name="好_2014年聘用学校导师带教经费表 2 2 4 2" xfId="5926"/>
    <cellStyle name="好_2014年聘用学校导师带教经费表 2 2 5" xfId="5927"/>
    <cellStyle name="好_2014年聘用学校导师带教经费表 2 3" xfId="5928"/>
    <cellStyle name="好_2014年聘用学校导师带教经费表 2 3 2" xfId="5929"/>
    <cellStyle name="好_2014年聘用学校导师带教经费表 2 3 2 2" xfId="5930"/>
    <cellStyle name="好_2014年聘用学校导师带教经费表 2 3 3" xfId="5931"/>
    <cellStyle name="好_2014年聘用学校导师带教经费表 2 4" xfId="5932"/>
    <cellStyle name="好_2014年聘用学校导师带教经费表 2 4 2" xfId="5933"/>
    <cellStyle name="好_2014年聘用学校导师带教经费表 2 5" xfId="5934"/>
    <cellStyle name="好_2014年聘用学校导师带教经费表 2 5 2" xfId="5935"/>
    <cellStyle name="好_2014年聘用学校导师带教经费表 2 6" xfId="5936"/>
    <cellStyle name="好_2014年聘用学校导师带教经费表 3" xfId="5937"/>
    <cellStyle name="好_2014年聘用学校导师带教经费表 3 2" xfId="5938"/>
    <cellStyle name="好_2014年聘用学校导师带教经费表 3 2 2" xfId="5939"/>
    <cellStyle name="好_2014年聘用学校导师带教经费表 3 2 2 2" xfId="5940"/>
    <cellStyle name="好_2014年聘用学校导师带教经费表 3 2 2 2 2" xfId="5941"/>
    <cellStyle name="好_2014年聘用学校导师带教经费表 3 2 2 3" xfId="5942"/>
    <cellStyle name="好_2014年聘用学校导师带教经费表 3 2 3" xfId="5943"/>
    <cellStyle name="好_2014年聘用学校导师带教经费表 3 2 3 2" xfId="5944"/>
    <cellStyle name="好_2014年聘用学校导师带教经费表 3 2 4" xfId="5945"/>
    <cellStyle name="好_2014年聘用学校导师带教经费表 3 2 4 2" xfId="5946"/>
    <cellStyle name="好_2014年聘用学校导师带教经费表 3 2 5" xfId="5947"/>
    <cellStyle name="好_2014年聘用学校导师带教经费表 3 3" xfId="5948"/>
    <cellStyle name="好_2014年聘用学校导师带教经费表 3 3 2" xfId="5949"/>
    <cellStyle name="好_2014年聘用学校导师带教经费表 3 3 2 2" xfId="5950"/>
    <cellStyle name="好_2014年聘用学校导师带教经费表 3 3 3" xfId="5951"/>
    <cellStyle name="好_2014年聘用学校导师带教经费表 3 4" xfId="5952"/>
    <cellStyle name="好_2014年聘用学校导师带教经费表 3 4 2" xfId="5953"/>
    <cellStyle name="好_2014年聘用学校导师带教经费表 3 5" xfId="5954"/>
    <cellStyle name="好_2014年聘用学校导师带教经费表 3 5 2" xfId="5955"/>
    <cellStyle name="好_2014年聘用学校导师带教经费表 3 6" xfId="5956"/>
    <cellStyle name="好_2014年聘用学校导师带教经费表 4" xfId="5957"/>
    <cellStyle name="好_2014年聘用学校导师带教经费表 4 2" xfId="5958"/>
    <cellStyle name="好_2014年聘用学校导师带教经费表 4 2 2" xfId="5959"/>
    <cellStyle name="好_2014年聘用学校导师带教经费表 4 2 2 2" xfId="5960"/>
    <cellStyle name="好_2014年聘用学校导师带教经费表 4 2 2 2 2" xfId="5961"/>
    <cellStyle name="好_2014年聘用学校导师带教经费表 4 2 2 3" xfId="5962"/>
    <cellStyle name="好_2014年聘用学校导师带教经费表 4 2 3" xfId="5963"/>
    <cellStyle name="好_2014年聘用学校导师带教经费表 4 2 3 2" xfId="5964"/>
    <cellStyle name="好_2014年聘用学校导师带教经费表 4 2 4" xfId="5965"/>
    <cellStyle name="好_2014年聘用学校导师带教经费表 4 2 4 2" xfId="5966"/>
    <cellStyle name="好_2014年聘用学校导师带教经费表 4 2 5" xfId="5967"/>
    <cellStyle name="好_2014年聘用学校导师带教经费表 4 3" xfId="5968"/>
    <cellStyle name="好_2014年聘用学校导师带教经费表 4 3 2" xfId="5969"/>
    <cellStyle name="好_2014年聘用学校导师带教经费表 4 3 2 2" xfId="5970"/>
    <cellStyle name="好_2014年聘用学校导师带教经费表 4 3 3" xfId="5971"/>
    <cellStyle name="好_2014年聘用学校导师带教经费表 4 4" xfId="5972"/>
    <cellStyle name="好_2014年聘用学校导师带教经费表 4 4 2" xfId="5973"/>
    <cellStyle name="好_2014年聘用学校导师带教经费表 4 5" xfId="5974"/>
    <cellStyle name="好_2014年聘用学校导师带教经费表 4 5 2" xfId="5975"/>
    <cellStyle name="好_2014年聘用学校导师带教经费表 4 6" xfId="5976"/>
    <cellStyle name="好_2014年聘用学校导师带教经费表 5" xfId="5977"/>
    <cellStyle name="好_2014年聘用学校导师带教经费表 5 2" xfId="5978"/>
    <cellStyle name="好_2014年聘用学校导师带教经费表 5 2 2" xfId="5979"/>
    <cellStyle name="好_2014年聘用学校导师带教经费表 5 2 2 2" xfId="5980"/>
    <cellStyle name="好_2014年聘用学校导师带教经费表 5 2 3" xfId="5981"/>
    <cellStyle name="好_2014年聘用学校导师带教经费表 5 3" xfId="5982"/>
    <cellStyle name="好_2014年聘用学校导师带教经费表 5 3 2" xfId="5983"/>
    <cellStyle name="好_2014年聘用学校导师带教经费表 5 4" xfId="5984"/>
    <cellStyle name="好_2014年聘用学校导师带教经费表 5 4 2" xfId="5985"/>
    <cellStyle name="好_2014年聘用学校导师带教经费表 5 5" xfId="5986"/>
    <cellStyle name="好_2014年聘用学校导师带教经费表 6" xfId="5987"/>
    <cellStyle name="好_2014年聘用学校导师带教经费表 6 2" xfId="5988"/>
    <cellStyle name="好_2014年聘用学校导师带教经费表 6 2 2" xfId="5989"/>
    <cellStyle name="好_2014年聘用学校导师带教经费表 6 2 2 2" xfId="5990"/>
    <cellStyle name="好_2014年聘用学校导师带教经费表 6 2 3" xfId="5991"/>
    <cellStyle name="好_2014年聘用学校导师带教经费表 6 3" xfId="5992"/>
    <cellStyle name="好_2014年聘用学校导师带教经费表 6 3 2" xfId="5993"/>
    <cellStyle name="好_2014年聘用学校导师带教经费表 6 4" xfId="5994"/>
    <cellStyle name="好_2014年聘用学校导师带教经费表 6 4 2" xfId="5995"/>
    <cellStyle name="好_2014年聘用学校导师带教经费表 6 5" xfId="5996"/>
    <cellStyle name="好_2014年聘用学校导师带教经费表 7" xfId="5997"/>
    <cellStyle name="好_2014年聘用学校导师带教经费表 7 2" xfId="5998"/>
    <cellStyle name="好_2014年聘用学校导师带教经费表 7 2 2" xfId="5999"/>
    <cellStyle name="好_2014年聘用学校导师带教经费表 7 3" xfId="6000"/>
    <cellStyle name="好_2014年聘用学校导师带教经费表 8" xfId="6001"/>
    <cellStyle name="好_2014年聘用学校导师带教经费表 8 2" xfId="6002"/>
    <cellStyle name="好_2014年聘用学校导师带教经费表 9" xfId="6003"/>
    <cellStyle name="好_2014年聘用学校导师带教经费表 9 2" xfId="6004"/>
    <cellStyle name="好_2014年终考核奖完整版-给核算中心" xfId="6005"/>
    <cellStyle name="好_2014年终考核奖完整版-给核算中心 2" xfId="6006"/>
    <cellStyle name="好_2014年终考核奖完整版-给核算中心 2 2" xfId="6007"/>
    <cellStyle name="好_2014年终考核奖完整版-给核算中心 2 2 2" xfId="6008"/>
    <cellStyle name="好_2014年终考核奖完整版-给核算中心 2 2 2 2" xfId="6009"/>
    <cellStyle name="好_2014年终考核奖完整版-给核算中心 2 2 2 2 2" xfId="6010"/>
    <cellStyle name="好_2014年终考核奖完整版-给核算中心 2 2 2 3" xfId="6011"/>
    <cellStyle name="好_2014年终考核奖完整版-给核算中心 2 2 3" xfId="6012"/>
    <cellStyle name="好_2014年终考核奖完整版-给核算中心 2 2 3 2" xfId="6013"/>
    <cellStyle name="好_2014年终考核奖完整版-给核算中心 2 2 4" xfId="6014"/>
    <cellStyle name="好_2014年终考核奖完整版-给核算中心 2 2 4 2" xfId="6015"/>
    <cellStyle name="好_2014年终考核奖完整版-给核算中心 2 2 5" xfId="6016"/>
    <cellStyle name="好_2014年终考核奖完整版-给核算中心 2 3" xfId="6017"/>
    <cellStyle name="好_2014年终考核奖完整版-给核算中心 2 3 2" xfId="6018"/>
    <cellStyle name="好_2014年终考核奖完整版-给核算中心 2 3 2 2" xfId="6019"/>
    <cellStyle name="好_2014年终考核奖完整版-给核算中心 2 3 3" xfId="6020"/>
    <cellStyle name="好_2014年终考核奖完整版-给核算中心 2 4" xfId="6021"/>
    <cellStyle name="好_2014年终考核奖完整版-给核算中心 2 4 2" xfId="6022"/>
    <cellStyle name="好_2014年终考核奖完整版-给核算中心 2 5" xfId="6023"/>
    <cellStyle name="好_2014年终考核奖完整版-给核算中心 2 5 2" xfId="6024"/>
    <cellStyle name="好_2014年终考核奖完整版-给核算中心 2 6" xfId="6025"/>
    <cellStyle name="好_2014年终考核奖完整版-给核算中心 3" xfId="6026"/>
    <cellStyle name="好_2014年终考核奖完整版-给核算中心 3 2" xfId="6027"/>
    <cellStyle name="好_2014年终考核奖完整版-给核算中心 3 2 2" xfId="6028"/>
    <cellStyle name="好_2014年终考核奖完整版-给核算中心 3 2 2 2" xfId="6029"/>
    <cellStyle name="好_2014年终考核奖完整版-给核算中心 3 2 3" xfId="6030"/>
    <cellStyle name="好_2014年终考核奖完整版-给核算中心 3 3" xfId="6031"/>
    <cellStyle name="好_2014年终考核奖完整版-给核算中心 3 3 2" xfId="6032"/>
    <cellStyle name="好_2014年终考核奖完整版-给核算中心 3 4" xfId="6033"/>
    <cellStyle name="好_2014年终考核奖完整版-给核算中心 3 4 2" xfId="6034"/>
    <cellStyle name="好_2014年终考核奖完整版-给核算中心 3 5" xfId="6035"/>
    <cellStyle name="好_2014年终考核奖完整版-给核算中心 4" xfId="6036"/>
    <cellStyle name="好_2014年终考核奖完整版-给核算中心 4 2" xfId="6037"/>
    <cellStyle name="好_2014年终考核奖完整版-给核算中心 4 2 2" xfId="6038"/>
    <cellStyle name="好_2014年终考核奖完整版-给核算中心 4 2 2 2" xfId="6039"/>
    <cellStyle name="好_2014年终考核奖完整版-给核算中心 4 2 3" xfId="6040"/>
    <cellStyle name="好_2014年终考核奖完整版-给核算中心 4 3" xfId="6041"/>
    <cellStyle name="好_2014年终考核奖完整版-给核算中心 4 3 2" xfId="6042"/>
    <cellStyle name="好_2014年终考核奖完整版-给核算中心 4 4" xfId="6043"/>
    <cellStyle name="好_2014年终考核奖完整版-给核算中心 4 4 2" xfId="6044"/>
    <cellStyle name="好_2014年终考核奖完整版-给核算中心 4 5" xfId="6045"/>
    <cellStyle name="好_2014年终考核奖完整版-给核算中心 5" xfId="6046"/>
    <cellStyle name="好_2014年终考核奖完整版-给核算中心 5 2" xfId="6047"/>
    <cellStyle name="好_2014年终考核奖完整版-给核算中心 5 2 2" xfId="6048"/>
    <cellStyle name="好_2014年终考核奖完整版-给核算中心 5 3" xfId="6049"/>
    <cellStyle name="好_2014年终考核奖完整版-给核算中心 6" xfId="6050"/>
    <cellStyle name="好_2014年终考核奖完整版-给核算中心 6 2" xfId="6051"/>
    <cellStyle name="好_2014年终考核奖完整版-给核算中心 7" xfId="6052"/>
    <cellStyle name="好_2014年终考核奖完整版-给核算中心 7 2" xfId="6053"/>
    <cellStyle name="好_2014年终考核奖完整版-给核算中心 8" xfId="6054"/>
    <cellStyle name="好_2014年终考核奖完整版-给核算中心 8 2" xfId="6055"/>
    <cellStyle name="好_2014年终考核奖完整版-给核算中心 9" xfId="6056"/>
    <cellStyle name="好_2014优秀学校奖励测算表" xfId="6057"/>
    <cellStyle name="好_2014优秀学校奖励测算表 2" xfId="6058"/>
    <cellStyle name="好_2014优秀学校奖励测算表 2 2" xfId="6059"/>
    <cellStyle name="好_2014优秀学校奖励测算表 2 2 2" xfId="6060"/>
    <cellStyle name="好_2014优秀学校奖励测算表 2 2 2 2" xfId="6061"/>
    <cellStyle name="好_2014优秀学校奖励测算表 2 2 2 2 2" xfId="6062"/>
    <cellStyle name="好_2014优秀学校奖励测算表 2 2 2 3" xfId="6063"/>
    <cellStyle name="好_2014优秀学校奖励测算表 2 2 3" xfId="6064"/>
    <cellStyle name="好_2014优秀学校奖励测算表 2 2 3 2" xfId="6065"/>
    <cellStyle name="好_2014优秀学校奖励测算表 2 2 4" xfId="6066"/>
    <cellStyle name="好_2014优秀学校奖励测算表 2 2 4 2" xfId="6067"/>
    <cellStyle name="好_2014优秀学校奖励测算表 2 2 5" xfId="6068"/>
    <cellStyle name="好_2014优秀学校奖励测算表 2 3" xfId="6069"/>
    <cellStyle name="好_2014优秀学校奖励测算表 2 3 2" xfId="6070"/>
    <cellStyle name="好_2014优秀学校奖励测算表 2 3 2 2" xfId="6071"/>
    <cellStyle name="好_2014优秀学校奖励测算表 2 3 3" xfId="6072"/>
    <cellStyle name="好_2014优秀学校奖励测算表 2 4" xfId="6073"/>
    <cellStyle name="好_2014优秀学校奖励测算表 2 4 2" xfId="6074"/>
    <cellStyle name="好_2014优秀学校奖励测算表 2 5" xfId="6075"/>
    <cellStyle name="好_2014优秀学校奖励测算表 2 5 2" xfId="6076"/>
    <cellStyle name="好_2014优秀学校奖励测算表 2 6" xfId="6077"/>
    <cellStyle name="好_2014优秀学校奖励测算表 3" xfId="6078"/>
    <cellStyle name="好_2014优秀学校奖励测算表 3 2" xfId="6079"/>
    <cellStyle name="好_2014优秀学校奖励测算表 3 2 2" xfId="6080"/>
    <cellStyle name="好_2014优秀学校奖励测算表 3 2 2 2" xfId="6081"/>
    <cellStyle name="好_2014优秀学校奖励测算表 3 2 3" xfId="6082"/>
    <cellStyle name="好_2014优秀学校奖励测算表 3 3" xfId="6083"/>
    <cellStyle name="好_2014优秀学校奖励测算表 3 3 2" xfId="6084"/>
    <cellStyle name="好_2014优秀学校奖励测算表 3 4" xfId="6085"/>
    <cellStyle name="好_2014优秀学校奖励测算表 3 4 2" xfId="6086"/>
    <cellStyle name="好_2014优秀学校奖励测算表 3 5" xfId="6087"/>
    <cellStyle name="好_2014优秀学校奖励测算表 4" xfId="6088"/>
    <cellStyle name="好_2014优秀学校奖励测算表 4 2" xfId="6089"/>
    <cellStyle name="好_2014优秀学校奖励测算表 4 2 2" xfId="6090"/>
    <cellStyle name="好_2014优秀学校奖励测算表 4 2 2 2" xfId="6091"/>
    <cellStyle name="好_2014优秀学校奖励测算表 4 2 3" xfId="6092"/>
    <cellStyle name="好_2014优秀学校奖励测算表 4 3" xfId="6093"/>
    <cellStyle name="好_2014优秀学校奖励测算表 4 3 2" xfId="6094"/>
    <cellStyle name="好_2014优秀学校奖励测算表 4 4" xfId="6095"/>
    <cellStyle name="好_2014优秀学校奖励测算表 4 4 2" xfId="6096"/>
    <cellStyle name="好_2014优秀学校奖励测算表 4 5" xfId="6097"/>
    <cellStyle name="好_2014优秀学校奖励测算表 5" xfId="6098"/>
    <cellStyle name="好_2014优秀学校奖励测算表 5 2" xfId="6099"/>
    <cellStyle name="好_2014优秀学校奖励测算表 5 2 2" xfId="6100"/>
    <cellStyle name="好_2014优秀学校奖励测算表 5 3" xfId="6101"/>
    <cellStyle name="好_2014优秀学校奖励测算表 6" xfId="6102"/>
    <cellStyle name="好_2014优秀学校奖励测算表 6 2" xfId="6103"/>
    <cellStyle name="好_2014优秀学校奖励测算表 7" xfId="6104"/>
    <cellStyle name="好_2014优秀学校奖励测算表 7 2" xfId="6105"/>
    <cellStyle name="好_2014优秀学校奖励测算表 8" xfId="6106"/>
    <cellStyle name="好_2014优秀学校奖励测算表 8 2" xfId="6107"/>
    <cellStyle name="好_2014优秀学校奖励测算表 9" xfId="6108"/>
    <cellStyle name="好_2015年年终奖预发表-给核算中心" xfId="6109"/>
    <cellStyle name="好_2015年年终奖预发表-给核算中心 2" xfId="6110"/>
    <cellStyle name="好_2015年年终奖预发表-给核算中心 2 2" xfId="6111"/>
    <cellStyle name="好_2015年年终奖预发表-给核算中心 2 2 2" xfId="6112"/>
    <cellStyle name="好_2015年年终奖预发表-给核算中心 2 2 2 2" xfId="6113"/>
    <cellStyle name="好_2015年年终奖预发表-给核算中心 2 2 2 2 2" xfId="6114"/>
    <cellStyle name="好_2015年年终奖预发表-给核算中心 2 2 2 3" xfId="6115"/>
    <cellStyle name="好_2015年年终奖预发表-给核算中心 2 2 3" xfId="6116"/>
    <cellStyle name="好_2015年年终奖预发表-给核算中心 2 2 3 2" xfId="6117"/>
    <cellStyle name="好_2015年年终奖预发表-给核算中心 2 2 4" xfId="6118"/>
    <cellStyle name="好_2015年年终奖预发表-给核算中心 2 2 4 2" xfId="6119"/>
    <cellStyle name="好_2015年年终奖预发表-给核算中心 2 2 5" xfId="6120"/>
    <cellStyle name="好_2015年年终奖预发表-给核算中心 2 3" xfId="6121"/>
    <cellStyle name="好_2015年年终奖预发表-给核算中心 2 3 2" xfId="6122"/>
    <cellStyle name="好_2015年年终奖预发表-给核算中心 2 3 2 2" xfId="6123"/>
    <cellStyle name="好_2015年年终奖预发表-给核算中心 2 3 3" xfId="6124"/>
    <cellStyle name="好_2015年年终奖预发表-给核算中心 2 4" xfId="6125"/>
    <cellStyle name="好_2015年年终奖预发表-给核算中心 2 4 2" xfId="6126"/>
    <cellStyle name="好_2015年年终奖预发表-给核算中心 2 5" xfId="6127"/>
    <cellStyle name="好_2015年年终奖预发表-给核算中心 2 5 2" xfId="6128"/>
    <cellStyle name="好_2015年年终奖预发表-给核算中心 2 6" xfId="6129"/>
    <cellStyle name="好_2015年年终奖预发表-给核算中心 3" xfId="6130"/>
    <cellStyle name="好_2015年年终奖预发表-给核算中心 3 2" xfId="6131"/>
    <cellStyle name="好_2015年年终奖预发表-给核算中心 3 2 2" xfId="6132"/>
    <cellStyle name="好_2015年年终奖预发表-给核算中心 3 2 2 2" xfId="6133"/>
    <cellStyle name="好_2015年年终奖预发表-给核算中心 3 2 3" xfId="6134"/>
    <cellStyle name="好_2015年年终奖预发表-给核算中心 3 3" xfId="6135"/>
    <cellStyle name="好_2015年年终奖预发表-给核算中心 3 3 2" xfId="6136"/>
    <cellStyle name="好_2015年年终奖预发表-给核算中心 3 4" xfId="6137"/>
    <cellStyle name="好_2015年年终奖预发表-给核算中心 3 4 2" xfId="6138"/>
    <cellStyle name="好_2015年年终奖预发表-给核算中心 3 5" xfId="6139"/>
    <cellStyle name="好_2015年年终奖预发表-给核算中心 4" xfId="6140"/>
    <cellStyle name="好_2015年年终奖预发表-给核算中心 4 2" xfId="6141"/>
    <cellStyle name="好_2015年年终奖预发表-给核算中心 4 2 2" xfId="6142"/>
    <cellStyle name="好_2015年年终奖预发表-给核算中心 4 2 2 2" xfId="6143"/>
    <cellStyle name="好_2015年年终奖预发表-给核算中心 4 2 3" xfId="6144"/>
    <cellStyle name="好_2015年年终奖预发表-给核算中心 4 3" xfId="6145"/>
    <cellStyle name="好_2015年年终奖预发表-给核算中心 4 3 2" xfId="6146"/>
    <cellStyle name="好_2015年年终奖预发表-给核算中心 4 4" xfId="6147"/>
    <cellStyle name="好_2015年年终奖预发表-给核算中心 4 4 2" xfId="6148"/>
    <cellStyle name="好_2015年年终奖预发表-给核算中心 4 5" xfId="6149"/>
    <cellStyle name="好_2015年年终奖预发表-给核算中心 5" xfId="6150"/>
    <cellStyle name="好_2015年年终奖预发表-给核算中心 5 2" xfId="6151"/>
    <cellStyle name="好_2015年年终奖预发表-给核算中心 5 2 2" xfId="6152"/>
    <cellStyle name="好_2015年年终奖预发表-给核算中心 5 3" xfId="6153"/>
    <cellStyle name="好_2015年年终奖预发表-给核算中心 6" xfId="6154"/>
    <cellStyle name="好_2015年年终奖预发表-给核算中心 6 2" xfId="6155"/>
    <cellStyle name="好_2015年年终奖预发表-给核算中心 7" xfId="6156"/>
    <cellStyle name="好_2015年年终奖预发表-给核算中心 7 2" xfId="6157"/>
    <cellStyle name="好_2015年年终奖预发表-给核算中心 8" xfId="6158"/>
    <cellStyle name="好_2015年年终奖预发表-给核算中心 8 2" xfId="6159"/>
    <cellStyle name="好_2015年年终奖预发表-给核算中心 9" xfId="6160"/>
    <cellStyle name="好_2016年3月校长职级工资（核算中心）" xfId="6161"/>
    <cellStyle name="好_2016年3月校长职级工资（核算中心） 2" xfId="6162"/>
    <cellStyle name="好_2016年3月校长职级工资（核算中心） 2 2" xfId="6163"/>
    <cellStyle name="好_2016年3月校长职级工资（核算中心） 2 2 2" xfId="6164"/>
    <cellStyle name="好_2016年3月校长职级工资（核算中心） 2 2 2 2" xfId="6165"/>
    <cellStyle name="好_2016年3月校长职级工资（核算中心） 2 2 2 2 2" xfId="6166"/>
    <cellStyle name="好_2016年3月校长职级工资（核算中心） 2 2 2 3" xfId="6167"/>
    <cellStyle name="好_2016年3月校长职级工资（核算中心） 2 2 3" xfId="6168"/>
    <cellStyle name="好_2016年3月校长职级工资（核算中心） 2 2 3 2" xfId="6169"/>
    <cellStyle name="好_2016年3月校长职级工资（核算中心） 2 2 4" xfId="6170"/>
    <cellStyle name="好_2016年3月校长职级工资（核算中心） 2 2 4 2" xfId="6171"/>
    <cellStyle name="好_2016年3月校长职级工资（核算中心） 2 2 5" xfId="6172"/>
    <cellStyle name="好_2016年3月校长职级工资（核算中心） 2 3" xfId="6173"/>
    <cellStyle name="好_2016年3月校长职级工资（核算中心） 2 3 2" xfId="6174"/>
    <cellStyle name="好_2016年3月校长职级工资（核算中心） 2 3 2 2" xfId="6175"/>
    <cellStyle name="好_2016年3月校长职级工资（核算中心） 2 3 3" xfId="6176"/>
    <cellStyle name="好_2016年3月校长职级工资（核算中心） 2 4" xfId="6177"/>
    <cellStyle name="好_2016年3月校长职级工资（核算中心） 2 4 2" xfId="6178"/>
    <cellStyle name="好_2016年3月校长职级工资（核算中心） 2 5" xfId="6179"/>
    <cellStyle name="好_2016年3月校长职级工资（核算中心） 2 5 2" xfId="6180"/>
    <cellStyle name="好_2016年3月校长职级工资（核算中心） 2 6" xfId="6181"/>
    <cellStyle name="好_2016年3月校长职级工资（核算中心） 3" xfId="6182"/>
    <cellStyle name="好_2016年3月校长职级工资（核算中心） 3 2" xfId="6183"/>
    <cellStyle name="好_2016年3月校长职级工资（核算中心） 3 2 2" xfId="6184"/>
    <cellStyle name="好_2016年3月校长职级工资（核算中心） 3 2 2 2" xfId="6185"/>
    <cellStyle name="好_2016年3月校长职级工资（核算中心） 3 2 3" xfId="6186"/>
    <cellStyle name="好_2016年3月校长职级工资（核算中心） 3 3" xfId="6187"/>
    <cellStyle name="好_2016年3月校长职级工资（核算中心） 3 3 2" xfId="6188"/>
    <cellStyle name="好_2016年3月校长职级工资（核算中心） 3 4" xfId="6189"/>
    <cellStyle name="好_2016年3月校长职级工资（核算中心） 3 4 2" xfId="6190"/>
    <cellStyle name="好_2016年3月校长职级工资（核算中心） 3 5" xfId="6191"/>
    <cellStyle name="好_2016年3月校长职级工资（核算中心） 4" xfId="6192"/>
    <cellStyle name="好_2016年3月校长职级工资（核算中心） 4 2" xfId="6193"/>
    <cellStyle name="好_2016年3月校长职级工资（核算中心） 4 2 2" xfId="6194"/>
    <cellStyle name="好_2016年3月校长职级工资（核算中心） 4 2 2 2" xfId="6195"/>
    <cellStyle name="好_2016年3月校长职级工资（核算中心） 4 2 3" xfId="6196"/>
    <cellStyle name="好_2016年3月校长职级工资（核算中心） 4 3" xfId="6197"/>
    <cellStyle name="好_2016年3月校长职级工资（核算中心） 4 3 2" xfId="6198"/>
    <cellStyle name="好_2016年3月校长职级工资（核算中心） 4 4" xfId="6199"/>
    <cellStyle name="好_2016年3月校长职级工资（核算中心） 4 4 2" xfId="6200"/>
    <cellStyle name="好_2016年3月校长职级工资（核算中心） 4 5" xfId="6201"/>
    <cellStyle name="好_2016年3月校长职级工资（核算中心） 5" xfId="6202"/>
    <cellStyle name="好_2016年3月校长职级工资（核算中心） 5 2" xfId="6203"/>
    <cellStyle name="好_2016年3月校长职级工资（核算中心） 5 2 2" xfId="6204"/>
    <cellStyle name="好_2016年3月校长职级工资（核算中心） 5 3" xfId="6205"/>
    <cellStyle name="好_2016年3月校长职级工资（核算中心） 6" xfId="6206"/>
    <cellStyle name="好_2016年3月校长职级工资（核算中心） 6 2" xfId="6207"/>
    <cellStyle name="好_2016年3月校长职级工资（核算中心） 7" xfId="6208"/>
    <cellStyle name="好_2016年3月校长职级工资（核算中心） 7 2" xfId="6209"/>
    <cellStyle name="好_2016年3月校长职级工资（核算中心） 8" xfId="6210"/>
    <cellStyle name="好_2016年3月校长职级工资（核算中心） 8 2" xfId="6211"/>
    <cellStyle name="好_2016年3月校长职级工资（核算中心） 9" xfId="6212"/>
    <cellStyle name="好_2017" xfId="8921"/>
    <cellStyle name="好_2017 2" xfId="8930"/>
    <cellStyle name="好_2017 2 2" xfId="8984"/>
    <cellStyle name="好_2017 3" xfId="8985"/>
    <cellStyle name="好_2017 4" xfId="8983"/>
    <cellStyle name="好_A0汇总表（报计财科：项目津贴发放）" xfId="6213"/>
    <cellStyle name="好_A0汇总表（报计财科：项目津贴发放） 2" xfId="6214"/>
    <cellStyle name="好_A0汇总表（报计财科：项目津贴发放） 2 2" xfId="6215"/>
    <cellStyle name="好_A0汇总表（报计财科：项目津贴发放） 2 2 2" xfId="6216"/>
    <cellStyle name="好_A0汇总表（报计财科：项目津贴发放） 2 2 2 2" xfId="6217"/>
    <cellStyle name="好_A0汇总表（报计财科：项目津贴发放） 2 2 2 2 2" xfId="6218"/>
    <cellStyle name="好_A0汇总表（报计财科：项目津贴发放） 2 2 2 3" xfId="6219"/>
    <cellStyle name="好_A0汇总表（报计财科：项目津贴发放） 2 2 3" xfId="6220"/>
    <cellStyle name="好_A0汇总表（报计财科：项目津贴发放） 2 2 3 2" xfId="6221"/>
    <cellStyle name="好_A0汇总表（报计财科：项目津贴发放） 2 2 4" xfId="6222"/>
    <cellStyle name="好_A0汇总表（报计财科：项目津贴发放） 2 2 4 2" xfId="6223"/>
    <cellStyle name="好_A0汇总表（报计财科：项目津贴发放） 2 2 5" xfId="6224"/>
    <cellStyle name="好_A0汇总表（报计财科：项目津贴发放） 2 3" xfId="6225"/>
    <cellStyle name="好_A0汇总表（报计财科：项目津贴发放） 2 3 2" xfId="6226"/>
    <cellStyle name="好_A0汇总表（报计财科：项目津贴发放） 2 3 2 2" xfId="6227"/>
    <cellStyle name="好_A0汇总表（报计财科：项目津贴发放） 2 3 3" xfId="6228"/>
    <cellStyle name="好_A0汇总表（报计财科：项目津贴发放） 2 4" xfId="6229"/>
    <cellStyle name="好_A0汇总表（报计财科：项目津贴发放） 2 4 2" xfId="6230"/>
    <cellStyle name="好_A0汇总表（报计财科：项目津贴发放） 2 5" xfId="6231"/>
    <cellStyle name="好_A0汇总表（报计财科：项目津贴发放） 2 5 2" xfId="6232"/>
    <cellStyle name="好_A0汇总表（报计财科：项目津贴发放） 2 6" xfId="6233"/>
    <cellStyle name="好_A0汇总表（报计财科：项目津贴发放） 3" xfId="6234"/>
    <cellStyle name="好_A0汇总表（报计财科：项目津贴发放） 3 2" xfId="6235"/>
    <cellStyle name="好_A0汇总表（报计财科：项目津贴发放） 3 2 2" xfId="6236"/>
    <cellStyle name="好_A0汇总表（报计财科：项目津贴发放） 3 2 2 2" xfId="6237"/>
    <cellStyle name="好_A0汇总表（报计财科：项目津贴发放） 3 2 3" xfId="6238"/>
    <cellStyle name="好_A0汇总表（报计财科：项目津贴发放） 3 3" xfId="6239"/>
    <cellStyle name="好_A0汇总表（报计财科：项目津贴发放） 3 3 2" xfId="6240"/>
    <cellStyle name="好_A0汇总表（报计财科：项目津贴发放） 3 4" xfId="6241"/>
    <cellStyle name="好_A0汇总表（报计财科：项目津贴发放） 3 4 2" xfId="6242"/>
    <cellStyle name="好_A0汇总表（报计财科：项目津贴发放） 3 5" xfId="6243"/>
    <cellStyle name="好_A0汇总表（报计财科：项目津贴发放） 4" xfId="6244"/>
    <cellStyle name="好_A0汇总表（报计财科：项目津贴发放） 4 2" xfId="6245"/>
    <cellStyle name="好_A0汇总表（报计财科：项目津贴发放） 4 2 2" xfId="6246"/>
    <cellStyle name="好_A0汇总表（报计财科：项目津贴发放） 4 2 2 2" xfId="6247"/>
    <cellStyle name="好_A0汇总表（报计财科：项目津贴发放） 4 2 3" xfId="6248"/>
    <cellStyle name="好_A0汇总表（报计财科：项目津贴发放） 4 3" xfId="6249"/>
    <cellStyle name="好_A0汇总表（报计财科：项目津贴发放） 4 3 2" xfId="6250"/>
    <cellStyle name="好_A0汇总表（报计财科：项目津贴发放） 4 4" xfId="6251"/>
    <cellStyle name="好_A0汇总表（报计财科：项目津贴发放） 4 4 2" xfId="6252"/>
    <cellStyle name="好_A0汇总表（报计财科：项目津贴发放） 4 5" xfId="6253"/>
    <cellStyle name="好_A0汇总表（报计财科：项目津贴发放） 5" xfId="6254"/>
    <cellStyle name="好_A0汇总表（报计财科：项目津贴发放） 5 2" xfId="6255"/>
    <cellStyle name="好_A0汇总表（报计财科：项目津贴发放） 5 2 2" xfId="6256"/>
    <cellStyle name="好_A0汇总表（报计财科：项目津贴发放） 5 3" xfId="6257"/>
    <cellStyle name="好_A0汇总表（报计财科：项目津贴发放） 6" xfId="6258"/>
    <cellStyle name="好_A0汇总表（报计财科：项目津贴发放） 6 2" xfId="6259"/>
    <cellStyle name="好_A0汇总表（报计财科：项目津贴发放） 7" xfId="6260"/>
    <cellStyle name="好_A0汇总表（报计财科：项目津贴发放） 7 2" xfId="6261"/>
    <cellStyle name="好_A0汇总表（报计财科：项目津贴发放） 8" xfId="6262"/>
    <cellStyle name="好_A0汇总表（报计财科：项目津贴发放） 8 2" xfId="6263"/>
    <cellStyle name="好_A0汇总表（报计财科：项目津贴发放） 9" xfId="6264"/>
    <cellStyle name="好_统筹-校长（暂估）" xfId="6265"/>
    <cellStyle name="好_统筹-校长（暂估） 2" xfId="6266"/>
    <cellStyle name="好_统筹-校长（暂估） 2 2" xfId="6267"/>
    <cellStyle name="好_统筹-校长（暂估） 2 2 2" xfId="6268"/>
    <cellStyle name="好_统筹-校长（暂估） 2 2 2 2" xfId="6269"/>
    <cellStyle name="好_统筹-校长（暂估） 2 2 2 2 2" xfId="6270"/>
    <cellStyle name="好_统筹-校长（暂估） 2 2 2 3" xfId="6271"/>
    <cellStyle name="好_统筹-校长（暂估） 2 2 3" xfId="6272"/>
    <cellStyle name="好_统筹-校长（暂估） 2 2 3 2" xfId="6273"/>
    <cellStyle name="好_统筹-校长（暂估） 2 2 4" xfId="6274"/>
    <cellStyle name="好_统筹-校长（暂估） 2 2 4 2" xfId="6275"/>
    <cellStyle name="好_统筹-校长（暂估） 2 2 5" xfId="6276"/>
    <cellStyle name="好_统筹-校长（暂估） 2 3" xfId="6277"/>
    <cellStyle name="好_统筹-校长（暂估） 2 3 2" xfId="6278"/>
    <cellStyle name="好_统筹-校长（暂估） 2 3 2 2" xfId="6279"/>
    <cellStyle name="好_统筹-校长（暂估） 2 3 3" xfId="6280"/>
    <cellStyle name="好_统筹-校长（暂估） 2 4" xfId="6281"/>
    <cellStyle name="好_统筹-校长（暂估） 2 4 2" xfId="6282"/>
    <cellStyle name="好_统筹-校长（暂估） 2 5" xfId="6283"/>
    <cellStyle name="好_统筹-校长（暂估） 2 5 2" xfId="6284"/>
    <cellStyle name="好_统筹-校长（暂估） 2 6" xfId="6285"/>
    <cellStyle name="好_统筹-校长（暂估） 3" xfId="6286"/>
    <cellStyle name="好_统筹-校长（暂估） 3 2" xfId="6287"/>
    <cellStyle name="好_统筹-校长（暂估） 3 2 2" xfId="6288"/>
    <cellStyle name="好_统筹-校长（暂估） 3 2 2 2" xfId="6289"/>
    <cellStyle name="好_统筹-校长（暂估） 3 2 3" xfId="6290"/>
    <cellStyle name="好_统筹-校长（暂估） 3 3" xfId="6291"/>
    <cellStyle name="好_统筹-校长（暂估） 3 3 2" xfId="6292"/>
    <cellStyle name="好_统筹-校长（暂估） 3 4" xfId="6293"/>
    <cellStyle name="好_统筹-校长（暂估） 3 4 2" xfId="6294"/>
    <cellStyle name="好_统筹-校长（暂估） 3 5" xfId="6295"/>
    <cellStyle name="好_统筹-校长（暂估） 4" xfId="6296"/>
    <cellStyle name="好_统筹-校长（暂估） 4 2" xfId="6297"/>
    <cellStyle name="好_统筹-校长（暂估） 4 2 2" xfId="6298"/>
    <cellStyle name="好_统筹-校长（暂估） 4 2 2 2" xfId="6299"/>
    <cellStyle name="好_统筹-校长（暂估） 4 2 3" xfId="6300"/>
    <cellStyle name="好_统筹-校长（暂估） 4 3" xfId="6301"/>
    <cellStyle name="好_统筹-校长（暂估） 4 3 2" xfId="6302"/>
    <cellStyle name="好_统筹-校长（暂估） 4 4" xfId="6303"/>
    <cellStyle name="好_统筹-校长（暂估） 4 4 2" xfId="6304"/>
    <cellStyle name="好_统筹-校长（暂估） 4 5" xfId="6305"/>
    <cellStyle name="好_统筹-校长（暂估） 5" xfId="6306"/>
    <cellStyle name="好_统筹-校长（暂估） 5 2" xfId="6307"/>
    <cellStyle name="好_统筹-校长（暂估） 5 2 2" xfId="6308"/>
    <cellStyle name="好_统筹-校长（暂估） 5 3" xfId="6309"/>
    <cellStyle name="好_统筹-校长（暂估） 6" xfId="6310"/>
    <cellStyle name="好_统筹-校长（暂估） 6 2" xfId="6311"/>
    <cellStyle name="好_统筹-校长（暂估） 7" xfId="6312"/>
    <cellStyle name="好_统筹-校长（暂估） 7 2" xfId="6313"/>
    <cellStyle name="好_统筹-校长（暂估） 8" xfId="6314"/>
    <cellStyle name="好_统筹-校长（暂估） 8 2" xfId="6315"/>
    <cellStyle name="好_统筹-校长（暂估） 9" xfId="6316"/>
    <cellStyle name="好_校长、书记2015年增量部分发放清单" xfId="6317"/>
    <cellStyle name="好_校长、书记2015年增量部分发放清单 2" xfId="6318"/>
    <cellStyle name="好_校长、书记2015年增量部分发放清单 2 2" xfId="6319"/>
    <cellStyle name="好_校长、书记2015年增量部分发放清单 2 2 2" xfId="6320"/>
    <cellStyle name="好_校长、书记2015年增量部分发放清单 2 2 2 2" xfId="6321"/>
    <cellStyle name="好_校长、书记2015年增量部分发放清单 2 2 2 2 2" xfId="6322"/>
    <cellStyle name="好_校长、书记2015年增量部分发放清单 2 2 2 3" xfId="6323"/>
    <cellStyle name="好_校长、书记2015年增量部分发放清单 2 2 3" xfId="6324"/>
    <cellStyle name="好_校长、书记2015年增量部分发放清单 2 2 3 2" xfId="6325"/>
    <cellStyle name="好_校长、书记2015年增量部分发放清单 2 2 4" xfId="6326"/>
    <cellStyle name="好_校长、书记2015年增量部分发放清单 2 2 4 2" xfId="6327"/>
    <cellStyle name="好_校长、书记2015年增量部分发放清单 2 2 5" xfId="6328"/>
    <cellStyle name="好_校长、书记2015年增量部分发放清单 2 3" xfId="6329"/>
    <cellStyle name="好_校长、书记2015年增量部分发放清单 2 3 2" xfId="6330"/>
    <cellStyle name="好_校长、书记2015年增量部分发放清单 2 3 2 2" xfId="6331"/>
    <cellStyle name="好_校长、书记2015年增量部分发放清单 2 3 3" xfId="6332"/>
    <cellStyle name="好_校长、书记2015年增量部分发放清单 2 4" xfId="6333"/>
    <cellStyle name="好_校长、书记2015年增量部分发放清单 2 4 2" xfId="6334"/>
    <cellStyle name="好_校长、书记2015年增量部分发放清单 2 5" xfId="6335"/>
    <cellStyle name="好_校长、书记2015年增量部分发放清单 2 5 2" xfId="6336"/>
    <cellStyle name="好_校长、书记2015年增量部分发放清单 2 6" xfId="6337"/>
    <cellStyle name="好_校长、书记2015年增量部分发放清单 3" xfId="6338"/>
    <cellStyle name="好_校长、书记2015年增量部分发放清单 3 2" xfId="6339"/>
    <cellStyle name="好_校长、书记2015年增量部分发放清单 3 2 2" xfId="6340"/>
    <cellStyle name="好_校长、书记2015年增量部分发放清单 3 2 2 2" xfId="6341"/>
    <cellStyle name="好_校长、书记2015年增量部分发放清单 3 2 3" xfId="6342"/>
    <cellStyle name="好_校长、书记2015年增量部分发放清单 3 3" xfId="6343"/>
    <cellStyle name="好_校长、书记2015年增量部分发放清单 3 3 2" xfId="6344"/>
    <cellStyle name="好_校长、书记2015年增量部分发放清单 3 4" xfId="6345"/>
    <cellStyle name="好_校长、书记2015年增量部分发放清单 3 4 2" xfId="6346"/>
    <cellStyle name="好_校长、书记2015年增量部分发放清单 3 5" xfId="6347"/>
    <cellStyle name="好_校长、书记2015年增量部分发放清单 4" xfId="6348"/>
    <cellStyle name="好_校长、书记2015年增量部分发放清单 4 2" xfId="6349"/>
    <cellStyle name="好_校长、书记2015年增量部分发放清单 4 2 2" xfId="6350"/>
    <cellStyle name="好_校长、书记2015年增量部分发放清单 4 2 2 2" xfId="6351"/>
    <cellStyle name="好_校长、书记2015年增量部分发放清单 4 2 3" xfId="6352"/>
    <cellStyle name="好_校长、书记2015年增量部分发放清单 4 3" xfId="6353"/>
    <cellStyle name="好_校长、书记2015年增量部分发放清单 4 3 2" xfId="6354"/>
    <cellStyle name="好_校长、书记2015年增量部分发放清单 4 4" xfId="6355"/>
    <cellStyle name="好_校长、书记2015年增量部分发放清单 4 4 2" xfId="6356"/>
    <cellStyle name="好_校长、书记2015年增量部分发放清单 4 5" xfId="6357"/>
    <cellStyle name="好_校长、书记2015年增量部分发放清单 5" xfId="6358"/>
    <cellStyle name="好_校长、书记2015年增量部分发放清单 5 2" xfId="6359"/>
    <cellStyle name="好_校长、书记2015年增量部分发放清单 5 2 2" xfId="6360"/>
    <cellStyle name="好_校长、书记2015年增量部分发放清单 5 3" xfId="6361"/>
    <cellStyle name="好_校长、书记2015年增量部分发放清单 6" xfId="6362"/>
    <cellStyle name="好_校长、书记2015年增量部分发放清单 6 2" xfId="6363"/>
    <cellStyle name="好_校长、书记2015年增量部分发放清单 7" xfId="6364"/>
    <cellStyle name="好_校长、书记2015年增量部分发放清单 7 2" xfId="6365"/>
    <cellStyle name="好_校长、书记2015年增量部分发放清单 8" xfId="6366"/>
    <cellStyle name="好_校长、书记2015年增量部分发放清单 8 2" xfId="6367"/>
    <cellStyle name="好_校长、书记2015年增量部分发放清单 9" xfId="6368"/>
    <cellStyle name="好_校长职级、亚信会奖励、教师节奖励镇管" xfId="6369"/>
    <cellStyle name="好_校长职级、亚信会奖励、教师节奖励镇管 2" xfId="6370"/>
    <cellStyle name="好_校长职级、亚信会奖励、教师节奖励镇管 2 2" xfId="6371"/>
    <cellStyle name="好_校长职级、亚信会奖励、教师节奖励镇管 2 2 2" xfId="6372"/>
    <cellStyle name="好_校长职级、亚信会奖励、教师节奖励镇管 2 2 2 2" xfId="6373"/>
    <cellStyle name="好_校长职级、亚信会奖励、教师节奖励镇管 2 2 2 2 2" xfId="6374"/>
    <cellStyle name="好_校长职级、亚信会奖励、教师节奖励镇管 2 2 2 3" xfId="6375"/>
    <cellStyle name="好_校长职级、亚信会奖励、教师节奖励镇管 2 2 3" xfId="6376"/>
    <cellStyle name="好_校长职级、亚信会奖励、教师节奖励镇管 2 2 3 2" xfId="6377"/>
    <cellStyle name="好_校长职级、亚信会奖励、教师节奖励镇管 2 2 4" xfId="6378"/>
    <cellStyle name="好_校长职级、亚信会奖励、教师节奖励镇管 2 2 4 2" xfId="6379"/>
    <cellStyle name="好_校长职级、亚信会奖励、教师节奖励镇管 2 2 5" xfId="6380"/>
    <cellStyle name="好_校长职级、亚信会奖励、教师节奖励镇管 2 3" xfId="6381"/>
    <cellStyle name="好_校长职级、亚信会奖励、教师节奖励镇管 2 3 2" xfId="6382"/>
    <cellStyle name="好_校长职级、亚信会奖励、教师节奖励镇管 2 3 2 2" xfId="6383"/>
    <cellStyle name="好_校长职级、亚信会奖励、教师节奖励镇管 2 3 3" xfId="6384"/>
    <cellStyle name="好_校长职级、亚信会奖励、教师节奖励镇管 2 4" xfId="6385"/>
    <cellStyle name="好_校长职级、亚信会奖励、教师节奖励镇管 2 4 2" xfId="6386"/>
    <cellStyle name="好_校长职级、亚信会奖励、教师节奖励镇管 2 5" xfId="6387"/>
    <cellStyle name="好_校长职级、亚信会奖励、教师节奖励镇管 2 5 2" xfId="6388"/>
    <cellStyle name="好_校长职级、亚信会奖励、教师节奖励镇管 2 6" xfId="6389"/>
    <cellStyle name="好_校长职级、亚信会奖励、教师节奖励镇管 3" xfId="6390"/>
    <cellStyle name="好_校长职级、亚信会奖励、教师节奖励镇管 3 2" xfId="6391"/>
    <cellStyle name="好_校长职级、亚信会奖励、教师节奖励镇管 3 2 2" xfId="6392"/>
    <cellStyle name="好_校长职级、亚信会奖励、教师节奖励镇管 3 2 2 2" xfId="6393"/>
    <cellStyle name="好_校长职级、亚信会奖励、教师节奖励镇管 3 2 3" xfId="6394"/>
    <cellStyle name="好_校长职级、亚信会奖励、教师节奖励镇管 3 3" xfId="6395"/>
    <cellStyle name="好_校长职级、亚信会奖励、教师节奖励镇管 3 3 2" xfId="6396"/>
    <cellStyle name="好_校长职级、亚信会奖励、教师节奖励镇管 3 4" xfId="6397"/>
    <cellStyle name="好_校长职级、亚信会奖励、教师节奖励镇管 3 4 2" xfId="6398"/>
    <cellStyle name="好_校长职级、亚信会奖励、教师节奖励镇管 3 5" xfId="6399"/>
    <cellStyle name="好_校长职级、亚信会奖励、教师节奖励镇管 4" xfId="6400"/>
    <cellStyle name="好_校长职级、亚信会奖励、教师节奖励镇管 4 2" xfId="6401"/>
    <cellStyle name="好_校长职级、亚信会奖励、教师节奖励镇管 4 2 2" xfId="6402"/>
    <cellStyle name="好_校长职级、亚信会奖励、教师节奖励镇管 4 2 2 2" xfId="6403"/>
    <cellStyle name="好_校长职级、亚信会奖励、教师节奖励镇管 4 2 3" xfId="6404"/>
    <cellStyle name="好_校长职级、亚信会奖励、教师节奖励镇管 4 3" xfId="6405"/>
    <cellStyle name="好_校长职级、亚信会奖励、教师节奖励镇管 4 3 2" xfId="6406"/>
    <cellStyle name="好_校长职级、亚信会奖励、教师节奖励镇管 4 4" xfId="6407"/>
    <cellStyle name="好_校长职级、亚信会奖励、教师节奖励镇管 4 4 2" xfId="6408"/>
    <cellStyle name="好_校长职级、亚信会奖励、教师节奖励镇管 4 5" xfId="6409"/>
    <cellStyle name="好_校长职级、亚信会奖励、教师节奖励镇管 5" xfId="6410"/>
    <cellStyle name="好_校长职级、亚信会奖励、教师节奖励镇管 5 2" xfId="6411"/>
    <cellStyle name="好_校长职级、亚信会奖励、教师节奖励镇管 5 2 2" xfId="6412"/>
    <cellStyle name="好_校长职级、亚信会奖励、教师节奖励镇管 5 3" xfId="6413"/>
    <cellStyle name="好_校长职级、亚信会奖励、教师节奖励镇管 6" xfId="6414"/>
    <cellStyle name="好_校长职级、亚信会奖励、教师节奖励镇管 6 2" xfId="6415"/>
    <cellStyle name="好_校长职级、亚信会奖励、教师节奖励镇管 7" xfId="6416"/>
    <cellStyle name="好_校长职级、亚信会奖励、教师节奖励镇管 7 2" xfId="6417"/>
    <cellStyle name="好_校长职级、亚信会奖励、教师节奖励镇管 8" xfId="6418"/>
    <cellStyle name="好_校长职级、亚信会奖励、教师节奖励镇管 8 2" xfId="6419"/>
    <cellStyle name="好_校长职级、亚信会奖励、教师节奖励镇管 9" xfId="6420"/>
    <cellStyle name="好_镇管汇总" xfId="6421"/>
    <cellStyle name="好_镇管汇总 2" xfId="6422"/>
    <cellStyle name="好_镇管汇总 2 2" xfId="6423"/>
    <cellStyle name="好_镇管汇总 2 2 2" xfId="6424"/>
    <cellStyle name="好_镇管汇总 2 2 2 2" xfId="6425"/>
    <cellStyle name="好_镇管汇总 2 2 2 2 2" xfId="6426"/>
    <cellStyle name="好_镇管汇总 2 2 2 3" xfId="6427"/>
    <cellStyle name="好_镇管汇总 2 2 3" xfId="6428"/>
    <cellStyle name="好_镇管汇总 2 2 3 2" xfId="6429"/>
    <cellStyle name="好_镇管汇总 2 2 4" xfId="6430"/>
    <cellStyle name="好_镇管汇总 2 2 4 2" xfId="6431"/>
    <cellStyle name="好_镇管汇总 2 2 5" xfId="6432"/>
    <cellStyle name="好_镇管汇总 2 3" xfId="6433"/>
    <cellStyle name="好_镇管汇总 2 3 2" xfId="6434"/>
    <cellStyle name="好_镇管汇总 2 3 2 2" xfId="6435"/>
    <cellStyle name="好_镇管汇总 2 3 3" xfId="6436"/>
    <cellStyle name="好_镇管汇总 2 4" xfId="6437"/>
    <cellStyle name="好_镇管汇总 2 4 2" xfId="6438"/>
    <cellStyle name="好_镇管汇总 2 5" xfId="6439"/>
    <cellStyle name="好_镇管汇总 2 5 2" xfId="6440"/>
    <cellStyle name="好_镇管汇总 2 6" xfId="6441"/>
    <cellStyle name="好_镇管汇总 3" xfId="6442"/>
    <cellStyle name="好_镇管汇总 3 2" xfId="6443"/>
    <cellStyle name="好_镇管汇总 3 2 2" xfId="6444"/>
    <cellStyle name="好_镇管汇总 3 2 2 2" xfId="6445"/>
    <cellStyle name="好_镇管汇总 3 2 3" xfId="6446"/>
    <cellStyle name="好_镇管汇总 3 3" xfId="6447"/>
    <cellStyle name="好_镇管汇总 3 3 2" xfId="6448"/>
    <cellStyle name="好_镇管汇总 3 4" xfId="6449"/>
    <cellStyle name="好_镇管汇总 3 4 2" xfId="6450"/>
    <cellStyle name="好_镇管汇总 3 5" xfId="6451"/>
    <cellStyle name="好_镇管汇总 4" xfId="6452"/>
    <cellStyle name="好_镇管汇总 4 2" xfId="6453"/>
    <cellStyle name="好_镇管汇总 4 2 2" xfId="6454"/>
    <cellStyle name="好_镇管汇总 4 2 2 2" xfId="6455"/>
    <cellStyle name="好_镇管汇总 4 2 3" xfId="6456"/>
    <cellStyle name="好_镇管汇总 4 3" xfId="6457"/>
    <cellStyle name="好_镇管汇总 4 3 2" xfId="6458"/>
    <cellStyle name="好_镇管汇总 4 4" xfId="6459"/>
    <cellStyle name="好_镇管汇总 4 4 2" xfId="6460"/>
    <cellStyle name="好_镇管汇总 4 5" xfId="6461"/>
    <cellStyle name="好_镇管汇总 5" xfId="6462"/>
    <cellStyle name="好_镇管汇总 5 2" xfId="6463"/>
    <cellStyle name="好_镇管汇总 5 2 2" xfId="6464"/>
    <cellStyle name="好_镇管汇总 5 3" xfId="6465"/>
    <cellStyle name="好_镇管汇总 6" xfId="6466"/>
    <cellStyle name="好_镇管汇总 6 2" xfId="6467"/>
    <cellStyle name="好_镇管汇总 7" xfId="6468"/>
    <cellStyle name="好_镇管汇总 7 2" xfId="6469"/>
    <cellStyle name="好_镇管汇总 8" xfId="6470"/>
    <cellStyle name="好_镇管汇总 8 2" xfId="6471"/>
    <cellStyle name="好_镇管汇总 9" xfId="6472"/>
    <cellStyle name="汇总 2" xfId="6473"/>
    <cellStyle name="汇总 2 10" xfId="8931"/>
    <cellStyle name="汇总 2 11" xfId="8949"/>
    <cellStyle name="汇总 2 12" xfId="8986"/>
    <cellStyle name="汇总 2 2" xfId="6474"/>
    <cellStyle name="汇总 2 2 2" xfId="6475"/>
    <cellStyle name="汇总 2 2 2 2" xfId="6476"/>
    <cellStyle name="汇总 2 2 2 2 2" xfId="6477"/>
    <cellStyle name="汇总 2 2 2 3" xfId="6478"/>
    <cellStyle name="汇总 2 2 3" xfId="6479"/>
    <cellStyle name="汇总 2 2 3 2" xfId="6480"/>
    <cellStyle name="汇总 2 2 4" xfId="6481"/>
    <cellStyle name="汇总 2 2 4 2" xfId="6482"/>
    <cellStyle name="汇总 2 2 5" xfId="6483"/>
    <cellStyle name="汇总 2 2 6" xfId="8772"/>
    <cellStyle name="汇总 2 2 7" xfId="8943"/>
    <cellStyle name="汇总 2 2 8" xfId="8954"/>
    <cellStyle name="汇总 2 3" xfId="6484"/>
    <cellStyle name="汇总 2 3 2" xfId="6485"/>
    <cellStyle name="汇总 2 3 2 2" xfId="6486"/>
    <cellStyle name="汇总 2 3 3" xfId="6487"/>
    <cellStyle name="汇总 2 4" xfId="6488"/>
    <cellStyle name="汇总 2 4 2" xfId="6489"/>
    <cellStyle name="汇总 2 5" xfId="6490"/>
    <cellStyle name="汇总 2 5 2" xfId="6491"/>
    <cellStyle name="汇总 2 6" xfId="6492"/>
    <cellStyle name="汇总 2 7" xfId="8606"/>
    <cellStyle name="汇总 2 8" xfId="8622"/>
    <cellStyle name="汇总 2 9" xfId="8771"/>
    <cellStyle name="汇总 3" xfId="6493"/>
    <cellStyle name="汇总 3 2" xfId="6494"/>
    <cellStyle name="汇总 3 2 2" xfId="6495"/>
    <cellStyle name="汇总 3 2 2 2" xfId="6496"/>
    <cellStyle name="汇总 3 2 2 2 2" xfId="6497"/>
    <cellStyle name="汇总 3 2 2 3" xfId="6498"/>
    <cellStyle name="汇总 3 2 3" xfId="6499"/>
    <cellStyle name="汇总 3 2 3 2" xfId="6500"/>
    <cellStyle name="汇总 3 2 4" xfId="6501"/>
    <cellStyle name="汇总 3 2 4 2" xfId="6502"/>
    <cellStyle name="汇总 3 2 5" xfId="6503"/>
    <cellStyle name="汇总 3 2 6" xfId="8774"/>
    <cellStyle name="汇总 3 3" xfId="6504"/>
    <cellStyle name="汇总 3 3 2" xfId="6505"/>
    <cellStyle name="汇总 3 3 2 2" xfId="6506"/>
    <cellStyle name="汇总 3 3 3" xfId="6507"/>
    <cellStyle name="汇总 3 4" xfId="6508"/>
    <cellStyle name="汇总 3 4 2" xfId="6509"/>
    <cellStyle name="汇总 3 5" xfId="6510"/>
    <cellStyle name="汇总 3 5 2" xfId="6511"/>
    <cellStyle name="汇总 3 6" xfId="6512"/>
    <cellStyle name="汇总 3 7" xfId="8773"/>
    <cellStyle name="汇总 4" xfId="6513"/>
    <cellStyle name="汇总 4 2" xfId="6514"/>
    <cellStyle name="汇总 4 2 2" xfId="6515"/>
    <cellStyle name="汇总 4 2 2 2" xfId="6516"/>
    <cellStyle name="汇总 4 2 2 2 2" xfId="6517"/>
    <cellStyle name="汇总 4 2 2 3" xfId="6518"/>
    <cellStyle name="汇总 4 2 3" xfId="6519"/>
    <cellStyle name="汇总 4 2 3 2" xfId="6520"/>
    <cellStyle name="汇总 4 2 4" xfId="6521"/>
    <cellStyle name="汇总 4 2 4 2" xfId="6522"/>
    <cellStyle name="汇总 4 2 5" xfId="6523"/>
    <cellStyle name="汇总 4 2 6" xfId="8776"/>
    <cellStyle name="汇总 4 3" xfId="6524"/>
    <cellStyle name="汇总 4 3 2" xfId="6525"/>
    <cellStyle name="汇总 4 3 2 2" xfId="6526"/>
    <cellStyle name="汇总 4 3 3" xfId="6527"/>
    <cellStyle name="汇总 4 4" xfId="6528"/>
    <cellStyle name="汇总 4 4 2" xfId="6529"/>
    <cellStyle name="汇总 4 5" xfId="6530"/>
    <cellStyle name="汇总 4 5 2" xfId="6531"/>
    <cellStyle name="汇总 4 6" xfId="6532"/>
    <cellStyle name="汇总 4 7" xfId="8775"/>
    <cellStyle name="汇总 5" xfId="6533"/>
    <cellStyle name="汇总 5 2" xfId="6534"/>
    <cellStyle name="汇总 5 2 2" xfId="6535"/>
    <cellStyle name="汇总 5 2 2 2" xfId="6536"/>
    <cellStyle name="汇总 5 2 3" xfId="6537"/>
    <cellStyle name="汇总 5 3" xfId="6538"/>
    <cellStyle name="汇总 5 3 2" xfId="6539"/>
    <cellStyle name="汇总 5 4" xfId="6540"/>
    <cellStyle name="汇总 5 4 2" xfId="6541"/>
    <cellStyle name="汇总 5 5" xfId="6542"/>
    <cellStyle name="汇总 6" xfId="6543"/>
    <cellStyle name="汇总 6 2" xfId="6544"/>
    <cellStyle name="汇总 6 2 2" xfId="6545"/>
    <cellStyle name="汇总 6 2 2 2" xfId="6546"/>
    <cellStyle name="汇总 6 2 3" xfId="6547"/>
    <cellStyle name="汇总 6 3" xfId="6548"/>
    <cellStyle name="汇总 6 3 2" xfId="6549"/>
    <cellStyle name="汇总 6 4" xfId="6550"/>
    <cellStyle name="汇总 6 4 2" xfId="6551"/>
    <cellStyle name="汇总 6 5" xfId="6552"/>
    <cellStyle name="货币[0] 2" xfId="9178"/>
    <cellStyle name="货币[0] 2 2" xfId="9193"/>
    <cellStyle name="计算 2" xfId="6553"/>
    <cellStyle name="计算 2 10" xfId="8777"/>
    <cellStyle name="计算 2 11" xfId="8932"/>
    <cellStyle name="计算 2 12" xfId="8950"/>
    <cellStyle name="计算 2 13" xfId="8987"/>
    <cellStyle name="计算 2 2" xfId="6554"/>
    <cellStyle name="计算 2 2 2" xfId="6555"/>
    <cellStyle name="计算 2 2 2 2" xfId="6556"/>
    <cellStyle name="计算 2 2 2 2 2" xfId="6557"/>
    <cellStyle name="计算 2 2 2 3" xfId="6558"/>
    <cellStyle name="计算 2 2 3" xfId="6559"/>
    <cellStyle name="计算 2 2 3 2" xfId="6560"/>
    <cellStyle name="计算 2 2 4" xfId="6561"/>
    <cellStyle name="计算 2 2 4 2" xfId="6562"/>
    <cellStyle name="计算 2 2 5" xfId="6563"/>
    <cellStyle name="计算 2 2 6" xfId="8778"/>
    <cellStyle name="计算 2 2 7" xfId="8944"/>
    <cellStyle name="计算 2 2 8" xfId="8955"/>
    <cellStyle name="计算 2 3" xfId="6564"/>
    <cellStyle name="计算 2 3 2" xfId="6565"/>
    <cellStyle name="计算 2 3 2 2" xfId="6566"/>
    <cellStyle name="计算 2 3 3" xfId="6567"/>
    <cellStyle name="计算 2 4" xfId="6568"/>
    <cellStyle name="计算 2 4 2" xfId="6569"/>
    <cellStyle name="计算 2 5" xfId="6570"/>
    <cellStyle name="计算 2 5 2" xfId="6571"/>
    <cellStyle name="计算 2 6" xfId="6572"/>
    <cellStyle name="计算 2 7" xfId="8601"/>
    <cellStyle name="计算 2 8" xfId="8607"/>
    <cellStyle name="计算 2 9" xfId="8623"/>
    <cellStyle name="计算 3" xfId="6573"/>
    <cellStyle name="计算 3 2" xfId="6574"/>
    <cellStyle name="计算 3 2 2" xfId="6575"/>
    <cellStyle name="计算 3 2 2 2" xfId="6576"/>
    <cellStyle name="计算 3 2 2 2 2" xfId="6577"/>
    <cellStyle name="计算 3 2 2 3" xfId="6578"/>
    <cellStyle name="计算 3 2 3" xfId="6579"/>
    <cellStyle name="计算 3 2 3 2" xfId="6580"/>
    <cellStyle name="计算 3 2 4" xfId="6581"/>
    <cellStyle name="计算 3 2 4 2" xfId="6582"/>
    <cellStyle name="计算 3 2 5" xfId="6583"/>
    <cellStyle name="计算 3 2 6" xfId="8780"/>
    <cellStyle name="计算 3 3" xfId="6584"/>
    <cellStyle name="计算 3 3 2" xfId="6585"/>
    <cellStyle name="计算 3 3 2 2" xfId="6586"/>
    <cellStyle name="计算 3 3 3" xfId="6587"/>
    <cellStyle name="计算 3 4" xfId="6588"/>
    <cellStyle name="计算 3 4 2" xfId="6589"/>
    <cellStyle name="计算 3 5" xfId="6590"/>
    <cellStyle name="计算 3 5 2" xfId="6591"/>
    <cellStyle name="计算 3 6" xfId="6592"/>
    <cellStyle name="计算 3 7" xfId="8779"/>
    <cellStyle name="计算 4" xfId="6593"/>
    <cellStyle name="计算 4 2" xfId="6594"/>
    <cellStyle name="计算 4 2 2" xfId="6595"/>
    <cellStyle name="计算 4 2 2 2" xfId="6596"/>
    <cellStyle name="计算 4 2 2 2 2" xfId="6597"/>
    <cellStyle name="计算 4 2 2 3" xfId="6598"/>
    <cellStyle name="计算 4 2 3" xfId="6599"/>
    <cellStyle name="计算 4 2 3 2" xfId="6600"/>
    <cellStyle name="计算 4 2 4" xfId="6601"/>
    <cellStyle name="计算 4 2 4 2" xfId="6602"/>
    <cellStyle name="计算 4 2 5" xfId="6603"/>
    <cellStyle name="计算 4 2 6" xfId="8782"/>
    <cellStyle name="计算 4 3" xfId="6604"/>
    <cellStyle name="计算 4 3 2" xfId="6605"/>
    <cellStyle name="计算 4 3 2 2" xfId="6606"/>
    <cellStyle name="计算 4 3 3" xfId="6607"/>
    <cellStyle name="计算 4 4" xfId="6608"/>
    <cellStyle name="计算 4 4 2" xfId="6609"/>
    <cellStyle name="计算 4 5" xfId="6610"/>
    <cellStyle name="计算 4 5 2" xfId="6611"/>
    <cellStyle name="计算 4 6" xfId="6612"/>
    <cellStyle name="计算 4 7" xfId="8781"/>
    <cellStyle name="计算 5" xfId="6613"/>
    <cellStyle name="计算 5 2" xfId="6614"/>
    <cellStyle name="计算 5 2 2" xfId="6615"/>
    <cellStyle name="计算 5 2 2 2" xfId="6616"/>
    <cellStyle name="计算 5 2 3" xfId="6617"/>
    <cellStyle name="计算 5 3" xfId="6618"/>
    <cellStyle name="计算 5 3 2" xfId="6619"/>
    <cellStyle name="计算 5 4" xfId="6620"/>
    <cellStyle name="计算 5 4 2" xfId="6621"/>
    <cellStyle name="计算 5 5" xfId="6622"/>
    <cellStyle name="计算 6" xfId="6623"/>
    <cellStyle name="计算 6 2" xfId="6624"/>
    <cellStyle name="计算 6 2 2" xfId="6625"/>
    <cellStyle name="计算 6 2 2 2" xfId="6626"/>
    <cellStyle name="计算 6 2 3" xfId="6627"/>
    <cellStyle name="计算 6 3" xfId="6628"/>
    <cellStyle name="计算 6 3 2" xfId="6629"/>
    <cellStyle name="计算 6 4" xfId="6630"/>
    <cellStyle name="计算 6 4 2" xfId="6631"/>
    <cellStyle name="计算 6 5" xfId="6632"/>
    <cellStyle name="计算 7" xfId="6633"/>
    <cellStyle name="计算 7 2" xfId="6634"/>
    <cellStyle name="计算 7 2 2" xfId="6635"/>
    <cellStyle name="计算 7 2 2 2" xfId="6636"/>
    <cellStyle name="计算 7 2 3" xfId="6637"/>
    <cellStyle name="计算 7 3" xfId="6638"/>
    <cellStyle name="计算 7 3 2" xfId="6639"/>
    <cellStyle name="计算 7 4" xfId="6640"/>
    <cellStyle name="计算 7 4 2" xfId="6641"/>
    <cellStyle name="计算 7 5" xfId="6642"/>
    <cellStyle name="检查单元格 2" xfId="6643"/>
    <cellStyle name="检查单元格 2 10" xfId="8988"/>
    <cellStyle name="检查单元格 2 2" xfId="6644"/>
    <cellStyle name="检查单元格 2 2 2" xfId="6645"/>
    <cellStyle name="检查单元格 2 2 2 2" xfId="6646"/>
    <cellStyle name="检查单元格 2 2 2 2 2" xfId="6647"/>
    <cellStyle name="检查单元格 2 2 2 3" xfId="6648"/>
    <cellStyle name="检查单元格 2 2 3" xfId="6649"/>
    <cellStyle name="检查单元格 2 2 3 2" xfId="6650"/>
    <cellStyle name="检查单元格 2 2 4" xfId="6651"/>
    <cellStyle name="检查单元格 2 2 4 2" xfId="6652"/>
    <cellStyle name="检查单元格 2 2 5" xfId="6653"/>
    <cellStyle name="检查单元格 2 2 6" xfId="8784"/>
    <cellStyle name="检查单元格 2 3" xfId="6654"/>
    <cellStyle name="检查单元格 2 3 2" xfId="6655"/>
    <cellStyle name="检查单元格 2 3 2 2" xfId="6656"/>
    <cellStyle name="检查单元格 2 3 3" xfId="6657"/>
    <cellStyle name="检查单元格 2 4" xfId="6658"/>
    <cellStyle name="检查单元格 2 4 2" xfId="6659"/>
    <cellStyle name="检查单元格 2 5" xfId="6660"/>
    <cellStyle name="检查单元格 2 5 2" xfId="6661"/>
    <cellStyle name="检查单元格 2 6" xfId="6662"/>
    <cellStyle name="检查单元格 2 7" xfId="8608"/>
    <cellStyle name="检查单元格 2 8" xfId="8783"/>
    <cellStyle name="检查单元格 2 9" xfId="8933"/>
    <cellStyle name="检查单元格 3" xfId="6663"/>
    <cellStyle name="检查单元格 3 2" xfId="6664"/>
    <cellStyle name="检查单元格 3 2 2" xfId="6665"/>
    <cellStyle name="检查单元格 3 2 2 2" xfId="6666"/>
    <cellStyle name="检查单元格 3 2 2 2 2" xfId="6667"/>
    <cellStyle name="检查单元格 3 2 2 3" xfId="6668"/>
    <cellStyle name="检查单元格 3 2 3" xfId="6669"/>
    <cellStyle name="检查单元格 3 2 3 2" xfId="6670"/>
    <cellStyle name="检查单元格 3 2 4" xfId="6671"/>
    <cellStyle name="检查单元格 3 2 4 2" xfId="6672"/>
    <cellStyle name="检查单元格 3 2 5" xfId="6673"/>
    <cellStyle name="检查单元格 3 2 6" xfId="8786"/>
    <cellStyle name="检查单元格 3 3" xfId="6674"/>
    <cellStyle name="检查单元格 3 3 2" xfId="6675"/>
    <cellStyle name="检查单元格 3 3 2 2" xfId="6676"/>
    <cellStyle name="检查单元格 3 3 3" xfId="6677"/>
    <cellStyle name="检查单元格 3 4" xfId="6678"/>
    <cellStyle name="检查单元格 3 4 2" xfId="6679"/>
    <cellStyle name="检查单元格 3 5" xfId="6680"/>
    <cellStyle name="检查单元格 3 5 2" xfId="6681"/>
    <cellStyle name="检查单元格 3 6" xfId="6682"/>
    <cellStyle name="检查单元格 3 7" xfId="8785"/>
    <cellStyle name="检查单元格 4" xfId="6683"/>
    <cellStyle name="检查单元格 4 2" xfId="6684"/>
    <cellStyle name="检查单元格 4 2 2" xfId="6685"/>
    <cellStyle name="检查单元格 4 2 2 2" xfId="6686"/>
    <cellStyle name="检查单元格 4 2 2 2 2" xfId="6687"/>
    <cellStyle name="检查单元格 4 2 2 3" xfId="6688"/>
    <cellStyle name="检查单元格 4 2 3" xfId="6689"/>
    <cellStyle name="检查单元格 4 2 3 2" xfId="6690"/>
    <cellStyle name="检查单元格 4 2 4" xfId="6691"/>
    <cellStyle name="检查单元格 4 2 4 2" xfId="6692"/>
    <cellStyle name="检查单元格 4 2 5" xfId="6693"/>
    <cellStyle name="检查单元格 4 2 6" xfId="8788"/>
    <cellStyle name="检查单元格 4 3" xfId="6694"/>
    <cellStyle name="检查单元格 4 3 2" xfId="6695"/>
    <cellStyle name="检查单元格 4 3 2 2" xfId="6696"/>
    <cellStyle name="检查单元格 4 3 3" xfId="6697"/>
    <cellStyle name="检查单元格 4 4" xfId="6698"/>
    <cellStyle name="检查单元格 4 4 2" xfId="6699"/>
    <cellStyle name="检查单元格 4 5" xfId="6700"/>
    <cellStyle name="检查单元格 4 5 2" xfId="6701"/>
    <cellStyle name="检查单元格 4 6" xfId="6702"/>
    <cellStyle name="检查单元格 4 7" xfId="8787"/>
    <cellStyle name="检查单元格 5" xfId="6703"/>
    <cellStyle name="检查单元格 5 2" xfId="6704"/>
    <cellStyle name="检查单元格 5 2 2" xfId="6705"/>
    <cellStyle name="检查单元格 5 2 2 2" xfId="6706"/>
    <cellStyle name="检查单元格 5 2 3" xfId="6707"/>
    <cellStyle name="检查单元格 5 3" xfId="6708"/>
    <cellStyle name="检查单元格 5 3 2" xfId="6709"/>
    <cellStyle name="检查单元格 5 4" xfId="6710"/>
    <cellStyle name="检查单元格 5 4 2" xfId="6711"/>
    <cellStyle name="检查单元格 5 5" xfId="6712"/>
    <cellStyle name="检查单元格 6" xfId="6713"/>
    <cellStyle name="检查单元格 6 2" xfId="6714"/>
    <cellStyle name="检查单元格 6 2 2" xfId="6715"/>
    <cellStyle name="检查单元格 6 2 2 2" xfId="6716"/>
    <cellStyle name="检查单元格 6 2 3" xfId="6717"/>
    <cellStyle name="检查单元格 6 3" xfId="6718"/>
    <cellStyle name="检查单元格 6 3 2" xfId="6719"/>
    <cellStyle name="检查单元格 6 4" xfId="6720"/>
    <cellStyle name="检查单元格 6 4 2" xfId="6721"/>
    <cellStyle name="检查单元格 6 5" xfId="6722"/>
    <cellStyle name="检查单元格 7" xfId="6723"/>
    <cellStyle name="检查单元格 7 2" xfId="6724"/>
    <cellStyle name="检查单元格 7 2 2" xfId="6725"/>
    <cellStyle name="检查单元格 7 2 2 2" xfId="6726"/>
    <cellStyle name="检查单元格 7 2 3" xfId="6727"/>
    <cellStyle name="检查单元格 7 3" xfId="6728"/>
    <cellStyle name="检查单元格 7 3 2" xfId="6729"/>
    <cellStyle name="检查单元格 7 4" xfId="6730"/>
    <cellStyle name="检查单元格 7 4 2" xfId="6731"/>
    <cellStyle name="检查单元格 7 5" xfId="6732"/>
    <cellStyle name="解释性文本 2" xfId="6733"/>
    <cellStyle name="解释性文本 2 10" xfId="8989"/>
    <cellStyle name="解释性文本 2 2" xfId="6734"/>
    <cellStyle name="解释性文本 2 2 2" xfId="6735"/>
    <cellStyle name="解释性文本 2 2 2 2" xfId="6736"/>
    <cellStyle name="解释性文本 2 2 2 2 2" xfId="6737"/>
    <cellStyle name="解释性文本 2 2 2 3" xfId="6738"/>
    <cellStyle name="解释性文本 2 2 3" xfId="6739"/>
    <cellStyle name="解释性文本 2 2 3 2" xfId="6740"/>
    <cellStyle name="解释性文本 2 2 4" xfId="6741"/>
    <cellStyle name="解释性文本 2 2 4 2" xfId="6742"/>
    <cellStyle name="解释性文本 2 2 5" xfId="6743"/>
    <cellStyle name="解释性文本 2 2 6" xfId="8790"/>
    <cellStyle name="解释性文本 2 3" xfId="6744"/>
    <cellStyle name="解释性文本 2 3 2" xfId="6745"/>
    <cellStyle name="解释性文本 2 3 2 2" xfId="6746"/>
    <cellStyle name="解释性文本 2 3 3" xfId="6747"/>
    <cellStyle name="解释性文本 2 4" xfId="6748"/>
    <cellStyle name="解释性文本 2 4 2" xfId="6749"/>
    <cellStyle name="解释性文本 2 5" xfId="6750"/>
    <cellStyle name="解释性文本 2 5 2" xfId="6751"/>
    <cellStyle name="解释性文本 2 6" xfId="6752"/>
    <cellStyle name="解释性文本 2 7" xfId="8609"/>
    <cellStyle name="解释性文本 2 8" xfId="8789"/>
    <cellStyle name="解释性文本 2 9" xfId="8934"/>
    <cellStyle name="解释性文本 3" xfId="6753"/>
    <cellStyle name="解释性文本 3 2" xfId="6754"/>
    <cellStyle name="解释性文本 3 2 2" xfId="6755"/>
    <cellStyle name="解释性文本 3 2 2 2" xfId="6756"/>
    <cellStyle name="解释性文本 3 2 2 2 2" xfId="6757"/>
    <cellStyle name="解释性文本 3 2 2 3" xfId="6758"/>
    <cellStyle name="解释性文本 3 2 3" xfId="6759"/>
    <cellStyle name="解释性文本 3 2 3 2" xfId="6760"/>
    <cellStyle name="解释性文本 3 2 4" xfId="6761"/>
    <cellStyle name="解释性文本 3 2 4 2" xfId="6762"/>
    <cellStyle name="解释性文本 3 2 5" xfId="6763"/>
    <cellStyle name="解释性文本 3 2 6" xfId="8792"/>
    <cellStyle name="解释性文本 3 3" xfId="6764"/>
    <cellStyle name="解释性文本 3 3 2" xfId="6765"/>
    <cellStyle name="解释性文本 3 3 2 2" xfId="6766"/>
    <cellStyle name="解释性文本 3 3 3" xfId="6767"/>
    <cellStyle name="解释性文本 3 4" xfId="6768"/>
    <cellStyle name="解释性文本 3 4 2" xfId="6769"/>
    <cellStyle name="解释性文本 3 5" xfId="6770"/>
    <cellStyle name="解释性文本 3 5 2" xfId="6771"/>
    <cellStyle name="解释性文本 3 6" xfId="6772"/>
    <cellStyle name="解释性文本 3 7" xfId="8791"/>
    <cellStyle name="解释性文本 4" xfId="6773"/>
    <cellStyle name="解释性文本 4 2" xfId="6774"/>
    <cellStyle name="解释性文本 4 2 2" xfId="6775"/>
    <cellStyle name="解释性文本 4 2 2 2" xfId="6776"/>
    <cellStyle name="解释性文本 4 2 2 2 2" xfId="6777"/>
    <cellStyle name="解释性文本 4 2 2 3" xfId="6778"/>
    <cellStyle name="解释性文本 4 2 3" xfId="6779"/>
    <cellStyle name="解释性文本 4 2 3 2" xfId="6780"/>
    <cellStyle name="解释性文本 4 2 4" xfId="6781"/>
    <cellStyle name="解释性文本 4 2 4 2" xfId="6782"/>
    <cellStyle name="解释性文本 4 2 5" xfId="6783"/>
    <cellStyle name="解释性文本 4 2 6" xfId="8794"/>
    <cellStyle name="解释性文本 4 3" xfId="6784"/>
    <cellStyle name="解释性文本 4 3 2" xfId="6785"/>
    <cellStyle name="解释性文本 4 3 2 2" xfId="6786"/>
    <cellStyle name="解释性文本 4 3 3" xfId="6787"/>
    <cellStyle name="解释性文本 4 4" xfId="6788"/>
    <cellStyle name="解释性文本 4 4 2" xfId="6789"/>
    <cellStyle name="解释性文本 4 5" xfId="6790"/>
    <cellStyle name="解释性文本 4 5 2" xfId="6791"/>
    <cellStyle name="解释性文本 4 6" xfId="6792"/>
    <cellStyle name="解释性文本 4 7" xfId="8793"/>
    <cellStyle name="解释性文本 5" xfId="6793"/>
    <cellStyle name="解释性文本 5 2" xfId="6794"/>
    <cellStyle name="解释性文本 5 2 2" xfId="6795"/>
    <cellStyle name="解释性文本 5 2 2 2" xfId="6796"/>
    <cellStyle name="解释性文本 5 2 3" xfId="6797"/>
    <cellStyle name="解释性文本 5 3" xfId="6798"/>
    <cellStyle name="解释性文本 5 3 2" xfId="6799"/>
    <cellStyle name="解释性文本 5 4" xfId="6800"/>
    <cellStyle name="解释性文本 5 4 2" xfId="6801"/>
    <cellStyle name="解释性文本 5 5" xfId="6802"/>
    <cellStyle name="解释性文本 6" xfId="6803"/>
    <cellStyle name="解释性文本 6 2" xfId="6804"/>
    <cellStyle name="解释性文本 6 2 2" xfId="6805"/>
    <cellStyle name="解释性文本 6 2 2 2" xfId="6806"/>
    <cellStyle name="解释性文本 6 2 3" xfId="6807"/>
    <cellStyle name="解释性文本 6 3" xfId="6808"/>
    <cellStyle name="解释性文本 6 3 2" xfId="6809"/>
    <cellStyle name="解释性文本 6 4" xfId="6810"/>
    <cellStyle name="解释性文本 6 4 2" xfId="6811"/>
    <cellStyle name="解释性文本 6 5" xfId="6812"/>
    <cellStyle name="警告文本 2" xfId="6813"/>
    <cellStyle name="警告文本 2 10" xfId="8990"/>
    <cellStyle name="警告文本 2 2" xfId="6814"/>
    <cellStyle name="警告文本 2 2 2" xfId="6815"/>
    <cellStyle name="警告文本 2 2 2 2" xfId="6816"/>
    <cellStyle name="警告文本 2 2 2 2 2" xfId="6817"/>
    <cellStyle name="警告文本 2 2 2 3" xfId="6818"/>
    <cellStyle name="警告文本 2 2 3" xfId="6819"/>
    <cellStyle name="警告文本 2 2 3 2" xfId="6820"/>
    <cellStyle name="警告文本 2 2 4" xfId="6821"/>
    <cellStyle name="警告文本 2 2 4 2" xfId="6822"/>
    <cellStyle name="警告文本 2 2 5" xfId="6823"/>
    <cellStyle name="警告文本 2 2 6" xfId="8796"/>
    <cellStyle name="警告文本 2 3" xfId="6824"/>
    <cellStyle name="警告文本 2 3 2" xfId="6825"/>
    <cellStyle name="警告文本 2 3 2 2" xfId="6826"/>
    <cellStyle name="警告文本 2 3 3" xfId="6827"/>
    <cellStyle name="警告文本 2 4" xfId="6828"/>
    <cellStyle name="警告文本 2 4 2" xfId="6829"/>
    <cellStyle name="警告文本 2 5" xfId="6830"/>
    <cellStyle name="警告文本 2 5 2" xfId="6831"/>
    <cellStyle name="警告文本 2 6" xfId="6832"/>
    <cellStyle name="警告文本 2 7" xfId="8610"/>
    <cellStyle name="警告文本 2 8" xfId="8795"/>
    <cellStyle name="警告文本 2 9" xfId="8935"/>
    <cellStyle name="警告文本 3" xfId="6833"/>
    <cellStyle name="警告文本 3 2" xfId="6834"/>
    <cellStyle name="警告文本 3 2 2" xfId="6835"/>
    <cellStyle name="警告文本 3 2 2 2" xfId="6836"/>
    <cellStyle name="警告文本 3 2 2 2 2" xfId="6837"/>
    <cellStyle name="警告文本 3 2 2 3" xfId="6838"/>
    <cellStyle name="警告文本 3 2 3" xfId="6839"/>
    <cellStyle name="警告文本 3 2 3 2" xfId="6840"/>
    <cellStyle name="警告文本 3 2 4" xfId="6841"/>
    <cellStyle name="警告文本 3 2 4 2" xfId="6842"/>
    <cellStyle name="警告文本 3 2 5" xfId="6843"/>
    <cellStyle name="警告文本 3 2 6" xfId="8798"/>
    <cellStyle name="警告文本 3 3" xfId="6844"/>
    <cellStyle name="警告文本 3 3 2" xfId="6845"/>
    <cellStyle name="警告文本 3 3 2 2" xfId="6846"/>
    <cellStyle name="警告文本 3 3 3" xfId="6847"/>
    <cellStyle name="警告文本 3 4" xfId="6848"/>
    <cellStyle name="警告文本 3 4 2" xfId="6849"/>
    <cellStyle name="警告文本 3 5" xfId="6850"/>
    <cellStyle name="警告文本 3 5 2" xfId="6851"/>
    <cellStyle name="警告文本 3 6" xfId="6852"/>
    <cellStyle name="警告文本 3 7" xfId="8797"/>
    <cellStyle name="警告文本 4" xfId="6853"/>
    <cellStyle name="警告文本 4 2" xfId="6854"/>
    <cellStyle name="警告文本 4 2 2" xfId="6855"/>
    <cellStyle name="警告文本 4 2 2 2" xfId="6856"/>
    <cellStyle name="警告文本 4 2 2 2 2" xfId="6857"/>
    <cellStyle name="警告文本 4 2 2 3" xfId="6858"/>
    <cellStyle name="警告文本 4 2 3" xfId="6859"/>
    <cellStyle name="警告文本 4 2 3 2" xfId="6860"/>
    <cellStyle name="警告文本 4 2 4" xfId="6861"/>
    <cellStyle name="警告文本 4 2 4 2" xfId="6862"/>
    <cellStyle name="警告文本 4 2 5" xfId="6863"/>
    <cellStyle name="警告文本 4 2 6" xfId="8800"/>
    <cellStyle name="警告文本 4 3" xfId="6864"/>
    <cellStyle name="警告文本 4 3 2" xfId="6865"/>
    <cellStyle name="警告文本 4 3 2 2" xfId="6866"/>
    <cellStyle name="警告文本 4 3 3" xfId="6867"/>
    <cellStyle name="警告文本 4 4" xfId="6868"/>
    <cellStyle name="警告文本 4 4 2" xfId="6869"/>
    <cellStyle name="警告文本 4 5" xfId="6870"/>
    <cellStyle name="警告文本 4 5 2" xfId="6871"/>
    <cellStyle name="警告文本 4 6" xfId="6872"/>
    <cellStyle name="警告文本 4 7" xfId="8799"/>
    <cellStyle name="警告文本 5" xfId="6873"/>
    <cellStyle name="警告文本 5 2" xfId="6874"/>
    <cellStyle name="警告文本 5 2 2" xfId="6875"/>
    <cellStyle name="警告文本 5 2 2 2" xfId="6876"/>
    <cellStyle name="警告文本 5 2 3" xfId="6877"/>
    <cellStyle name="警告文本 5 3" xfId="6878"/>
    <cellStyle name="警告文本 5 3 2" xfId="6879"/>
    <cellStyle name="警告文本 5 4" xfId="6880"/>
    <cellStyle name="警告文本 5 4 2" xfId="6881"/>
    <cellStyle name="警告文本 5 5" xfId="6882"/>
    <cellStyle name="警告文本 6" xfId="6883"/>
    <cellStyle name="警告文本 6 2" xfId="6884"/>
    <cellStyle name="警告文本 6 2 2" xfId="6885"/>
    <cellStyle name="警告文本 6 2 2 2" xfId="6886"/>
    <cellStyle name="警告文本 6 2 3" xfId="6887"/>
    <cellStyle name="警告文本 6 3" xfId="6888"/>
    <cellStyle name="警告文本 6 3 2" xfId="6889"/>
    <cellStyle name="警告文本 6 4" xfId="6890"/>
    <cellStyle name="警告文本 6 4 2" xfId="6891"/>
    <cellStyle name="警告文本 6 5" xfId="6892"/>
    <cellStyle name="链接单元格 2" xfId="6893"/>
    <cellStyle name="链接单元格 2 10" xfId="8991"/>
    <cellStyle name="链接单元格 2 2" xfId="6894"/>
    <cellStyle name="链接单元格 2 2 2" xfId="6895"/>
    <cellStyle name="链接单元格 2 2 2 2" xfId="6896"/>
    <cellStyle name="链接单元格 2 2 2 2 2" xfId="6897"/>
    <cellStyle name="链接单元格 2 2 2 3" xfId="6898"/>
    <cellStyle name="链接单元格 2 2 3" xfId="6899"/>
    <cellStyle name="链接单元格 2 2 3 2" xfId="6900"/>
    <cellStyle name="链接单元格 2 2 4" xfId="6901"/>
    <cellStyle name="链接单元格 2 2 4 2" xfId="6902"/>
    <cellStyle name="链接单元格 2 2 5" xfId="6903"/>
    <cellStyle name="链接单元格 2 2 6" xfId="8802"/>
    <cellStyle name="链接单元格 2 3" xfId="6904"/>
    <cellStyle name="链接单元格 2 3 2" xfId="6905"/>
    <cellStyle name="链接单元格 2 3 2 2" xfId="6906"/>
    <cellStyle name="链接单元格 2 3 3" xfId="6907"/>
    <cellStyle name="链接单元格 2 4" xfId="6908"/>
    <cellStyle name="链接单元格 2 4 2" xfId="6909"/>
    <cellStyle name="链接单元格 2 5" xfId="6910"/>
    <cellStyle name="链接单元格 2 5 2" xfId="6911"/>
    <cellStyle name="链接单元格 2 6" xfId="6912"/>
    <cellStyle name="链接单元格 2 7" xfId="8611"/>
    <cellStyle name="链接单元格 2 8" xfId="8801"/>
    <cellStyle name="链接单元格 2 9" xfId="8936"/>
    <cellStyle name="链接单元格 3" xfId="6913"/>
    <cellStyle name="链接单元格 3 2" xfId="6914"/>
    <cellStyle name="链接单元格 3 2 2" xfId="6915"/>
    <cellStyle name="链接单元格 3 2 2 2" xfId="6916"/>
    <cellStyle name="链接单元格 3 2 2 2 2" xfId="6917"/>
    <cellStyle name="链接单元格 3 2 2 3" xfId="6918"/>
    <cellStyle name="链接单元格 3 2 3" xfId="6919"/>
    <cellStyle name="链接单元格 3 2 3 2" xfId="6920"/>
    <cellStyle name="链接单元格 3 2 4" xfId="6921"/>
    <cellStyle name="链接单元格 3 2 4 2" xfId="6922"/>
    <cellStyle name="链接单元格 3 2 5" xfId="6923"/>
    <cellStyle name="链接单元格 3 2 6" xfId="8804"/>
    <cellStyle name="链接单元格 3 3" xfId="6924"/>
    <cellStyle name="链接单元格 3 3 2" xfId="6925"/>
    <cellStyle name="链接单元格 3 3 2 2" xfId="6926"/>
    <cellStyle name="链接单元格 3 3 3" xfId="6927"/>
    <cellStyle name="链接单元格 3 4" xfId="6928"/>
    <cellStyle name="链接单元格 3 4 2" xfId="6929"/>
    <cellStyle name="链接单元格 3 5" xfId="6930"/>
    <cellStyle name="链接单元格 3 5 2" xfId="6931"/>
    <cellStyle name="链接单元格 3 6" xfId="6932"/>
    <cellStyle name="链接单元格 3 7" xfId="8803"/>
    <cellStyle name="链接单元格 4" xfId="6933"/>
    <cellStyle name="链接单元格 4 2" xfId="6934"/>
    <cellStyle name="链接单元格 4 2 2" xfId="6935"/>
    <cellStyle name="链接单元格 4 2 2 2" xfId="6936"/>
    <cellStyle name="链接单元格 4 2 2 2 2" xfId="6937"/>
    <cellStyle name="链接单元格 4 2 2 3" xfId="6938"/>
    <cellStyle name="链接单元格 4 2 3" xfId="6939"/>
    <cellStyle name="链接单元格 4 2 3 2" xfId="6940"/>
    <cellStyle name="链接单元格 4 2 4" xfId="6941"/>
    <cellStyle name="链接单元格 4 2 4 2" xfId="6942"/>
    <cellStyle name="链接单元格 4 2 5" xfId="6943"/>
    <cellStyle name="链接单元格 4 2 6" xfId="8806"/>
    <cellStyle name="链接单元格 4 3" xfId="6944"/>
    <cellStyle name="链接单元格 4 3 2" xfId="6945"/>
    <cellStyle name="链接单元格 4 3 2 2" xfId="6946"/>
    <cellStyle name="链接单元格 4 3 3" xfId="6947"/>
    <cellStyle name="链接单元格 4 4" xfId="6948"/>
    <cellStyle name="链接单元格 4 4 2" xfId="6949"/>
    <cellStyle name="链接单元格 4 5" xfId="6950"/>
    <cellStyle name="链接单元格 4 5 2" xfId="6951"/>
    <cellStyle name="链接单元格 4 6" xfId="6952"/>
    <cellStyle name="链接单元格 4 7" xfId="8805"/>
    <cellStyle name="链接单元格 5" xfId="6953"/>
    <cellStyle name="链接单元格 5 2" xfId="6954"/>
    <cellStyle name="链接单元格 5 2 2" xfId="6955"/>
    <cellStyle name="链接单元格 5 2 2 2" xfId="6956"/>
    <cellStyle name="链接单元格 5 2 3" xfId="6957"/>
    <cellStyle name="链接单元格 5 3" xfId="6958"/>
    <cellStyle name="链接单元格 5 3 2" xfId="6959"/>
    <cellStyle name="链接单元格 5 4" xfId="6960"/>
    <cellStyle name="链接单元格 5 4 2" xfId="6961"/>
    <cellStyle name="链接单元格 5 5" xfId="6962"/>
    <cellStyle name="链接单元格 6" xfId="6963"/>
    <cellStyle name="链接单元格 6 2" xfId="6964"/>
    <cellStyle name="链接单元格 6 2 2" xfId="6965"/>
    <cellStyle name="链接单元格 6 2 2 2" xfId="6966"/>
    <cellStyle name="链接单元格 6 2 3" xfId="6967"/>
    <cellStyle name="链接单元格 6 3" xfId="6968"/>
    <cellStyle name="链接单元格 6 3 2" xfId="6969"/>
    <cellStyle name="链接单元格 6 4" xfId="6970"/>
    <cellStyle name="链接单元格 6 4 2" xfId="6971"/>
    <cellStyle name="链接单元格 6 5" xfId="6972"/>
    <cellStyle name="千位分隔" xfId="16" builtinId="3"/>
    <cellStyle name="千位分隔 10" xfId="6973"/>
    <cellStyle name="千位分隔 10 2" xfId="6974"/>
    <cellStyle name="千位分隔 10 2 2" xfId="6975"/>
    <cellStyle name="千位分隔 10 2 2 2" xfId="6976"/>
    <cellStyle name="千位分隔 10 2 3" xfId="6977"/>
    <cellStyle name="千位分隔 10 3" xfId="6978"/>
    <cellStyle name="千位分隔 10 3 2" xfId="6979"/>
    <cellStyle name="千位分隔 10 4" xfId="6980"/>
    <cellStyle name="千位分隔 10 4 2" xfId="6981"/>
    <cellStyle name="千位分隔 10 5" xfId="6982"/>
    <cellStyle name="千位分隔 11" xfId="6983"/>
    <cellStyle name="千位分隔 12" xfId="6984"/>
    <cellStyle name="千位分隔 12 2" xfId="6985"/>
    <cellStyle name="千位分隔 12 2 2" xfId="6986"/>
    <cellStyle name="千位分隔 12 2 2 2" xfId="6987"/>
    <cellStyle name="千位分隔 12 2 3" xfId="6988"/>
    <cellStyle name="千位分隔 12 3" xfId="6989"/>
    <cellStyle name="千位分隔 12 3 2" xfId="6990"/>
    <cellStyle name="千位分隔 12 3 3" xfId="8595"/>
    <cellStyle name="千位分隔 12 4" xfId="6991"/>
    <cellStyle name="千位分隔 12 4 2" xfId="6992"/>
    <cellStyle name="千位分隔 12 5" xfId="6993"/>
    <cellStyle name="千位分隔 13" xfId="6994"/>
    <cellStyle name="千位分隔 13 2" xfId="6995"/>
    <cellStyle name="千位分隔 13 2 2" xfId="6996"/>
    <cellStyle name="千位分隔 13 3" xfId="6997"/>
    <cellStyle name="千位分隔 14" xfId="6998"/>
    <cellStyle name="千位分隔 14 2" xfId="6999"/>
    <cellStyle name="千位分隔 14 3" xfId="8591"/>
    <cellStyle name="千位分隔 15" xfId="7000"/>
    <cellStyle name="千位分隔 15 2" xfId="7001"/>
    <cellStyle name="千位分隔 16" xfId="7002"/>
    <cellStyle name="千位分隔 16 2" xfId="7003"/>
    <cellStyle name="千位分隔 17" xfId="7004"/>
    <cellStyle name="千位分隔 17 2" xfId="7005"/>
    <cellStyle name="千位分隔 18" xfId="7006"/>
    <cellStyle name="千位分隔 18 2" xfId="7007"/>
    <cellStyle name="千位分隔 19" xfId="8603"/>
    <cellStyle name="千位分隔 2" xfId="7008"/>
    <cellStyle name="千位分隔 2 10" xfId="7009"/>
    <cellStyle name="千位分隔 2 10 2" xfId="7010"/>
    <cellStyle name="千位分隔 2 11" xfId="7011"/>
    <cellStyle name="千位分隔 2 11 2" xfId="7012"/>
    <cellStyle name="千位分隔 2 12" xfId="7013"/>
    <cellStyle name="千位分隔 2 12 2" xfId="7014"/>
    <cellStyle name="千位分隔 2 13" xfId="7015"/>
    <cellStyle name="千位分隔 2 2" xfId="7016"/>
    <cellStyle name="千位分隔 2 2 2" xfId="7017"/>
    <cellStyle name="千位分隔 2 2 2 2" xfId="7018"/>
    <cellStyle name="千位分隔 2 2 2 2 2" xfId="7019"/>
    <cellStyle name="千位分隔 2 2 2 2 2 2" xfId="7020"/>
    <cellStyle name="千位分隔 2 2 2 2 3" xfId="7021"/>
    <cellStyle name="千位分隔 2 2 2 3" xfId="7022"/>
    <cellStyle name="千位分隔 2 2 2 3 2" xfId="7023"/>
    <cellStyle name="千位分隔 2 2 2 4" xfId="7024"/>
    <cellStyle name="千位分隔 2 2 2 4 2" xfId="7025"/>
    <cellStyle name="千位分隔 2 2 2 5" xfId="7026"/>
    <cellStyle name="千位分隔 2 2 2 6" xfId="8905"/>
    <cellStyle name="千位分隔 2 2 3" xfId="7027"/>
    <cellStyle name="千位分隔 2 2 3 2" xfId="7028"/>
    <cellStyle name="千位分隔 2 2 3 2 2" xfId="7029"/>
    <cellStyle name="千位分隔 2 2 3 3" xfId="7030"/>
    <cellStyle name="千位分隔 2 2 4" xfId="7031"/>
    <cellStyle name="千位分隔 2 2 4 2" xfId="7032"/>
    <cellStyle name="千位分隔 2 2 4 2 2" xfId="7033"/>
    <cellStyle name="千位分隔 2 2 4 3" xfId="7034"/>
    <cellStyle name="千位分隔 2 2 5" xfId="7035"/>
    <cellStyle name="千位分隔 2 2 5 2" xfId="7036"/>
    <cellStyle name="千位分隔 2 2 6" xfId="7037"/>
    <cellStyle name="千位分隔 2 2 6 2" xfId="7038"/>
    <cellStyle name="千位分隔 2 2 7" xfId="7039"/>
    <cellStyle name="千位分隔 2 2 8" xfId="8941"/>
    <cellStyle name="千位分隔 2 3" xfId="7040"/>
    <cellStyle name="千位分隔 2 3 2" xfId="7041"/>
    <cellStyle name="千位分隔 2 3 2 2" xfId="7042"/>
    <cellStyle name="千位分隔 2 3 2 2 2" xfId="7043"/>
    <cellStyle name="千位分隔 2 3 2 3" xfId="7044"/>
    <cellStyle name="千位分隔 2 3 2 3 2" xfId="7045"/>
    <cellStyle name="千位分隔 2 3 2 4" xfId="7046"/>
    <cellStyle name="千位分隔 2 3 3" xfId="7047"/>
    <cellStyle name="千位分隔 2 3 3 2" xfId="7048"/>
    <cellStyle name="千位分隔 2 3 3 2 2" xfId="7049"/>
    <cellStyle name="千位分隔 2 3 3 3" xfId="7050"/>
    <cellStyle name="千位分隔 2 3 4" xfId="7051"/>
    <cellStyle name="千位分隔 2 3 4 2" xfId="7052"/>
    <cellStyle name="千位分隔 2 3 5" xfId="7053"/>
    <cellStyle name="千位分隔 2 3 5 2" xfId="7054"/>
    <cellStyle name="千位分隔 2 3 6" xfId="7055"/>
    <cellStyle name="千位分隔 2 4" xfId="7056"/>
    <cellStyle name="千位分隔 2 4 2" xfId="7057"/>
    <cellStyle name="千位分隔 2 4 2 2" xfId="7058"/>
    <cellStyle name="千位分隔 2 4 2 2 2" xfId="7059"/>
    <cellStyle name="千位分隔 2 4 2 2 2 2" xfId="7060"/>
    <cellStyle name="千位分隔 2 4 2 2 3" xfId="7061"/>
    <cellStyle name="千位分隔 2 4 2 3" xfId="7062"/>
    <cellStyle name="千位分隔 2 4 2 3 2" xfId="7063"/>
    <cellStyle name="千位分隔 2 4 2 4" xfId="7064"/>
    <cellStyle name="千位分隔 2 4 2 4 2" xfId="7065"/>
    <cellStyle name="千位分隔 2 4 2 5" xfId="7066"/>
    <cellStyle name="千位分隔 2 4 3" xfId="7067"/>
    <cellStyle name="千位分隔 2 4 3 2" xfId="7068"/>
    <cellStyle name="千位分隔 2 4 3 2 2" xfId="7069"/>
    <cellStyle name="千位分隔 2 4 3 3" xfId="7070"/>
    <cellStyle name="千位分隔 2 4 4" xfId="7071"/>
    <cellStyle name="千位分隔 2 4 4 2" xfId="7072"/>
    <cellStyle name="千位分隔 2 4 5" xfId="7073"/>
    <cellStyle name="千位分隔 2 4 5 2" xfId="7074"/>
    <cellStyle name="千位分隔 2 4 6" xfId="7075"/>
    <cellStyle name="千位分隔 2 5" xfId="7076"/>
    <cellStyle name="千位分隔 2 5 2" xfId="7077"/>
    <cellStyle name="千位分隔 2 5 2 2" xfId="7078"/>
    <cellStyle name="千位分隔 2 5 2 2 2" xfId="7079"/>
    <cellStyle name="千位分隔 2 5 2 3" xfId="7080"/>
    <cellStyle name="千位分隔 2 5 3" xfId="7081"/>
    <cellStyle name="千位分隔 2 5 3 2" xfId="7082"/>
    <cellStyle name="千位分隔 2 5 4" xfId="7083"/>
    <cellStyle name="千位分隔 2 5 4 2" xfId="7084"/>
    <cellStyle name="千位分隔 2 5 5" xfId="7085"/>
    <cellStyle name="千位分隔 2 6" xfId="7086"/>
    <cellStyle name="千位分隔 2 6 2" xfId="7087"/>
    <cellStyle name="千位分隔 2 6 2 2" xfId="7088"/>
    <cellStyle name="千位分隔 2 6 2 2 2" xfId="7089"/>
    <cellStyle name="千位分隔 2 6 2 3" xfId="7090"/>
    <cellStyle name="千位分隔 2 6 3" xfId="7091"/>
    <cellStyle name="千位分隔 2 6 3 2" xfId="7092"/>
    <cellStyle name="千位分隔 2 6 4" xfId="7093"/>
    <cellStyle name="千位分隔 2 6 4 2" xfId="7094"/>
    <cellStyle name="千位分隔 2 6 5" xfId="7095"/>
    <cellStyle name="千位分隔 2 7" xfId="7096"/>
    <cellStyle name="千位分隔 2 7 2" xfId="7097"/>
    <cellStyle name="千位分隔 2 7 2 2" xfId="7098"/>
    <cellStyle name="千位分隔 2 7 2 2 2" xfId="7099"/>
    <cellStyle name="千位分隔 2 7 2 3" xfId="7100"/>
    <cellStyle name="千位分隔 2 7 3" xfId="7101"/>
    <cellStyle name="千位分隔 2 7 3 2" xfId="7102"/>
    <cellStyle name="千位分隔 2 7 3 3" xfId="8594"/>
    <cellStyle name="千位分隔 2 7 4" xfId="7103"/>
    <cellStyle name="千位分隔 2 7 4 2" xfId="7104"/>
    <cellStyle name="千位分隔 2 7 5" xfId="7105"/>
    <cellStyle name="千位分隔 2 8" xfId="7106"/>
    <cellStyle name="千位分隔 2 8 2" xfId="7107"/>
    <cellStyle name="千位分隔 2 8 2 2" xfId="7108"/>
    <cellStyle name="千位分隔 2 8 2 2 2" xfId="7109"/>
    <cellStyle name="千位分隔 2 8 2 3" xfId="7110"/>
    <cellStyle name="千位分隔 2 8 3" xfId="7111"/>
    <cellStyle name="千位分隔 2 8 3 2" xfId="7112"/>
    <cellStyle name="千位分隔 2 8 4" xfId="7113"/>
    <cellStyle name="千位分隔 2 8 4 2" xfId="7114"/>
    <cellStyle name="千位分隔 2 8 5" xfId="7115"/>
    <cellStyle name="千位分隔 2 9" xfId="7116"/>
    <cellStyle name="千位分隔 2 9 2" xfId="7117"/>
    <cellStyle name="千位分隔 2 9 2 2" xfId="7118"/>
    <cellStyle name="千位分隔 2 9 3" xfId="7119"/>
    <cellStyle name="千位分隔 20" xfId="3"/>
    <cellStyle name="千位分隔 21" xfId="9200"/>
    <cellStyle name="千位分隔 3" xfId="7120"/>
    <cellStyle name="千位分隔 3 2" xfId="7121"/>
    <cellStyle name="千位分隔 3 2 2" xfId="7122"/>
    <cellStyle name="千位分隔 3 2 2 2" xfId="7123"/>
    <cellStyle name="千位分隔 3 2 2 2 2" xfId="7124"/>
    <cellStyle name="千位分隔 3 2 2 2 2 2" xfId="7125"/>
    <cellStyle name="千位分隔 3 2 2 2 3" xfId="7126"/>
    <cellStyle name="千位分隔 3 2 2 3" xfId="7127"/>
    <cellStyle name="千位分隔 3 2 2 3 2" xfId="7128"/>
    <cellStyle name="千位分隔 3 2 2 4" xfId="7129"/>
    <cellStyle name="千位分隔 3 2 2 4 2" xfId="7130"/>
    <cellStyle name="千位分隔 3 2 2 5" xfId="7131"/>
    <cellStyle name="千位分隔 3 2 3" xfId="7132"/>
    <cellStyle name="千位分隔 3 2 3 2" xfId="7133"/>
    <cellStyle name="千位分隔 3 2 3 2 2" xfId="7134"/>
    <cellStyle name="千位分隔 3 2 3 3" xfId="7135"/>
    <cellStyle name="千位分隔 3 2 4" xfId="7136"/>
    <cellStyle name="千位分隔 3 2 4 2" xfId="7137"/>
    <cellStyle name="千位分隔 3 2 5" xfId="7138"/>
    <cellStyle name="千位分隔 3 2 5 2" xfId="7139"/>
    <cellStyle name="千位分隔 3 2 6" xfId="7140"/>
    <cellStyle name="千位分隔 3 3" xfId="7141"/>
    <cellStyle name="千位分隔 3 3 2" xfId="7142"/>
    <cellStyle name="千位分隔 3 3 2 2" xfId="7143"/>
    <cellStyle name="千位分隔 3 3 2 2 2" xfId="7144"/>
    <cellStyle name="千位分隔 3 3 2 3" xfId="7145"/>
    <cellStyle name="千位分隔 3 3 3" xfId="7146"/>
    <cellStyle name="千位分隔 3 3 3 2" xfId="7147"/>
    <cellStyle name="千位分隔 3 3 4" xfId="7148"/>
    <cellStyle name="千位分隔 3 3 4 2" xfId="7149"/>
    <cellStyle name="千位分隔 3 3 5" xfId="7150"/>
    <cellStyle name="千位分隔 3 4" xfId="7151"/>
    <cellStyle name="千位分隔 3 4 2" xfId="7152"/>
    <cellStyle name="千位分隔 3 4 2 2" xfId="7153"/>
    <cellStyle name="千位分隔 3 4 3" xfId="7154"/>
    <cellStyle name="千位分隔 3 5" xfId="7155"/>
    <cellStyle name="千位分隔 3 5 2" xfId="7156"/>
    <cellStyle name="千位分隔 3 6" xfId="7157"/>
    <cellStyle name="千位分隔 3 6 2" xfId="7158"/>
    <cellStyle name="千位分隔 3 7" xfId="7159"/>
    <cellStyle name="千位分隔 4" xfId="7160"/>
    <cellStyle name="千位分隔 4 2" xfId="7161"/>
    <cellStyle name="千位分隔 4 2 2" xfId="7162"/>
    <cellStyle name="千位分隔 4 2 2 2" xfId="7163"/>
    <cellStyle name="千位分隔 4 2 3" xfId="7164"/>
    <cellStyle name="千位分隔 4 2 3 2" xfId="7165"/>
    <cellStyle name="千位分隔 4 2 4" xfId="7166"/>
    <cellStyle name="千位分隔 4 3" xfId="7167"/>
    <cellStyle name="千位分隔 4 3 2" xfId="7168"/>
    <cellStyle name="千位分隔 4 3 2 2" xfId="7169"/>
    <cellStyle name="千位分隔 4 3 3" xfId="7170"/>
    <cellStyle name="千位分隔 4 4" xfId="7171"/>
    <cellStyle name="千位分隔 4 4 2" xfId="7172"/>
    <cellStyle name="千位分隔 4 5" xfId="7173"/>
    <cellStyle name="千位分隔 4 5 2" xfId="7174"/>
    <cellStyle name="千位分隔 4 6" xfId="7175"/>
    <cellStyle name="千位分隔 5" xfId="7176"/>
    <cellStyle name="千位分隔 5 2" xfId="7177"/>
    <cellStyle name="千位分隔 5 2 2" xfId="7178"/>
    <cellStyle name="千位分隔 5 2 2 2" xfId="7179"/>
    <cellStyle name="千位分隔 5 2 2 2 2" xfId="7180"/>
    <cellStyle name="千位分隔 5 2 2 3" xfId="7181"/>
    <cellStyle name="千位分隔 5 2 3" xfId="7182"/>
    <cellStyle name="千位分隔 5 2 3 2" xfId="7183"/>
    <cellStyle name="千位分隔 5 2 4" xfId="7184"/>
    <cellStyle name="千位分隔 5 2 4 2" xfId="7185"/>
    <cellStyle name="千位分隔 5 2 5" xfId="7186"/>
    <cellStyle name="千位分隔 5 3" xfId="7187"/>
    <cellStyle name="千位分隔 5 3 2" xfId="7188"/>
    <cellStyle name="千位分隔 5 3 2 2" xfId="7189"/>
    <cellStyle name="千位分隔 5 3 3" xfId="7190"/>
    <cellStyle name="千位分隔 5 4" xfId="7191"/>
    <cellStyle name="千位分隔 5 4 2" xfId="7192"/>
    <cellStyle name="千位分隔 5 5" xfId="7193"/>
    <cellStyle name="千位分隔 5 5 2" xfId="7194"/>
    <cellStyle name="千位分隔 5 6" xfId="7195"/>
    <cellStyle name="千位分隔 6" xfId="7196"/>
    <cellStyle name="千位分隔 6 2" xfId="7197"/>
    <cellStyle name="千位分隔 6 2 2" xfId="7198"/>
    <cellStyle name="千位分隔 6 2 2 2" xfId="7199"/>
    <cellStyle name="千位分隔 6 2 3" xfId="7200"/>
    <cellStyle name="千位分隔 6 2 4" xfId="7201"/>
    <cellStyle name="千位分隔 6 3" xfId="7202"/>
    <cellStyle name="千位分隔 6 3 2" xfId="7203"/>
    <cellStyle name="千位分隔 6 3 3" xfId="8590"/>
    <cellStyle name="千位分隔 6 4" xfId="7204"/>
    <cellStyle name="千位分隔 6 4 2" xfId="7205"/>
    <cellStyle name="千位分隔 6 5" xfId="7206"/>
    <cellStyle name="千位分隔 6 6" xfId="7207"/>
    <cellStyle name="千位分隔 7" xfId="7208"/>
    <cellStyle name="千位分隔 7 2" xfId="7209"/>
    <cellStyle name="千位分隔 7 2 2" xfId="7210"/>
    <cellStyle name="千位分隔 7 2 2 2" xfId="7211"/>
    <cellStyle name="千位分隔 7 2 3" xfId="7212"/>
    <cellStyle name="千位分隔 7 3" xfId="7213"/>
    <cellStyle name="千位分隔 7 3 2" xfId="7214"/>
    <cellStyle name="千位分隔 7 4" xfId="7215"/>
    <cellStyle name="千位分隔 7 4 2" xfId="7216"/>
    <cellStyle name="千位分隔 7 5" xfId="7217"/>
    <cellStyle name="千位分隔 8" xfId="7218"/>
    <cellStyle name="千位分隔 8 2" xfId="7219"/>
    <cellStyle name="千位分隔 8 2 2" xfId="7220"/>
    <cellStyle name="千位分隔 8 2 2 2" xfId="7221"/>
    <cellStyle name="千位分隔 8 2 3" xfId="7222"/>
    <cellStyle name="千位分隔 8 3" xfId="7223"/>
    <cellStyle name="千位分隔 8 3 2" xfId="7224"/>
    <cellStyle name="千位分隔 8 3 3" xfId="8592"/>
    <cellStyle name="千位分隔 8 4" xfId="7225"/>
    <cellStyle name="千位分隔 8 4 2" xfId="7226"/>
    <cellStyle name="千位分隔 8 5" xfId="7227"/>
    <cellStyle name="千位分隔 9" xfId="7228"/>
    <cellStyle name="千位分隔[0]" xfId="9328" builtinId="6"/>
    <cellStyle name="千位分隔[0] 2" xfId="7229"/>
    <cellStyle name="千位分隔[0] 2 2" xfId="7230"/>
    <cellStyle name="千位分隔[0] 2 3" xfId="8909"/>
    <cellStyle name="千位分隔[0] 3" xfId="7231"/>
    <cellStyle name="千位分隔[0] 3 2" xfId="7232"/>
    <cellStyle name="千位分隔[0] 3 3" xfId="8913"/>
    <cellStyle name="千位分隔[0] 4" xfId="8919"/>
    <cellStyle name="千位分隔[0] 5" xfId="8940"/>
    <cellStyle name="千位分隔[0] 6" xfId="8912"/>
    <cellStyle name="强调文字颜色 1 2" xfId="7233"/>
    <cellStyle name="强调文字颜色 1 2 2" xfId="7234"/>
    <cellStyle name="强调文字颜色 1 2 2 2" xfId="7235"/>
    <cellStyle name="强调文字颜色 1 2 2 2 2" xfId="7236"/>
    <cellStyle name="强调文字颜色 1 2 2 2 2 2" xfId="7237"/>
    <cellStyle name="强调文字颜色 1 2 2 2 3" xfId="7238"/>
    <cellStyle name="强调文字颜色 1 2 2 3" xfId="7239"/>
    <cellStyle name="强调文字颜色 1 2 2 3 2" xfId="7240"/>
    <cellStyle name="强调文字颜色 1 2 2 4" xfId="7241"/>
    <cellStyle name="强调文字颜色 1 2 2 4 2" xfId="7242"/>
    <cellStyle name="强调文字颜色 1 2 2 5" xfId="7243"/>
    <cellStyle name="强调文字颜色 1 2 2 6" xfId="8808"/>
    <cellStyle name="强调文字颜色 1 2 3" xfId="7244"/>
    <cellStyle name="强调文字颜色 1 2 3 2" xfId="7245"/>
    <cellStyle name="强调文字颜色 1 2 3 2 2" xfId="7246"/>
    <cellStyle name="强调文字颜色 1 2 3 3" xfId="7247"/>
    <cellStyle name="强调文字颜色 1 2 4" xfId="7248"/>
    <cellStyle name="强调文字颜色 1 2 4 2" xfId="7249"/>
    <cellStyle name="强调文字颜色 1 2 5" xfId="7250"/>
    <cellStyle name="强调文字颜色 1 2 5 2" xfId="7251"/>
    <cellStyle name="强调文字颜色 1 2 6" xfId="7252"/>
    <cellStyle name="强调文字颜色 1 2 7" xfId="8612"/>
    <cellStyle name="强调文字颜色 1 2 8" xfId="8807"/>
    <cellStyle name="强调文字颜色 1 3" xfId="7253"/>
    <cellStyle name="强调文字颜色 1 3 2" xfId="7254"/>
    <cellStyle name="强调文字颜色 1 3 2 2" xfId="7255"/>
    <cellStyle name="强调文字颜色 1 3 2 2 2" xfId="7256"/>
    <cellStyle name="强调文字颜色 1 3 2 2 2 2" xfId="7257"/>
    <cellStyle name="强调文字颜色 1 3 2 2 3" xfId="7258"/>
    <cellStyle name="强调文字颜色 1 3 2 3" xfId="7259"/>
    <cellStyle name="强调文字颜色 1 3 2 3 2" xfId="7260"/>
    <cellStyle name="强调文字颜色 1 3 2 4" xfId="7261"/>
    <cellStyle name="强调文字颜色 1 3 2 4 2" xfId="7262"/>
    <cellStyle name="强调文字颜色 1 3 2 5" xfId="7263"/>
    <cellStyle name="强调文字颜色 1 3 2 6" xfId="8810"/>
    <cellStyle name="强调文字颜色 1 3 3" xfId="7264"/>
    <cellStyle name="强调文字颜色 1 3 3 2" xfId="7265"/>
    <cellStyle name="强调文字颜色 1 3 3 2 2" xfId="7266"/>
    <cellStyle name="强调文字颜色 1 3 3 3" xfId="7267"/>
    <cellStyle name="强调文字颜色 1 3 4" xfId="7268"/>
    <cellStyle name="强调文字颜色 1 3 4 2" xfId="7269"/>
    <cellStyle name="强调文字颜色 1 3 5" xfId="7270"/>
    <cellStyle name="强调文字颜色 1 3 5 2" xfId="7271"/>
    <cellStyle name="强调文字颜色 1 3 6" xfId="7272"/>
    <cellStyle name="强调文字颜色 1 3 7" xfId="8809"/>
    <cellStyle name="强调文字颜色 1 4" xfId="7273"/>
    <cellStyle name="强调文字颜色 1 4 2" xfId="7274"/>
    <cellStyle name="强调文字颜色 1 4 2 2" xfId="7275"/>
    <cellStyle name="强调文字颜色 1 4 2 2 2" xfId="7276"/>
    <cellStyle name="强调文字颜色 1 4 2 2 2 2" xfId="7277"/>
    <cellStyle name="强调文字颜色 1 4 2 2 3" xfId="7278"/>
    <cellStyle name="强调文字颜色 1 4 2 3" xfId="7279"/>
    <cellStyle name="强调文字颜色 1 4 2 3 2" xfId="7280"/>
    <cellStyle name="强调文字颜色 1 4 2 4" xfId="7281"/>
    <cellStyle name="强调文字颜色 1 4 2 4 2" xfId="7282"/>
    <cellStyle name="强调文字颜色 1 4 2 5" xfId="7283"/>
    <cellStyle name="强调文字颜色 1 4 2 6" xfId="8812"/>
    <cellStyle name="强调文字颜色 1 4 3" xfId="7284"/>
    <cellStyle name="强调文字颜色 1 4 3 2" xfId="7285"/>
    <cellStyle name="强调文字颜色 1 4 3 2 2" xfId="7286"/>
    <cellStyle name="强调文字颜色 1 4 3 3" xfId="7287"/>
    <cellStyle name="强调文字颜色 1 4 4" xfId="7288"/>
    <cellStyle name="强调文字颜色 1 4 4 2" xfId="7289"/>
    <cellStyle name="强调文字颜色 1 4 5" xfId="7290"/>
    <cellStyle name="强调文字颜色 1 4 5 2" xfId="7291"/>
    <cellStyle name="强调文字颜色 1 4 6" xfId="7292"/>
    <cellStyle name="强调文字颜色 1 4 7" xfId="8811"/>
    <cellStyle name="强调文字颜色 1 5" xfId="7293"/>
    <cellStyle name="强调文字颜色 1 5 2" xfId="7294"/>
    <cellStyle name="强调文字颜色 1 5 2 2" xfId="7295"/>
    <cellStyle name="强调文字颜色 1 5 2 2 2" xfId="7296"/>
    <cellStyle name="强调文字颜色 1 5 2 3" xfId="7297"/>
    <cellStyle name="强调文字颜色 1 5 3" xfId="7298"/>
    <cellStyle name="强调文字颜色 1 5 3 2" xfId="7299"/>
    <cellStyle name="强调文字颜色 1 5 4" xfId="7300"/>
    <cellStyle name="强调文字颜色 1 5 4 2" xfId="7301"/>
    <cellStyle name="强调文字颜色 1 5 5" xfId="7302"/>
    <cellStyle name="强调文字颜色 1 6" xfId="7303"/>
    <cellStyle name="强调文字颜色 1 6 2" xfId="7304"/>
    <cellStyle name="强调文字颜色 1 6 2 2" xfId="7305"/>
    <cellStyle name="强调文字颜色 1 6 2 2 2" xfId="7306"/>
    <cellStyle name="强调文字颜色 1 6 2 3" xfId="7307"/>
    <cellStyle name="强调文字颜色 1 6 3" xfId="7308"/>
    <cellStyle name="强调文字颜色 1 6 3 2" xfId="7309"/>
    <cellStyle name="强调文字颜色 1 6 4" xfId="7310"/>
    <cellStyle name="强调文字颜色 1 6 4 2" xfId="7311"/>
    <cellStyle name="强调文字颜色 1 6 5" xfId="7312"/>
    <cellStyle name="强调文字颜色 1 7" xfId="7313"/>
    <cellStyle name="强调文字颜色 1 7 2" xfId="7314"/>
    <cellStyle name="强调文字颜色 1 7 2 2" xfId="7315"/>
    <cellStyle name="强调文字颜色 1 7 2 2 2" xfId="7316"/>
    <cellStyle name="强调文字颜色 1 7 2 3" xfId="7317"/>
    <cellStyle name="强调文字颜色 1 7 3" xfId="7318"/>
    <cellStyle name="强调文字颜色 1 7 3 2" xfId="7319"/>
    <cellStyle name="强调文字颜色 1 7 4" xfId="7320"/>
    <cellStyle name="强调文字颜色 1 7 4 2" xfId="7321"/>
    <cellStyle name="强调文字颜色 1 7 5" xfId="7322"/>
    <cellStyle name="强调文字颜色 2 2" xfId="7323"/>
    <cellStyle name="强调文字颜色 2 2 2" xfId="7324"/>
    <cellStyle name="强调文字颜色 2 2 2 2" xfId="7325"/>
    <cellStyle name="强调文字颜色 2 2 2 2 2" xfId="7326"/>
    <cellStyle name="强调文字颜色 2 2 2 2 2 2" xfId="7327"/>
    <cellStyle name="强调文字颜色 2 2 2 2 3" xfId="7328"/>
    <cellStyle name="强调文字颜色 2 2 2 3" xfId="7329"/>
    <cellStyle name="强调文字颜色 2 2 2 3 2" xfId="7330"/>
    <cellStyle name="强调文字颜色 2 2 2 4" xfId="7331"/>
    <cellStyle name="强调文字颜色 2 2 2 4 2" xfId="7332"/>
    <cellStyle name="强调文字颜色 2 2 2 5" xfId="7333"/>
    <cellStyle name="强调文字颜色 2 2 2 6" xfId="8814"/>
    <cellStyle name="强调文字颜色 2 2 3" xfId="7334"/>
    <cellStyle name="强调文字颜色 2 2 3 2" xfId="7335"/>
    <cellStyle name="强调文字颜色 2 2 3 2 2" xfId="7336"/>
    <cellStyle name="强调文字颜色 2 2 3 3" xfId="7337"/>
    <cellStyle name="强调文字颜色 2 2 4" xfId="7338"/>
    <cellStyle name="强调文字颜色 2 2 4 2" xfId="7339"/>
    <cellStyle name="强调文字颜色 2 2 5" xfId="7340"/>
    <cellStyle name="强调文字颜色 2 2 5 2" xfId="7341"/>
    <cellStyle name="强调文字颜色 2 2 6" xfId="7342"/>
    <cellStyle name="强调文字颜色 2 2 7" xfId="8613"/>
    <cellStyle name="强调文字颜色 2 2 8" xfId="8813"/>
    <cellStyle name="强调文字颜色 2 3" xfId="7343"/>
    <cellStyle name="强调文字颜色 2 3 2" xfId="7344"/>
    <cellStyle name="强调文字颜色 2 3 2 2" xfId="7345"/>
    <cellStyle name="强调文字颜色 2 3 2 2 2" xfId="7346"/>
    <cellStyle name="强调文字颜色 2 3 2 2 2 2" xfId="7347"/>
    <cellStyle name="强调文字颜色 2 3 2 2 3" xfId="7348"/>
    <cellStyle name="强调文字颜色 2 3 2 3" xfId="7349"/>
    <cellStyle name="强调文字颜色 2 3 2 3 2" xfId="7350"/>
    <cellStyle name="强调文字颜色 2 3 2 4" xfId="7351"/>
    <cellStyle name="强调文字颜色 2 3 2 4 2" xfId="7352"/>
    <cellStyle name="强调文字颜色 2 3 2 5" xfId="7353"/>
    <cellStyle name="强调文字颜色 2 3 2 6" xfId="8816"/>
    <cellStyle name="强调文字颜色 2 3 3" xfId="7354"/>
    <cellStyle name="强调文字颜色 2 3 3 2" xfId="7355"/>
    <cellStyle name="强调文字颜色 2 3 3 2 2" xfId="7356"/>
    <cellStyle name="强调文字颜色 2 3 3 3" xfId="7357"/>
    <cellStyle name="强调文字颜色 2 3 4" xfId="7358"/>
    <cellStyle name="强调文字颜色 2 3 4 2" xfId="7359"/>
    <cellStyle name="强调文字颜色 2 3 5" xfId="7360"/>
    <cellStyle name="强调文字颜色 2 3 5 2" xfId="7361"/>
    <cellStyle name="强调文字颜色 2 3 6" xfId="7362"/>
    <cellStyle name="强调文字颜色 2 3 7" xfId="8815"/>
    <cellStyle name="强调文字颜色 2 4" xfId="7363"/>
    <cellStyle name="强调文字颜色 2 4 2" xfId="7364"/>
    <cellStyle name="强调文字颜色 2 4 2 2" xfId="7365"/>
    <cellStyle name="强调文字颜色 2 4 2 2 2" xfId="7366"/>
    <cellStyle name="强调文字颜色 2 4 2 2 2 2" xfId="7367"/>
    <cellStyle name="强调文字颜色 2 4 2 2 3" xfId="7368"/>
    <cellStyle name="强调文字颜色 2 4 2 3" xfId="7369"/>
    <cellStyle name="强调文字颜色 2 4 2 3 2" xfId="7370"/>
    <cellStyle name="强调文字颜色 2 4 2 4" xfId="7371"/>
    <cellStyle name="强调文字颜色 2 4 2 4 2" xfId="7372"/>
    <cellStyle name="强调文字颜色 2 4 2 5" xfId="7373"/>
    <cellStyle name="强调文字颜色 2 4 2 6" xfId="8818"/>
    <cellStyle name="强调文字颜色 2 4 3" xfId="7374"/>
    <cellStyle name="强调文字颜色 2 4 3 2" xfId="7375"/>
    <cellStyle name="强调文字颜色 2 4 3 2 2" xfId="7376"/>
    <cellStyle name="强调文字颜色 2 4 3 3" xfId="7377"/>
    <cellStyle name="强调文字颜色 2 4 4" xfId="7378"/>
    <cellStyle name="强调文字颜色 2 4 4 2" xfId="7379"/>
    <cellStyle name="强调文字颜色 2 4 5" xfId="7380"/>
    <cellStyle name="强调文字颜色 2 4 5 2" xfId="7381"/>
    <cellStyle name="强调文字颜色 2 4 6" xfId="7382"/>
    <cellStyle name="强调文字颜色 2 4 7" xfId="8817"/>
    <cellStyle name="强调文字颜色 2 5" xfId="7383"/>
    <cellStyle name="强调文字颜色 2 5 2" xfId="7384"/>
    <cellStyle name="强调文字颜色 2 5 2 2" xfId="7385"/>
    <cellStyle name="强调文字颜色 2 5 2 2 2" xfId="7386"/>
    <cellStyle name="强调文字颜色 2 5 2 3" xfId="7387"/>
    <cellStyle name="强调文字颜色 2 5 3" xfId="7388"/>
    <cellStyle name="强调文字颜色 2 5 3 2" xfId="7389"/>
    <cellStyle name="强调文字颜色 2 5 4" xfId="7390"/>
    <cellStyle name="强调文字颜色 2 5 4 2" xfId="7391"/>
    <cellStyle name="强调文字颜色 2 5 5" xfId="7392"/>
    <cellStyle name="强调文字颜色 2 6" xfId="7393"/>
    <cellStyle name="强调文字颜色 2 6 2" xfId="7394"/>
    <cellStyle name="强调文字颜色 2 6 2 2" xfId="7395"/>
    <cellStyle name="强调文字颜色 2 6 2 2 2" xfId="7396"/>
    <cellStyle name="强调文字颜色 2 6 2 3" xfId="7397"/>
    <cellStyle name="强调文字颜色 2 6 3" xfId="7398"/>
    <cellStyle name="强调文字颜色 2 6 3 2" xfId="7399"/>
    <cellStyle name="强调文字颜色 2 6 4" xfId="7400"/>
    <cellStyle name="强调文字颜色 2 6 4 2" xfId="7401"/>
    <cellStyle name="强调文字颜色 2 6 5" xfId="7402"/>
    <cellStyle name="强调文字颜色 2 7" xfId="7403"/>
    <cellStyle name="强调文字颜色 2 7 2" xfId="7404"/>
    <cellStyle name="强调文字颜色 2 7 2 2" xfId="7405"/>
    <cellStyle name="强调文字颜色 2 7 2 2 2" xfId="7406"/>
    <cellStyle name="强调文字颜色 2 7 2 3" xfId="7407"/>
    <cellStyle name="强调文字颜色 2 7 3" xfId="7408"/>
    <cellStyle name="强调文字颜色 2 7 3 2" xfId="7409"/>
    <cellStyle name="强调文字颜色 2 7 4" xfId="7410"/>
    <cellStyle name="强调文字颜色 2 7 4 2" xfId="7411"/>
    <cellStyle name="强调文字颜色 2 7 5" xfId="7412"/>
    <cellStyle name="强调文字颜色 3 2" xfId="7413"/>
    <cellStyle name="强调文字颜色 3 2 2" xfId="7414"/>
    <cellStyle name="强调文字颜色 3 2 2 2" xfId="7415"/>
    <cellStyle name="强调文字颜色 3 2 2 2 2" xfId="7416"/>
    <cellStyle name="强调文字颜色 3 2 2 2 2 2" xfId="7417"/>
    <cellStyle name="强调文字颜色 3 2 2 2 3" xfId="7418"/>
    <cellStyle name="强调文字颜色 3 2 2 3" xfId="7419"/>
    <cellStyle name="强调文字颜色 3 2 2 3 2" xfId="7420"/>
    <cellStyle name="强调文字颜色 3 2 2 4" xfId="7421"/>
    <cellStyle name="强调文字颜色 3 2 2 4 2" xfId="7422"/>
    <cellStyle name="强调文字颜色 3 2 2 5" xfId="7423"/>
    <cellStyle name="强调文字颜色 3 2 2 6" xfId="8820"/>
    <cellStyle name="强调文字颜色 3 2 3" xfId="7424"/>
    <cellStyle name="强调文字颜色 3 2 3 2" xfId="7425"/>
    <cellStyle name="强调文字颜色 3 2 3 2 2" xfId="7426"/>
    <cellStyle name="强调文字颜色 3 2 3 3" xfId="7427"/>
    <cellStyle name="强调文字颜色 3 2 4" xfId="7428"/>
    <cellStyle name="强调文字颜色 3 2 4 2" xfId="7429"/>
    <cellStyle name="强调文字颜色 3 2 5" xfId="7430"/>
    <cellStyle name="强调文字颜色 3 2 5 2" xfId="7431"/>
    <cellStyle name="强调文字颜色 3 2 6" xfId="7432"/>
    <cellStyle name="强调文字颜色 3 2 7" xfId="8614"/>
    <cellStyle name="强调文字颜色 3 2 8" xfId="8819"/>
    <cellStyle name="强调文字颜色 3 3" xfId="7433"/>
    <cellStyle name="强调文字颜色 3 3 2" xfId="7434"/>
    <cellStyle name="强调文字颜色 3 3 2 2" xfId="7435"/>
    <cellStyle name="强调文字颜色 3 3 2 2 2" xfId="7436"/>
    <cellStyle name="强调文字颜色 3 3 2 2 2 2" xfId="7437"/>
    <cellStyle name="强调文字颜色 3 3 2 2 3" xfId="7438"/>
    <cellStyle name="强调文字颜色 3 3 2 3" xfId="7439"/>
    <cellStyle name="强调文字颜色 3 3 2 3 2" xfId="7440"/>
    <cellStyle name="强调文字颜色 3 3 2 4" xfId="7441"/>
    <cellStyle name="强调文字颜色 3 3 2 4 2" xfId="7442"/>
    <cellStyle name="强调文字颜色 3 3 2 5" xfId="7443"/>
    <cellStyle name="强调文字颜色 3 3 2 6" xfId="8822"/>
    <cellStyle name="强调文字颜色 3 3 3" xfId="7444"/>
    <cellStyle name="强调文字颜色 3 3 3 2" xfId="7445"/>
    <cellStyle name="强调文字颜色 3 3 3 2 2" xfId="7446"/>
    <cellStyle name="强调文字颜色 3 3 3 3" xfId="7447"/>
    <cellStyle name="强调文字颜色 3 3 4" xfId="7448"/>
    <cellStyle name="强调文字颜色 3 3 4 2" xfId="7449"/>
    <cellStyle name="强调文字颜色 3 3 5" xfId="7450"/>
    <cellStyle name="强调文字颜色 3 3 5 2" xfId="7451"/>
    <cellStyle name="强调文字颜色 3 3 6" xfId="7452"/>
    <cellStyle name="强调文字颜色 3 3 7" xfId="8821"/>
    <cellStyle name="强调文字颜色 3 4" xfId="7453"/>
    <cellStyle name="强调文字颜色 3 4 2" xfId="7454"/>
    <cellStyle name="强调文字颜色 3 4 2 2" xfId="7455"/>
    <cellStyle name="强调文字颜色 3 4 2 2 2" xfId="7456"/>
    <cellStyle name="强调文字颜色 3 4 2 2 2 2" xfId="7457"/>
    <cellStyle name="强调文字颜色 3 4 2 2 3" xfId="7458"/>
    <cellStyle name="强调文字颜色 3 4 2 3" xfId="7459"/>
    <cellStyle name="强调文字颜色 3 4 2 3 2" xfId="7460"/>
    <cellStyle name="强调文字颜色 3 4 2 4" xfId="7461"/>
    <cellStyle name="强调文字颜色 3 4 2 4 2" xfId="7462"/>
    <cellStyle name="强调文字颜色 3 4 2 5" xfId="7463"/>
    <cellStyle name="强调文字颜色 3 4 2 6" xfId="8824"/>
    <cellStyle name="强调文字颜色 3 4 3" xfId="7464"/>
    <cellStyle name="强调文字颜色 3 4 3 2" xfId="7465"/>
    <cellStyle name="强调文字颜色 3 4 3 2 2" xfId="7466"/>
    <cellStyle name="强调文字颜色 3 4 3 3" xfId="7467"/>
    <cellStyle name="强调文字颜色 3 4 4" xfId="7468"/>
    <cellStyle name="强调文字颜色 3 4 4 2" xfId="7469"/>
    <cellStyle name="强调文字颜色 3 4 5" xfId="7470"/>
    <cellStyle name="强调文字颜色 3 4 5 2" xfId="7471"/>
    <cellStyle name="强调文字颜色 3 4 6" xfId="7472"/>
    <cellStyle name="强调文字颜色 3 4 7" xfId="8823"/>
    <cellStyle name="强调文字颜色 3 5" xfId="7473"/>
    <cellStyle name="强调文字颜色 3 5 2" xfId="7474"/>
    <cellStyle name="强调文字颜色 3 5 2 2" xfId="7475"/>
    <cellStyle name="强调文字颜色 3 5 2 2 2" xfId="7476"/>
    <cellStyle name="强调文字颜色 3 5 2 3" xfId="7477"/>
    <cellStyle name="强调文字颜色 3 5 3" xfId="7478"/>
    <cellStyle name="强调文字颜色 3 5 3 2" xfId="7479"/>
    <cellStyle name="强调文字颜色 3 5 4" xfId="7480"/>
    <cellStyle name="强调文字颜色 3 5 4 2" xfId="7481"/>
    <cellStyle name="强调文字颜色 3 5 5" xfId="7482"/>
    <cellStyle name="强调文字颜色 3 6" xfId="7483"/>
    <cellStyle name="强调文字颜色 3 6 2" xfId="7484"/>
    <cellStyle name="强调文字颜色 3 6 2 2" xfId="7485"/>
    <cellStyle name="强调文字颜色 3 6 2 2 2" xfId="7486"/>
    <cellStyle name="强调文字颜色 3 6 2 3" xfId="7487"/>
    <cellStyle name="强调文字颜色 3 6 3" xfId="7488"/>
    <cellStyle name="强调文字颜色 3 6 3 2" xfId="7489"/>
    <cellStyle name="强调文字颜色 3 6 4" xfId="7490"/>
    <cellStyle name="强调文字颜色 3 6 4 2" xfId="7491"/>
    <cellStyle name="强调文字颜色 3 6 5" xfId="7492"/>
    <cellStyle name="强调文字颜色 3 7" xfId="7493"/>
    <cellStyle name="强调文字颜色 3 7 2" xfId="7494"/>
    <cellStyle name="强调文字颜色 3 7 2 2" xfId="7495"/>
    <cellStyle name="强调文字颜色 3 7 2 2 2" xfId="7496"/>
    <cellStyle name="强调文字颜色 3 7 2 3" xfId="7497"/>
    <cellStyle name="强调文字颜色 3 7 3" xfId="7498"/>
    <cellStyle name="强调文字颜色 3 7 3 2" xfId="7499"/>
    <cellStyle name="强调文字颜色 3 7 4" xfId="7500"/>
    <cellStyle name="强调文字颜色 3 7 4 2" xfId="7501"/>
    <cellStyle name="强调文字颜色 3 7 5" xfId="7502"/>
    <cellStyle name="强调文字颜色 4 2" xfId="7503"/>
    <cellStyle name="强调文字颜色 4 2 2" xfId="7504"/>
    <cellStyle name="强调文字颜色 4 2 2 2" xfId="7505"/>
    <cellStyle name="强调文字颜色 4 2 2 2 2" xfId="7506"/>
    <cellStyle name="强调文字颜色 4 2 2 2 2 2" xfId="7507"/>
    <cellStyle name="强调文字颜色 4 2 2 2 3" xfId="7508"/>
    <cellStyle name="强调文字颜色 4 2 2 3" xfId="7509"/>
    <cellStyle name="强调文字颜色 4 2 2 3 2" xfId="7510"/>
    <cellStyle name="强调文字颜色 4 2 2 4" xfId="7511"/>
    <cellStyle name="强调文字颜色 4 2 2 4 2" xfId="7512"/>
    <cellStyle name="强调文字颜色 4 2 2 5" xfId="7513"/>
    <cellStyle name="强调文字颜色 4 2 2 6" xfId="8826"/>
    <cellStyle name="强调文字颜色 4 2 3" xfId="7514"/>
    <cellStyle name="强调文字颜色 4 2 3 2" xfId="7515"/>
    <cellStyle name="强调文字颜色 4 2 3 2 2" xfId="7516"/>
    <cellStyle name="强调文字颜色 4 2 3 3" xfId="7517"/>
    <cellStyle name="强调文字颜色 4 2 4" xfId="7518"/>
    <cellStyle name="强调文字颜色 4 2 4 2" xfId="7519"/>
    <cellStyle name="强调文字颜色 4 2 5" xfId="7520"/>
    <cellStyle name="强调文字颜色 4 2 5 2" xfId="7521"/>
    <cellStyle name="强调文字颜色 4 2 6" xfId="7522"/>
    <cellStyle name="强调文字颜色 4 2 7" xfId="8615"/>
    <cellStyle name="强调文字颜色 4 2 8" xfId="8825"/>
    <cellStyle name="强调文字颜色 4 3" xfId="7523"/>
    <cellStyle name="强调文字颜色 4 3 2" xfId="7524"/>
    <cellStyle name="强调文字颜色 4 3 2 2" xfId="7525"/>
    <cellStyle name="强调文字颜色 4 3 2 2 2" xfId="7526"/>
    <cellStyle name="强调文字颜色 4 3 2 2 2 2" xfId="7527"/>
    <cellStyle name="强调文字颜色 4 3 2 2 3" xfId="7528"/>
    <cellStyle name="强调文字颜色 4 3 2 3" xfId="7529"/>
    <cellStyle name="强调文字颜色 4 3 2 3 2" xfId="7530"/>
    <cellStyle name="强调文字颜色 4 3 2 4" xfId="7531"/>
    <cellStyle name="强调文字颜色 4 3 2 4 2" xfId="7532"/>
    <cellStyle name="强调文字颜色 4 3 2 5" xfId="7533"/>
    <cellStyle name="强调文字颜色 4 3 2 6" xfId="8828"/>
    <cellStyle name="强调文字颜色 4 3 3" xfId="7534"/>
    <cellStyle name="强调文字颜色 4 3 3 2" xfId="7535"/>
    <cellStyle name="强调文字颜色 4 3 3 2 2" xfId="7536"/>
    <cellStyle name="强调文字颜色 4 3 3 3" xfId="7537"/>
    <cellStyle name="强调文字颜色 4 3 4" xfId="7538"/>
    <cellStyle name="强调文字颜色 4 3 4 2" xfId="7539"/>
    <cellStyle name="强调文字颜色 4 3 5" xfId="7540"/>
    <cellStyle name="强调文字颜色 4 3 5 2" xfId="7541"/>
    <cellStyle name="强调文字颜色 4 3 6" xfId="7542"/>
    <cellStyle name="强调文字颜色 4 3 7" xfId="8827"/>
    <cellStyle name="强调文字颜色 4 4" xfId="7543"/>
    <cellStyle name="强调文字颜色 4 4 2" xfId="7544"/>
    <cellStyle name="强调文字颜色 4 4 2 2" xfId="7545"/>
    <cellStyle name="强调文字颜色 4 4 2 2 2" xfId="7546"/>
    <cellStyle name="强调文字颜色 4 4 2 2 2 2" xfId="7547"/>
    <cellStyle name="强调文字颜色 4 4 2 2 3" xfId="7548"/>
    <cellStyle name="强调文字颜色 4 4 2 3" xfId="7549"/>
    <cellStyle name="强调文字颜色 4 4 2 3 2" xfId="7550"/>
    <cellStyle name="强调文字颜色 4 4 2 4" xfId="7551"/>
    <cellStyle name="强调文字颜色 4 4 2 4 2" xfId="7552"/>
    <cellStyle name="强调文字颜色 4 4 2 5" xfId="7553"/>
    <cellStyle name="强调文字颜色 4 4 2 6" xfId="8830"/>
    <cellStyle name="强调文字颜色 4 4 3" xfId="7554"/>
    <cellStyle name="强调文字颜色 4 4 3 2" xfId="7555"/>
    <cellStyle name="强调文字颜色 4 4 3 2 2" xfId="7556"/>
    <cellStyle name="强调文字颜色 4 4 3 3" xfId="7557"/>
    <cellStyle name="强调文字颜色 4 4 4" xfId="7558"/>
    <cellStyle name="强调文字颜色 4 4 4 2" xfId="7559"/>
    <cellStyle name="强调文字颜色 4 4 5" xfId="7560"/>
    <cellStyle name="强调文字颜色 4 4 5 2" xfId="7561"/>
    <cellStyle name="强调文字颜色 4 4 6" xfId="7562"/>
    <cellStyle name="强调文字颜色 4 4 7" xfId="8829"/>
    <cellStyle name="强调文字颜色 4 5" xfId="7563"/>
    <cellStyle name="强调文字颜色 4 5 2" xfId="7564"/>
    <cellStyle name="强调文字颜色 4 5 2 2" xfId="7565"/>
    <cellStyle name="强调文字颜色 4 5 2 2 2" xfId="7566"/>
    <cellStyle name="强调文字颜色 4 5 2 3" xfId="7567"/>
    <cellStyle name="强调文字颜色 4 5 3" xfId="7568"/>
    <cellStyle name="强调文字颜色 4 5 3 2" xfId="7569"/>
    <cellStyle name="强调文字颜色 4 5 4" xfId="7570"/>
    <cellStyle name="强调文字颜色 4 5 4 2" xfId="7571"/>
    <cellStyle name="强调文字颜色 4 5 5" xfId="7572"/>
    <cellStyle name="强调文字颜色 4 6" xfId="7573"/>
    <cellStyle name="强调文字颜色 4 6 2" xfId="7574"/>
    <cellStyle name="强调文字颜色 4 6 2 2" xfId="7575"/>
    <cellStyle name="强调文字颜色 4 6 2 2 2" xfId="7576"/>
    <cellStyle name="强调文字颜色 4 6 2 3" xfId="7577"/>
    <cellStyle name="强调文字颜色 4 6 3" xfId="7578"/>
    <cellStyle name="强调文字颜色 4 6 3 2" xfId="7579"/>
    <cellStyle name="强调文字颜色 4 6 4" xfId="7580"/>
    <cellStyle name="强调文字颜色 4 6 4 2" xfId="7581"/>
    <cellStyle name="强调文字颜色 4 6 5" xfId="7582"/>
    <cellStyle name="强调文字颜色 4 7" xfId="7583"/>
    <cellStyle name="强调文字颜色 4 7 2" xfId="7584"/>
    <cellStyle name="强调文字颜色 4 7 2 2" xfId="7585"/>
    <cellStyle name="强调文字颜色 4 7 2 2 2" xfId="7586"/>
    <cellStyle name="强调文字颜色 4 7 2 3" xfId="7587"/>
    <cellStyle name="强调文字颜色 4 7 3" xfId="7588"/>
    <cellStyle name="强调文字颜色 4 7 3 2" xfId="7589"/>
    <cellStyle name="强调文字颜色 4 7 4" xfId="7590"/>
    <cellStyle name="强调文字颜色 4 7 4 2" xfId="7591"/>
    <cellStyle name="强调文字颜色 4 7 5" xfId="7592"/>
    <cellStyle name="强调文字颜色 5 2" xfId="7593"/>
    <cellStyle name="强调文字颜色 5 2 2" xfId="7594"/>
    <cellStyle name="强调文字颜色 5 2 2 2" xfId="7595"/>
    <cellStyle name="强调文字颜色 5 2 2 2 2" xfId="7596"/>
    <cellStyle name="强调文字颜色 5 2 2 2 2 2" xfId="7597"/>
    <cellStyle name="强调文字颜色 5 2 2 2 3" xfId="7598"/>
    <cellStyle name="强调文字颜色 5 2 2 3" xfId="7599"/>
    <cellStyle name="强调文字颜色 5 2 2 3 2" xfId="7600"/>
    <cellStyle name="强调文字颜色 5 2 2 4" xfId="7601"/>
    <cellStyle name="强调文字颜色 5 2 2 4 2" xfId="7602"/>
    <cellStyle name="强调文字颜色 5 2 2 5" xfId="7603"/>
    <cellStyle name="强调文字颜色 5 2 2 6" xfId="8832"/>
    <cellStyle name="强调文字颜色 5 2 3" xfId="7604"/>
    <cellStyle name="强调文字颜色 5 2 3 2" xfId="7605"/>
    <cellStyle name="强调文字颜色 5 2 3 2 2" xfId="7606"/>
    <cellStyle name="强调文字颜色 5 2 3 3" xfId="7607"/>
    <cellStyle name="强调文字颜色 5 2 4" xfId="7608"/>
    <cellStyle name="强调文字颜色 5 2 4 2" xfId="7609"/>
    <cellStyle name="强调文字颜色 5 2 5" xfId="7610"/>
    <cellStyle name="强调文字颜色 5 2 5 2" xfId="7611"/>
    <cellStyle name="强调文字颜色 5 2 6" xfId="7612"/>
    <cellStyle name="强调文字颜色 5 2 7" xfId="8616"/>
    <cellStyle name="强调文字颜色 5 2 8" xfId="8831"/>
    <cellStyle name="强调文字颜色 5 3" xfId="7613"/>
    <cellStyle name="强调文字颜色 5 3 2" xfId="7614"/>
    <cellStyle name="强调文字颜色 5 3 2 2" xfId="7615"/>
    <cellStyle name="强调文字颜色 5 3 2 2 2" xfId="7616"/>
    <cellStyle name="强调文字颜色 5 3 2 2 2 2" xfId="7617"/>
    <cellStyle name="强调文字颜色 5 3 2 2 3" xfId="7618"/>
    <cellStyle name="强调文字颜色 5 3 2 3" xfId="7619"/>
    <cellStyle name="强调文字颜色 5 3 2 3 2" xfId="7620"/>
    <cellStyle name="强调文字颜色 5 3 2 4" xfId="7621"/>
    <cellStyle name="强调文字颜色 5 3 2 4 2" xfId="7622"/>
    <cellStyle name="强调文字颜色 5 3 2 5" xfId="7623"/>
    <cellStyle name="强调文字颜色 5 3 2 6" xfId="8834"/>
    <cellStyle name="强调文字颜色 5 3 3" xfId="7624"/>
    <cellStyle name="强调文字颜色 5 3 3 2" xfId="7625"/>
    <cellStyle name="强调文字颜色 5 3 3 2 2" xfId="7626"/>
    <cellStyle name="强调文字颜色 5 3 3 3" xfId="7627"/>
    <cellStyle name="强调文字颜色 5 3 4" xfId="7628"/>
    <cellStyle name="强调文字颜色 5 3 4 2" xfId="7629"/>
    <cellStyle name="强调文字颜色 5 3 5" xfId="7630"/>
    <cellStyle name="强调文字颜色 5 3 5 2" xfId="7631"/>
    <cellStyle name="强调文字颜色 5 3 6" xfId="7632"/>
    <cellStyle name="强调文字颜色 5 3 7" xfId="8833"/>
    <cellStyle name="强调文字颜色 5 4" xfId="7633"/>
    <cellStyle name="强调文字颜色 5 4 2" xfId="7634"/>
    <cellStyle name="强调文字颜色 5 4 2 2" xfId="7635"/>
    <cellStyle name="强调文字颜色 5 4 2 2 2" xfId="7636"/>
    <cellStyle name="强调文字颜色 5 4 2 2 2 2" xfId="7637"/>
    <cellStyle name="强调文字颜色 5 4 2 2 3" xfId="7638"/>
    <cellStyle name="强调文字颜色 5 4 2 3" xfId="7639"/>
    <cellStyle name="强调文字颜色 5 4 2 3 2" xfId="7640"/>
    <cellStyle name="强调文字颜色 5 4 2 4" xfId="7641"/>
    <cellStyle name="强调文字颜色 5 4 2 4 2" xfId="7642"/>
    <cellStyle name="强调文字颜色 5 4 2 5" xfId="7643"/>
    <cellStyle name="强调文字颜色 5 4 2 6" xfId="8836"/>
    <cellStyle name="强调文字颜色 5 4 3" xfId="7644"/>
    <cellStyle name="强调文字颜色 5 4 3 2" xfId="7645"/>
    <cellStyle name="强调文字颜色 5 4 3 2 2" xfId="7646"/>
    <cellStyle name="强调文字颜色 5 4 3 3" xfId="7647"/>
    <cellStyle name="强调文字颜色 5 4 4" xfId="7648"/>
    <cellStyle name="强调文字颜色 5 4 4 2" xfId="7649"/>
    <cellStyle name="强调文字颜色 5 4 5" xfId="7650"/>
    <cellStyle name="强调文字颜色 5 4 5 2" xfId="7651"/>
    <cellStyle name="强调文字颜色 5 4 6" xfId="7652"/>
    <cellStyle name="强调文字颜色 5 4 7" xfId="8835"/>
    <cellStyle name="强调文字颜色 5 5" xfId="7653"/>
    <cellStyle name="强调文字颜色 5 5 2" xfId="7654"/>
    <cellStyle name="强调文字颜色 5 5 2 2" xfId="7655"/>
    <cellStyle name="强调文字颜色 5 5 2 2 2" xfId="7656"/>
    <cellStyle name="强调文字颜色 5 5 2 3" xfId="7657"/>
    <cellStyle name="强调文字颜色 5 5 3" xfId="7658"/>
    <cellStyle name="强调文字颜色 5 5 3 2" xfId="7659"/>
    <cellStyle name="强调文字颜色 5 5 4" xfId="7660"/>
    <cellStyle name="强调文字颜色 5 5 4 2" xfId="7661"/>
    <cellStyle name="强调文字颜色 5 5 5" xfId="7662"/>
    <cellStyle name="强调文字颜色 5 6" xfId="7663"/>
    <cellStyle name="强调文字颜色 5 6 2" xfId="7664"/>
    <cellStyle name="强调文字颜色 5 6 2 2" xfId="7665"/>
    <cellStyle name="强调文字颜色 5 6 2 2 2" xfId="7666"/>
    <cellStyle name="强调文字颜色 5 6 2 3" xfId="7667"/>
    <cellStyle name="强调文字颜色 5 6 3" xfId="7668"/>
    <cellStyle name="强调文字颜色 5 6 3 2" xfId="7669"/>
    <cellStyle name="强调文字颜色 5 6 4" xfId="7670"/>
    <cellStyle name="强调文字颜色 5 6 4 2" xfId="7671"/>
    <cellStyle name="强调文字颜色 5 6 5" xfId="7672"/>
    <cellStyle name="强调文字颜色 5 7" xfId="7673"/>
    <cellStyle name="强调文字颜色 5 7 2" xfId="7674"/>
    <cellStyle name="强调文字颜色 5 7 2 2" xfId="7675"/>
    <cellStyle name="强调文字颜色 5 7 2 2 2" xfId="7676"/>
    <cellStyle name="强调文字颜色 5 7 2 3" xfId="7677"/>
    <cellStyle name="强调文字颜色 5 7 3" xfId="7678"/>
    <cellStyle name="强调文字颜色 5 7 3 2" xfId="7679"/>
    <cellStyle name="强调文字颜色 5 7 4" xfId="7680"/>
    <cellStyle name="强调文字颜色 5 7 4 2" xfId="7681"/>
    <cellStyle name="强调文字颜色 5 7 5" xfId="7682"/>
    <cellStyle name="强调文字颜色 6 2" xfId="7683"/>
    <cellStyle name="强调文字颜色 6 2 2" xfId="7684"/>
    <cellStyle name="强调文字颜色 6 2 2 2" xfId="7685"/>
    <cellStyle name="强调文字颜色 6 2 2 2 2" xfId="7686"/>
    <cellStyle name="强调文字颜色 6 2 2 2 2 2" xfId="7687"/>
    <cellStyle name="强调文字颜色 6 2 2 2 3" xfId="7688"/>
    <cellStyle name="强调文字颜色 6 2 2 3" xfId="7689"/>
    <cellStyle name="强调文字颜色 6 2 2 3 2" xfId="7690"/>
    <cellStyle name="强调文字颜色 6 2 2 4" xfId="7691"/>
    <cellStyle name="强调文字颜色 6 2 2 4 2" xfId="7692"/>
    <cellStyle name="强调文字颜色 6 2 2 5" xfId="7693"/>
    <cellStyle name="强调文字颜色 6 2 2 6" xfId="8838"/>
    <cellStyle name="强调文字颜色 6 2 3" xfId="7694"/>
    <cellStyle name="强调文字颜色 6 2 3 2" xfId="7695"/>
    <cellStyle name="强调文字颜色 6 2 3 2 2" xfId="7696"/>
    <cellStyle name="强调文字颜色 6 2 3 3" xfId="7697"/>
    <cellStyle name="强调文字颜色 6 2 4" xfId="7698"/>
    <cellStyle name="强调文字颜色 6 2 4 2" xfId="7699"/>
    <cellStyle name="强调文字颜色 6 2 5" xfId="7700"/>
    <cellStyle name="强调文字颜色 6 2 5 2" xfId="7701"/>
    <cellStyle name="强调文字颜色 6 2 6" xfId="7702"/>
    <cellStyle name="强调文字颜色 6 2 7" xfId="8617"/>
    <cellStyle name="强调文字颜色 6 2 8" xfId="8837"/>
    <cellStyle name="强调文字颜色 6 3" xfId="7703"/>
    <cellStyle name="强调文字颜色 6 3 2" xfId="7704"/>
    <cellStyle name="强调文字颜色 6 3 2 2" xfId="7705"/>
    <cellStyle name="强调文字颜色 6 3 2 2 2" xfId="7706"/>
    <cellStyle name="强调文字颜色 6 3 2 2 2 2" xfId="7707"/>
    <cellStyle name="强调文字颜色 6 3 2 2 3" xfId="7708"/>
    <cellStyle name="强调文字颜色 6 3 2 3" xfId="7709"/>
    <cellStyle name="强调文字颜色 6 3 2 3 2" xfId="7710"/>
    <cellStyle name="强调文字颜色 6 3 2 4" xfId="7711"/>
    <cellStyle name="强调文字颜色 6 3 2 4 2" xfId="7712"/>
    <cellStyle name="强调文字颜色 6 3 2 5" xfId="7713"/>
    <cellStyle name="强调文字颜色 6 3 2 6" xfId="8840"/>
    <cellStyle name="强调文字颜色 6 3 3" xfId="7714"/>
    <cellStyle name="强调文字颜色 6 3 3 2" xfId="7715"/>
    <cellStyle name="强调文字颜色 6 3 3 2 2" xfId="7716"/>
    <cellStyle name="强调文字颜色 6 3 3 3" xfId="7717"/>
    <cellStyle name="强调文字颜色 6 3 4" xfId="7718"/>
    <cellStyle name="强调文字颜色 6 3 4 2" xfId="7719"/>
    <cellStyle name="强调文字颜色 6 3 5" xfId="7720"/>
    <cellStyle name="强调文字颜色 6 3 5 2" xfId="7721"/>
    <cellStyle name="强调文字颜色 6 3 6" xfId="7722"/>
    <cellStyle name="强调文字颜色 6 3 7" xfId="8839"/>
    <cellStyle name="强调文字颜色 6 4" xfId="7723"/>
    <cellStyle name="强调文字颜色 6 4 2" xfId="7724"/>
    <cellStyle name="强调文字颜色 6 4 2 2" xfId="7725"/>
    <cellStyle name="强调文字颜色 6 4 2 2 2" xfId="7726"/>
    <cellStyle name="强调文字颜色 6 4 2 2 2 2" xfId="7727"/>
    <cellStyle name="强调文字颜色 6 4 2 2 3" xfId="7728"/>
    <cellStyle name="强调文字颜色 6 4 2 3" xfId="7729"/>
    <cellStyle name="强调文字颜色 6 4 2 3 2" xfId="7730"/>
    <cellStyle name="强调文字颜色 6 4 2 4" xfId="7731"/>
    <cellStyle name="强调文字颜色 6 4 2 4 2" xfId="7732"/>
    <cellStyle name="强调文字颜色 6 4 2 5" xfId="7733"/>
    <cellStyle name="强调文字颜色 6 4 2 6" xfId="8842"/>
    <cellStyle name="强调文字颜色 6 4 3" xfId="7734"/>
    <cellStyle name="强调文字颜色 6 4 3 2" xfId="7735"/>
    <cellStyle name="强调文字颜色 6 4 3 2 2" xfId="7736"/>
    <cellStyle name="强调文字颜色 6 4 3 3" xfId="7737"/>
    <cellStyle name="强调文字颜色 6 4 4" xfId="7738"/>
    <cellStyle name="强调文字颜色 6 4 4 2" xfId="7739"/>
    <cellStyle name="强调文字颜色 6 4 5" xfId="7740"/>
    <cellStyle name="强调文字颜色 6 4 5 2" xfId="7741"/>
    <cellStyle name="强调文字颜色 6 4 6" xfId="7742"/>
    <cellStyle name="强调文字颜色 6 4 7" xfId="8841"/>
    <cellStyle name="强调文字颜色 6 5" xfId="7743"/>
    <cellStyle name="强调文字颜色 6 5 2" xfId="7744"/>
    <cellStyle name="强调文字颜色 6 5 2 2" xfId="7745"/>
    <cellStyle name="强调文字颜色 6 5 2 2 2" xfId="7746"/>
    <cellStyle name="强调文字颜色 6 5 2 3" xfId="7747"/>
    <cellStyle name="强调文字颜色 6 5 3" xfId="7748"/>
    <cellStyle name="强调文字颜色 6 5 3 2" xfId="7749"/>
    <cellStyle name="强调文字颜色 6 5 4" xfId="7750"/>
    <cellStyle name="强调文字颜色 6 5 4 2" xfId="7751"/>
    <cellStyle name="强调文字颜色 6 5 5" xfId="7752"/>
    <cellStyle name="强调文字颜色 6 6" xfId="7753"/>
    <cellStyle name="强调文字颜色 6 6 2" xfId="7754"/>
    <cellStyle name="强调文字颜色 6 6 2 2" xfId="7755"/>
    <cellStyle name="强调文字颜色 6 6 2 2 2" xfId="7756"/>
    <cellStyle name="强调文字颜色 6 6 2 3" xfId="7757"/>
    <cellStyle name="强调文字颜色 6 6 3" xfId="7758"/>
    <cellStyle name="强调文字颜色 6 6 3 2" xfId="7759"/>
    <cellStyle name="强调文字颜色 6 6 4" xfId="7760"/>
    <cellStyle name="强调文字颜色 6 6 4 2" xfId="7761"/>
    <cellStyle name="强调文字颜色 6 6 5" xfId="7762"/>
    <cellStyle name="强调文字颜色 6 7" xfId="7763"/>
    <cellStyle name="强调文字颜色 6 7 2" xfId="7764"/>
    <cellStyle name="强调文字颜色 6 7 2 2" xfId="7765"/>
    <cellStyle name="强调文字颜色 6 7 2 2 2" xfId="7766"/>
    <cellStyle name="强调文字颜色 6 7 2 3" xfId="7767"/>
    <cellStyle name="强调文字颜色 6 7 3" xfId="7768"/>
    <cellStyle name="强调文字颜色 6 7 3 2" xfId="7769"/>
    <cellStyle name="强调文字颜色 6 7 4" xfId="7770"/>
    <cellStyle name="强调文字颜色 6 7 4 2" xfId="7771"/>
    <cellStyle name="强调文字颜色 6 7 5" xfId="7772"/>
    <cellStyle name="适中 2" xfId="7773"/>
    <cellStyle name="适中 2 10" xfId="8992"/>
    <cellStyle name="适中 2 2" xfId="7774"/>
    <cellStyle name="适中 2 2 2" xfId="7775"/>
    <cellStyle name="适中 2 2 2 2" xfId="7776"/>
    <cellStyle name="适中 2 2 2 2 2" xfId="7777"/>
    <cellStyle name="适中 2 2 2 3" xfId="7778"/>
    <cellStyle name="适中 2 2 3" xfId="7779"/>
    <cellStyle name="适中 2 2 3 2" xfId="7780"/>
    <cellStyle name="适中 2 2 4" xfId="7781"/>
    <cellStyle name="适中 2 2 4 2" xfId="7782"/>
    <cellStyle name="适中 2 2 5" xfId="7783"/>
    <cellStyle name="适中 2 2 6" xfId="8844"/>
    <cellStyle name="适中 2 3" xfId="7784"/>
    <cellStyle name="适中 2 3 2" xfId="7785"/>
    <cellStyle name="适中 2 3 2 2" xfId="7786"/>
    <cellStyle name="适中 2 3 3" xfId="7787"/>
    <cellStyle name="适中 2 4" xfId="7788"/>
    <cellStyle name="适中 2 4 2" xfId="7789"/>
    <cellStyle name="适中 2 5" xfId="7790"/>
    <cellStyle name="适中 2 5 2" xfId="7791"/>
    <cellStyle name="适中 2 6" xfId="7792"/>
    <cellStyle name="适中 2 7" xfId="8618"/>
    <cellStyle name="适中 2 8" xfId="8843"/>
    <cellStyle name="适中 2 9" xfId="8917"/>
    <cellStyle name="适中 3" xfId="7793"/>
    <cellStyle name="适中 3 2" xfId="7794"/>
    <cellStyle name="适中 3 2 2" xfId="7795"/>
    <cellStyle name="适中 3 2 2 2" xfId="7796"/>
    <cellStyle name="适中 3 2 2 2 2" xfId="7797"/>
    <cellStyle name="适中 3 2 2 3" xfId="7798"/>
    <cellStyle name="适中 3 2 3" xfId="7799"/>
    <cellStyle name="适中 3 2 3 2" xfId="7800"/>
    <cellStyle name="适中 3 2 4" xfId="7801"/>
    <cellStyle name="适中 3 2 4 2" xfId="7802"/>
    <cellStyle name="适中 3 2 5" xfId="7803"/>
    <cellStyle name="适中 3 2 6" xfId="8846"/>
    <cellStyle name="适中 3 3" xfId="7804"/>
    <cellStyle name="适中 3 3 2" xfId="7805"/>
    <cellStyle name="适中 3 3 2 2" xfId="7806"/>
    <cellStyle name="适中 3 3 3" xfId="7807"/>
    <cellStyle name="适中 3 4" xfId="7808"/>
    <cellStyle name="适中 3 4 2" xfId="7809"/>
    <cellStyle name="适中 3 5" xfId="7810"/>
    <cellStyle name="适中 3 5 2" xfId="7811"/>
    <cellStyle name="适中 3 6" xfId="7812"/>
    <cellStyle name="适中 3 7" xfId="8845"/>
    <cellStyle name="适中 4" xfId="7813"/>
    <cellStyle name="适中 4 2" xfId="7814"/>
    <cellStyle name="适中 4 2 2" xfId="7815"/>
    <cellStyle name="适中 4 2 2 2" xfId="7816"/>
    <cellStyle name="适中 4 2 2 2 2" xfId="7817"/>
    <cellStyle name="适中 4 2 2 3" xfId="7818"/>
    <cellStyle name="适中 4 2 3" xfId="7819"/>
    <cellStyle name="适中 4 2 3 2" xfId="7820"/>
    <cellStyle name="适中 4 2 4" xfId="7821"/>
    <cellStyle name="适中 4 2 4 2" xfId="7822"/>
    <cellStyle name="适中 4 2 5" xfId="7823"/>
    <cellStyle name="适中 4 2 6" xfId="8848"/>
    <cellStyle name="适中 4 3" xfId="7824"/>
    <cellStyle name="适中 4 3 2" xfId="7825"/>
    <cellStyle name="适中 4 3 2 2" xfId="7826"/>
    <cellStyle name="适中 4 3 3" xfId="7827"/>
    <cellStyle name="适中 4 4" xfId="7828"/>
    <cellStyle name="适中 4 4 2" xfId="7829"/>
    <cellStyle name="适中 4 5" xfId="7830"/>
    <cellStyle name="适中 4 5 2" xfId="7831"/>
    <cellStyle name="适中 4 6" xfId="7832"/>
    <cellStyle name="适中 4 7" xfId="8847"/>
    <cellStyle name="适中 5" xfId="7833"/>
    <cellStyle name="适中 5 2" xfId="7834"/>
    <cellStyle name="适中 5 2 2" xfId="7835"/>
    <cellStyle name="适中 5 2 2 2" xfId="7836"/>
    <cellStyle name="适中 5 2 3" xfId="7837"/>
    <cellStyle name="适中 5 3" xfId="7838"/>
    <cellStyle name="适中 5 3 2" xfId="7839"/>
    <cellStyle name="适中 5 4" xfId="7840"/>
    <cellStyle name="适中 5 4 2" xfId="7841"/>
    <cellStyle name="适中 5 5" xfId="7842"/>
    <cellStyle name="适中 6" xfId="7843"/>
    <cellStyle name="适中 6 2" xfId="7844"/>
    <cellStyle name="适中 6 2 2" xfId="7845"/>
    <cellStyle name="适中 6 2 2 2" xfId="7846"/>
    <cellStyle name="适中 6 2 3" xfId="7847"/>
    <cellStyle name="适中 6 3" xfId="7848"/>
    <cellStyle name="适中 6 3 2" xfId="7849"/>
    <cellStyle name="适中 6 4" xfId="7850"/>
    <cellStyle name="适中 6 4 2" xfId="7851"/>
    <cellStyle name="适中 6 5" xfId="7852"/>
    <cellStyle name="适中 7" xfId="7853"/>
    <cellStyle name="适中 7 2" xfId="7854"/>
    <cellStyle name="适中 7 2 2" xfId="7855"/>
    <cellStyle name="适中 7 2 2 2" xfId="7856"/>
    <cellStyle name="适中 7 2 3" xfId="7857"/>
    <cellStyle name="适中 7 3" xfId="7858"/>
    <cellStyle name="适中 7 3 2" xfId="7859"/>
    <cellStyle name="适中 7 4" xfId="7860"/>
    <cellStyle name="适中 7 4 2" xfId="7861"/>
    <cellStyle name="适中 7 5" xfId="7862"/>
    <cellStyle name="输出 2" xfId="7863"/>
    <cellStyle name="输出 2 10" xfId="8937"/>
    <cellStyle name="输出 2 11" xfId="8951"/>
    <cellStyle name="输出 2 12" xfId="8993"/>
    <cellStyle name="输出 2 2" xfId="7864"/>
    <cellStyle name="输出 2 2 2" xfId="7865"/>
    <cellStyle name="输出 2 2 2 2" xfId="7866"/>
    <cellStyle name="输出 2 2 2 2 2" xfId="7867"/>
    <cellStyle name="输出 2 2 2 3" xfId="7868"/>
    <cellStyle name="输出 2 2 3" xfId="7869"/>
    <cellStyle name="输出 2 2 3 2" xfId="7870"/>
    <cellStyle name="输出 2 2 4" xfId="7871"/>
    <cellStyle name="输出 2 2 4 2" xfId="7872"/>
    <cellStyle name="输出 2 2 5" xfId="7873"/>
    <cellStyle name="输出 2 2 6" xfId="8850"/>
    <cellStyle name="输出 2 2 7" xfId="8945"/>
    <cellStyle name="输出 2 2 8" xfId="8956"/>
    <cellStyle name="输出 2 3" xfId="7874"/>
    <cellStyle name="输出 2 3 2" xfId="7875"/>
    <cellStyle name="输出 2 3 2 2" xfId="7876"/>
    <cellStyle name="输出 2 3 3" xfId="7877"/>
    <cellStyle name="输出 2 4" xfId="7878"/>
    <cellStyle name="输出 2 4 2" xfId="7879"/>
    <cellStyle name="输出 2 5" xfId="7880"/>
    <cellStyle name="输出 2 5 2" xfId="7881"/>
    <cellStyle name="输出 2 6" xfId="7882"/>
    <cellStyle name="输出 2 7" xfId="8619"/>
    <cellStyle name="输出 2 8" xfId="8624"/>
    <cellStyle name="输出 2 9" xfId="8849"/>
    <cellStyle name="输出 3" xfId="7883"/>
    <cellStyle name="输出 3 2" xfId="7884"/>
    <cellStyle name="输出 3 2 2" xfId="7885"/>
    <cellStyle name="输出 3 2 2 2" xfId="7886"/>
    <cellStyle name="输出 3 2 2 2 2" xfId="7887"/>
    <cellStyle name="输出 3 2 2 3" xfId="7888"/>
    <cellStyle name="输出 3 2 3" xfId="7889"/>
    <cellStyle name="输出 3 2 3 2" xfId="7890"/>
    <cellStyle name="输出 3 2 4" xfId="7891"/>
    <cellStyle name="输出 3 2 4 2" xfId="7892"/>
    <cellStyle name="输出 3 2 5" xfId="7893"/>
    <cellStyle name="输出 3 2 6" xfId="8852"/>
    <cellStyle name="输出 3 3" xfId="7894"/>
    <cellStyle name="输出 3 3 2" xfId="7895"/>
    <cellStyle name="输出 3 3 2 2" xfId="7896"/>
    <cellStyle name="输出 3 3 3" xfId="7897"/>
    <cellStyle name="输出 3 4" xfId="7898"/>
    <cellStyle name="输出 3 4 2" xfId="7899"/>
    <cellStyle name="输出 3 5" xfId="7900"/>
    <cellStyle name="输出 3 5 2" xfId="7901"/>
    <cellStyle name="输出 3 6" xfId="7902"/>
    <cellStyle name="输出 3 7" xfId="8851"/>
    <cellStyle name="输出 4" xfId="7903"/>
    <cellStyle name="输出 4 2" xfId="7904"/>
    <cellStyle name="输出 4 2 2" xfId="7905"/>
    <cellStyle name="输出 4 2 2 2" xfId="7906"/>
    <cellStyle name="输出 4 2 2 2 2" xfId="7907"/>
    <cellStyle name="输出 4 2 2 3" xfId="7908"/>
    <cellStyle name="输出 4 2 3" xfId="7909"/>
    <cellStyle name="输出 4 2 3 2" xfId="7910"/>
    <cellStyle name="输出 4 2 4" xfId="7911"/>
    <cellStyle name="输出 4 2 4 2" xfId="7912"/>
    <cellStyle name="输出 4 2 5" xfId="7913"/>
    <cellStyle name="输出 4 2 6" xfId="8854"/>
    <cellStyle name="输出 4 3" xfId="7914"/>
    <cellStyle name="输出 4 3 2" xfId="7915"/>
    <cellStyle name="输出 4 3 2 2" xfId="7916"/>
    <cellStyle name="输出 4 3 3" xfId="7917"/>
    <cellStyle name="输出 4 4" xfId="7918"/>
    <cellStyle name="输出 4 4 2" xfId="7919"/>
    <cellStyle name="输出 4 5" xfId="7920"/>
    <cellStyle name="输出 4 5 2" xfId="7921"/>
    <cellStyle name="输出 4 6" xfId="7922"/>
    <cellStyle name="输出 4 7" xfId="8853"/>
    <cellStyle name="输出 5" xfId="7923"/>
    <cellStyle name="输出 5 2" xfId="7924"/>
    <cellStyle name="输出 5 2 2" xfId="7925"/>
    <cellStyle name="输出 5 2 2 2" xfId="7926"/>
    <cellStyle name="输出 5 2 3" xfId="7927"/>
    <cellStyle name="输出 5 3" xfId="7928"/>
    <cellStyle name="输出 5 3 2" xfId="7929"/>
    <cellStyle name="输出 5 4" xfId="7930"/>
    <cellStyle name="输出 5 4 2" xfId="7931"/>
    <cellStyle name="输出 5 5" xfId="7932"/>
    <cellStyle name="输出 6" xfId="7933"/>
    <cellStyle name="输出 6 2" xfId="7934"/>
    <cellStyle name="输出 6 2 2" xfId="7935"/>
    <cellStyle name="输出 6 2 2 2" xfId="7936"/>
    <cellStyle name="输出 6 2 3" xfId="7937"/>
    <cellStyle name="输出 6 3" xfId="7938"/>
    <cellStyle name="输出 6 3 2" xfId="7939"/>
    <cellStyle name="输出 6 4" xfId="7940"/>
    <cellStyle name="输出 6 4 2" xfId="7941"/>
    <cellStyle name="输出 6 5" xfId="7942"/>
    <cellStyle name="输出 7" xfId="7943"/>
    <cellStyle name="输出 7 2" xfId="7944"/>
    <cellStyle name="输出 7 2 2" xfId="7945"/>
    <cellStyle name="输出 7 2 2 2" xfId="7946"/>
    <cellStyle name="输出 7 2 3" xfId="7947"/>
    <cellStyle name="输出 7 3" xfId="7948"/>
    <cellStyle name="输出 7 3 2" xfId="7949"/>
    <cellStyle name="输出 7 4" xfId="7950"/>
    <cellStyle name="输出 7 4 2" xfId="7951"/>
    <cellStyle name="输出 7 5" xfId="7952"/>
    <cellStyle name="输入 2" xfId="7953"/>
    <cellStyle name="输入 2 10" xfId="8938"/>
    <cellStyle name="输入 2 11" xfId="8952"/>
    <cellStyle name="输入 2 12" xfId="8994"/>
    <cellStyle name="输入 2 2" xfId="7954"/>
    <cellStyle name="输入 2 2 2" xfId="7955"/>
    <cellStyle name="输入 2 2 2 2" xfId="7956"/>
    <cellStyle name="输入 2 2 2 2 2" xfId="7957"/>
    <cellStyle name="输入 2 2 2 3" xfId="7958"/>
    <cellStyle name="输入 2 2 3" xfId="7959"/>
    <cellStyle name="输入 2 2 3 2" xfId="7960"/>
    <cellStyle name="输入 2 2 4" xfId="7961"/>
    <cellStyle name="输入 2 2 4 2" xfId="7962"/>
    <cellStyle name="输入 2 2 5" xfId="7963"/>
    <cellStyle name="输入 2 2 6" xfId="8856"/>
    <cellStyle name="输入 2 2 7" xfId="8946"/>
    <cellStyle name="输入 2 2 8" xfId="8957"/>
    <cellStyle name="输入 2 3" xfId="7964"/>
    <cellStyle name="输入 2 3 2" xfId="7965"/>
    <cellStyle name="输入 2 3 2 2" xfId="7966"/>
    <cellStyle name="输入 2 3 3" xfId="7967"/>
    <cellStyle name="输入 2 4" xfId="7968"/>
    <cellStyle name="输入 2 4 2" xfId="7969"/>
    <cellStyle name="输入 2 5" xfId="7970"/>
    <cellStyle name="输入 2 5 2" xfId="7971"/>
    <cellStyle name="输入 2 6" xfId="7972"/>
    <cellStyle name="输入 2 7" xfId="8620"/>
    <cellStyle name="输入 2 8" xfId="8625"/>
    <cellStyle name="输入 2 9" xfId="8855"/>
    <cellStyle name="输入 3" xfId="7973"/>
    <cellStyle name="输入 3 2" xfId="7974"/>
    <cellStyle name="输入 3 2 2" xfId="7975"/>
    <cellStyle name="输入 3 2 2 2" xfId="7976"/>
    <cellStyle name="输入 3 2 2 2 2" xfId="7977"/>
    <cellStyle name="输入 3 2 2 3" xfId="7978"/>
    <cellStyle name="输入 3 2 3" xfId="7979"/>
    <cellStyle name="输入 3 2 3 2" xfId="7980"/>
    <cellStyle name="输入 3 2 4" xfId="7981"/>
    <cellStyle name="输入 3 2 4 2" xfId="7982"/>
    <cellStyle name="输入 3 2 5" xfId="7983"/>
    <cellStyle name="输入 3 2 6" xfId="8858"/>
    <cellStyle name="输入 3 3" xfId="7984"/>
    <cellStyle name="输入 3 3 2" xfId="7985"/>
    <cellStyle name="输入 3 3 2 2" xfId="7986"/>
    <cellStyle name="输入 3 3 3" xfId="7987"/>
    <cellStyle name="输入 3 4" xfId="7988"/>
    <cellStyle name="输入 3 4 2" xfId="7989"/>
    <cellStyle name="输入 3 5" xfId="7990"/>
    <cellStyle name="输入 3 5 2" xfId="7991"/>
    <cellStyle name="输入 3 6" xfId="7992"/>
    <cellStyle name="输入 3 7" xfId="8857"/>
    <cellStyle name="输入 4" xfId="7993"/>
    <cellStyle name="输入 4 2" xfId="7994"/>
    <cellStyle name="输入 4 2 2" xfId="7995"/>
    <cellStyle name="输入 4 2 2 2" xfId="7996"/>
    <cellStyle name="输入 4 2 2 2 2" xfId="7997"/>
    <cellStyle name="输入 4 2 2 3" xfId="7998"/>
    <cellStyle name="输入 4 2 3" xfId="7999"/>
    <cellStyle name="输入 4 2 3 2" xfId="8000"/>
    <cellStyle name="输入 4 2 4" xfId="8001"/>
    <cellStyle name="输入 4 2 4 2" xfId="8002"/>
    <cellStyle name="输入 4 2 5" xfId="8003"/>
    <cellStyle name="输入 4 2 6" xfId="8860"/>
    <cellStyle name="输入 4 3" xfId="8004"/>
    <cellStyle name="输入 4 3 2" xfId="8005"/>
    <cellStyle name="输入 4 3 2 2" xfId="8006"/>
    <cellStyle name="输入 4 3 3" xfId="8007"/>
    <cellStyle name="输入 4 4" xfId="8008"/>
    <cellStyle name="输入 4 4 2" xfId="8009"/>
    <cellStyle name="输入 4 5" xfId="8010"/>
    <cellStyle name="输入 4 5 2" xfId="8011"/>
    <cellStyle name="输入 4 6" xfId="8012"/>
    <cellStyle name="输入 4 7" xfId="8859"/>
    <cellStyle name="输入 5" xfId="8013"/>
    <cellStyle name="输入 5 2" xfId="8014"/>
    <cellStyle name="输入 5 2 2" xfId="8015"/>
    <cellStyle name="输入 5 2 2 2" xfId="8016"/>
    <cellStyle name="输入 5 2 3" xfId="8017"/>
    <cellStyle name="输入 5 3" xfId="8018"/>
    <cellStyle name="输入 5 3 2" xfId="8019"/>
    <cellStyle name="输入 5 4" xfId="8020"/>
    <cellStyle name="输入 5 4 2" xfId="8021"/>
    <cellStyle name="输入 5 5" xfId="8022"/>
    <cellStyle name="输入 6" xfId="8023"/>
    <cellStyle name="输入 6 2" xfId="8024"/>
    <cellStyle name="输入 6 2 2" xfId="8025"/>
    <cellStyle name="输入 6 2 2 2" xfId="8026"/>
    <cellStyle name="输入 6 2 3" xfId="8027"/>
    <cellStyle name="输入 6 3" xfId="8028"/>
    <cellStyle name="输入 6 3 2" xfId="8029"/>
    <cellStyle name="输入 6 4" xfId="8030"/>
    <cellStyle name="输入 6 4 2" xfId="8031"/>
    <cellStyle name="输入 6 5" xfId="8032"/>
    <cellStyle name="输入 7" xfId="8033"/>
    <cellStyle name="输入 7 2" xfId="8034"/>
    <cellStyle name="输入 7 2 2" xfId="8035"/>
    <cellStyle name="输入 7 2 2 2" xfId="8036"/>
    <cellStyle name="输入 7 2 3" xfId="8037"/>
    <cellStyle name="输入 7 3" xfId="8038"/>
    <cellStyle name="输入 7 3 2" xfId="8039"/>
    <cellStyle name="输入 7 4" xfId="8040"/>
    <cellStyle name="输入 7 4 2" xfId="8041"/>
    <cellStyle name="输入 7 5" xfId="8042"/>
    <cellStyle name="说明文本" xfId="8043"/>
    <cellStyle name="说明文本 2" xfId="8044"/>
    <cellStyle name="说明文本 2 2" xfId="8045"/>
    <cellStyle name="说明文本 2 2 2" xfId="8046"/>
    <cellStyle name="说明文本 2 2 2 2" xfId="8047"/>
    <cellStyle name="说明文本 2 2 2 2 2" xfId="8048"/>
    <cellStyle name="说明文本 2 2 2 3" xfId="8049"/>
    <cellStyle name="说明文本 2 2 3" xfId="8050"/>
    <cellStyle name="说明文本 2 2 3 2" xfId="8051"/>
    <cellStyle name="说明文本 2 2 4" xfId="8052"/>
    <cellStyle name="说明文本 2 2 4 2" xfId="8053"/>
    <cellStyle name="说明文本 2 2 5" xfId="8054"/>
    <cellStyle name="说明文本 2 3" xfId="8055"/>
    <cellStyle name="说明文本 2 3 2" xfId="8056"/>
    <cellStyle name="说明文本 2 3 2 2" xfId="8057"/>
    <cellStyle name="说明文本 2 3 3" xfId="8058"/>
    <cellStyle name="说明文本 2 4" xfId="8059"/>
    <cellStyle name="说明文本 2 4 2" xfId="8060"/>
    <cellStyle name="说明文本 2 5" xfId="8061"/>
    <cellStyle name="说明文本 2 5 2" xfId="8062"/>
    <cellStyle name="说明文本 2 6" xfId="8063"/>
    <cellStyle name="说明文本 3" xfId="8064"/>
    <cellStyle name="说明文本 3 2" xfId="8065"/>
    <cellStyle name="说明文本 3 2 2" xfId="8066"/>
    <cellStyle name="说明文本 3 2 2 2" xfId="8067"/>
    <cellStyle name="说明文本 3 2 3" xfId="8068"/>
    <cellStyle name="说明文本 3 3" xfId="8069"/>
    <cellStyle name="说明文本 3 3 2" xfId="8070"/>
    <cellStyle name="说明文本 3 4" xfId="8071"/>
    <cellStyle name="说明文本 3 4 2" xfId="8072"/>
    <cellStyle name="说明文本 3 5" xfId="8073"/>
    <cellStyle name="说明文本 4" xfId="8074"/>
    <cellStyle name="说明文本 4 2" xfId="8075"/>
    <cellStyle name="说明文本 4 2 2" xfId="8076"/>
    <cellStyle name="说明文本 4 2 2 2" xfId="8077"/>
    <cellStyle name="说明文本 4 2 3" xfId="8078"/>
    <cellStyle name="说明文本 4 3" xfId="8079"/>
    <cellStyle name="说明文本 4 3 2" xfId="8080"/>
    <cellStyle name="说明文本 4 4" xfId="8081"/>
    <cellStyle name="说明文本 4 4 2" xfId="8082"/>
    <cellStyle name="说明文本 4 5" xfId="8083"/>
    <cellStyle name="说明文本 5" xfId="8084"/>
    <cellStyle name="说明文本 5 2" xfId="8085"/>
    <cellStyle name="说明文本 5 2 2" xfId="8086"/>
    <cellStyle name="说明文本 5 3" xfId="8087"/>
    <cellStyle name="说明文本 6" xfId="8088"/>
    <cellStyle name="说明文本 6 2" xfId="8089"/>
    <cellStyle name="说明文本 7" xfId="8090"/>
    <cellStyle name="说明文本 7 2" xfId="8091"/>
    <cellStyle name="说明文本 8" xfId="8092"/>
    <cellStyle name="说明文本 8 2" xfId="8093"/>
    <cellStyle name="说明文本 9" xfId="8094"/>
    <cellStyle name="无色" xfId="8095"/>
    <cellStyle name="无色 2" xfId="8096"/>
    <cellStyle name="无色 2 2" xfId="8097"/>
    <cellStyle name="无色 2 2 2" xfId="8098"/>
    <cellStyle name="无色 2 2 2 2" xfId="8099"/>
    <cellStyle name="无色 2 2 2 2 2" xfId="8100"/>
    <cellStyle name="无色 2 2 2 3" xfId="8101"/>
    <cellStyle name="无色 2 2 3" xfId="8102"/>
    <cellStyle name="无色 2 2 3 2" xfId="8103"/>
    <cellStyle name="无色 2 2 4" xfId="8104"/>
    <cellStyle name="无色 2 2 4 2" xfId="8105"/>
    <cellStyle name="无色 2 2 5" xfId="8106"/>
    <cellStyle name="无色 2 3" xfId="8107"/>
    <cellStyle name="无色 2 3 2" xfId="8108"/>
    <cellStyle name="无色 2 3 2 2" xfId="8109"/>
    <cellStyle name="无色 2 3 3" xfId="8110"/>
    <cellStyle name="无色 2 4" xfId="8111"/>
    <cellStyle name="无色 2 4 2" xfId="8112"/>
    <cellStyle name="无色 2 5" xfId="8113"/>
    <cellStyle name="无色 2 5 2" xfId="8114"/>
    <cellStyle name="无色 2 6" xfId="8115"/>
    <cellStyle name="无色 3" xfId="8116"/>
    <cellStyle name="无色 3 2" xfId="8117"/>
    <cellStyle name="无色 3 2 2" xfId="8118"/>
    <cellStyle name="无色 3 2 2 2" xfId="8119"/>
    <cellStyle name="无色 3 2 3" xfId="8120"/>
    <cellStyle name="无色 3 3" xfId="8121"/>
    <cellStyle name="无色 3 3 2" xfId="8122"/>
    <cellStyle name="无色 3 4" xfId="8123"/>
    <cellStyle name="无色 3 4 2" xfId="8124"/>
    <cellStyle name="无色 3 5" xfId="8125"/>
    <cellStyle name="无色 4" xfId="8126"/>
    <cellStyle name="无色 4 2" xfId="8127"/>
    <cellStyle name="无色 4 2 2" xfId="8128"/>
    <cellStyle name="无色 4 2 2 2" xfId="8129"/>
    <cellStyle name="无色 4 2 3" xfId="8130"/>
    <cellStyle name="无色 4 3" xfId="8131"/>
    <cellStyle name="无色 4 3 2" xfId="8132"/>
    <cellStyle name="无色 4 4" xfId="8133"/>
    <cellStyle name="无色 4 4 2" xfId="8134"/>
    <cellStyle name="无色 4 5" xfId="8135"/>
    <cellStyle name="无色 5" xfId="8136"/>
    <cellStyle name="无色 5 2" xfId="8137"/>
    <cellStyle name="无色 5 2 2" xfId="8138"/>
    <cellStyle name="无色 5 3" xfId="8139"/>
    <cellStyle name="无色 6" xfId="8140"/>
    <cellStyle name="无色 6 2" xfId="8141"/>
    <cellStyle name="无色 7" xfId="8142"/>
    <cellStyle name="无色 7 2" xfId="8143"/>
    <cellStyle name="无色 8" xfId="8144"/>
    <cellStyle name="无色 8 2" xfId="8145"/>
    <cellStyle name="无色 9" xfId="8146"/>
    <cellStyle name="样式 1" xfId="8147"/>
    <cellStyle name="样式 1 2" xfId="8588"/>
    <cellStyle name="着色 1" xfId="8148"/>
    <cellStyle name="着色 1 2" xfId="8149"/>
    <cellStyle name="着色 1 2 2" xfId="8150"/>
    <cellStyle name="着色 1 2 2 2" xfId="8151"/>
    <cellStyle name="着色 1 2 2 2 2" xfId="8152"/>
    <cellStyle name="着色 1 2 2 2 2 2" xfId="8153"/>
    <cellStyle name="着色 1 2 2 2 3" xfId="8154"/>
    <cellStyle name="着色 1 2 2 3" xfId="8155"/>
    <cellStyle name="着色 1 2 2 3 2" xfId="8156"/>
    <cellStyle name="着色 1 2 2 4" xfId="8157"/>
    <cellStyle name="着色 1 2 2 4 2" xfId="8158"/>
    <cellStyle name="着色 1 2 2 5" xfId="8159"/>
    <cellStyle name="着色 1 2 3" xfId="8160"/>
    <cellStyle name="着色 1 2 3 2" xfId="8161"/>
    <cellStyle name="着色 1 2 3 2 2" xfId="8162"/>
    <cellStyle name="着色 1 2 3 3" xfId="8163"/>
    <cellStyle name="着色 1 2 4" xfId="8164"/>
    <cellStyle name="着色 1 2 4 2" xfId="8165"/>
    <cellStyle name="着色 1 2 5" xfId="8166"/>
    <cellStyle name="着色 1 2 5 2" xfId="8167"/>
    <cellStyle name="着色 1 2 6" xfId="8168"/>
    <cellStyle name="着色 1 3" xfId="8169"/>
    <cellStyle name="着色 1 3 2" xfId="8170"/>
    <cellStyle name="着色 1 3 2 2" xfId="8171"/>
    <cellStyle name="着色 1 3 2 2 2" xfId="8172"/>
    <cellStyle name="着色 1 3 2 3" xfId="8173"/>
    <cellStyle name="着色 1 3 3" xfId="8174"/>
    <cellStyle name="着色 1 3 3 2" xfId="8175"/>
    <cellStyle name="着色 1 3 4" xfId="8176"/>
    <cellStyle name="着色 1 3 4 2" xfId="8177"/>
    <cellStyle name="着色 1 3 5" xfId="8178"/>
    <cellStyle name="着色 1 4" xfId="8179"/>
    <cellStyle name="着色 1 4 2" xfId="8180"/>
    <cellStyle name="着色 1 4 2 2" xfId="8181"/>
    <cellStyle name="着色 1 4 2 2 2" xfId="8182"/>
    <cellStyle name="着色 1 4 2 3" xfId="8183"/>
    <cellStyle name="着色 1 4 3" xfId="8184"/>
    <cellStyle name="着色 1 4 3 2" xfId="8185"/>
    <cellStyle name="着色 1 4 4" xfId="8186"/>
    <cellStyle name="着色 1 4 4 2" xfId="8187"/>
    <cellStyle name="着色 1 4 5" xfId="8188"/>
    <cellStyle name="着色 1 5" xfId="8189"/>
    <cellStyle name="着色 1 5 2" xfId="8190"/>
    <cellStyle name="着色 1 5 2 2" xfId="8191"/>
    <cellStyle name="着色 1 5 3" xfId="8192"/>
    <cellStyle name="着色 1 6" xfId="8193"/>
    <cellStyle name="着色 1 6 2" xfId="8194"/>
    <cellStyle name="着色 1 7" xfId="8195"/>
    <cellStyle name="着色 1 7 2" xfId="8196"/>
    <cellStyle name="着色 1 8" xfId="8197"/>
    <cellStyle name="着色 1 8 2" xfId="8198"/>
    <cellStyle name="着色 1 9" xfId="8199"/>
    <cellStyle name="着色 2" xfId="8200"/>
    <cellStyle name="着色 2 2" xfId="8201"/>
    <cellStyle name="着色 2 2 2" xfId="8202"/>
    <cellStyle name="着色 2 2 2 2" xfId="8203"/>
    <cellStyle name="着色 2 2 2 2 2" xfId="8204"/>
    <cellStyle name="着色 2 2 2 2 2 2" xfId="8205"/>
    <cellStyle name="着色 2 2 2 2 3" xfId="8206"/>
    <cellStyle name="着色 2 2 2 3" xfId="8207"/>
    <cellStyle name="着色 2 2 2 3 2" xfId="8208"/>
    <cellStyle name="着色 2 2 2 4" xfId="8209"/>
    <cellStyle name="着色 2 2 2 4 2" xfId="8210"/>
    <cellStyle name="着色 2 2 2 5" xfId="8211"/>
    <cellStyle name="着色 2 2 3" xfId="8212"/>
    <cellStyle name="着色 2 2 3 2" xfId="8213"/>
    <cellStyle name="着色 2 2 3 2 2" xfId="8214"/>
    <cellStyle name="着色 2 2 3 3" xfId="8215"/>
    <cellStyle name="着色 2 2 4" xfId="8216"/>
    <cellStyle name="着色 2 2 4 2" xfId="8217"/>
    <cellStyle name="着色 2 2 5" xfId="8218"/>
    <cellStyle name="着色 2 2 5 2" xfId="8219"/>
    <cellStyle name="着色 2 2 6" xfId="8220"/>
    <cellStyle name="着色 2 3" xfId="8221"/>
    <cellStyle name="着色 2 3 2" xfId="8222"/>
    <cellStyle name="着色 2 3 2 2" xfId="8223"/>
    <cellStyle name="着色 2 3 2 2 2" xfId="8224"/>
    <cellStyle name="着色 2 3 2 3" xfId="8225"/>
    <cellStyle name="着色 2 3 3" xfId="8226"/>
    <cellStyle name="着色 2 3 3 2" xfId="8227"/>
    <cellStyle name="着色 2 3 4" xfId="8228"/>
    <cellStyle name="着色 2 3 4 2" xfId="8229"/>
    <cellStyle name="着色 2 3 5" xfId="8230"/>
    <cellStyle name="着色 2 4" xfId="8231"/>
    <cellStyle name="着色 2 4 2" xfId="8232"/>
    <cellStyle name="着色 2 4 2 2" xfId="8233"/>
    <cellStyle name="着色 2 4 2 2 2" xfId="8234"/>
    <cellStyle name="着色 2 4 2 3" xfId="8235"/>
    <cellStyle name="着色 2 4 3" xfId="8236"/>
    <cellStyle name="着色 2 4 3 2" xfId="8237"/>
    <cellStyle name="着色 2 4 4" xfId="8238"/>
    <cellStyle name="着色 2 4 4 2" xfId="8239"/>
    <cellStyle name="着色 2 4 5" xfId="8240"/>
    <cellStyle name="着色 2 5" xfId="8241"/>
    <cellStyle name="着色 2 5 2" xfId="8242"/>
    <cellStyle name="着色 2 5 2 2" xfId="8243"/>
    <cellStyle name="着色 2 5 3" xfId="8244"/>
    <cellStyle name="着色 2 6" xfId="8245"/>
    <cellStyle name="着色 2 6 2" xfId="8246"/>
    <cellStyle name="着色 2 7" xfId="8247"/>
    <cellStyle name="着色 2 7 2" xfId="8248"/>
    <cellStyle name="着色 2 8" xfId="8249"/>
    <cellStyle name="着色 2 8 2" xfId="8250"/>
    <cellStyle name="着色 2 9" xfId="8251"/>
    <cellStyle name="着色 3" xfId="8252"/>
    <cellStyle name="着色 3 2" xfId="8253"/>
    <cellStyle name="着色 3 2 2" xfId="8254"/>
    <cellStyle name="着色 3 2 2 2" xfId="8255"/>
    <cellStyle name="着色 3 2 2 2 2" xfId="8256"/>
    <cellStyle name="着色 3 2 2 2 2 2" xfId="8257"/>
    <cellStyle name="着色 3 2 2 2 3" xfId="8258"/>
    <cellStyle name="着色 3 2 2 3" xfId="8259"/>
    <cellStyle name="着色 3 2 2 3 2" xfId="8260"/>
    <cellStyle name="着色 3 2 2 4" xfId="8261"/>
    <cellStyle name="着色 3 2 2 4 2" xfId="8262"/>
    <cellStyle name="着色 3 2 2 5" xfId="8263"/>
    <cellStyle name="着色 3 2 3" xfId="8264"/>
    <cellStyle name="着色 3 2 3 2" xfId="8265"/>
    <cellStyle name="着色 3 2 3 2 2" xfId="8266"/>
    <cellStyle name="着色 3 2 3 3" xfId="8267"/>
    <cellStyle name="着色 3 2 4" xfId="8268"/>
    <cellStyle name="着色 3 2 4 2" xfId="8269"/>
    <cellStyle name="着色 3 2 5" xfId="8270"/>
    <cellStyle name="着色 3 2 5 2" xfId="8271"/>
    <cellStyle name="着色 3 2 6" xfId="8272"/>
    <cellStyle name="着色 3 3" xfId="8273"/>
    <cellStyle name="着色 3 3 2" xfId="8274"/>
    <cellStyle name="着色 3 3 2 2" xfId="8275"/>
    <cellStyle name="着色 3 3 2 2 2" xfId="8276"/>
    <cellStyle name="着色 3 3 2 3" xfId="8277"/>
    <cellStyle name="着色 3 3 3" xfId="8278"/>
    <cellStyle name="着色 3 3 3 2" xfId="8279"/>
    <cellStyle name="着色 3 3 4" xfId="8280"/>
    <cellStyle name="着色 3 3 4 2" xfId="8281"/>
    <cellStyle name="着色 3 3 5" xfId="8282"/>
    <cellStyle name="着色 3 4" xfId="8283"/>
    <cellStyle name="着色 3 4 2" xfId="8284"/>
    <cellStyle name="着色 3 4 2 2" xfId="8285"/>
    <cellStyle name="着色 3 4 2 2 2" xfId="8286"/>
    <cellStyle name="着色 3 4 2 3" xfId="8287"/>
    <cellStyle name="着色 3 4 3" xfId="8288"/>
    <cellStyle name="着色 3 4 3 2" xfId="8289"/>
    <cellStyle name="着色 3 4 4" xfId="8290"/>
    <cellStyle name="着色 3 4 4 2" xfId="8291"/>
    <cellStyle name="着色 3 4 5" xfId="8292"/>
    <cellStyle name="着色 3 5" xfId="8293"/>
    <cellStyle name="着色 3 5 2" xfId="8294"/>
    <cellStyle name="着色 3 5 2 2" xfId="8295"/>
    <cellStyle name="着色 3 5 3" xfId="8296"/>
    <cellStyle name="着色 3 6" xfId="8297"/>
    <cellStyle name="着色 3 6 2" xfId="8298"/>
    <cellStyle name="着色 3 7" xfId="8299"/>
    <cellStyle name="着色 3 7 2" xfId="8300"/>
    <cellStyle name="着色 3 8" xfId="8301"/>
    <cellStyle name="着色 3 8 2" xfId="8302"/>
    <cellStyle name="着色 3 9" xfId="8303"/>
    <cellStyle name="着色 4" xfId="8304"/>
    <cellStyle name="着色 4 2" xfId="8305"/>
    <cellStyle name="着色 4 2 2" xfId="8306"/>
    <cellStyle name="着色 4 2 2 2" xfId="8307"/>
    <cellStyle name="着色 4 2 2 2 2" xfId="8308"/>
    <cellStyle name="着色 4 2 2 2 2 2" xfId="8309"/>
    <cellStyle name="着色 4 2 2 2 3" xfId="8310"/>
    <cellStyle name="着色 4 2 2 3" xfId="8311"/>
    <cellStyle name="着色 4 2 2 3 2" xfId="8312"/>
    <cellStyle name="着色 4 2 2 4" xfId="8313"/>
    <cellStyle name="着色 4 2 2 4 2" xfId="8314"/>
    <cellStyle name="着色 4 2 2 5" xfId="8315"/>
    <cellStyle name="着色 4 2 3" xfId="8316"/>
    <cellStyle name="着色 4 2 3 2" xfId="8317"/>
    <cellStyle name="着色 4 2 3 2 2" xfId="8318"/>
    <cellStyle name="着色 4 2 3 3" xfId="8319"/>
    <cellStyle name="着色 4 2 4" xfId="8320"/>
    <cellStyle name="着色 4 2 4 2" xfId="8321"/>
    <cellStyle name="着色 4 2 5" xfId="8322"/>
    <cellStyle name="着色 4 2 5 2" xfId="8323"/>
    <cellStyle name="着色 4 2 6" xfId="8324"/>
    <cellStyle name="着色 4 3" xfId="8325"/>
    <cellStyle name="着色 4 3 2" xfId="8326"/>
    <cellStyle name="着色 4 3 2 2" xfId="8327"/>
    <cellStyle name="着色 4 3 2 2 2" xfId="8328"/>
    <cellStyle name="着色 4 3 2 3" xfId="8329"/>
    <cellStyle name="着色 4 3 3" xfId="8330"/>
    <cellStyle name="着色 4 3 3 2" xfId="8331"/>
    <cellStyle name="着色 4 3 4" xfId="8332"/>
    <cellStyle name="着色 4 3 4 2" xfId="8333"/>
    <cellStyle name="着色 4 3 5" xfId="8334"/>
    <cellStyle name="着色 4 4" xfId="8335"/>
    <cellStyle name="着色 4 4 2" xfId="8336"/>
    <cellStyle name="着色 4 4 2 2" xfId="8337"/>
    <cellStyle name="着色 4 4 2 2 2" xfId="8338"/>
    <cellStyle name="着色 4 4 2 3" xfId="8339"/>
    <cellStyle name="着色 4 4 3" xfId="8340"/>
    <cellStyle name="着色 4 4 3 2" xfId="8341"/>
    <cellStyle name="着色 4 4 4" xfId="8342"/>
    <cellStyle name="着色 4 4 4 2" xfId="8343"/>
    <cellStyle name="着色 4 4 5" xfId="8344"/>
    <cellStyle name="着色 4 5" xfId="8345"/>
    <cellStyle name="着色 4 5 2" xfId="8346"/>
    <cellStyle name="着色 4 5 2 2" xfId="8347"/>
    <cellStyle name="着色 4 5 3" xfId="8348"/>
    <cellStyle name="着色 4 6" xfId="8349"/>
    <cellStyle name="着色 4 6 2" xfId="8350"/>
    <cellStyle name="着色 4 7" xfId="8351"/>
    <cellStyle name="着色 4 7 2" xfId="8352"/>
    <cellStyle name="着色 4 8" xfId="8353"/>
    <cellStyle name="着色 4 8 2" xfId="8354"/>
    <cellStyle name="着色 4 9" xfId="8355"/>
    <cellStyle name="着色 5" xfId="8356"/>
    <cellStyle name="着色 5 2" xfId="8357"/>
    <cellStyle name="着色 5 2 2" xfId="8358"/>
    <cellStyle name="着色 5 2 2 2" xfId="8359"/>
    <cellStyle name="着色 5 2 2 2 2" xfId="8360"/>
    <cellStyle name="着色 5 2 2 2 2 2" xfId="8361"/>
    <cellStyle name="着色 5 2 2 2 3" xfId="8362"/>
    <cellStyle name="着色 5 2 2 2 4" xfId="8363"/>
    <cellStyle name="着色 5 2 2 3" xfId="8364"/>
    <cellStyle name="着色 5 2 2 3 2" xfId="8365"/>
    <cellStyle name="着色 5 2 2 4" xfId="8366"/>
    <cellStyle name="着色 5 2 2 4 2" xfId="8367"/>
    <cellStyle name="着色 5 2 2 5" xfId="8368"/>
    <cellStyle name="着色 5 2 2 6" xfId="8369"/>
    <cellStyle name="着色 5 2 3" xfId="8370"/>
    <cellStyle name="着色 5 2 3 2" xfId="8371"/>
    <cellStyle name="着色 5 2 3 2 2" xfId="8372"/>
    <cellStyle name="着色 5 2 3 3" xfId="8373"/>
    <cellStyle name="着色 5 2 3 4" xfId="8374"/>
    <cellStyle name="着色 5 2 4" xfId="8375"/>
    <cellStyle name="着色 5 2 4 2" xfId="8376"/>
    <cellStyle name="着色 5 2 5" xfId="8377"/>
    <cellStyle name="着色 5 2 5 2" xfId="8378"/>
    <cellStyle name="着色 5 2 6" xfId="8379"/>
    <cellStyle name="着色 5 2 7" xfId="8380"/>
    <cellStyle name="着色 5 3" xfId="8381"/>
    <cellStyle name="着色 5 3 2" xfId="8382"/>
    <cellStyle name="着色 5 3 2 2" xfId="8383"/>
    <cellStyle name="着色 5 3 2 2 2" xfId="8384"/>
    <cellStyle name="着色 5 3 2 3" xfId="8385"/>
    <cellStyle name="着色 5 3 2 4" xfId="8386"/>
    <cellStyle name="着色 5 3 3" xfId="8387"/>
    <cellStyle name="着色 5 3 3 2" xfId="8388"/>
    <cellStyle name="着色 5 3 4" xfId="8389"/>
    <cellStyle name="着色 5 3 4 2" xfId="8390"/>
    <cellStyle name="着色 5 3 5" xfId="8391"/>
    <cellStyle name="着色 5 3 6" xfId="8392"/>
    <cellStyle name="着色 5 4" xfId="8393"/>
    <cellStyle name="着色 5 4 2" xfId="8394"/>
    <cellStyle name="着色 5 4 2 2" xfId="8395"/>
    <cellStyle name="着色 5 4 2 2 2" xfId="8396"/>
    <cellStyle name="着色 5 4 2 3" xfId="8397"/>
    <cellStyle name="着色 5 4 2 4" xfId="8398"/>
    <cellStyle name="着色 5 4 3" xfId="8399"/>
    <cellStyle name="着色 5 4 3 2" xfId="8400"/>
    <cellStyle name="着色 5 4 4" xfId="8401"/>
    <cellStyle name="着色 5 4 4 2" xfId="8402"/>
    <cellStyle name="着色 5 4 5" xfId="8403"/>
    <cellStyle name="着色 5 4 6" xfId="8404"/>
    <cellStyle name="着色 5 5" xfId="8405"/>
    <cellStyle name="着色 5 5 2" xfId="8406"/>
    <cellStyle name="着色 5 5 2 2" xfId="8407"/>
    <cellStyle name="着色 5 5 3" xfId="8408"/>
    <cellStyle name="着色 5 5 4" xfId="8409"/>
    <cellStyle name="着色 5 6" xfId="8410"/>
    <cellStyle name="着色 5 6 2" xfId="8411"/>
    <cellStyle name="着色 5 7" xfId="8412"/>
    <cellStyle name="着色 5 7 2" xfId="8413"/>
    <cellStyle name="着色 5 8" xfId="8414"/>
    <cellStyle name="着色 5 8 2" xfId="8415"/>
    <cellStyle name="着色 5 9" xfId="8416"/>
    <cellStyle name="着色 6" xfId="8417"/>
    <cellStyle name="着色 6 10" xfId="8418"/>
    <cellStyle name="着色 6 2" xfId="8419"/>
    <cellStyle name="着色 6 2 2" xfId="8420"/>
    <cellStyle name="着色 6 2 2 2" xfId="8421"/>
    <cellStyle name="着色 6 2 2 2 2" xfId="8422"/>
    <cellStyle name="着色 6 2 2 2 2 2" xfId="8423"/>
    <cellStyle name="着色 6 2 2 2 3" xfId="8424"/>
    <cellStyle name="着色 6 2 2 2 4" xfId="8425"/>
    <cellStyle name="着色 6 2 2 3" xfId="8426"/>
    <cellStyle name="着色 6 2 2 3 2" xfId="8427"/>
    <cellStyle name="着色 6 2 2 4" xfId="8428"/>
    <cellStyle name="着色 6 2 2 4 2" xfId="8429"/>
    <cellStyle name="着色 6 2 2 5" xfId="8430"/>
    <cellStyle name="着色 6 2 2 6" xfId="8431"/>
    <cellStyle name="着色 6 2 3" xfId="8432"/>
    <cellStyle name="着色 6 2 3 2" xfId="8433"/>
    <cellStyle name="着色 6 2 3 2 2" xfId="8434"/>
    <cellStyle name="着色 6 2 3 3" xfId="8435"/>
    <cellStyle name="着色 6 2 3 4" xfId="8436"/>
    <cellStyle name="着色 6 2 4" xfId="8437"/>
    <cellStyle name="着色 6 2 4 2" xfId="8438"/>
    <cellStyle name="着色 6 2 5" xfId="8439"/>
    <cellStyle name="着色 6 2 5 2" xfId="8440"/>
    <cellStyle name="着色 6 2 6" xfId="8441"/>
    <cellStyle name="着色 6 2 7" xfId="8442"/>
    <cellStyle name="着色 6 3" xfId="8443"/>
    <cellStyle name="着色 6 3 2" xfId="8444"/>
    <cellStyle name="着色 6 3 2 2" xfId="8445"/>
    <cellStyle name="着色 6 3 2 2 2" xfId="8446"/>
    <cellStyle name="着色 6 3 2 3" xfId="8447"/>
    <cellStyle name="着色 6 3 2 4" xfId="8448"/>
    <cellStyle name="着色 6 3 3" xfId="8449"/>
    <cellStyle name="着色 6 3 3 2" xfId="8450"/>
    <cellStyle name="着色 6 3 4" xfId="8451"/>
    <cellStyle name="着色 6 3 4 2" xfId="8452"/>
    <cellStyle name="着色 6 3 5" xfId="8453"/>
    <cellStyle name="着色 6 3 6" xfId="8454"/>
    <cellStyle name="着色 6 4" xfId="8455"/>
    <cellStyle name="着色 6 4 2" xfId="8456"/>
    <cellStyle name="着色 6 4 2 2" xfId="8457"/>
    <cellStyle name="着色 6 4 2 2 2" xfId="8458"/>
    <cellStyle name="着色 6 4 2 3" xfId="8459"/>
    <cellStyle name="着色 6 4 2 4" xfId="8460"/>
    <cellStyle name="着色 6 4 3" xfId="8461"/>
    <cellStyle name="着色 6 4 3 2" xfId="8462"/>
    <cellStyle name="着色 6 4 4" xfId="8463"/>
    <cellStyle name="着色 6 4 4 2" xfId="8464"/>
    <cellStyle name="着色 6 4 5" xfId="8465"/>
    <cellStyle name="着色 6 4 6" xfId="8466"/>
    <cellStyle name="着色 6 5" xfId="8467"/>
    <cellStyle name="着色 6 5 2" xfId="8468"/>
    <cellStyle name="着色 6 5 2 2" xfId="8469"/>
    <cellStyle name="着色 6 5 3" xfId="8470"/>
    <cellStyle name="着色 6 5 4" xfId="8471"/>
    <cellStyle name="着色 6 6" xfId="8472"/>
    <cellStyle name="着色 6 6 2" xfId="8473"/>
    <cellStyle name="着色 6 7" xfId="8474"/>
    <cellStyle name="着色 6 7 2" xfId="8475"/>
    <cellStyle name="着色 6 8" xfId="8476"/>
    <cellStyle name="着色 6 8 2" xfId="8477"/>
    <cellStyle name="着色 6 9" xfId="8478"/>
    <cellStyle name="注释 2" xfId="8479"/>
    <cellStyle name="注释 2 10" xfId="8861"/>
    <cellStyle name="注释 2 10 2" xfId="9286"/>
    <cellStyle name="注释 2 11" xfId="8939"/>
    <cellStyle name="注释 2 12" xfId="8953"/>
    <cellStyle name="注释 2 13" xfId="8995"/>
    <cellStyle name="注释 2 2" xfId="8480"/>
    <cellStyle name="注释 2 2 2" xfId="8481"/>
    <cellStyle name="注释 2 2 2 2" xfId="8482"/>
    <cellStyle name="注释 2 2 2 2 2" xfId="8483"/>
    <cellStyle name="注释 2 2 2 3" xfId="8484"/>
    <cellStyle name="注释 2 2 2 4" xfId="8485"/>
    <cellStyle name="注释 2 2 3" xfId="8486"/>
    <cellStyle name="注释 2 2 3 2" xfId="8487"/>
    <cellStyle name="注释 2 2 4" xfId="8488"/>
    <cellStyle name="注释 2 2 4 2" xfId="8489"/>
    <cellStyle name="注释 2 2 5" xfId="8490"/>
    <cellStyle name="注释 2 2 6" xfId="8491"/>
    <cellStyle name="注释 2 2 7" xfId="8862"/>
    <cellStyle name="注释 2 2 7 2" xfId="9287"/>
    <cellStyle name="注释 2 2 8" xfId="8947"/>
    <cellStyle name="注释 2 2 9" xfId="8958"/>
    <cellStyle name="注释 2 3" xfId="8492"/>
    <cellStyle name="注释 2 3 2" xfId="8493"/>
    <cellStyle name="注释 2 3 2 2" xfId="8494"/>
    <cellStyle name="注释 2 3 3" xfId="8495"/>
    <cellStyle name="注释 2 3 4" xfId="8496"/>
    <cellStyle name="注释 2 4" xfId="8497"/>
    <cellStyle name="注释 2 4 2" xfId="8498"/>
    <cellStyle name="注释 2 5" xfId="8499"/>
    <cellStyle name="注释 2 5 2" xfId="8500"/>
    <cellStyle name="注释 2 6" xfId="8501"/>
    <cellStyle name="注释 2 7" xfId="8502"/>
    <cellStyle name="注释 2 8" xfId="8621"/>
    <cellStyle name="注释 2 9" xfId="8626"/>
    <cellStyle name="注释 3" xfId="8503"/>
    <cellStyle name="注释 3 2" xfId="8504"/>
    <cellStyle name="注释 3 2 2" xfId="8505"/>
    <cellStyle name="注释 3 2 2 2" xfId="8506"/>
    <cellStyle name="注释 3 2 2 2 2" xfId="8507"/>
    <cellStyle name="注释 3 2 2 3" xfId="8508"/>
    <cellStyle name="注释 3 2 2 4" xfId="8509"/>
    <cellStyle name="注释 3 2 3" xfId="8510"/>
    <cellStyle name="注释 3 2 3 2" xfId="8511"/>
    <cellStyle name="注释 3 2 4" xfId="8512"/>
    <cellStyle name="注释 3 2 4 2" xfId="8513"/>
    <cellStyle name="注释 3 2 5" xfId="8514"/>
    <cellStyle name="注释 3 2 6" xfId="8515"/>
    <cellStyle name="注释 3 2 7" xfId="8864"/>
    <cellStyle name="注释 3 2 7 2" xfId="9289"/>
    <cellStyle name="注释 3 3" xfId="8516"/>
    <cellStyle name="注释 3 3 2" xfId="8517"/>
    <cellStyle name="注释 3 3 2 2" xfId="8518"/>
    <cellStyle name="注释 3 3 3" xfId="8519"/>
    <cellStyle name="注释 3 3 4" xfId="8520"/>
    <cellStyle name="注释 3 4" xfId="8521"/>
    <cellStyle name="注释 3 4 2" xfId="8522"/>
    <cellStyle name="注释 3 5" xfId="8523"/>
    <cellStyle name="注释 3 5 2" xfId="8524"/>
    <cellStyle name="注释 3 6" xfId="8525"/>
    <cellStyle name="注释 3 7" xfId="8526"/>
    <cellStyle name="注释 3 8" xfId="8863"/>
    <cellStyle name="注释 3 8 2" xfId="9288"/>
    <cellStyle name="注释 4" xfId="8527"/>
    <cellStyle name="注释 4 2" xfId="8528"/>
    <cellStyle name="注释 4 2 2" xfId="8529"/>
    <cellStyle name="注释 4 2 2 2" xfId="8530"/>
    <cellStyle name="注释 4 2 2 2 2" xfId="8531"/>
    <cellStyle name="注释 4 2 2 3" xfId="8532"/>
    <cellStyle name="注释 4 2 2 4" xfId="8533"/>
    <cellStyle name="注释 4 2 3" xfId="8534"/>
    <cellStyle name="注释 4 2 3 2" xfId="8535"/>
    <cellStyle name="注释 4 2 4" xfId="8536"/>
    <cellStyle name="注释 4 2 4 2" xfId="8537"/>
    <cellStyle name="注释 4 2 5" xfId="8538"/>
    <cellStyle name="注释 4 2 6" xfId="8539"/>
    <cellStyle name="注释 4 2 7" xfId="8866"/>
    <cellStyle name="注释 4 2 7 2" xfId="9291"/>
    <cellStyle name="注释 4 3" xfId="8540"/>
    <cellStyle name="注释 4 3 2" xfId="8541"/>
    <cellStyle name="注释 4 3 2 2" xfId="8542"/>
    <cellStyle name="注释 4 3 3" xfId="8543"/>
    <cellStyle name="注释 4 3 4" xfId="8544"/>
    <cellStyle name="注释 4 4" xfId="8545"/>
    <cellStyle name="注释 4 4 2" xfId="8546"/>
    <cellStyle name="注释 4 5" xfId="8547"/>
    <cellStyle name="注释 4 5 2" xfId="8548"/>
    <cellStyle name="注释 4 6" xfId="8549"/>
    <cellStyle name="注释 4 7" xfId="8550"/>
    <cellStyle name="注释 4 8" xfId="8865"/>
    <cellStyle name="注释 4 8 2" xfId="9290"/>
    <cellStyle name="注释 5" xfId="8551"/>
    <cellStyle name="注释 5 2" xfId="8552"/>
    <cellStyle name="注释 5 2 2" xfId="8553"/>
    <cellStyle name="注释 5 2 2 2" xfId="8554"/>
    <cellStyle name="注释 5 2 3" xfId="8555"/>
    <cellStyle name="注释 5 2 4" xfId="8556"/>
    <cellStyle name="注释 5 3" xfId="8557"/>
    <cellStyle name="注释 5 3 2" xfId="8558"/>
    <cellStyle name="注释 5 4" xfId="8559"/>
    <cellStyle name="注释 5 4 2" xfId="8560"/>
    <cellStyle name="注释 5 5" xfId="8561"/>
    <cellStyle name="注释 5 6" xfId="8562"/>
    <cellStyle name="注释 6" xfId="8563"/>
    <cellStyle name="注释 6 2" xfId="8564"/>
    <cellStyle name="注释 6 2 2" xfId="8565"/>
    <cellStyle name="注释 6 2 2 2" xfId="8566"/>
    <cellStyle name="注释 6 2 3" xfId="8567"/>
    <cellStyle name="注释 6 2 4" xfId="8568"/>
    <cellStyle name="注释 6 3" xfId="8569"/>
    <cellStyle name="注释 6 3 2" xfId="8570"/>
    <cellStyle name="注释 6 4" xfId="8571"/>
    <cellStyle name="注释 6 4 2" xfId="8572"/>
    <cellStyle name="注释 6 5" xfId="8573"/>
    <cellStyle name="注释 6 6" xfId="8574"/>
    <cellStyle name="注释 7" xfId="8575"/>
    <cellStyle name="注释 7 2" xfId="8576"/>
    <cellStyle name="注释 7 2 2" xfId="8577"/>
    <cellStyle name="注释 7 2 2 2" xfId="8578"/>
    <cellStyle name="注释 7 2 3" xfId="8579"/>
    <cellStyle name="注释 7 2 4" xfId="8580"/>
    <cellStyle name="注释 7 3" xfId="8581"/>
    <cellStyle name="注释 7 3 2" xfId="8582"/>
    <cellStyle name="注释 7 4" xfId="8583"/>
    <cellStyle name="注释 7 4 2" xfId="8584"/>
    <cellStyle name="注释 7 5" xfId="8585"/>
    <cellStyle name="注释 7 6" xfId="85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21&#24180;&#23398;&#26657;&#39044;&#31639;&#21021;&#31295;/&#23398;&#26657;&#39044;&#31639;&#20462;&#25913;&#31295;1/2021&#24180;&#39044;&#31639;&#26126;&#32454;&#34920;&#65288;&#26032;&#65289;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5910;&#22238;%20(1)/2021/&#22522;&#26412;&#25903;&#20986;&#26356;&#26032;/&#39067;&#26725;2021&#24180;&#39044;&#31639;&#20108;&#19978;12.1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支出（机关及参公单位）"/>
      <sheetName val="基本支出（事业）"/>
      <sheetName val="基本支出（学校）"/>
      <sheetName val="汇总表"/>
    </sheetNames>
    <sheetDataSet>
      <sheetData sheetId="0" refreshError="1"/>
      <sheetData sheetId="1" refreshError="1"/>
      <sheetData sheetId="2" refreshError="1">
        <row r="6">
          <cell r="E6">
            <v>1415976.5</v>
          </cell>
        </row>
        <row r="7">
          <cell r="E7">
            <v>641134.1</v>
          </cell>
        </row>
        <row r="9">
          <cell r="E9">
            <v>22891.699999999997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绩效测算"/>
      <sheetName val="民办小区生补贴"/>
      <sheetName val="民办小区生补贴（街道）"/>
      <sheetName val="民办学校生均经费"/>
      <sheetName val="民办学校生均经费（街道）"/>
      <sheetName val="民办高中学费"/>
      <sheetName val="民办高中学费（街道）"/>
      <sheetName val="2021年生均公用经费定额"/>
      <sheetName val="2021年其他定额标准"/>
      <sheetName val="2021年基本支出预算表"/>
      <sheetName val="公用定额"/>
      <sheetName val="公务车"/>
      <sheetName val="2021中小学生均定额"/>
      <sheetName val="2021幼儿园生均定额"/>
      <sheetName val="工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E5">
            <v>591972</v>
          </cell>
          <cell r="F5">
            <v>150000</v>
          </cell>
          <cell r="G5">
            <v>212796</v>
          </cell>
          <cell r="H5">
            <v>232508.5</v>
          </cell>
          <cell r="I5">
            <v>1166580.5</v>
          </cell>
          <cell r="J5">
            <v>208430</v>
          </cell>
          <cell r="K5">
            <v>156327</v>
          </cell>
          <cell r="L5">
            <v>144681</v>
          </cell>
          <cell r="M5">
            <v>120216</v>
          </cell>
          <cell r="N5">
            <v>404356</v>
          </cell>
          <cell r="O5">
            <v>323262.5</v>
          </cell>
          <cell r="P5">
            <v>18100</v>
          </cell>
          <cell r="Q5">
            <v>125045.5</v>
          </cell>
          <cell r="R5">
            <v>216264</v>
          </cell>
        </row>
        <row r="6">
          <cell r="E6">
            <v>50000</v>
          </cell>
          <cell r="F6">
            <v>90000</v>
          </cell>
          <cell r="G6">
            <v>4000</v>
          </cell>
          <cell r="H6">
            <v>100000</v>
          </cell>
          <cell r="I6">
            <v>15000</v>
          </cell>
          <cell r="K6">
            <v>10000</v>
          </cell>
          <cell r="L6">
            <v>10000</v>
          </cell>
          <cell r="N6">
            <v>10000</v>
          </cell>
        </row>
        <row r="7">
          <cell r="L7">
            <v>10000</v>
          </cell>
          <cell r="N7">
            <v>100000</v>
          </cell>
          <cell r="R7">
            <v>20000</v>
          </cell>
        </row>
        <row r="8">
          <cell r="E8">
            <v>180000</v>
          </cell>
          <cell r="F8">
            <v>156000</v>
          </cell>
          <cell r="G8">
            <v>160000</v>
          </cell>
          <cell r="H8">
            <v>150000</v>
          </cell>
          <cell r="I8">
            <v>120000</v>
          </cell>
          <cell r="J8">
            <v>20000</v>
          </cell>
          <cell r="K8">
            <v>50000</v>
          </cell>
          <cell r="L8">
            <v>40000</v>
          </cell>
          <cell r="M8">
            <v>50000</v>
          </cell>
          <cell r="N8">
            <v>50000</v>
          </cell>
          <cell r="O8">
            <v>150000</v>
          </cell>
          <cell r="Q8">
            <v>30000</v>
          </cell>
          <cell r="R8">
            <v>30000</v>
          </cell>
        </row>
        <row r="9">
          <cell r="E9">
            <v>260000</v>
          </cell>
          <cell r="F9">
            <v>140000</v>
          </cell>
          <cell r="G9">
            <v>120000</v>
          </cell>
          <cell r="H9">
            <v>200000</v>
          </cell>
          <cell r="I9">
            <v>450000</v>
          </cell>
          <cell r="J9">
            <v>150000</v>
          </cell>
          <cell r="K9">
            <v>200000</v>
          </cell>
          <cell r="L9">
            <v>90000</v>
          </cell>
          <cell r="M9">
            <v>200000</v>
          </cell>
          <cell r="N9">
            <v>150000</v>
          </cell>
          <cell r="O9">
            <v>300000</v>
          </cell>
          <cell r="Q9">
            <v>50000</v>
          </cell>
          <cell r="R9">
            <v>130000</v>
          </cell>
        </row>
        <row r="10">
          <cell r="E10">
            <v>50000</v>
          </cell>
          <cell r="F10">
            <v>80000</v>
          </cell>
          <cell r="G10">
            <v>3000</v>
          </cell>
          <cell r="H10">
            <v>5000</v>
          </cell>
          <cell r="I10">
            <v>50000</v>
          </cell>
          <cell r="J10">
            <v>6000</v>
          </cell>
          <cell r="K10">
            <v>10000</v>
          </cell>
          <cell r="L10">
            <v>10000</v>
          </cell>
          <cell r="M10">
            <v>10000</v>
          </cell>
          <cell r="N10">
            <v>50000</v>
          </cell>
          <cell r="O10">
            <v>40000</v>
          </cell>
          <cell r="P10">
            <v>5000</v>
          </cell>
          <cell r="Q10">
            <v>10000</v>
          </cell>
          <cell r="R10">
            <v>30000</v>
          </cell>
        </row>
        <row r="11">
          <cell r="E11">
            <v>68000</v>
          </cell>
          <cell r="F11">
            <v>56000</v>
          </cell>
          <cell r="G11">
            <v>20000</v>
          </cell>
          <cell r="H11">
            <v>5000</v>
          </cell>
          <cell r="I11">
            <v>10000</v>
          </cell>
          <cell r="J11">
            <v>20000</v>
          </cell>
          <cell r="K11">
            <v>5000</v>
          </cell>
          <cell r="L11">
            <v>2000</v>
          </cell>
          <cell r="M11">
            <v>10000</v>
          </cell>
          <cell r="N11">
            <v>20000</v>
          </cell>
          <cell r="P11">
            <v>1000</v>
          </cell>
          <cell r="Q11">
            <v>1000</v>
          </cell>
          <cell r="R11">
            <v>5000</v>
          </cell>
        </row>
        <row r="12">
          <cell r="E12">
            <v>500000</v>
          </cell>
          <cell r="F12">
            <v>200000</v>
          </cell>
          <cell r="G12">
            <v>300000</v>
          </cell>
          <cell r="H12">
            <v>300000</v>
          </cell>
          <cell r="I12">
            <v>50000</v>
          </cell>
          <cell r="J12">
            <v>500000</v>
          </cell>
          <cell r="K12">
            <v>577797</v>
          </cell>
          <cell r="L12">
            <v>250000</v>
          </cell>
          <cell r="M12">
            <v>502700</v>
          </cell>
          <cell r="N12">
            <v>300000</v>
          </cell>
          <cell r="O12">
            <v>750000</v>
          </cell>
          <cell r="P12">
            <v>15000</v>
          </cell>
          <cell r="Q12">
            <v>500000</v>
          </cell>
          <cell r="R12">
            <v>250000</v>
          </cell>
        </row>
        <row r="14">
          <cell r="E14">
            <v>185788</v>
          </cell>
          <cell r="F14">
            <v>97493.5</v>
          </cell>
          <cell r="G14">
            <v>119436</v>
          </cell>
          <cell r="H14">
            <v>138017.5</v>
          </cell>
          <cell r="I14">
            <v>441563.5</v>
          </cell>
          <cell r="J14">
            <v>34970</v>
          </cell>
          <cell r="K14">
            <v>110814</v>
          </cell>
          <cell r="L14">
            <v>67855</v>
          </cell>
          <cell r="M14">
            <v>62643</v>
          </cell>
          <cell r="N14">
            <v>72244</v>
          </cell>
          <cell r="O14">
            <v>211719</v>
          </cell>
          <cell r="Q14">
            <v>59854.5</v>
          </cell>
          <cell r="R14">
            <v>60116</v>
          </cell>
        </row>
        <row r="16">
          <cell r="E16">
            <v>850000</v>
          </cell>
          <cell r="F16">
            <v>400376.5</v>
          </cell>
          <cell r="G16">
            <v>619488</v>
          </cell>
          <cell r="H16">
            <v>600000</v>
          </cell>
          <cell r="I16">
            <v>3498126</v>
          </cell>
          <cell r="J16">
            <v>250000</v>
          </cell>
          <cell r="K16">
            <v>742302</v>
          </cell>
          <cell r="L16">
            <v>30000</v>
          </cell>
          <cell r="M16">
            <v>30000</v>
          </cell>
          <cell r="N16">
            <v>120000</v>
          </cell>
          <cell r="O16">
            <v>250000</v>
          </cell>
          <cell r="P16">
            <v>20000</v>
          </cell>
          <cell r="Q16">
            <v>500000</v>
          </cell>
          <cell r="R16">
            <v>150000</v>
          </cell>
        </row>
        <row r="17">
          <cell r="H17">
            <v>20000</v>
          </cell>
          <cell r="J17">
            <v>10000</v>
          </cell>
          <cell r="K17">
            <v>20000</v>
          </cell>
          <cell r="N17">
            <v>20000</v>
          </cell>
          <cell r="P17">
            <v>0</v>
          </cell>
          <cell r="Q17">
            <v>10000</v>
          </cell>
        </row>
        <row r="18">
          <cell r="H18">
            <v>150000</v>
          </cell>
          <cell r="J18">
            <v>50000</v>
          </cell>
          <cell r="K18">
            <v>50000</v>
          </cell>
          <cell r="L18">
            <v>250000</v>
          </cell>
          <cell r="M18">
            <v>50000</v>
          </cell>
          <cell r="N18">
            <v>10000</v>
          </cell>
          <cell r="O18">
            <v>100000</v>
          </cell>
          <cell r="R18">
            <v>20000</v>
          </cell>
        </row>
        <row r="19">
          <cell r="E19">
            <v>200000</v>
          </cell>
          <cell r="F19">
            <v>180000</v>
          </cell>
          <cell r="G19">
            <v>600000</v>
          </cell>
          <cell r="H19">
            <v>759824</v>
          </cell>
          <cell r="I19">
            <v>2420000</v>
          </cell>
          <cell r="K19">
            <v>50000</v>
          </cell>
          <cell r="L19">
            <v>835604</v>
          </cell>
          <cell r="M19">
            <v>121621</v>
          </cell>
          <cell r="N19">
            <v>50000</v>
          </cell>
          <cell r="Q19">
            <v>100000</v>
          </cell>
          <cell r="R19">
            <v>50000</v>
          </cell>
        </row>
        <row r="20">
          <cell r="E20">
            <v>350000</v>
          </cell>
          <cell r="F20">
            <v>150000</v>
          </cell>
          <cell r="G20">
            <v>230000</v>
          </cell>
          <cell r="H20">
            <v>100000</v>
          </cell>
          <cell r="I20">
            <v>110000</v>
          </cell>
          <cell r="J20">
            <v>364600</v>
          </cell>
          <cell r="K20">
            <v>150000</v>
          </cell>
          <cell r="M20">
            <v>500000</v>
          </cell>
          <cell r="N20">
            <v>100000</v>
          </cell>
          <cell r="O20">
            <v>950000</v>
          </cell>
          <cell r="P20">
            <v>12900</v>
          </cell>
          <cell r="Q20">
            <v>312100</v>
          </cell>
          <cell r="R20">
            <v>200000</v>
          </cell>
        </row>
        <row r="21">
          <cell r="E21">
            <v>430000</v>
          </cell>
          <cell r="F21">
            <v>250000</v>
          </cell>
          <cell r="I21">
            <v>500000</v>
          </cell>
          <cell r="K21">
            <v>100000</v>
          </cell>
          <cell r="N21">
            <v>100000</v>
          </cell>
          <cell r="O21">
            <v>1159398.5</v>
          </cell>
          <cell r="P21">
            <v>80000</v>
          </cell>
          <cell r="R21">
            <v>150000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workbookViewId="0">
      <pane xSplit="4" ySplit="2" topLeftCell="M81" activePane="bottomRight" state="frozen"/>
      <selection pane="topRight" activeCell="E1" sqref="E1"/>
      <selection pane="bottomLeft" activeCell="A3" sqref="A3"/>
      <selection pane="bottomRight" activeCell="M111" sqref="M111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5" width="15.625" style="30"/>
    <col min="6" max="6" width="14.375" style="30" customWidth="1"/>
    <col min="7" max="253" width="15.625" style="30"/>
    <col min="254" max="254" width="4.625" style="30" customWidth="1"/>
    <col min="255" max="255" width="29.25" style="30" customWidth="1"/>
    <col min="256" max="256" width="13" style="30" customWidth="1"/>
    <col min="257" max="257" width="20" style="30" customWidth="1"/>
    <col min="258" max="509" width="15.625" style="30"/>
    <col min="510" max="510" width="4.625" style="30" customWidth="1"/>
    <col min="511" max="511" width="29.25" style="30" customWidth="1"/>
    <col min="512" max="512" width="13" style="30" customWidth="1"/>
    <col min="513" max="513" width="20" style="30" customWidth="1"/>
    <col min="514" max="765" width="15.625" style="30"/>
    <col min="766" max="766" width="4.625" style="30" customWidth="1"/>
    <col min="767" max="767" width="29.25" style="30" customWidth="1"/>
    <col min="768" max="768" width="13" style="30" customWidth="1"/>
    <col min="769" max="769" width="20" style="30" customWidth="1"/>
    <col min="770" max="1021" width="15.625" style="30"/>
    <col min="1022" max="1022" width="4.625" style="30" customWidth="1"/>
    <col min="1023" max="1023" width="29.25" style="30" customWidth="1"/>
    <col min="1024" max="1024" width="13" style="30" customWidth="1"/>
    <col min="1025" max="1025" width="20" style="30" customWidth="1"/>
    <col min="1026" max="1277" width="15.625" style="30"/>
    <col min="1278" max="1278" width="4.625" style="30" customWidth="1"/>
    <col min="1279" max="1279" width="29.25" style="30" customWidth="1"/>
    <col min="1280" max="1280" width="13" style="30" customWidth="1"/>
    <col min="1281" max="1281" width="20" style="30" customWidth="1"/>
    <col min="1282" max="1533" width="15.625" style="30"/>
    <col min="1534" max="1534" width="4.625" style="30" customWidth="1"/>
    <col min="1535" max="1535" width="29.25" style="30" customWidth="1"/>
    <col min="1536" max="1536" width="13" style="30" customWidth="1"/>
    <col min="1537" max="1537" width="20" style="30" customWidth="1"/>
    <col min="1538" max="1789" width="15.625" style="30"/>
    <col min="1790" max="1790" width="4.625" style="30" customWidth="1"/>
    <col min="1791" max="1791" width="29.25" style="30" customWidth="1"/>
    <col min="1792" max="1792" width="13" style="30" customWidth="1"/>
    <col min="1793" max="1793" width="20" style="30" customWidth="1"/>
    <col min="1794" max="2045" width="15.625" style="30"/>
    <col min="2046" max="2046" width="4.625" style="30" customWidth="1"/>
    <col min="2047" max="2047" width="29.25" style="30" customWidth="1"/>
    <col min="2048" max="2048" width="13" style="30" customWidth="1"/>
    <col min="2049" max="2049" width="20" style="30" customWidth="1"/>
    <col min="2050" max="2301" width="15.625" style="30"/>
    <col min="2302" max="2302" width="4.625" style="30" customWidth="1"/>
    <col min="2303" max="2303" width="29.25" style="30" customWidth="1"/>
    <col min="2304" max="2304" width="13" style="30" customWidth="1"/>
    <col min="2305" max="2305" width="20" style="30" customWidth="1"/>
    <col min="2306" max="2557" width="15.625" style="30"/>
    <col min="2558" max="2558" width="4.625" style="30" customWidth="1"/>
    <col min="2559" max="2559" width="29.25" style="30" customWidth="1"/>
    <col min="2560" max="2560" width="13" style="30" customWidth="1"/>
    <col min="2561" max="2561" width="20" style="30" customWidth="1"/>
    <col min="2562" max="2813" width="15.625" style="30"/>
    <col min="2814" max="2814" width="4.625" style="30" customWidth="1"/>
    <col min="2815" max="2815" width="29.25" style="30" customWidth="1"/>
    <col min="2816" max="2816" width="13" style="30" customWidth="1"/>
    <col min="2817" max="2817" width="20" style="30" customWidth="1"/>
    <col min="2818" max="3069" width="15.625" style="30"/>
    <col min="3070" max="3070" width="4.625" style="30" customWidth="1"/>
    <col min="3071" max="3071" width="29.25" style="30" customWidth="1"/>
    <col min="3072" max="3072" width="13" style="30" customWidth="1"/>
    <col min="3073" max="3073" width="20" style="30" customWidth="1"/>
    <col min="3074" max="3325" width="15.625" style="30"/>
    <col min="3326" max="3326" width="4.625" style="30" customWidth="1"/>
    <col min="3327" max="3327" width="29.25" style="30" customWidth="1"/>
    <col min="3328" max="3328" width="13" style="30" customWidth="1"/>
    <col min="3329" max="3329" width="20" style="30" customWidth="1"/>
    <col min="3330" max="3581" width="15.625" style="30"/>
    <col min="3582" max="3582" width="4.625" style="30" customWidth="1"/>
    <col min="3583" max="3583" width="29.25" style="30" customWidth="1"/>
    <col min="3584" max="3584" width="13" style="30" customWidth="1"/>
    <col min="3585" max="3585" width="20" style="30" customWidth="1"/>
    <col min="3586" max="3837" width="15.625" style="30"/>
    <col min="3838" max="3838" width="4.625" style="30" customWidth="1"/>
    <col min="3839" max="3839" width="29.25" style="30" customWidth="1"/>
    <col min="3840" max="3840" width="13" style="30" customWidth="1"/>
    <col min="3841" max="3841" width="20" style="30" customWidth="1"/>
    <col min="3842" max="4093" width="15.625" style="30"/>
    <col min="4094" max="4094" width="4.625" style="30" customWidth="1"/>
    <col min="4095" max="4095" width="29.25" style="30" customWidth="1"/>
    <col min="4096" max="4096" width="13" style="30" customWidth="1"/>
    <col min="4097" max="4097" width="20" style="30" customWidth="1"/>
    <col min="4098" max="4349" width="15.625" style="30"/>
    <col min="4350" max="4350" width="4.625" style="30" customWidth="1"/>
    <col min="4351" max="4351" width="29.25" style="30" customWidth="1"/>
    <col min="4352" max="4352" width="13" style="30" customWidth="1"/>
    <col min="4353" max="4353" width="20" style="30" customWidth="1"/>
    <col min="4354" max="4605" width="15.625" style="30"/>
    <col min="4606" max="4606" width="4.625" style="30" customWidth="1"/>
    <col min="4607" max="4607" width="29.25" style="30" customWidth="1"/>
    <col min="4608" max="4608" width="13" style="30" customWidth="1"/>
    <col min="4609" max="4609" width="20" style="30" customWidth="1"/>
    <col min="4610" max="4861" width="15.625" style="30"/>
    <col min="4862" max="4862" width="4.625" style="30" customWidth="1"/>
    <col min="4863" max="4863" width="29.25" style="30" customWidth="1"/>
    <col min="4864" max="4864" width="13" style="30" customWidth="1"/>
    <col min="4865" max="4865" width="20" style="30" customWidth="1"/>
    <col min="4866" max="5117" width="15.625" style="30"/>
    <col min="5118" max="5118" width="4.625" style="30" customWidth="1"/>
    <col min="5119" max="5119" width="29.25" style="30" customWidth="1"/>
    <col min="5120" max="5120" width="13" style="30" customWidth="1"/>
    <col min="5121" max="5121" width="20" style="30" customWidth="1"/>
    <col min="5122" max="5373" width="15.625" style="30"/>
    <col min="5374" max="5374" width="4.625" style="30" customWidth="1"/>
    <col min="5375" max="5375" width="29.25" style="30" customWidth="1"/>
    <col min="5376" max="5376" width="13" style="30" customWidth="1"/>
    <col min="5377" max="5377" width="20" style="30" customWidth="1"/>
    <col min="5378" max="5629" width="15.625" style="30"/>
    <col min="5630" max="5630" width="4.625" style="30" customWidth="1"/>
    <col min="5631" max="5631" width="29.25" style="30" customWidth="1"/>
    <col min="5632" max="5632" width="13" style="30" customWidth="1"/>
    <col min="5633" max="5633" width="20" style="30" customWidth="1"/>
    <col min="5634" max="5885" width="15.625" style="30"/>
    <col min="5886" max="5886" width="4.625" style="30" customWidth="1"/>
    <col min="5887" max="5887" width="29.25" style="30" customWidth="1"/>
    <col min="5888" max="5888" width="13" style="30" customWidth="1"/>
    <col min="5889" max="5889" width="20" style="30" customWidth="1"/>
    <col min="5890" max="6141" width="15.625" style="30"/>
    <col min="6142" max="6142" width="4.625" style="30" customWidth="1"/>
    <col min="6143" max="6143" width="29.25" style="30" customWidth="1"/>
    <col min="6144" max="6144" width="13" style="30" customWidth="1"/>
    <col min="6145" max="6145" width="20" style="30" customWidth="1"/>
    <col min="6146" max="6397" width="15.625" style="30"/>
    <col min="6398" max="6398" width="4.625" style="30" customWidth="1"/>
    <col min="6399" max="6399" width="29.25" style="30" customWidth="1"/>
    <col min="6400" max="6400" width="13" style="30" customWidth="1"/>
    <col min="6401" max="6401" width="20" style="30" customWidth="1"/>
    <col min="6402" max="6653" width="15.625" style="30"/>
    <col min="6654" max="6654" width="4.625" style="30" customWidth="1"/>
    <col min="6655" max="6655" width="29.25" style="30" customWidth="1"/>
    <col min="6656" max="6656" width="13" style="30" customWidth="1"/>
    <col min="6657" max="6657" width="20" style="30" customWidth="1"/>
    <col min="6658" max="6909" width="15.625" style="30"/>
    <col min="6910" max="6910" width="4.625" style="30" customWidth="1"/>
    <col min="6911" max="6911" width="29.25" style="30" customWidth="1"/>
    <col min="6912" max="6912" width="13" style="30" customWidth="1"/>
    <col min="6913" max="6913" width="20" style="30" customWidth="1"/>
    <col min="6914" max="7165" width="15.625" style="30"/>
    <col min="7166" max="7166" width="4.625" style="30" customWidth="1"/>
    <col min="7167" max="7167" width="29.25" style="30" customWidth="1"/>
    <col min="7168" max="7168" width="13" style="30" customWidth="1"/>
    <col min="7169" max="7169" width="20" style="30" customWidth="1"/>
    <col min="7170" max="7421" width="15.625" style="30"/>
    <col min="7422" max="7422" width="4.625" style="30" customWidth="1"/>
    <col min="7423" max="7423" width="29.25" style="30" customWidth="1"/>
    <col min="7424" max="7424" width="13" style="30" customWidth="1"/>
    <col min="7425" max="7425" width="20" style="30" customWidth="1"/>
    <col min="7426" max="7677" width="15.625" style="30"/>
    <col min="7678" max="7678" width="4.625" style="30" customWidth="1"/>
    <col min="7679" max="7679" width="29.25" style="30" customWidth="1"/>
    <col min="7680" max="7680" width="13" style="30" customWidth="1"/>
    <col min="7681" max="7681" width="20" style="30" customWidth="1"/>
    <col min="7682" max="7933" width="15.625" style="30"/>
    <col min="7934" max="7934" width="4.625" style="30" customWidth="1"/>
    <col min="7935" max="7935" width="29.25" style="30" customWidth="1"/>
    <col min="7936" max="7936" width="13" style="30" customWidth="1"/>
    <col min="7937" max="7937" width="20" style="30" customWidth="1"/>
    <col min="7938" max="8189" width="15.625" style="30"/>
    <col min="8190" max="8190" width="4.625" style="30" customWidth="1"/>
    <col min="8191" max="8191" width="29.25" style="30" customWidth="1"/>
    <col min="8192" max="8192" width="13" style="30" customWidth="1"/>
    <col min="8193" max="8193" width="20" style="30" customWidth="1"/>
    <col min="8194" max="8445" width="15.625" style="30"/>
    <col min="8446" max="8446" width="4.625" style="30" customWidth="1"/>
    <col min="8447" max="8447" width="29.25" style="30" customWidth="1"/>
    <col min="8448" max="8448" width="13" style="30" customWidth="1"/>
    <col min="8449" max="8449" width="20" style="30" customWidth="1"/>
    <col min="8450" max="8701" width="15.625" style="30"/>
    <col min="8702" max="8702" width="4.625" style="30" customWidth="1"/>
    <col min="8703" max="8703" width="29.25" style="30" customWidth="1"/>
    <col min="8704" max="8704" width="13" style="30" customWidth="1"/>
    <col min="8705" max="8705" width="20" style="30" customWidth="1"/>
    <col min="8706" max="8957" width="15.625" style="30"/>
    <col min="8958" max="8958" width="4.625" style="30" customWidth="1"/>
    <col min="8959" max="8959" width="29.25" style="30" customWidth="1"/>
    <col min="8960" max="8960" width="13" style="30" customWidth="1"/>
    <col min="8961" max="8961" width="20" style="30" customWidth="1"/>
    <col min="8962" max="9213" width="15.625" style="30"/>
    <col min="9214" max="9214" width="4.625" style="30" customWidth="1"/>
    <col min="9215" max="9215" width="29.25" style="30" customWidth="1"/>
    <col min="9216" max="9216" width="13" style="30" customWidth="1"/>
    <col min="9217" max="9217" width="20" style="30" customWidth="1"/>
    <col min="9218" max="9469" width="15.625" style="30"/>
    <col min="9470" max="9470" width="4.625" style="30" customWidth="1"/>
    <col min="9471" max="9471" width="29.25" style="30" customWidth="1"/>
    <col min="9472" max="9472" width="13" style="30" customWidth="1"/>
    <col min="9473" max="9473" width="20" style="30" customWidth="1"/>
    <col min="9474" max="9725" width="15.625" style="30"/>
    <col min="9726" max="9726" width="4.625" style="30" customWidth="1"/>
    <col min="9727" max="9727" width="29.25" style="30" customWidth="1"/>
    <col min="9728" max="9728" width="13" style="30" customWidth="1"/>
    <col min="9729" max="9729" width="20" style="30" customWidth="1"/>
    <col min="9730" max="9981" width="15.625" style="30"/>
    <col min="9982" max="9982" width="4.625" style="30" customWidth="1"/>
    <col min="9983" max="9983" width="29.25" style="30" customWidth="1"/>
    <col min="9984" max="9984" width="13" style="30" customWidth="1"/>
    <col min="9985" max="9985" width="20" style="30" customWidth="1"/>
    <col min="9986" max="10237" width="15.625" style="30"/>
    <col min="10238" max="10238" width="4.625" style="30" customWidth="1"/>
    <col min="10239" max="10239" width="29.25" style="30" customWidth="1"/>
    <col min="10240" max="10240" width="13" style="30" customWidth="1"/>
    <col min="10241" max="10241" width="20" style="30" customWidth="1"/>
    <col min="10242" max="10493" width="15.625" style="30"/>
    <col min="10494" max="10494" width="4.625" style="30" customWidth="1"/>
    <col min="10495" max="10495" width="29.25" style="30" customWidth="1"/>
    <col min="10496" max="10496" width="13" style="30" customWidth="1"/>
    <col min="10497" max="10497" width="20" style="30" customWidth="1"/>
    <col min="10498" max="10749" width="15.625" style="30"/>
    <col min="10750" max="10750" width="4.625" style="30" customWidth="1"/>
    <col min="10751" max="10751" width="29.25" style="30" customWidth="1"/>
    <col min="10752" max="10752" width="13" style="30" customWidth="1"/>
    <col min="10753" max="10753" width="20" style="30" customWidth="1"/>
    <col min="10754" max="11005" width="15.625" style="30"/>
    <col min="11006" max="11006" width="4.625" style="30" customWidth="1"/>
    <col min="11007" max="11007" width="29.25" style="30" customWidth="1"/>
    <col min="11008" max="11008" width="13" style="30" customWidth="1"/>
    <col min="11009" max="11009" width="20" style="30" customWidth="1"/>
    <col min="11010" max="11261" width="15.625" style="30"/>
    <col min="11262" max="11262" width="4.625" style="30" customWidth="1"/>
    <col min="11263" max="11263" width="29.25" style="30" customWidth="1"/>
    <col min="11264" max="11264" width="13" style="30" customWidth="1"/>
    <col min="11265" max="11265" width="20" style="30" customWidth="1"/>
    <col min="11266" max="11517" width="15.625" style="30"/>
    <col min="11518" max="11518" width="4.625" style="30" customWidth="1"/>
    <col min="11519" max="11519" width="29.25" style="30" customWidth="1"/>
    <col min="11520" max="11520" width="13" style="30" customWidth="1"/>
    <col min="11521" max="11521" width="20" style="30" customWidth="1"/>
    <col min="11522" max="11773" width="15.625" style="30"/>
    <col min="11774" max="11774" width="4.625" style="30" customWidth="1"/>
    <col min="11775" max="11775" width="29.25" style="30" customWidth="1"/>
    <col min="11776" max="11776" width="13" style="30" customWidth="1"/>
    <col min="11777" max="11777" width="20" style="30" customWidth="1"/>
    <col min="11778" max="12029" width="15.625" style="30"/>
    <col min="12030" max="12030" width="4.625" style="30" customWidth="1"/>
    <col min="12031" max="12031" width="29.25" style="30" customWidth="1"/>
    <col min="12032" max="12032" width="13" style="30" customWidth="1"/>
    <col min="12033" max="12033" width="20" style="30" customWidth="1"/>
    <col min="12034" max="12285" width="15.625" style="30"/>
    <col min="12286" max="12286" width="4.625" style="30" customWidth="1"/>
    <col min="12287" max="12287" width="29.25" style="30" customWidth="1"/>
    <col min="12288" max="12288" width="13" style="30" customWidth="1"/>
    <col min="12289" max="12289" width="20" style="30" customWidth="1"/>
    <col min="12290" max="12541" width="15.625" style="30"/>
    <col min="12542" max="12542" width="4.625" style="30" customWidth="1"/>
    <col min="12543" max="12543" width="29.25" style="30" customWidth="1"/>
    <col min="12544" max="12544" width="13" style="30" customWidth="1"/>
    <col min="12545" max="12545" width="20" style="30" customWidth="1"/>
    <col min="12546" max="12797" width="15.625" style="30"/>
    <col min="12798" max="12798" width="4.625" style="30" customWidth="1"/>
    <col min="12799" max="12799" width="29.25" style="30" customWidth="1"/>
    <col min="12800" max="12800" width="13" style="30" customWidth="1"/>
    <col min="12801" max="12801" width="20" style="30" customWidth="1"/>
    <col min="12802" max="13053" width="15.625" style="30"/>
    <col min="13054" max="13054" width="4.625" style="30" customWidth="1"/>
    <col min="13055" max="13055" width="29.25" style="30" customWidth="1"/>
    <col min="13056" max="13056" width="13" style="30" customWidth="1"/>
    <col min="13057" max="13057" width="20" style="30" customWidth="1"/>
    <col min="13058" max="13309" width="15.625" style="30"/>
    <col min="13310" max="13310" width="4.625" style="30" customWidth="1"/>
    <col min="13311" max="13311" width="29.25" style="30" customWidth="1"/>
    <col min="13312" max="13312" width="13" style="30" customWidth="1"/>
    <col min="13313" max="13313" width="20" style="30" customWidth="1"/>
    <col min="13314" max="13565" width="15.625" style="30"/>
    <col min="13566" max="13566" width="4.625" style="30" customWidth="1"/>
    <col min="13567" max="13567" width="29.25" style="30" customWidth="1"/>
    <col min="13568" max="13568" width="13" style="30" customWidth="1"/>
    <col min="13569" max="13569" width="20" style="30" customWidth="1"/>
    <col min="13570" max="13821" width="15.625" style="30"/>
    <col min="13822" max="13822" width="4.625" style="30" customWidth="1"/>
    <col min="13823" max="13823" width="29.25" style="30" customWidth="1"/>
    <col min="13824" max="13824" width="13" style="30" customWidth="1"/>
    <col min="13825" max="13825" width="20" style="30" customWidth="1"/>
    <col min="13826" max="14077" width="15.625" style="30"/>
    <col min="14078" max="14078" width="4.625" style="30" customWidth="1"/>
    <col min="14079" max="14079" width="29.25" style="30" customWidth="1"/>
    <col min="14080" max="14080" width="13" style="30" customWidth="1"/>
    <col min="14081" max="14081" width="20" style="30" customWidth="1"/>
    <col min="14082" max="14333" width="15.625" style="30"/>
    <col min="14334" max="14334" width="4.625" style="30" customWidth="1"/>
    <col min="14335" max="14335" width="29.25" style="30" customWidth="1"/>
    <col min="14336" max="14336" width="13" style="30" customWidth="1"/>
    <col min="14337" max="14337" width="20" style="30" customWidth="1"/>
    <col min="14338" max="14589" width="15.625" style="30"/>
    <col min="14590" max="14590" width="4.625" style="30" customWidth="1"/>
    <col min="14591" max="14591" width="29.25" style="30" customWidth="1"/>
    <col min="14592" max="14592" width="13" style="30" customWidth="1"/>
    <col min="14593" max="14593" width="20" style="30" customWidth="1"/>
    <col min="14594" max="14845" width="15.625" style="30"/>
    <col min="14846" max="14846" width="4.625" style="30" customWidth="1"/>
    <col min="14847" max="14847" width="29.25" style="30" customWidth="1"/>
    <col min="14848" max="14848" width="13" style="30" customWidth="1"/>
    <col min="14849" max="14849" width="20" style="30" customWidth="1"/>
    <col min="14850" max="15101" width="15.625" style="30"/>
    <col min="15102" max="15102" width="4.625" style="30" customWidth="1"/>
    <col min="15103" max="15103" width="29.25" style="30" customWidth="1"/>
    <col min="15104" max="15104" width="13" style="30" customWidth="1"/>
    <col min="15105" max="15105" width="20" style="30" customWidth="1"/>
    <col min="15106" max="15357" width="15.625" style="30"/>
    <col min="15358" max="15358" width="4.625" style="30" customWidth="1"/>
    <col min="15359" max="15359" width="29.25" style="30" customWidth="1"/>
    <col min="15360" max="15360" width="13" style="30" customWidth="1"/>
    <col min="15361" max="15361" width="20" style="30" customWidth="1"/>
    <col min="15362" max="15613" width="15.625" style="30"/>
    <col min="15614" max="15614" width="4.625" style="30" customWidth="1"/>
    <col min="15615" max="15615" width="29.25" style="30" customWidth="1"/>
    <col min="15616" max="15616" width="13" style="30" customWidth="1"/>
    <col min="15617" max="15617" width="20" style="30" customWidth="1"/>
    <col min="15618" max="15869" width="15.625" style="30"/>
    <col min="15870" max="15870" width="4.625" style="30" customWidth="1"/>
    <col min="15871" max="15871" width="29.25" style="30" customWidth="1"/>
    <col min="15872" max="15872" width="13" style="30" customWidth="1"/>
    <col min="15873" max="15873" width="20" style="30" customWidth="1"/>
    <col min="15874" max="16125" width="15.625" style="30"/>
    <col min="16126" max="16126" width="4.625" style="30" customWidth="1"/>
    <col min="16127" max="16127" width="29.25" style="30" customWidth="1"/>
    <col min="16128" max="16128" width="13" style="30" customWidth="1"/>
    <col min="16129" max="16129" width="20" style="30" customWidth="1"/>
    <col min="16130" max="16384" width="15.625" style="30"/>
  </cols>
  <sheetData>
    <row r="1" spans="1:16" ht="25.5">
      <c r="A1" s="279" t="s">
        <v>177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</row>
    <row r="2" spans="1:16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472</v>
      </c>
      <c r="F2" s="32" t="s">
        <v>473</v>
      </c>
      <c r="G2" s="32" t="s">
        <v>474</v>
      </c>
      <c r="H2" s="32" t="s">
        <v>475</v>
      </c>
      <c r="I2" s="32" t="s">
        <v>476</v>
      </c>
      <c r="J2" s="32" t="s">
        <v>477</v>
      </c>
      <c r="K2" s="32" t="s">
        <v>478</v>
      </c>
      <c r="L2" s="32" t="s">
        <v>479</v>
      </c>
      <c r="M2" s="32" t="s">
        <v>480</v>
      </c>
      <c r="N2" s="32" t="s">
        <v>25</v>
      </c>
    </row>
    <row r="3" spans="1:16">
      <c r="A3" s="33" t="s">
        <v>181</v>
      </c>
      <c r="B3" s="34" t="s">
        <v>182</v>
      </c>
      <c r="C3" s="34"/>
      <c r="D3" s="35" t="s">
        <v>183</v>
      </c>
      <c r="E3" s="36">
        <v>87807039.550000012</v>
      </c>
      <c r="F3" s="36">
        <v>97101939.520000011</v>
      </c>
      <c r="G3" s="36">
        <v>526907161.50000012</v>
      </c>
      <c r="H3" s="36">
        <v>311568151.06000006</v>
      </c>
      <c r="I3" s="36">
        <v>327916147.66000003</v>
      </c>
      <c r="J3" s="36">
        <v>208779246.89999998</v>
      </c>
      <c r="K3" s="36">
        <v>211856171.53999999</v>
      </c>
      <c r="L3" s="36">
        <v>354260790.8499999</v>
      </c>
      <c r="M3" s="36">
        <v>213557010.40000001</v>
      </c>
      <c r="N3" s="36">
        <f t="shared" ref="N3:N34" si="0">SUM(E3:M3)</f>
        <v>2339753658.98</v>
      </c>
      <c r="O3" s="30">
        <v>2210161781.8300004</v>
      </c>
      <c r="P3" s="143">
        <f>N3-O3</f>
        <v>129591877.14999962</v>
      </c>
    </row>
    <row r="4" spans="1:16">
      <c r="A4" s="33" t="s">
        <v>184</v>
      </c>
      <c r="B4" s="34" t="s">
        <v>128</v>
      </c>
      <c r="C4" s="34"/>
      <c r="D4" s="35" t="s">
        <v>183</v>
      </c>
      <c r="E4" s="36">
        <v>75950655</v>
      </c>
      <c r="F4" s="36">
        <v>82641092.599999994</v>
      </c>
      <c r="G4" s="36">
        <v>451273232.79000002</v>
      </c>
      <c r="H4" s="36">
        <v>262222614.5</v>
      </c>
      <c r="I4" s="36">
        <v>282123671.80000001</v>
      </c>
      <c r="J4" s="36">
        <v>179388313</v>
      </c>
      <c r="K4" s="36">
        <v>182930253.19999999</v>
      </c>
      <c r="L4" s="36">
        <v>303613493</v>
      </c>
      <c r="M4" s="36">
        <v>185993797</v>
      </c>
      <c r="N4" s="36">
        <f t="shared" si="0"/>
        <v>2006137122.8900001</v>
      </c>
      <c r="O4" s="30">
        <v>1887290898.2900002</v>
      </c>
      <c r="P4" s="143">
        <f>N4-O4</f>
        <v>118846224.5999999</v>
      </c>
    </row>
    <row r="5" spans="1:16">
      <c r="A5" s="33" t="s">
        <v>185</v>
      </c>
      <c r="B5" s="34" t="s">
        <v>186</v>
      </c>
      <c r="C5" s="34"/>
      <c r="D5" s="35" t="s">
        <v>183</v>
      </c>
      <c r="E5" s="36">
        <v>11283703</v>
      </c>
      <c r="F5" s="36">
        <v>11189005</v>
      </c>
      <c r="G5" s="36">
        <v>62708930.989999995</v>
      </c>
      <c r="H5" s="36">
        <v>33943042.600000001</v>
      </c>
      <c r="I5" s="36">
        <v>38352264</v>
      </c>
      <c r="J5" s="36">
        <v>23807466</v>
      </c>
      <c r="K5" s="36">
        <v>26096784</v>
      </c>
      <c r="L5" s="36">
        <v>39773364</v>
      </c>
      <c r="M5" s="36">
        <v>26127730</v>
      </c>
      <c r="N5" s="36">
        <f t="shared" si="0"/>
        <v>273282289.59000003</v>
      </c>
      <c r="O5" s="30">
        <v>268326871.13999999</v>
      </c>
      <c r="P5" s="143">
        <f t="shared" ref="P5:P31" si="1">N5-O5</f>
        <v>4955418.4500000477</v>
      </c>
    </row>
    <row r="6" spans="1:16">
      <c r="A6" s="33" t="s">
        <v>187</v>
      </c>
      <c r="B6" s="34" t="s">
        <v>188</v>
      </c>
      <c r="C6" s="34" t="s">
        <v>189</v>
      </c>
      <c r="D6" s="35" t="s">
        <v>190</v>
      </c>
      <c r="E6" s="37">
        <v>6441558</v>
      </c>
      <c r="F6" s="37">
        <v>6604766</v>
      </c>
      <c r="G6" s="37">
        <v>36776066.989999995</v>
      </c>
      <c r="H6" s="37">
        <v>21096384.5</v>
      </c>
      <c r="I6" s="37">
        <v>22984188</v>
      </c>
      <c r="J6" s="37">
        <v>14413950</v>
      </c>
      <c r="K6" s="37">
        <v>14834928</v>
      </c>
      <c r="L6" s="37">
        <v>24516696</v>
      </c>
      <c r="M6" s="37">
        <v>15018860</v>
      </c>
      <c r="N6" s="36">
        <f t="shared" si="0"/>
        <v>162687397.49000001</v>
      </c>
      <c r="O6" s="30">
        <v>157971718.39999998</v>
      </c>
      <c r="P6" s="143">
        <f t="shared" si="1"/>
        <v>4715679.0900000334</v>
      </c>
    </row>
    <row r="7" spans="1:16">
      <c r="A7" s="33" t="s">
        <v>191</v>
      </c>
      <c r="B7" s="34" t="s">
        <v>192</v>
      </c>
      <c r="C7" s="34" t="s">
        <v>189</v>
      </c>
      <c r="D7" s="35" t="s">
        <v>190</v>
      </c>
      <c r="E7" s="37">
        <v>4842145</v>
      </c>
      <c r="F7" s="37">
        <v>4584239</v>
      </c>
      <c r="G7" s="37">
        <v>25932864</v>
      </c>
      <c r="H7" s="37">
        <v>12846658.1</v>
      </c>
      <c r="I7" s="37">
        <v>15368076</v>
      </c>
      <c r="J7" s="37">
        <v>9393516</v>
      </c>
      <c r="K7" s="37">
        <v>11261856</v>
      </c>
      <c r="L7" s="37">
        <v>15256668</v>
      </c>
      <c r="M7" s="37">
        <v>11108870</v>
      </c>
      <c r="N7" s="36">
        <f t="shared" si="0"/>
        <v>110594892.09999999</v>
      </c>
      <c r="O7" s="30">
        <v>110355152.73999999</v>
      </c>
      <c r="P7" s="143">
        <f t="shared" si="1"/>
        <v>239739.3599999994</v>
      </c>
    </row>
    <row r="8" spans="1:16">
      <c r="A8" s="33" t="s">
        <v>193</v>
      </c>
      <c r="B8" s="34" t="s">
        <v>194</v>
      </c>
      <c r="C8" s="34"/>
      <c r="D8" s="35" t="s">
        <v>183</v>
      </c>
      <c r="E8" s="36">
        <v>1339999</v>
      </c>
      <c r="F8" s="36">
        <v>1484639</v>
      </c>
      <c r="G8" s="36">
        <v>8042424</v>
      </c>
      <c r="H8" s="36">
        <v>4793437.7</v>
      </c>
      <c r="I8" s="36">
        <v>5100984</v>
      </c>
      <c r="J8" s="36">
        <v>3244032</v>
      </c>
      <c r="K8" s="36">
        <v>3255924</v>
      </c>
      <c r="L8" s="36">
        <v>5452224</v>
      </c>
      <c r="M8" s="36">
        <v>3287590</v>
      </c>
      <c r="N8" s="36">
        <f t="shared" si="0"/>
        <v>36001253.700000003</v>
      </c>
      <c r="O8" s="30">
        <v>34594486.700000003</v>
      </c>
      <c r="P8" s="143">
        <f t="shared" si="1"/>
        <v>1406767</v>
      </c>
    </row>
    <row r="9" spans="1:16">
      <c r="A9" s="33" t="s">
        <v>195</v>
      </c>
      <c r="B9" s="34" t="s">
        <v>196</v>
      </c>
      <c r="C9" s="34" t="s">
        <v>189</v>
      </c>
      <c r="D9" s="35" t="s">
        <v>190</v>
      </c>
      <c r="E9" s="37">
        <v>28759</v>
      </c>
      <c r="F9" s="37">
        <v>18191</v>
      </c>
      <c r="G9" s="37">
        <v>94704</v>
      </c>
      <c r="H9" s="37">
        <v>78325.7</v>
      </c>
      <c r="I9" s="37">
        <v>59400</v>
      </c>
      <c r="J9" s="37">
        <v>32832</v>
      </c>
      <c r="K9" s="37">
        <v>55428</v>
      </c>
      <c r="L9" s="37">
        <v>57408</v>
      </c>
      <c r="M9" s="37">
        <v>44278</v>
      </c>
      <c r="N9" s="36">
        <f t="shared" si="0"/>
        <v>469325.7</v>
      </c>
      <c r="O9" s="30">
        <v>504193.8</v>
      </c>
      <c r="P9" s="143">
        <f t="shared" si="1"/>
        <v>-34868.099999999977</v>
      </c>
    </row>
    <row r="10" spans="1:16">
      <c r="A10" s="33" t="s">
        <v>197</v>
      </c>
      <c r="B10" s="34" t="s">
        <v>198</v>
      </c>
      <c r="C10" s="34"/>
      <c r="D10" s="35" t="s">
        <v>183</v>
      </c>
      <c r="E10" s="36">
        <v>1311240</v>
      </c>
      <c r="F10" s="36">
        <v>1466448</v>
      </c>
      <c r="G10" s="36">
        <v>7947720</v>
      </c>
      <c r="H10" s="36">
        <v>4715112</v>
      </c>
      <c r="I10" s="36">
        <v>5041584</v>
      </c>
      <c r="J10" s="36">
        <v>3211200</v>
      </c>
      <c r="K10" s="36">
        <v>3200496</v>
      </c>
      <c r="L10" s="36">
        <v>5394816</v>
      </c>
      <c r="M10" s="36">
        <v>3243312</v>
      </c>
      <c r="N10" s="36">
        <f t="shared" si="0"/>
        <v>35531928</v>
      </c>
      <c r="O10" s="30">
        <v>34090292.899999999</v>
      </c>
      <c r="P10" s="143">
        <f t="shared" si="1"/>
        <v>1441635.1000000015</v>
      </c>
    </row>
    <row r="11" spans="1:16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v>17640</v>
      </c>
      <c r="F11" s="36">
        <v>19728</v>
      </c>
      <c r="G11" s="36">
        <v>106920</v>
      </c>
      <c r="H11" s="36">
        <v>63432</v>
      </c>
      <c r="I11" s="36">
        <v>67824</v>
      </c>
      <c r="J11" s="36">
        <v>43200</v>
      </c>
      <c r="K11" s="36">
        <v>43056</v>
      </c>
      <c r="L11" s="36">
        <v>72576</v>
      </c>
      <c r="M11" s="36">
        <v>43632</v>
      </c>
      <c r="N11" s="36">
        <f t="shared" si="0"/>
        <v>478008</v>
      </c>
      <c r="O11" s="40">
        <v>461283.9</v>
      </c>
      <c r="P11" s="143">
        <f t="shared" si="1"/>
        <v>16724.099999999977</v>
      </c>
    </row>
    <row r="12" spans="1:16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v>1293600</v>
      </c>
      <c r="F12" s="36">
        <v>1446720</v>
      </c>
      <c r="G12" s="36">
        <v>7840800</v>
      </c>
      <c r="H12" s="36">
        <v>4651680</v>
      </c>
      <c r="I12" s="36">
        <v>4973760</v>
      </c>
      <c r="J12" s="36">
        <v>3168000</v>
      </c>
      <c r="K12" s="36">
        <v>3157440</v>
      </c>
      <c r="L12" s="36">
        <v>5322240</v>
      </c>
      <c r="M12" s="36">
        <v>3199680</v>
      </c>
      <c r="N12" s="36">
        <f t="shared" si="0"/>
        <v>35053920</v>
      </c>
      <c r="O12" s="40">
        <v>33629009</v>
      </c>
      <c r="P12" s="143">
        <f t="shared" si="1"/>
        <v>1424911</v>
      </c>
    </row>
    <row r="13" spans="1:16">
      <c r="A13" s="33" t="s">
        <v>203</v>
      </c>
      <c r="B13" s="34" t="s">
        <v>204</v>
      </c>
      <c r="C13" s="34"/>
      <c r="D13" s="35" t="s">
        <v>205</v>
      </c>
      <c r="E13" s="36">
        <v>1211810</v>
      </c>
      <c r="F13" s="36">
        <v>1293008.3999999999</v>
      </c>
      <c r="G13" s="36">
        <v>6949081.2000000002</v>
      </c>
      <c r="H13" s="36">
        <v>4061860.8</v>
      </c>
      <c r="I13" s="36">
        <v>4323808.2</v>
      </c>
      <c r="J13" s="36">
        <v>2761525</v>
      </c>
      <c r="K13" s="36">
        <v>2842174.8</v>
      </c>
      <c r="L13" s="36">
        <v>4719546</v>
      </c>
      <c r="M13" s="36">
        <v>2934610</v>
      </c>
      <c r="N13" s="36">
        <f t="shared" si="0"/>
        <v>31097424.399999999</v>
      </c>
      <c r="O13" s="30">
        <v>25434725.850000005</v>
      </c>
      <c r="P13" s="143">
        <f t="shared" si="1"/>
        <v>5662698.5499999933</v>
      </c>
    </row>
    <row r="14" spans="1:16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v>727086</v>
      </c>
      <c r="F14" s="36">
        <v>775805.03999999992</v>
      </c>
      <c r="G14" s="36">
        <v>4169448.7199999997</v>
      </c>
      <c r="H14" s="36">
        <v>2437116.4800000004</v>
      </c>
      <c r="I14" s="36">
        <v>2594284.92</v>
      </c>
      <c r="J14" s="36">
        <v>1656914.9999999998</v>
      </c>
      <c r="K14" s="36">
        <v>1705304.8800000001</v>
      </c>
      <c r="L14" s="36">
        <v>2831727.6000000006</v>
      </c>
      <c r="M14" s="36">
        <v>1760766</v>
      </c>
      <c r="N14" s="36">
        <f t="shared" si="0"/>
        <v>18658454.640000001</v>
      </c>
      <c r="O14" s="40">
        <v>15657546.540000003</v>
      </c>
      <c r="P14" s="143">
        <f t="shared" si="1"/>
        <v>3000908.0999999978</v>
      </c>
    </row>
    <row r="15" spans="1:16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v>242362</v>
      </c>
      <c r="F15" s="36">
        <v>258601.68</v>
      </c>
      <c r="G15" s="36">
        <v>1389816.24</v>
      </c>
      <c r="H15" s="36">
        <v>812372.16</v>
      </c>
      <c r="I15" s="36">
        <v>864761.64</v>
      </c>
      <c r="J15" s="36">
        <v>552305.00000000012</v>
      </c>
      <c r="K15" s="36">
        <v>568434.96</v>
      </c>
      <c r="L15" s="36">
        <v>943909.2</v>
      </c>
      <c r="M15" s="36">
        <v>586922</v>
      </c>
      <c r="N15" s="36">
        <f t="shared" si="0"/>
        <v>6219484.8799999999</v>
      </c>
      <c r="O15" s="40">
        <v>3051912.2800000003</v>
      </c>
      <c r="P15" s="143">
        <f t="shared" si="1"/>
        <v>3167572.5999999996</v>
      </c>
    </row>
    <row r="16" spans="1:16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242362</v>
      </c>
      <c r="F16" s="37">
        <v>258601.68</v>
      </c>
      <c r="G16" s="37">
        <v>1389816.24</v>
      </c>
      <c r="H16" s="37">
        <v>812372.16</v>
      </c>
      <c r="I16" s="37">
        <v>864761.64</v>
      </c>
      <c r="J16" s="37">
        <v>552305.00000000012</v>
      </c>
      <c r="K16" s="37">
        <v>568434.96</v>
      </c>
      <c r="L16" s="37">
        <v>943909.2</v>
      </c>
      <c r="M16" s="37">
        <v>586922</v>
      </c>
      <c r="N16" s="36">
        <f t="shared" si="0"/>
        <v>6219484.8799999999</v>
      </c>
      <c r="O16" s="40">
        <v>5763507.3300000001</v>
      </c>
      <c r="P16" s="143">
        <f t="shared" si="1"/>
        <v>455977.54999999981</v>
      </c>
    </row>
    <row r="17" spans="1:16">
      <c r="A17" s="33" t="s">
        <v>213</v>
      </c>
      <c r="B17" s="34" t="s">
        <v>214</v>
      </c>
      <c r="C17" s="34"/>
      <c r="D17" s="35" t="s">
        <v>183</v>
      </c>
      <c r="E17" s="36">
        <v>37950563</v>
      </c>
      <c r="F17" s="36">
        <v>42769889</v>
      </c>
      <c r="G17" s="36">
        <v>234233335</v>
      </c>
      <c r="H17" s="36">
        <v>137853179</v>
      </c>
      <c r="I17" s="36">
        <v>147474868</v>
      </c>
      <c r="J17" s="36">
        <v>94107840</v>
      </c>
      <c r="K17" s="36">
        <v>93835424</v>
      </c>
      <c r="L17" s="36">
        <v>159039731</v>
      </c>
      <c r="M17" s="36">
        <v>95003287</v>
      </c>
      <c r="N17" s="36">
        <f t="shared" si="0"/>
        <v>1042268116</v>
      </c>
      <c r="O17" s="30">
        <v>1011229700.8499999</v>
      </c>
      <c r="P17" s="143">
        <f t="shared" si="1"/>
        <v>31038415.150000095</v>
      </c>
    </row>
    <row r="18" spans="1:16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v>36993215</v>
      </c>
      <c r="F18" s="43">
        <v>41674167</v>
      </c>
      <c r="G18" s="43">
        <v>230590812</v>
      </c>
      <c r="H18" s="43">
        <v>134857905</v>
      </c>
      <c r="I18" s="43">
        <v>144682553</v>
      </c>
      <c r="J18" s="43">
        <v>92385340</v>
      </c>
      <c r="K18" s="43">
        <v>91963644</v>
      </c>
      <c r="L18" s="43">
        <v>155946982</v>
      </c>
      <c r="M18" s="43">
        <v>93215522</v>
      </c>
      <c r="N18" s="36">
        <f t="shared" si="0"/>
        <v>1022310140</v>
      </c>
      <c r="O18" s="30">
        <v>991095329.8499999</v>
      </c>
      <c r="P18" s="143">
        <f t="shared" si="1"/>
        <v>31214810.150000095</v>
      </c>
    </row>
    <row r="19" spans="1:16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957348</v>
      </c>
      <c r="F19" s="44">
        <v>1095722</v>
      </c>
      <c r="G19" s="43">
        <v>3642523</v>
      </c>
      <c r="H19" s="43">
        <v>2995274</v>
      </c>
      <c r="I19" s="43">
        <v>2792315</v>
      </c>
      <c r="J19" s="43">
        <v>1722500</v>
      </c>
      <c r="K19" s="43">
        <v>1871780</v>
      </c>
      <c r="L19" s="43">
        <v>3092749</v>
      </c>
      <c r="M19" s="43">
        <v>1787765</v>
      </c>
      <c r="N19" s="36">
        <f t="shared" si="0"/>
        <v>19957976</v>
      </c>
      <c r="O19" s="30">
        <v>20134371</v>
      </c>
      <c r="P19" s="143">
        <f t="shared" si="1"/>
        <v>-176395</v>
      </c>
    </row>
    <row r="20" spans="1:16">
      <c r="A20" s="33" t="s">
        <v>221</v>
      </c>
      <c r="B20" s="34" t="s">
        <v>222</v>
      </c>
      <c r="C20" s="34"/>
      <c r="D20" s="42" t="s">
        <v>183</v>
      </c>
      <c r="E20" s="45">
        <v>4847240</v>
      </c>
      <c r="F20" s="45">
        <v>5172033.5999999996</v>
      </c>
      <c r="G20" s="45">
        <v>27796324.800000001</v>
      </c>
      <c r="H20" s="45">
        <v>16247443.199999999</v>
      </c>
      <c r="I20" s="45">
        <v>17295232.800000001</v>
      </c>
      <c r="J20" s="45">
        <v>11046100</v>
      </c>
      <c r="K20" s="45">
        <v>11368699.199999999</v>
      </c>
      <c r="L20" s="45">
        <v>18878184</v>
      </c>
      <c r="M20" s="45">
        <v>11738440</v>
      </c>
      <c r="N20" s="36">
        <f t="shared" si="0"/>
        <v>124389697.59999999</v>
      </c>
      <c r="O20" s="30">
        <v>115373571.08000001</v>
      </c>
      <c r="P20" s="143">
        <f t="shared" si="1"/>
        <v>9016126.5199999809</v>
      </c>
    </row>
    <row r="21" spans="1:16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v>4847240</v>
      </c>
      <c r="F21" s="45">
        <v>5172033.5999999996</v>
      </c>
      <c r="G21" s="45">
        <v>27796324.800000001</v>
      </c>
      <c r="H21" s="45">
        <v>16247443.199999999</v>
      </c>
      <c r="I21" s="45">
        <v>17295232.800000001</v>
      </c>
      <c r="J21" s="45">
        <v>11046100</v>
      </c>
      <c r="K21" s="45">
        <v>11368699.199999999</v>
      </c>
      <c r="L21" s="45">
        <v>18878184</v>
      </c>
      <c r="M21" s="45">
        <v>11738440</v>
      </c>
      <c r="N21" s="36">
        <f t="shared" si="0"/>
        <v>124389697.59999999</v>
      </c>
      <c r="O21" s="30">
        <v>115373571.08000001</v>
      </c>
      <c r="P21" s="143">
        <f t="shared" si="1"/>
        <v>9016126.5199999809</v>
      </c>
    </row>
    <row r="22" spans="1:16">
      <c r="A22" s="33" t="s">
        <v>226</v>
      </c>
      <c r="B22" s="34" t="s">
        <v>227</v>
      </c>
      <c r="C22" s="34"/>
      <c r="D22" s="42" t="s">
        <v>208</v>
      </c>
      <c r="E22" s="45">
        <v>1938896</v>
      </c>
      <c r="F22" s="45">
        <v>2068813.44</v>
      </c>
      <c r="G22" s="45">
        <v>11118529.92</v>
      </c>
      <c r="H22" s="45">
        <v>6498977.2800000003</v>
      </c>
      <c r="I22" s="45">
        <v>6918093.1200000001</v>
      </c>
      <c r="J22" s="45">
        <v>4418440.0000000009</v>
      </c>
      <c r="K22" s="45">
        <v>4547479.68</v>
      </c>
      <c r="L22" s="45">
        <v>7551273.5999999996</v>
      </c>
      <c r="M22" s="45">
        <v>4695376</v>
      </c>
      <c r="N22" s="36">
        <f t="shared" si="0"/>
        <v>49755879.039999999</v>
      </c>
      <c r="O22" s="30">
        <v>12909240.1</v>
      </c>
      <c r="P22" s="143">
        <f t="shared" si="1"/>
        <v>36846638.939999998</v>
      </c>
    </row>
    <row r="23" spans="1:16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v>969448</v>
      </c>
      <c r="F23" s="45">
        <v>1034406.72</v>
      </c>
      <c r="G23" s="45">
        <v>5559264.96</v>
      </c>
      <c r="H23" s="45">
        <v>3249488.64</v>
      </c>
      <c r="I23" s="45">
        <v>3459046.56</v>
      </c>
      <c r="J23" s="45">
        <v>2209220.0000000005</v>
      </c>
      <c r="K23" s="45">
        <v>2273739.84</v>
      </c>
      <c r="L23" s="45">
        <v>3775636.8</v>
      </c>
      <c r="M23" s="45">
        <v>2347688</v>
      </c>
      <c r="N23" s="36">
        <f t="shared" si="0"/>
        <v>24877939.52</v>
      </c>
      <c r="O23" s="30">
        <v>6207723.5999999996</v>
      </c>
      <c r="P23" s="143">
        <f t="shared" si="1"/>
        <v>18670215.920000002</v>
      </c>
    </row>
    <row r="24" spans="1:16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v>969448</v>
      </c>
      <c r="F24" s="45">
        <v>1034406.72</v>
      </c>
      <c r="G24" s="45">
        <v>5559264.96</v>
      </c>
      <c r="H24" s="45">
        <v>3249488.64</v>
      </c>
      <c r="I24" s="45">
        <v>3459046.56</v>
      </c>
      <c r="J24" s="45">
        <v>2209220.0000000005</v>
      </c>
      <c r="K24" s="45">
        <v>2273739.84</v>
      </c>
      <c r="L24" s="45">
        <v>3775636.8</v>
      </c>
      <c r="M24" s="45">
        <v>2347688</v>
      </c>
      <c r="N24" s="36">
        <f t="shared" si="0"/>
        <v>24877939.52</v>
      </c>
      <c r="O24" s="30">
        <v>6701516.5</v>
      </c>
      <c r="P24" s="143">
        <f t="shared" si="1"/>
        <v>18176423.02</v>
      </c>
    </row>
    <row r="25" spans="1:16">
      <c r="A25" s="33" t="s">
        <v>233</v>
      </c>
      <c r="B25" s="34" t="s">
        <v>234</v>
      </c>
      <c r="C25" s="34"/>
      <c r="D25" s="35" t="s">
        <v>183</v>
      </c>
      <c r="E25" s="36">
        <v>7755584</v>
      </c>
      <c r="F25" s="36">
        <v>8275253.7599999998</v>
      </c>
      <c r="G25" s="36">
        <v>44474119.68</v>
      </c>
      <c r="H25" s="36">
        <v>25995909.120000001</v>
      </c>
      <c r="I25" s="36">
        <v>27672372.48</v>
      </c>
      <c r="J25" s="36">
        <v>17673760.000000004</v>
      </c>
      <c r="K25" s="36">
        <v>18189918.719999999</v>
      </c>
      <c r="L25" s="36">
        <v>30205094.399999999</v>
      </c>
      <c r="M25" s="36">
        <v>18781504</v>
      </c>
      <c r="N25" s="36">
        <f t="shared" si="0"/>
        <v>199023516.16</v>
      </c>
      <c r="O25" s="30">
        <v>184614394.41</v>
      </c>
      <c r="P25" s="143">
        <f t="shared" si="1"/>
        <v>14409121.75</v>
      </c>
    </row>
    <row r="26" spans="1:16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v>7755584</v>
      </c>
      <c r="F26" s="36">
        <v>8275253.7599999998</v>
      </c>
      <c r="G26" s="36">
        <v>44474119.68</v>
      </c>
      <c r="H26" s="36">
        <v>25995909.120000001</v>
      </c>
      <c r="I26" s="36">
        <v>27672372.48</v>
      </c>
      <c r="J26" s="36">
        <v>17673760.000000004</v>
      </c>
      <c r="K26" s="36">
        <v>18189918.719999999</v>
      </c>
      <c r="L26" s="36">
        <v>30205094.399999999</v>
      </c>
      <c r="M26" s="36">
        <v>18781504</v>
      </c>
      <c r="N26" s="36">
        <f t="shared" si="0"/>
        <v>199023516.16</v>
      </c>
      <c r="O26" s="40">
        <v>184614394.41</v>
      </c>
      <c r="P26" s="143">
        <f t="shared" si="1"/>
        <v>14409121.75</v>
      </c>
    </row>
    <row r="27" spans="1:16">
      <c r="A27" s="33" t="s">
        <v>238</v>
      </c>
      <c r="B27" s="34" t="s">
        <v>239</v>
      </c>
      <c r="C27" s="34"/>
      <c r="D27" s="35" t="s">
        <v>183</v>
      </c>
      <c r="E27" s="36">
        <v>3877792</v>
      </c>
      <c r="F27" s="36">
        <v>4137626.88</v>
      </c>
      <c r="G27" s="36">
        <v>22237059.84</v>
      </c>
      <c r="H27" s="36">
        <v>12997954.560000001</v>
      </c>
      <c r="I27" s="36">
        <v>13836186.24</v>
      </c>
      <c r="J27" s="36">
        <v>8836880.0000000019</v>
      </c>
      <c r="K27" s="36">
        <v>9094959.3599999994</v>
      </c>
      <c r="L27" s="36">
        <v>15102547.199999999</v>
      </c>
      <c r="M27" s="36">
        <v>9390752</v>
      </c>
      <c r="N27" s="36">
        <f t="shared" si="0"/>
        <v>99511758.079999998</v>
      </c>
      <c r="O27" s="30">
        <v>92315326.559999987</v>
      </c>
      <c r="P27" s="143">
        <f t="shared" si="1"/>
        <v>7196431.5200000107</v>
      </c>
    </row>
    <row r="28" spans="1:16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v>3877792</v>
      </c>
      <c r="F28" s="36">
        <v>4137626.88</v>
      </c>
      <c r="G28" s="36">
        <v>22237059.84</v>
      </c>
      <c r="H28" s="36">
        <v>12997954.560000001</v>
      </c>
      <c r="I28" s="36">
        <v>13836186.24</v>
      </c>
      <c r="J28" s="36">
        <v>8836880.0000000019</v>
      </c>
      <c r="K28" s="36">
        <v>9094959.3599999994</v>
      </c>
      <c r="L28" s="36">
        <v>15102547.199999999</v>
      </c>
      <c r="M28" s="36">
        <v>9390752</v>
      </c>
      <c r="N28" s="36">
        <f t="shared" si="0"/>
        <v>99511758.079999998</v>
      </c>
      <c r="O28" s="40">
        <v>92315326.559999987</v>
      </c>
      <c r="P28" s="143">
        <f t="shared" si="1"/>
        <v>7196431.5200000107</v>
      </c>
    </row>
    <row r="29" spans="1:16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v>2352000</v>
      </c>
      <c r="F29" s="36">
        <v>2630400</v>
      </c>
      <c r="G29" s="36">
        <v>14256000</v>
      </c>
      <c r="H29" s="36">
        <v>8457600</v>
      </c>
      <c r="I29" s="36">
        <v>9043200</v>
      </c>
      <c r="J29" s="36">
        <v>5760000</v>
      </c>
      <c r="K29" s="36">
        <v>5740800</v>
      </c>
      <c r="L29" s="36">
        <v>9676800</v>
      </c>
      <c r="M29" s="36">
        <v>5817600</v>
      </c>
      <c r="N29" s="36">
        <f t="shared" si="0"/>
        <v>63734400</v>
      </c>
      <c r="O29" s="30">
        <v>61809479</v>
      </c>
      <c r="P29" s="143">
        <f t="shared" si="1"/>
        <v>1924921</v>
      </c>
    </row>
    <row r="30" spans="1:16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v>3393068</v>
      </c>
      <c r="F30" s="45">
        <v>3620423.5200000005</v>
      </c>
      <c r="G30" s="45">
        <v>19457427.359999999</v>
      </c>
      <c r="H30" s="45">
        <v>11373210.24</v>
      </c>
      <c r="I30" s="45">
        <v>12106662.960000001</v>
      </c>
      <c r="J30" s="45">
        <v>7732270</v>
      </c>
      <c r="K30" s="45">
        <v>7958089.4400000004</v>
      </c>
      <c r="L30" s="45">
        <v>13214728.800000001</v>
      </c>
      <c r="M30" s="45">
        <v>8216908</v>
      </c>
      <c r="N30" s="36">
        <f t="shared" si="0"/>
        <v>87072788.319999993</v>
      </c>
      <c r="O30" s="30">
        <v>80683102.599999994</v>
      </c>
      <c r="P30" s="143">
        <f t="shared" si="1"/>
        <v>6389685.7199999988</v>
      </c>
    </row>
    <row r="31" spans="1:16">
      <c r="A31" s="33" t="s">
        <v>248</v>
      </c>
      <c r="B31" s="34" t="s">
        <v>249</v>
      </c>
      <c r="C31" s="34"/>
      <c r="D31" s="35" t="s">
        <v>183</v>
      </c>
      <c r="E31" s="36">
        <v>66360</v>
      </c>
      <c r="F31" s="36">
        <v>42570</v>
      </c>
      <c r="G31" s="36">
        <v>184931.20000000001</v>
      </c>
      <c r="H31" s="36">
        <v>133680</v>
      </c>
      <c r="I31" s="36">
        <v>198811.2</v>
      </c>
      <c r="J31" s="36">
        <v>79310</v>
      </c>
      <c r="K31" s="36">
        <v>179838</v>
      </c>
      <c r="L31" s="36">
        <v>120040</v>
      </c>
      <c r="M31" s="36">
        <v>75020</v>
      </c>
      <c r="N31" s="36">
        <f t="shared" si="0"/>
        <v>1080560.3999999999</v>
      </c>
      <c r="O31" s="30">
        <v>5736341.9000000004</v>
      </c>
      <c r="P31" s="143">
        <f t="shared" si="1"/>
        <v>-4655781.5</v>
      </c>
    </row>
    <row r="32" spans="1:16">
      <c r="A32" s="33" t="s">
        <v>250</v>
      </c>
      <c r="B32" s="34" t="s">
        <v>251</v>
      </c>
      <c r="C32" s="34"/>
      <c r="D32" s="35" t="s">
        <v>183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101248</v>
      </c>
      <c r="L32" s="36">
        <v>0</v>
      </c>
      <c r="M32" s="36">
        <v>0</v>
      </c>
      <c r="N32" s="36">
        <f t="shared" si="0"/>
        <v>101248</v>
      </c>
    </row>
    <row r="33" spans="1:14">
      <c r="A33" s="33" t="s">
        <v>252</v>
      </c>
      <c r="B33" s="34" t="s">
        <v>253</v>
      </c>
      <c r="C33" s="34" t="s">
        <v>254</v>
      </c>
      <c r="D33" s="42" t="s">
        <v>255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36">
        <f t="shared" si="0"/>
        <v>0</v>
      </c>
    </row>
    <row r="34" spans="1:14">
      <c r="A34" s="33" t="s">
        <v>256</v>
      </c>
      <c r="B34" s="34" t="s">
        <v>257</v>
      </c>
      <c r="C34" s="34" t="s">
        <v>254</v>
      </c>
      <c r="D34" s="42" t="s">
        <v>255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2400</v>
      </c>
      <c r="L34" s="43">
        <v>0</v>
      </c>
      <c r="M34" s="43">
        <v>0</v>
      </c>
      <c r="N34" s="36">
        <f t="shared" si="0"/>
        <v>2400</v>
      </c>
    </row>
    <row r="35" spans="1:14">
      <c r="A35" s="33" t="s">
        <v>258</v>
      </c>
      <c r="B35" s="34" t="s">
        <v>259</v>
      </c>
      <c r="C35" s="34" t="s">
        <v>254</v>
      </c>
      <c r="D35" s="42" t="s">
        <v>260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36">
        <f t="shared" ref="N35:N66" si="2">SUM(E35:M35)</f>
        <v>0</v>
      </c>
    </row>
    <row r="36" spans="1:14">
      <c r="A36" s="33" t="s">
        <v>261</v>
      </c>
      <c r="B36" s="34" t="s">
        <v>262</v>
      </c>
      <c r="C36" s="34" t="s">
        <v>254</v>
      </c>
      <c r="D36" s="42" t="s">
        <v>255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36">
        <f t="shared" si="2"/>
        <v>0</v>
      </c>
    </row>
    <row r="37" spans="1:14">
      <c r="A37" s="33" t="s">
        <v>263</v>
      </c>
      <c r="B37" s="34" t="s">
        <v>264</v>
      </c>
      <c r="C37" s="34" t="s">
        <v>254</v>
      </c>
      <c r="D37" s="42" t="s">
        <v>255</v>
      </c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36">
        <f t="shared" si="2"/>
        <v>0</v>
      </c>
    </row>
    <row r="38" spans="1:14">
      <c r="A38" s="33" t="s">
        <v>265</v>
      </c>
      <c r="B38" s="34" t="s">
        <v>266</v>
      </c>
      <c r="C38" s="34" t="s">
        <v>254</v>
      </c>
      <c r="D38" s="42" t="s">
        <v>255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71848</v>
      </c>
      <c r="L38" s="43">
        <v>0</v>
      </c>
      <c r="M38" s="43">
        <v>0</v>
      </c>
      <c r="N38" s="36">
        <f t="shared" si="2"/>
        <v>71848</v>
      </c>
    </row>
    <row r="39" spans="1:14">
      <c r="A39" s="33" t="s">
        <v>267</v>
      </c>
      <c r="B39" s="34" t="s">
        <v>268</v>
      </c>
      <c r="C39" s="34" t="s">
        <v>254</v>
      </c>
      <c r="D39" s="42" t="s">
        <v>255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27000</v>
      </c>
      <c r="L39" s="43">
        <v>0</v>
      </c>
      <c r="M39" s="43">
        <v>0</v>
      </c>
      <c r="N39" s="36">
        <f t="shared" si="2"/>
        <v>27000</v>
      </c>
    </row>
    <row r="40" spans="1:14">
      <c r="A40" s="33" t="s">
        <v>269</v>
      </c>
      <c r="B40" s="34" t="s">
        <v>270</v>
      </c>
      <c r="C40" s="34"/>
      <c r="D40" s="35" t="s">
        <v>183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f t="shared" si="2"/>
        <v>0</v>
      </c>
    </row>
    <row r="41" spans="1:14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36">
        <f t="shared" si="2"/>
        <v>0</v>
      </c>
    </row>
    <row r="42" spans="1:14">
      <c r="A42" s="33" t="s">
        <v>274</v>
      </c>
      <c r="B42" s="34" t="s">
        <v>275</v>
      </c>
      <c r="C42" s="34"/>
      <c r="D42" s="35" t="s">
        <v>183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f t="shared" si="2"/>
        <v>0</v>
      </c>
    </row>
    <row r="43" spans="1:14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36">
        <f t="shared" si="2"/>
        <v>0</v>
      </c>
    </row>
    <row r="44" spans="1:14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36">
        <f t="shared" si="2"/>
        <v>0</v>
      </c>
    </row>
    <row r="45" spans="1:14">
      <c r="A45" s="33" t="s">
        <v>280</v>
      </c>
      <c r="B45" s="34" t="s">
        <v>281</v>
      </c>
      <c r="C45" s="34"/>
      <c r="D45" s="35" t="s">
        <v>183</v>
      </c>
      <c r="E45" s="36">
        <v>23610</v>
      </c>
      <c r="F45" s="36">
        <v>20970</v>
      </c>
      <c r="G45" s="36">
        <v>121320</v>
      </c>
      <c r="H45" s="36">
        <v>52980</v>
      </c>
      <c r="I45" s="36">
        <v>70560</v>
      </c>
      <c r="J45" s="36">
        <v>38160</v>
      </c>
      <c r="K45" s="36">
        <v>42840</v>
      </c>
      <c r="L45" s="36">
        <v>62640</v>
      </c>
      <c r="M45" s="36">
        <v>41370</v>
      </c>
      <c r="N45" s="36">
        <f t="shared" si="2"/>
        <v>474450</v>
      </c>
    </row>
    <row r="46" spans="1:14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23610</v>
      </c>
      <c r="F46" s="37">
        <v>20970</v>
      </c>
      <c r="G46" s="37">
        <v>121320</v>
      </c>
      <c r="H46" s="37">
        <v>52980</v>
      </c>
      <c r="I46" s="37">
        <v>70560</v>
      </c>
      <c r="J46" s="37">
        <v>38160</v>
      </c>
      <c r="K46" s="37">
        <v>42840</v>
      </c>
      <c r="L46" s="37">
        <v>62640</v>
      </c>
      <c r="M46" s="37">
        <v>41370</v>
      </c>
      <c r="N46" s="36">
        <f t="shared" si="2"/>
        <v>474450</v>
      </c>
    </row>
    <row r="47" spans="1:14">
      <c r="A47" s="33" t="s">
        <v>284</v>
      </c>
      <c r="B47" s="34" t="s">
        <v>285</v>
      </c>
      <c r="C47" s="34"/>
      <c r="D47" s="35" t="s">
        <v>183</v>
      </c>
      <c r="E47" s="36">
        <v>42750</v>
      </c>
      <c r="F47" s="36">
        <v>21600</v>
      </c>
      <c r="G47" s="36">
        <v>63611.199999999997</v>
      </c>
      <c r="H47" s="36">
        <v>80700</v>
      </c>
      <c r="I47" s="36">
        <v>128251.2</v>
      </c>
      <c r="J47" s="36">
        <v>41150</v>
      </c>
      <c r="K47" s="36">
        <v>35750</v>
      </c>
      <c r="L47" s="36">
        <v>57400</v>
      </c>
      <c r="M47" s="36">
        <v>33650</v>
      </c>
      <c r="N47" s="36">
        <f t="shared" si="2"/>
        <v>504862.4</v>
      </c>
    </row>
    <row r="48" spans="1:14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42750</v>
      </c>
      <c r="F48" s="37">
        <v>21600</v>
      </c>
      <c r="G48" s="37">
        <v>24900</v>
      </c>
      <c r="H48" s="37">
        <v>80700</v>
      </c>
      <c r="I48" s="37">
        <v>89400</v>
      </c>
      <c r="J48" s="37">
        <v>41150</v>
      </c>
      <c r="K48" s="37">
        <v>35750</v>
      </c>
      <c r="L48" s="37">
        <v>57400</v>
      </c>
      <c r="M48" s="37">
        <v>33650</v>
      </c>
      <c r="N48" s="36">
        <f t="shared" si="2"/>
        <v>427300</v>
      </c>
    </row>
    <row r="49" spans="1:16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36">
        <f t="shared" si="2"/>
        <v>0</v>
      </c>
    </row>
    <row r="50" spans="1:16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36">
        <f t="shared" si="2"/>
        <v>0</v>
      </c>
    </row>
    <row r="51" spans="1:16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>
        <v>0</v>
      </c>
      <c r="F51" s="43">
        <v>0</v>
      </c>
      <c r="G51" s="43">
        <v>38711.199999999997</v>
      </c>
      <c r="H51" s="43">
        <v>0</v>
      </c>
      <c r="I51" s="43">
        <v>38851.199999999997</v>
      </c>
      <c r="J51" s="43">
        <v>0</v>
      </c>
      <c r="K51" s="43">
        <v>0</v>
      </c>
      <c r="L51" s="43">
        <v>0</v>
      </c>
      <c r="M51" s="43">
        <v>0</v>
      </c>
      <c r="N51" s="36">
        <f t="shared" si="2"/>
        <v>77562.399999999994</v>
      </c>
    </row>
    <row r="52" spans="1:16">
      <c r="A52" s="33" t="s">
        <v>297</v>
      </c>
      <c r="B52" s="34" t="s">
        <v>298</v>
      </c>
      <c r="C52" s="34"/>
      <c r="D52" s="35" t="s">
        <v>183</v>
      </c>
      <c r="E52" s="36">
        <v>11790024.550000001</v>
      </c>
      <c r="F52" s="36">
        <v>14418276.919999998</v>
      </c>
      <c r="G52" s="36">
        <v>75448997.510000005</v>
      </c>
      <c r="H52" s="36">
        <v>49211856.560000002</v>
      </c>
      <c r="I52" s="36">
        <v>45593664.659999996</v>
      </c>
      <c r="J52" s="36">
        <v>29311623.899999999</v>
      </c>
      <c r="K52" s="36">
        <v>28746080.340000004</v>
      </c>
      <c r="L52" s="36">
        <v>50527257.850000001</v>
      </c>
      <c r="M52" s="36">
        <v>27488193.399999999</v>
      </c>
      <c r="N52" s="36">
        <f t="shared" si="2"/>
        <v>332535975.69</v>
      </c>
      <c r="O52" s="30">
        <v>317134541.63999999</v>
      </c>
      <c r="P52" s="143">
        <f>N52-O52</f>
        <v>15401434.050000012</v>
      </c>
    </row>
    <row r="53" spans="1:16">
      <c r="A53" s="33" t="s">
        <v>299</v>
      </c>
      <c r="B53" s="34" t="s">
        <v>300</v>
      </c>
      <c r="C53" s="34"/>
      <c r="D53" s="35" t="s">
        <v>301</v>
      </c>
      <c r="E53" s="36">
        <v>7992140</v>
      </c>
      <c r="F53" s="36">
        <v>9487990</v>
      </c>
      <c r="G53" s="36">
        <v>56517460</v>
      </c>
      <c r="H53" s="36">
        <v>34259210</v>
      </c>
      <c r="I53" s="36">
        <v>31926800</v>
      </c>
      <c r="J53" s="36">
        <v>20528560</v>
      </c>
      <c r="K53" s="36">
        <v>19655910</v>
      </c>
      <c r="L53" s="36">
        <v>35849890</v>
      </c>
      <c r="M53" s="36">
        <v>18642140</v>
      </c>
      <c r="N53" s="36">
        <f t="shared" si="2"/>
        <v>234860100</v>
      </c>
    </row>
    <row r="54" spans="1:16">
      <c r="A54" s="33" t="s">
        <v>302</v>
      </c>
      <c r="B54" s="34" t="s">
        <v>303</v>
      </c>
      <c r="C54" s="34" t="s">
        <v>189</v>
      </c>
      <c r="D54" s="47"/>
      <c r="E54" s="37">
        <v>1446637</v>
      </c>
      <c r="F54" s="37">
        <v>2591816</v>
      </c>
      <c r="G54" s="37">
        <v>5016536</v>
      </c>
      <c r="H54" s="37">
        <v>8894011.620000001</v>
      </c>
      <c r="I54" s="37">
        <v>30524016</v>
      </c>
      <c r="J54" s="37">
        <v>19172670</v>
      </c>
      <c r="K54" s="37">
        <v>3217208.5</v>
      </c>
      <c r="L54" s="37">
        <v>4070539</v>
      </c>
      <c r="M54" s="37">
        <v>3993400.5</v>
      </c>
      <c r="N54" s="36">
        <f t="shared" si="2"/>
        <v>78926834.620000005</v>
      </c>
    </row>
    <row r="55" spans="1:16">
      <c r="A55" s="33" t="s">
        <v>304</v>
      </c>
      <c r="B55" s="34" t="s">
        <v>305</v>
      </c>
      <c r="C55" s="34" t="s">
        <v>189</v>
      </c>
      <c r="D55" s="47"/>
      <c r="E55" s="37">
        <v>46946.5</v>
      </c>
      <c r="F55" s="37">
        <v>140000</v>
      </c>
      <c r="G55" s="37">
        <v>1753317</v>
      </c>
      <c r="H55" s="37">
        <v>1199701.5</v>
      </c>
      <c r="I55" s="37">
        <v>0</v>
      </c>
      <c r="J55" s="37">
        <v>0</v>
      </c>
      <c r="K55" s="37">
        <v>364090</v>
      </c>
      <c r="L55" s="37">
        <v>289000</v>
      </c>
      <c r="M55" s="37">
        <v>0</v>
      </c>
      <c r="N55" s="36">
        <f t="shared" si="2"/>
        <v>3793055</v>
      </c>
    </row>
    <row r="56" spans="1:16">
      <c r="A56" s="33" t="s">
        <v>306</v>
      </c>
      <c r="B56" s="34" t="s">
        <v>307</v>
      </c>
      <c r="C56" s="34" t="s">
        <v>189</v>
      </c>
      <c r="D56" s="47"/>
      <c r="E56" s="37">
        <v>112000</v>
      </c>
      <c r="F56" s="37">
        <v>20000</v>
      </c>
      <c r="G56" s="37">
        <v>752000</v>
      </c>
      <c r="H56" s="37">
        <v>341230</v>
      </c>
      <c r="I56" s="37">
        <v>0</v>
      </c>
      <c r="J56" s="37">
        <v>0</v>
      </c>
      <c r="K56" s="37">
        <v>51820</v>
      </c>
      <c r="L56" s="37">
        <v>130000</v>
      </c>
      <c r="M56" s="37">
        <v>0</v>
      </c>
      <c r="N56" s="36">
        <f t="shared" si="2"/>
        <v>1407050</v>
      </c>
    </row>
    <row r="57" spans="1:16">
      <c r="A57" s="33" t="s">
        <v>308</v>
      </c>
      <c r="B57" s="34" t="s">
        <v>309</v>
      </c>
      <c r="C57" s="34" t="s">
        <v>189</v>
      </c>
      <c r="D57" s="47"/>
      <c r="E57" s="37">
        <v>405000</v>
      </c>
      <c r="F57" s="37">
        <v>228000</v>
      </c>
      <c r="G57" s="37">
        <v>1475500</v>
      </c>
      <c r="H57" s="37">
        <v>782231.21</v>
      </c>
      <c r="I57" s="37">
        <v>0</v>
      </c>
      <c r="J57" s="37">
        <v>0</v>
      </c>
      <c r="K57" s="37">
        <v>852620</v>
      </c>
      <c r="L57" s="37">
        <v>1186000</v>
      </c>
      <c r="M57" s="37">
        <v>607730</v>
      </c>
      <c r="N57" s="36">
        <f t="shared" si="2"/>
        <v>5537081.21</v>
      </c>
    </row>
    <row r="58" spans="1:16">
      <c r="A58" s="33" t="s">
        <v>310</v>
      </c>
      <c r="B58" s="34" t="s">
        <v>311</v>
      </c>
      <c r="C58" s="34" t="s">
        <v>189</v>
      </c>
      <c r="D58" s="47"/>
      <c r="E58" s="37">
        <v>595000</v>
      </c>
      <c r="F58" s="37">
        <v>610000</v>
      </c>
      <c r="G58" s="37">
        <v>3218000</v>
      </c>
      <c r="H58" s="37">
        <v>2720401.52</v>
      </c>
      <c r="I58" s="37">
        <v>0</v>
      </c>
      <c r="J58" s="37">
        <v>0</v>
      </c>
      <c r="K58" s="37">
        <v>1637450</v>
      </c>
      <c r="L58" s="37">
        <v>2440000</v>
      </c>
      <c r="M58" s="37">
        <v>1208480</v>
      </c>
      <c r="N58" s="36">
        <f t="shared" si="2"/>
        <v>12429331.52</v>
      </c>
    </row>
    <row r="59" spans="1:16">
      <c r="A59" s="33" t="s">
        <v>312</v>
      </c>
      <c r="B59" s="34" t="s">
        <v>313</v>
      </c>
      <c r="C59" s="34" t="s">
        <v>189</v>
      </c>
      <c r="D59" s="47"/>
      <c r="E59" s="37">
        <v>69000</v>
      </c>
      <c r="F59" s="37">
        <v>37500</v>
      </c>
      <c r="G59" s="37">
        <v>757000</v>
      </c>
      <c r="H59" s="37">
        <v>386223.4</v>
      </c>
      <c r="I59" s="37">
        <v>0</v>
      </c>
      <c r="J59" s="37">
        <v>0</v>
      </c>
      <c r="K59" s="37">
        <v>337970</v>
      </c>
      <c r="L59" s="37">
        <v>359000</v>
      </c>
      <c r="M59" s="37">
        <v>265650</v>
      </c>
      <c r="N59" s="36">
        <f t="shared" si="2"/>
        <v>2212343.4</v>
      </c>
    </row>
    <row r="60" spans="1:16">
      <c r="A60" s="33" t="s">
        <v>314</v>
      </c>
      <c r="B60" s="34" t="s">
        <v>315</v>
      </c>
      <c r="C60" s="34" t="s">
        <v>189</v>
      </c>
      <c r="D60" s="47"/>
      <c r="E60" s="37">
        <v>58000</v>
      </c>
      <c r="F60" s="37">
        <v>120000</v>
      </c>
      <c r="G60" s="37">
        <v>429000</v>
      </c>
      <c r="H60" s="37">
        <v>221557.5</v>
      </c>
      <c r="I60" s="37">
        <v>0</v>
      </c>
      <c r="J60" s="37">
        <v>0</v>
      </c>
      <c r="K60" s="37">
        <v>283070</v>
      </c>
      <c r="L60" s="37">
        <v>223000</v>
      </c>
      <c r="M60" s="37">
        <v>263620</v>
      </c>
      <c r="N60" s="36">
        <f t="shared" si="2"/>
        <v>1598247.5</v>
      </c>
    </row>
    <row r="61" spans="1:16">
      <c r="A61" s="33" t="s">
        <v>316</v>
      </c>
      <c r="B61" s="34" t="s">
        <v>317</v>
      </c>
      <c r="C61" s="34" t="s">
        <v>189</v>
      </c>
      <c r="D61" s="47"/>
      <c r="E61" s="37">
        <v>826347</v>
      </c>
      <c r="F61" s="37">
        <v>800000</v>
      </c>
      <c r="G61" s="37">
        <v>5720989</v>
      </c>
      <c r="H61" s="37">
        <v>4335671.5</v>
      </c>
      <c r="I61" s="37">
        <v>0</v>
      </c>
      <c r="J61" s="37">
        <v>0</v>
      </c>
      <c r="K61" s="37">
        <v>3166650</v>
      </c>
      <c r="L61" s="37">
        <v>4995497</v>
      </c>
      <c r="M61" s="37">
        <v>1945400</v>
      </c>
      <c r="N61" s="36">
        <f t="shared" si="2"/>
        <v>21790554.5</v>
      </c>
    </row>
    <row r="62" spans="1:16">
      <c r="A62" s="33" t="s">
        <v>318</v>
      </c>
      <c r="B62" s="34" t="s">
        <v>319</v>
      </c>
      <c r="C62" s="34" t="s">
        <v>189</v>
      </c>
      <c r="D62" s="47"/>
      <c r="E62" s="37">
        <v>0</v>
      </c>
      <c r="F62" s="37">
        <v>11000</v>
      </c>
      <c r="G62" s="37">
        <v>0</v>
      </c>
      <c r="H62" s="37">
        <v>5000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6">
        <f t="shared" si="2"/>
        <v>16000</v>
      </c>
    </row>
    <row r="63" spans="1:16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369682</v>
      </c>
      <c r="F63" s="37">
        <v>371286</v>
      </c>
      <c r="G63" s="37">
        <v>2752460.5</v>
      </c>
      <c r="H63" s="37">
        <v>1543516</v>
      </c>
      <c r="I63" s="37">
        <v>1402784</v>
      </c>
      <c r="J63" s="37">
        <v>992780</v>
      </c>
      <c r="K63" s="37">
        <v>948481.5</v>
      </c>
      <c r="L63" s="37">
        <v>1670514</v>
      </c>
      <c r="M63" s="37">
        <v>853707.5</v>
      </c>
      <c r="N63" s="36">
        <f t="shared" si="2"/>
        <v>10905211.5</v>
      </c>
    </row>
    <row r="64" spans="1:16">
      <c r="A64" s="33" t="s">
        <v>324</v>
      </c>
      <c r="B64" s="34" t="s">
        <v>325</v>
      </c>
      <c r="C64" s="34" t="s">
        <v>189</v>
      </c>
      <c r="D64" s="47"/>
      <c r="E64" s="37">
        <v>0</v>
      </c>
      <c r="F64" s="37">
        <v>40000</v>
      </c>
      <c r="G64" s="37">
        <v>207500</v>
      </c>
      <c r="H64" s="37">
        <v>107000</v>
      </c>
      <c r="I64" s="37">
        <v>0</v>
      </c>
      <c r="J64" s="37">
        <v>0</v>
      </c>
      <c r="K64" s="37">
        <v>177712</v>
      </c>
      <c r="L64" s="37">
        <v>0</v>
      </c>
      <c r="M64" s="37">
        <v>137756</v>
      </c>
      <c r="N64" s="36">
        <f t="shared" si="2"/>
        <v>669968</v>
      </c>
    </row>
    <row r="65" spans="1:14">
      <c r="A65" s="33" t="s">
        <v>326</v>
      </c>
      <c r="B65" s="34" t="s">
        <v>327</v>
      </c>
      <c r="C65" s="34" t="s">
        <v>189</v>
      </c>
      <c r="D65" s="47"/>
      <c r="E65" s="37">
        <v>1346070</v>
      </c>
      <c r="F65" s="37">
        <v>280000</v>
      </c>
      <c r="G65" s="37">
        <v>5723000</v>
      </c>
      <c r="H65" s="37">
        <v>2827916.9</v>
      </c>
      <c r="I65" s="37">
        <v>0</v>
      </c>
      <c r="J65" s="37">
        <v>0</v>
      </c>
      <c r="K65" s="37">
        <v>1509750</v>
      </c>
      <c r="L65" s="37">
        <v>8060292.5</v>
      </c>
      <c r="M65" s="37">
        <v>1308950</v>
      </c>
      <c r="N65" s="36">
        <f t="shared" si="2"/>
        <v>21055979.399999999</v>
      </c>
    </row>
    <row r="66" spans="1:14">
      <c r="A66" s="33" t="s">
        <v>328</v>
      </c>
      <c r="B66" s="34" t="s">
        <v>329</v>
      </c>
      <c r="C66" s="34" t="s">
        <v>189</v>
      </c>
      <c r="D66" s="47"/>
      <c r="E66" s="37">
        <v>560000</v>
      </c>
      <c r="F66" s="37">
        <v>90000</v>
      </c>
      <c r="G66" s="37">
        <v>4013000</v>
      </c>
      <c r="H66" s="37">
        <v>568130</v>
      </c>
      <c r="I66" s="37">
        <v>0</v>
      </c>
      <c r="J66" s="37">
        <v>0</v>
      </c>
      <c r="K66" s="37">
        <v>454200</v>
      </c>
      <c r="L66" s="37">
        <v>80000</v>
      </c>
      <c r="M66" s="37">
        <v>405650</v>
      </c>
      <c r="N66" s="36">
        <f t="shared" si="2"/>
        <v>6170980</v>
      </c>
    </row>
    <row r="67" spans="1:14">
      <c r="A67" s="33" t="s">
        <v>330</v>
      </c>
      <c r="B67" s="34" t="s">
        <v>331</v>
      </c>
      <c r="C67" s="34" t="s">
        <v>189</v>
      </c>
      <c r="D67" s="47"/>
      <c r="E67" s="37">
        <v>909000</v>
      </c>
      <c r="F67" s="37">
        <v>1604779.5</v>
      </c>
      <c r="G67" s="37">
        <v>2660000</v>
      </c>
      <c r="H67" s="37">
        <v>16500</v>
      </c>
      <c r="I67" s="37">
        <v>0</v>
      </c>
      <c r="J67" s="37">
        <v>0</v>
      </c>
      <c r="K67" s="37">
        <v>211800</v>
      </c>
      <c r="L67" s="37">
        <v>680000</v>
      </c>
      <c r="M67" s="37">
        <v>0</v>
      </c>
      <c r="N67" s="36">
        <f t="shared" ref="N67:N98" si="3">SUM(E67:M67)</f>
        <v>6082079.5</v>
      </c>
    </row>
    <row r="68" spans="1:14">
      <c r="A68" s="33" t="s">
        <v>332</v>
      </c>
      <c r="B68" s="34" t="s">
        <v>333</v>
      </c>
      <c r="C68" s="34" t="s">
        <v>189</v>
      </c>
      <c r="D68" s="47"/>
      <c r="E68" s="37">
        <v>644529</v>
      </c>
      <c r="F68" s="37">
        <v>710507.5</v>
      </c>
      <c r="G68" s="37">
        <v>13305126.5</v>
      </c>
      <c r="H68" s="37">
        <v>6231478.8499999996</v>
      </c>
      <c r="I68" s="37">
        <v>0</v>
      </c>
      <c r="J68" s="37">
        <v>0</v>
      </c>
      <c r="K68" s="37">
        <v>3306438</v>
      </c>
      <c r="L68" s="37">
        <v>5367049</v>
      </c>
      <c r="M68" s="37">
        <v>5815346</v>
      </c>
      <c r="N68" s="36">
        <f t="shared" si="3"/>
        <v>35380474.850000001</v>
      </c>
    </row>
    <row r="69" spans="1:14">
      <c r="A69" s="33" t="s">
        <v>334</v>
      </c>
      <c r="B69" s="34" t="s">
        <v>335</v>
      </c>
      <c r="C69" s="34" t="s">
        <v>189</v>
      </c>
      <c r="D69" s="47"/>
      <c r="E69" s="37">
        <v>367400</v>
      </c>
      <c r="F69" s="37">
        <v>1070000</v>
      </c>
      <c r="G69" s="37">
        <v>5242583</v>
      </c>
      <c r="H69" s="37">
        <v>2650855</v>
      </c>
      <c r="I69" s="37">
        <v>0</v>
      </c>
      <c r="J69" s="37">
        <v>0</v>
      </c>
      <c r="K69" s="37">
        <v>2136425</v>
      </c>
      <c r="L69" s="37">
        <v>3529600</v>
      </c>
      <c r="M69" s="37">
        <v>824500</v>
      </c>
      <c r="N69" s="36">
        <f t="shared" si="3"/>
        <v>15821363</v>
      </c>
    </row>
    <row r="70" spans="1:14">
      <c r="A70" s="33" t="s">
        <v>336</v>
      </c>
      <c r="B70" s="34" t="s">
        <v>337</v>
      </c>
      <c r="C70" s="34" t="s">
        <v>189</v>
      </c>
      <c r="D70" s="47"/>
      <c r="E70" s="37">
        <v>236528.5</v>
      </c>
      <c r="F70" s="37">
        <v>763101</v>
      </c>
      <c r="G70" s="37">
        <v>3491448</v>
      </c>
      <c r="H70" s="37">
        <v>1427785</v>
      </c>
      <c r="I70" s="37">
        <v>0</v>
      </c>
      <c r="J70" s="37">
        <v>0</v>
      </c>
      <c r="K70" s="37">
        <v>1000225</v>
      </c>
      <c r="L70" s="37">
        <v>2769398.5</v>
      </c>
      <c r="M70" s="37">
        <v>1011950</v>
      </c>
      <c r="N70" s="36">
        <f t="shared" si="3"/>
        <v>10700436</v>
      </c>
    </row>
    <row r="71" spans="1:14">
      <c r="A71" s="33" t="s">
        <v>338</v>
      </c>
      <c r="B71" s="34" t="s">
        <v>339</v>
      </c>
      <c r="C71" s="34"/>
      <c r="D71" s="35"/>
      <c r="E71" s="36">
        <v>98000</v>
      </c>
      <c r="F71" s="36">
        <v>109600</v>
      </c>
      <c r="G71" s="36">
        <v>594000</v>
      </c>
      <c r="H71" s="36">
        <v>352400</v>
      </c>
      <c r="I71" s="36">
        <v>376800</v>
      </c>
      <c r="J71" s="36">
        <v>240000</v>
      </c>
      <c r="K71" s="36">
        <v>239200</v>
      </c>
      <c r="L71" s="36">
        <v>403200</v>
      </c>
      <c r="M71" s="36">
        <v>242400</v>
      </c>
      <c r="N71" s="36">
        <f t="shared" si="3"/>
        <v>2655600</v>
      </c>
    </row>
    <row r="72" spans="1:14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v>98000</v>
      </c>
      <c r="F72" s="36">
        <v>109600</v>
      </c>
      <c r="G72" s="36">
        <v>594000</v>
      </c>
      <c r="H72" s="36">
        <v>352400</v>
      </c>
      <c r="I72" s="36">
        <v>376800</v>
      </c>
      <c r="J72" s="36">
        <v>240000</v>
      </c>
      <c r="K72" s="36">
        <v>239200</v>
      </c>
      <c r="L72" s="36">
        <v>403200</v>
      </c>
      <c r="M72" s="36">
        <v>242400</v>
      </c>
      <c r="N72" s="36">
        <f t="shared" si="3"/>
        <v>2655600</v>
      </c>
    </row>
    <row r="73" spans="1:14">
      <c r="A73" s="33" t="s">
        <v>343</v>
      </c>
      <c r="B73" s="34" t="s">
        <v>344</v>
      </c>
      <c r="C73" s="34"/>
      <c r="D73" s="35" t="s">
        <v>183</v>
      </c>
      <c r="E73" s="36">
        <v>801596.55</v>
      </c>
      <c r="F73" s="36">
        <v>1289968.2</v>
      </c>
      <c r="G73" s="36">
        <v>2751836.55</v>
      </c>
      <c r="H73" s="36">
        <v>3868010.4</v>
      </c>
      <c r="I73" s="36">
        <v>2580981.3000000003</v>
      </c>
      <c r="J73" s="36">
        <v>1832576.7</v>
      </c>
      <c r="K73" s="36">
        <v>1215502.5</v>
      </c>
      <c r="L73" s="36">
        <v>3098587.05</v>
      </c>
      <c r="M73" s="36">
        <v>1458291</v>
      </c>
      <c r="N73" s="36">
        <f t="shared" si="3"/>
        <v>18897350.25</v>
      </c>
    </row>
    <row r="74" spans="1:14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v>801596.55</v>
      </c>
      <c r="F74" s="36">
        <v>1289968.2</v>
      </c>
      <c r="G74" s="36">
        <v>2751836.55</v>
      </c>
      <c r="H74" s="36">
        <v>3868010.4</v>
      </c>
      <c r="I74" s="36">
        <v>2580981.3000000003</v>
      </c>
      <c r="J74" s="36">
        <v>1832576.7</v>
      </c>
      <c r="K74" s="36">
        <v>1215502.5</v>
      </c>
      <c r="L74" s="36">
        <v>3098587.05</v>
      </c>
      <c r="M74" s="36">
        <v>1458291</v>
      </c>
      <c r="N74" s="36">
        <f t="shared" si="3"/>
        <v>18897350.25</v>
      </c>
    </row>
    <row r="75" spans="1:14">
      <c r="A75" s="33" t="s">
        <v>348</v>
      </c>
      <c r="B75" s="34" t="s">
        <v>349</v>
      </c>
      <c r="C75" s="34"/>
      <c r="D75" s="35" t="s">
        <v>183</v>
      </c>
      <c r="E75" s="36">
        <v>247600</v>
      </c>
      <c r="F75" s="36">
        <v>432552</v>
      </c>
      <c r="G75" s="36">
        <v>714436</v>
      </c>
      <c r="H75" s="36">
        <v>1215387.52</v>
      </c>
      <c r="I75" s="36">
        <v>711516.79999999993</v>
      </c>
      <c r="J75" s="36">
        <v>535107.19999999995</v>
      </c>
      <c r="K75" s="36">
        <v>513088</v>
      </c>
      <c r="L75" s="36">
        <v>1020544</v>
      </c>
      <c r="M75" s="36">
        <v>325194.40000000002</v>
      </c>
      <c r="N75" s="36">
        <f t="shared" si="3"/>
        <v>5715425.9199999999</v>
      </c>
    </row>
    <row r="76" spans="1:14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v>247600</v>
      </c>
      <c r="F76" s="36">
        <v>432552</v>
      </c>
      <c r="G76" s="36">
        <v>714436</v>
      </c>
      <c r="H76" s="36">
        <v>1215387.52</v>
      </c>
      <c r="I76" s="36">
        <v>711516.79999999993</v>
      </c>
      <c r="J76" s="36">
        <v>535107.19999999995</v>
      </c>
      <c r="K76" s="36">
        <v>513088</v>
      </c>
      <c r="L76" s="36">
        <v>1020544</v>
      </c>
      <c r="M76" s="36">
        <v>325194.40000000002</v>
      </c>
      <c r="N76" s="36">
        <f t="shared" si="3"/>
        <v>5715425.9199999999</v>
      </c>
    </row>
    <row r="77" spans="1:14">
      <c r="A77" s="33" t="s">
        <v>353</v>
      </c>
      <c r="B77" s="34" t="s">
        <v>354</v>
      </c>
      <c r="C77" s="34"/>
      <c r="D77" s="35" t="s">
        <v>183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f t="shared" si="3"/>
        <v>0</v>
      </c>
    </row>
    <row r="78" spans="1:14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36">
        <f t="shared" si="3"/>
        <v>0</v>
      </c>
    </row>
    <row r="79" spans="1:14">
      <c r="A79" s="33" t="s">
        <v>357</v>
      </c>
      <c r="B79" s="34" t="s">
        <v>358</v>
      </c>
      <c r="C79" s="34"/>
      <c r="D79" s="35" t="s">
        <v>183</v>
      </c>
      <c r="E79" s="36">
        <v>1058400</v>
      </c>
      <c r="F79" s="36">
        <v>1183680</v>
      </c>
      <c r="G79" s="36">
        <v>6415200</v>
      </c>
      <c r="H79" s="36">
        <v>3805920</v>
      </c>
      <c r="I79" s="36">
        <v>4069440</v>
      </c>
      <c r="J79" s="36">
        <v>2592000</v>
      </c>
      <c r="K79" s="36">
        <v>2583360</v>
      </c>
      <c r="L79" s="36">
        <v>4354560</v>
      </c>
      <c r="M79" s="36">
        <v>2617920</v>
      </c>
      <c r="N79" s="36">
        <f t="shared" si="3"/>
        <v>28680480</v>
      </c>
    </row>
    <row r="80" spans="1:14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v>1058400</v>
      </c>
      <c r="F80" s="36">
        <v>1183680</v>
      </c>
      <c r="G80" s="36">
        <v>6415200</v>
      </c>
      <c r="H80" s="36">
        <v>3805920</v>
      </c>
      <c r="I80" s="36">
        <v>4069440</v>
      </c>
      <c r="J80" s="36">
        <v>2592000</v>
      </c>
      <c r="K80" s="36">
        <v>2583360</v>
      </c>
      <c r="L80" s="36">
        <v>4354560</v>
      </c>
      <c r="M80" s="36">
        <v>2617920</v>
      </c>
      <c r="N80" s="36">
        <f t="shared" si="3"/>
        <v>28680480</v>
      </c>
    </row>
    <row r="81" spans="1:14">
      <c r="A81" s="33" t="s">
        <v>362</v>
      </c>
      <c r="B81" s="34" t="s">
        <v>363</v>
      </c>
      <c r="C81" s="34"/>
      <c r="D81" s="35" t="s">
        <v>183</v>
      </c>
      <c r="E81" s="36">
        <v>969448</v>
      </c>
      <c r="F81" s="36">
        <v>1034406.72</v>
      </c>
      <c r="G81" s="36">
        <v>5559264.96</v>
      </c>
      <c r="H81" s="36">
        <v>3249488.64</v>
      </c>
      <c r="I81" s="36">
        <v>3459046.56</v>
      </c>
      <c r="J81" s="36">
        <v>2209220.0000000005</v>
      </c>
      <c r="K81" s="36">
        <v>2273739.84</v>
      </c>
      <c r="L81" s="36">
        <v>3775636.8</v>
      </c>
      <c r="M81" s="36">
        <v>2347688</v>
      </c>
      <c r="N81" s="36">
        <f t="shared" si="3"/>
        <v>24877939.52</v>
      </c>
    </row>
    <row r="82" spans="1:14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v>969448</v>
      </c>
      <c r="F82" s="36">
        <v>1034406.72</v>
      </c>
      <c r="G82" s="36">
        <v>5559264.96</v>
      </c>
      <c r="H82" s="36">
        <v>3249488.64</v>
      </c>
      <c r="I82" s="36">
        <v>3459046.56</v>
      </c>
      <c r="J82" s="36">
        <v>2209220.0000000005</v>
      </c>
      <c r="K82" s="36">
        <v>2273739.84</v>
      </c>
      <c r="L82" s="36">
        <v>3775636.8</v>
      </c>
      <c r="M82" s="36">
        <v>2347688</v>
      </c>
      <c r="N82" s="36">
        <f t="shared" si="3"/>
        <v>24877939.52</v>
      </c>
    </row>
    <row r="83" spans="1:14">
      <c r="A83" s="33" t="s">
        <v>366</v>
      </c>
      <c r="B83" s="34" t="s">
        <v>367</v>
      </c>
      <c r="C83" s="34"/>
      <c r="D83" s="35" t="s">
        <v>183</v>
      </c>
      <c r="E83" s="36">
        <v>64000</v>
      </c>
      <c r="F83" s="36">
        <v>64000</v>
      </c>
      <c r="G83" s="36">
        <v>384000</v>
      </c>
      <c r="H83" s="36">
        <v>224000</v>
      </c>
      <c r="I83" s="36">
        <v>320000</v>
      </c>
      <c r="J83" s="36">
        <v>64000</v>
      </c>
      <c r="K83" s="36">
        <v>128000</v>
      </c>
      <c r="L83" s="36">
        <v>320000</v>
      </c>
      <c r="M83" s="36">
        <v>224000</v>
      </c>
      <c r="N83" s="36">
        <f t="shared" si="3"/>
        <v>1792000</v>
      </c>
    </row>
    <row r="84" spans="1:14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64000</v>
      </c>
      <c r="F84" s="37">
        <v>64000</v>
      </c>
      <c r="G84" s="37">
        <v>384000</v>
      </c>
      <c r="H84" s="37">
        <v>224000</v>
      </c>
      <c r="I84" s="37">
        <v>320000</v>
      </c>
      <c r="J84" s="37">
        <v>64000</v>
      </c>
      <c r="K84" s="37">
        <v>128000</v>
      </c>
      <c r="L84" s="37">
        <v>320000</v>
      </c>
      <c r="M84" s="37">
        <v>224000</v>
      </c>
      <c r="N84" s="36">
        <f t="shared" si="3"/>
        <v>1792000</v>
      </c>
    </row>
    <row r="85" spans="1:14">
      <c r="A85" s="33" t="s">
        <v>371</v>
      </c>
      <c r="B85" s="34" t="s">
        <v>372</v>
      </c>
      <c r="C85" s="34"/>
      <c r="D85" s="35" t="s">
        <v>183</v>
      </c>
      <c r="E85" s="36">
        <v>457840</v>
      </c>
      <c r="F85" s="36">
        <v>656080</v>
      </c>
      <c r="G85" s="36">
        <v>2312800</v>
      </c>
      <c r="H85" s="36">
        <v>1897440</v>
      </c>
      <c r="I85" s="36">
        <v>1836080</v>
      </c>
      <c r="J85" s="36">
        <v>958160</v>
      </c>
      <c r="K85" s="36">
        <v>1977280</v>
      </c>
      <c r="L85" s="36">
        <v>1519840</v>
      </c>
      <c r="M85" s="36">
        <v>1524560</v>
      </c>
      <c r="N85" s="36">
        <f t="shared" si="3"/>
        <v>13140080</v>
      </c>
    </row>
    <row r="86" spans="1:14">
      <c r="A86" s="33" t="s">
        <v>373</v>
      </c>
      <c r="B86" s="34" t="s">
        <v>374</v>
      </c>
      <c r="C86" s="34"/>
      <c r="D86" s="35" t="s">
        <v>183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4320</v>
      </c>
      <c r="L86" s="36">
        <v>0</v>
      </c>
      <c r="M86" s="36">
        <v>0</v>
      </c>
      <c r="N86" s="36">
        <f t="shared" si="3"/>
        <v>4320</v>
      </c>
    </row>
    <row r="87" spans="1:14">
      <c r="A87" s="33" t="s">
        <v>375</v>
      </c>
      <c r="B87" s="34" t="s">
        <v>376</v>
      </c>
      <c r="C87" s="34" t="s">
        <v>189</v>
      </c>
      <c r="D87" s="47" t="s">
        <v>291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3">
        <v>0</v>
      </c>
      <c r="N87" s="36">
        <f t="shared" si="3"/>
        <v>0</v>
      </c>
    </row>
    <row r="88" spans="1:14">
      <c r="A88" s="33" t="s">
        <v>377</v>
      </c>
      <c r="B88" s="34" t="s">
        <v>378</v>
      </c>
      <c r="C88" s="34" t="s">
        <v>189</v>
      </c>
      <c r="D88" s="35" t="s">
        <v>379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4320</v>
      </c>
      <c r="L88" s="43">
        <v>0</v>
      </c>
      <c r="M88" s="43">
        <v>0</v>
      </c>
      <c r="N88" s="36">
        <f t="shared" si="3"/>
        <v>4320</v>
      </c>
    </row>
    <row r="89" spans="1:14">
      <c r="A89" s="33" t="s">
        <v>380</v>
      </c>
      <c r="B89" s="34" t="s">
        <v>381</v>
      </c>
      <c r="C89" s="34"/>
      <c r="D89" s="35" t="s">
        <v>183</v>
      </c>
      <c r="E89" s="36">
        <v>457840</v>
      </c>
      <c r="F89" s="36">
        <v>656080</v>
      </c>
      <c r="G89" s="36">
        <v>2312800</v>
      </c>
      <c r="H89" s="36">
        <v>1897440</v>
      </c>
      <c r="I89" s="36">
        <v>1836080</v>
      </c>
      <c r="J89" s="36">
        <v>958160</v>
      </c>
      <c r="K89" s="36">
        <v>1972960</v>
      </c>
      <c r="L89" s="36">
        <v>1519840</v>
      </c>
      <c r="M89" s="36">
        <v>1524560</v>
      </c>
      <c r="N89" s="36">
        <f t="shared" si="3"/>
        <v>13135760</v>
      </c>
    </row>
    <row r="90" spans="1:14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v>38800</v>
      </c>
      <c r="F90" s="36">
        <v>55600</v>
      </c>
      <c r="G90" s="36">
        <v>196000</v>
      </c>
      <c r="H90" s="36">
        <v>160800</v>
      </c>
      <c r="I90" s="36">
        <v>155600</v>
      </c>
      <c r="J90" s="36">
        <v>81200</v>
      </c>
      <c r="K90" s="36">
        <v>167200</v>
      </c>
      <c r="L90" s="36">
        <v>128800</v>
      </c>
      <c r="M90" s="36">
        <v>129200</v>
      </c>
      <c r="N90" s="36">
        <f t="shared" si="3"/>
        <v>1113200</v>
      </c>
    </row>
    <row r="91" spans="1:14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v>419040</v>
      </c>
      <c r="F91" s="36">
        <v>600480</v>
      </c>
      <c r="G91" s="36">
        <v>2116800</v>
      </c>
      <c r="H91" s="36">
        <v>1736640</v>
      </c>
      <c r="I91" s="36">
        <v>1680480</v>
      </c>
      <c r="J91" s="36">
        <v>876960</v>
      </c>
      <c r="K91" s="36">
        <v>1805760</v>
      </c>
      <c r="L91" s="36">
        <v>1391040</v>
      </c>
      <c r="M91" s="36">
        <v>1395360</v>
      </c>
      <c r="N91" s="36">
        <f t="shared" si="3"/>
        <v>12022560</v>
      </c>
    </row>
    <row r="92" spans="1:14">
      <c r="A92" s="33" t="s">
        <v>388</v>
      </c>
      <c r="B92" s="34" t="s">
        <v>389</v>
      </c>
      <c r="C92" s="34" t="s">
        <v>189</v>
      </c>
      <c r="D92" s="47" t="s">
        <v>291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36">
        <f t="shared" si="3"/>
        <v>0</v>
      </c>
    </row>
    <row r="93" spans="1:14">
      <c r="A93" s="33" t="s">
        <v>390</v>
      </c>
      <c r="B93" s="34" t="s">
        <v>391</v>
      </c>
      <c r="C93" s="34"/>
      <c r="D93" s="35" t="s">
        <v>183</v>
      </c>
      <c r="E93" s="36">
        <v>101000</v>
      </c>
      <c r="F93" s="36">
        <v>160000</v>
      </c>
      <c r="G93" s="36">
        <v>200000</v>
      </c>
      <c r="H93" s="36">
        <v>340000</v>
      </c>
      <c r="I93" s="36">
        <v>313000</v>
      </c>
      <c r="J93" s="36">
        <v>352000</v>
      </c>
      <c r="K93" s="36">
        <v>160000</v>
      </c>
      <c r="L93" s="36">
        <v>185000</v>
      </c>
      <c r="M93" s="36">
        <v>106000</v>
      </c>
      <c r="N93" s="36">
        <f t="shared" si="3"/>
        <v>1917000</v>
      </c>
    </row>
    <row r="94" spans="1:14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>
        <v>101000</v>
      </c>
      <c r="F94" s="52">
        <v>160000</v>
      </c>
      <c r="G94" s="52">
        <v>200000</v>
      </c>
      <c r="H94" s="52">
        <v>340000</v>
      </c>
      <c r="I94" s="52">
        <v>313000</v>
      </c>
      <c r="J94" s="52">
        <v>352000</v>
      </c>
      <c r="K94" s="52">
        <v>160000</v>
      </c>
      <c r="L94" s="52">
        <v>185000</v>
      </c>
      <c r="M94" s="52">
        <v>106000</v>
      </c>
      <c r="N94" s="36">
        <f t="shared" si="3"/>
        <v>1917000</v>
      </c>
    </row>
    <row r="95" spans="1:14" ht="23.25" customHeight="1" thickTop="1">
      <c r="A95" s="33" t="s">
        <v>395</v>
      </c>
      <c r="B95" s="53" t="s">
        <v>396</v>
      </c>
      <c r="C95" s="53"/>
      <c r="D95" s="54"/>
      <c r="E95" s="55">
        <v>0</v>
      </c>
      <c r="F95" s="55">
        <v>0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36">
        <f t="shared" si="3"/>
        <v>0</v>
      </c>
    </row>
    <row r="96" spans="1:14" ht="22.5">
      <c r="A96" s="33" t="s">
        <v>397</v>
      </c>
      <c r="B96" s="34" t="s">
        <v>398</v>
      </c>
      <c r="C96" s="34"/>
      <c r="D96" s="35" t="s">
        <v>399</v>
      </c>
      <c r="E96" s="36">
        <v>245</v>
      </c>
      <c r="F96" s="36">
        <v>274</v>
      </c>
      <c r="G96" s="36">
        <v>1485</v>
      </c>
      <c r="H96" s="36">
        <v>881</v>
      </c>
      <c r="I96" s="36">
        <v>942</v>
      </c>
      <c r="J96" s="36">
        <v>600</v>
      </c>
      <c r="K96" s="36">
        <v>598</v>
      </c>
      <c r="L96" s="36">
        <v>1008</v>
      </c>
      <c r="M96" s="36">
        <v>606</v>
      </c>
      <c r="N96" s="36">
        <f t="shared" si="3"/>
        <v>6639</v>
      </c>
    </row>
    <row r="97" spans="1:14">
      <c r="A97" s="33" t="s">
        <v>400</v>
      </c>
      <c r="B97" s="56" t="s">
        <v>401</v>
      </c>
      <c r="C97" s="56"/>
      <c r="D97" s="42"/>
      <c r="E97" s="43">
        <v>60</v>
      </c>
      <c r="F97" s="43">
        <v>83</v>
      </c>
      <c r="G97" s="43">
        <v>514</v>
      </c>
      <c r="H97" s="43">
        <v>243</v>
      </c>
      <c r="I97" s="43">
        <v>269</v>
      </c>
      <c r="J97" s="43">
        <v>165</v>
      </c>
      <c r="K97" s="43">
        <v>215</v>
      </c>
      <c r="L97" s="43">
        <v>299</v>
      </c>
      <c r="M97" s="43">
        <v>207</v>
      </c>
      <c r="N97" s="36">
        <f t="shared" si="3"/>
        <v>2055</v>
      </c>
    </row>
    <row r="98" spans="1:14">
      <c r="A98" s="33" t="s">
        <v>402</v>
      </c>
      <c r="B98" s="56" t="s">
        <v>403</v>
      </c>
      <c r="C98" s="56"/>
      <c r="D98" s="35"/>
      <c r="E98" s="37">
        <v>69</v>
      </c>
      <c r="F98" s="37">
        <v>90</v>
      </c>
      <c r="G98" s="37">
        <v>638</v>
      </c>
      <c r="H98" s="37">
        <v>342</v>
      </c>
      <c r="I98" s="37">
        <v>363</v>
      </c>
      <c r="J98" s="37">
        <v>254</v>
      </c>
      <c r="K98" s="37">
        <v>206</v>
      </c>
      <c r="L98" s="37">
        <v>487</v>
      </c>
      <c r="M98" s="37">
        <v>211</v>
      </c>
      <c r="N98" s="36">
        <f t="shared" si="3"/>
        <v>2660</v>
      </c>
    </row>
    <row r="99" spans="1:14">
      <c r="A99" s="33" t="s">
        <v>404</v>
      </c>
      <c r="B99" s="56" t="s">
        <v>405</v>
      </c>
      <c r="C99" s="56"/>
      <c r="D99" s="42"/>
      <c r="E99" s="43">
        <v>110</v>
      </c>
      <c r="F99" s="43">
        <v>97</v>
      </c>
      <c r="G99" s="43">
        <v>326</v>
      </c>
      <c r="H99" s="43">
        <v>290</v>
      </c>
      <c r="I99" s="43">
        <v>306</v>
      </c>
      <c r="J99" s="43">
        <v>172</v>
      </c>
      <c r="K99" s="43">
        <v>170</v>
      </c>
      <c r="L99" s="43">
        <v>217</v>
      </c>
      <c r="M99" s="43">
        <v>187</v>
      </c>
      <c r="N99" s="36">
        <f t="shared" ref="N99:N109" si="4">SUM(E99:M99)</f>
        <v>1875</v>
      </c>
    </row>
    <row r="100" spans="1:14">
      <c r="A100" s="33" t="s">
        <v>406</v>
      </c>
      <c r="B100" s="56" t="s">
        <v>407</v>
      </c>
      <c r="C100" s="56"/>
      <c r="D100" s="42"/>
      <c r="E100" s="43">
        <v>6</v>
      </c>
      <c r="F100" s="43">
        <v>4</v>
      </c>
      <c r="G100" s="43">
        <v>7</v>
      </c>
      <c r="H100" s="43">
        <v>6</v>
      </c>
      <c r="I100" s="43">
        <v>4</v>
      </c>
      <c r="J100" s="43">
        <v>9</v>
      </c>
      <c r="K100" s="43">
        <v>7</v>
      </c>
      <c r="L100" s="43">
        <v>5</v>
      </c>
      <c r="M100" s="43">
        <v>1</v>
      </c>
      <c r="N100" s="36">
        <f t="shared" si="4"/>
        <v>49</v>
      </c>
    </row>
    <row r="101" spans="1:14" ht="33.75">
      <c r="A101" s="33" t="s">
        <v>408</v>
      </c>
      <c r="B101" s="34" t="s">
        <v>409</v>
      </c>
      <c r="C101" s="34"/>
      <c r="D101" s="35" t="s">
        <v>410</v>
      </c>
      <c r="E101" s="36">
        <v>2643</v>
      </c>
      <c r="F101" s="36">
        <v>2683</v>
      </c>
      <c r="G101" s="36">
        <v>20084</v>
      </c>
      <c r="H101" s="36">
        <v>11206</v>
      </c>
      <c r="I101" s="36">
        <v>10251</v>
      </c>
      <c r="J101" s="36">
        <v>7221</v>
      </c>
      <c r="K101" s="36">
        <v>6836</v>
      </c>
      <c r="L101" s="36">
        <v>12213</v>
      </c>
      <c r="M101" s="36">
        <v>6231</v>
      </c>
      <c r="N101" s="36">
        <f t="shared" si="4"/>
        <v>79368</v>
      </c>
    </row>
    <row r="102" spans="1:14">
      <c r="A102" s="33" t="s">
        <v>411</v>
      </c>
      <c r="B102" s="56" t="s">
        <v>401</v>
      </c>
      <c r="C102" s="56"/>
      <c r="D102" s="42"/>
      <c r="E102" s="43">
        <v>537</v>
      </c>
      <c r="F102" s="43">
        <v>667</v>
      </c>
      <c r="G102" s="43">
        <v>5601</v>
      </c>
      <c r="H102" s="43">
        <v>2453</v>
      </c>
      <c r="I102" s="43">
        <v>2635</v>
      </c>
      <c r="J102" s="43">
        <v>1465</v>
      </c>
      <c r="K102" s="43">
        <v>2206</v>
      </c>
      <c r="L102" s="43">
        <v>2986</v>
      </c>
      <c r="M102" s="43">
        <v>1487</v>
      </c>
      <c r="N102" s="36">
        <f t="shared" si="4"/>
        <v>20037</v>
      </c>
    </row>
    <row r="103" spans="1:14">
      <c r="A103" s="33" t="s">
        <v>412</v>
      </c>
      <c r="B103" s="56" t="s">
        <v>403</v>
      </c>
      <c r="C103" s="56"/>
      <c r="D103" s="35"/>
      <c r="E103" s="37">
        <v>744</v>
      </c>
      <c r="F103" s="37">
        <v>1020</v>
      </c>
      <c r="G103" s="37">
        <v>10150</v>
      </c>
      <c r="H103" s="37">
        <v>4890</v>
      </c>
      <c r="I103" s="37">
        <v>3811</v>
      </c>
      <c r="J103" s="37">
        <v>3303</v>
      </c>
      <c r="K103" s="37">
        <v>2784</v>
      </c>
      <c r="L103" s="37">
        <v>6424</v>
      </c>
      <c r="M103" s="37">
        <v>2814</v>
      </c>
      <c r="N103" s="36">
        <f t="shared" si="4"/>
        <v>35940</v>
      </c>
    </row>
    <row r="104" spans="1:14">
      <c r="A104" s="33" t="s">
        <v>413</v>
      </c>
      <c r="B104" s="56" t="s">
        <v>405</v>
      </c>
      <c r="C104" s="56"/>
      <c r="D104" s="42"/>
      <c r="E104" s="43">
        <v>1362</v>
      </c>
      <c r="F104" s="43">
        <v>996</v>
      </c>
      <c r="G104" s="43">
        <v>4260</v>
      </c>
      <c r="H104" s="43">
        <v>3863</v>
      </c>
      <c r="I104" s="43">
        <v>3805</v>
      </c>
      <c r="J104" s="43">
        <v>2453</v>
      </c>
      <c r="K104" s="43">
        <v>1846</v>
      </c>
      <c r="L104" s="43">
        <v>2803</v>
      </c>
      <c r="M104" s="43">
        <v>1930</v>
      </c>
      <c r="N104" s="36">
        <f t="shared" si="4"/>
        <v>23318</v>
      </c>
    </row>
    <row r="105" spans="1:14">
      <c r="A105" s="33" t="s">
        <v>414</v>
      </c>
      <c r="B105" s="56" t="s">
        <v>407</v>
      </c>
      <c r="C105" s="56"/>
      <c r="D105" s="42"/>
      <c r="E105" s="43">
        <v>0</v>
      </c>
      <c r="F105" s="43">
        <v>0</v>
      </c>
      <c r="G105" s="43">
        <v>73</v>
      </c>
      <c r="H105" s="43">
        <v>0</v>
      </c>
      <c r="I105" s="43">
        <v>0</v>
      </c>
      <c r="J105" s="43">
        <v>0</v>
      </c>
      <c r="K105" s="43">
        <v>0</v>
      </c>
      <c r="L105" s="43">
        <v>0</v>
      </c>
      <c r="M105" s="43">
        <v>0</v>
      </c>
      <c r="N105" s="36">
        <f t="shared" si="4"/>
        <v>73</v>
      </c>
    </row>
    <row r="106" spans="1:14">
      <c r="A106" s="33" t="s">
        <v>415</v>
      </c>
      <c r="B106" s="34" t="s">
        <v>416</v>
      </c>
      <c r="C106" s="34"/>
      <c r="D106" s="47"/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1</v>
      </c>
      <c r="L106" s="57">
        <v>0</v>
      </c>
      <c r="M106" s="57">
        <v>0</v>
      </c>
      <c r="N106" s="36">
        <f t="shared" si="4"/>
        <v>1</v>
      </c>
    </row>
    <row r="107" spans="1:14">
      <c r="A107" s="33" t="s">
        <v>417</v>
      </c>
      <c r="B107" s="34" t="s">
        <v>418</v>
      </c>
      <c r="C107" s="34"/>
      <c r="D107" s="35"/>
      <c r="E107" s="37">
        <v>97</v>
      </c>
      <c r="F107" s="37">
        <v>139</v>
      </c>
      <c r="G107" s="37">
        <v>490</v>
      </c>
      <c r="H107" s="37">
        <v>402</v>
      </c>
      <c r="I107" s="37">
        <v>389</v>
      </c>
      <c r="J107" s="37">
        <v>203</v>
      </c>
      <c r="K107" s="37">
        <v>418</v>
      </c>
      <c r="L107" s="37">
        <v>322</v>
      </c>
      <c r="M107" s="37">
        <v>323</v>
      </c>
      <c r="N107" s="36">
        <f t="shared" si="4"/>
        <v>2783</v>
      </c>
    </row>
    <row r="108" spans="1:14">
      <c r="A108" s="33" t="s">
        <v>419</v>
      </c>
      <c r="B108" s="56" t="s">
        <v>420</v>
      </c>
      <c r="C108" s="56"/>
      <c r="D108" s="47"/>
      <c r="E108" s="37">
        <v>53439.770000000004</v>
      </c>
      <c r="F108" s="37">
        <v>85997.88</v>
      </c>
      <c r="G108" s="37">
        <v>183455.77000000002</v>
      </c>
      <c r="H108" s="37">
        <v>257867.36</v>
      </c>
      <c r="I108" s="37">
        <v>172065.41999999998</v>
      </c>
      <c r="J108" s="37">
        <v>122171.77999999998</v>
      </c>
      <c r="K108" s="37">
        <v>81033.5</v>
      </c>
      <c r="L108" s="37">
        <v>206572.47000000003</v>
      </c>
      <c r="M108" s="37">
        <v>97219.4</v>
      </c>
      <c r="N108" s="36">
        <f t="shared" si="4"/>
        <v>1259823.3499999999</v>
      </c>
    </row>
    <row r="109" spans="1:14">
      <c r="A109" s="33" t="s">
        <v>421</v>
      </c>
      <c r="B109" s="56" t="s">
        <v>422</v>
      </c>
      <c r="C109" s="56"/>
      <c r="D109" s="47"/>
      <c r="E109" s="37">
        <v>30950</v>
      </c>
      <c r="F109" s="37">
        <v>54069</v>
      </c>
      <c r="G109" s="37">
        <v>89304.5</v>
      </c>
      <c r="H109" s="37">
        <v>151923.44</v>
      </c>
      <c r="I109" s="37">
        <v>88939.599999999991</v>
      </c>
      <c r="J109" s="37">
        <v>66888.399999999994</v>
      </c>
      <c r="K109" s="37">
        <v>64136</v>
      </c>
      <c r="L109" s="37">
        <v>127568</v>
      </c>
      <c r="M109" s="37">
        <v>40649.300000000003</v>
      </c>
      <c r="N109" s="36">
        <f t="shared" si="4"/>
        <v>714428.24</v>
      </c>
    </row>
    <row r="110" spans="1:14">
      <c r="E110" s="30">
        <f>(E5+E8+E17)/E96</f>
        <v>206425.57142857142</v>
      </c>
      <c r="F110" s="30">
        <f t="shared" ref="F110:N110" si="5">(F5+F8+F17)/F96</f>
        <v>202348.66058394162</v>
      </c>
      <c r="G110" s="30">
        <f t="shared" si="5"/>
        <v>205376.89561616164</v>
      </c>
      <c r="H110" s="30">
        <f t="shared" si="5"/>
        <v>200442.29205448355</v>
      </c>
      <c r="I110" s="30">
        <f t="shared" si="5"/>
        <v>202683.77494692145</v>
      </c>
      <c r="J110" s="30">
        <f t="shared" si="5"/>
        <v>201932.23</v>
      </c>
      <c r="K110" s="30">
        <f t="shared" si="5"/>
        <v>206000.22073578596</v>
      </c>
      <c r="L110" s="30">
        <f t="shared" si="5"/>
        <v>202644.16567460317</v>
      </c>
      <c r="M110" s="30">
        <f t="shared" si="5"/>
        <v>205311.23267326734</v>
      </c>
      <c r="N110" s="30">
        <f t="shared" si="5"/>
        <v>203577.59591655369</v>
      </c>
    </row>
    <row r="111" spans="1:14">
      <c r="E111" s="30">
        <f>(E4+E31)/E96</f>
        <v>310273.53061224491</v>
      </c>
      <c r="F111" s="30">
        <f t="shared" ref="F111:N111" si="6">(F4+F31)/F96</f>
        <v>301765.1919708029</v>
      </c>
      <c r="G111" s="30">
        <f t="shared" si="6"/>
        <v>304012.23164309765</v>
      </c>
      <c r="H111" s="30">
        <f t="shared" si="6"/>
        <v>297793.75085130532</v>
      </c>
      <c r="I111" s="30">
        <f t="shared" si="6"/>
        <v>299705.39596602973</v>
      </c>
      <c r="J111" s="30">
        <f t="shared" si="6"/>
        <v>299112.70500000002</v>
      </c>
      <c r="K111" s="30">
        <f t="shared" si="6"/>
        <v>306204.16588628758</v>
      </c>
      <c r="L111" s="30">
        <f t="shared" si="6"/>
        <v>301322.94940476189</v>
      </c>
      <c r="M111" s="30">
        <f t="shared" si="6"/>
        <v>307044.25247524754</v>
      </c>
      <c r="N111" s="30">
        <f t="shared" si="6"/>
        <v>302337.3525064016</v>
      </c>
    </row>
  </sheetData>
  <protectedRanges>
    <protectedRange password="E9C1" sqref="B31:D109 A4:D12 B13:D28 A13:A109 N4:N109 A2:N3" name="区域1_1"/>
    <protectedRange password="E9C1" sqref="B29:C30" name="区域1_1_1"/>
    <protectedRange password="E9C1" sqref="D29" name="区域1"/>
    <protectedRange password="E9C1" sqref="D30" name="区域1_2"/>
  </protectedRanges>
  <mergeCells count="1">
    <mergeCell ref="A1:N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9"/>
  <sheetViews>
    <sheetView topLeftCell="M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279" t="s">
        <v>177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142" t="s">
        <v>450</v>
      </c>
      <c r="F2" s="142" t="s">
        <v>174</v>
      </c>
      <c r="G2" s="142" t="s">
        <v>451</v>
      </c>
      <c r="H2" s="142" t="s">
        <v>452</v>
      </c>
      <c r="I2" s="142" t="s">
        <v>453</v>
      </c>
      <c r="J2" s="142" t="s">
        <v>173</v>
      </c>
      <c r="K2" s="142" t="s">
        <v>454</v>
      </c>
      <c r="L2" s="142" t="s">
        <v>172</v>
      </c>
      <c r="M2" s="142" t="s">
        <v>455</v>
      </c>
      <c r="N2" s="142" t="s">
        <v>171</v>
      </c>
      <c r="O2" s="142" t="s">
        <v>170</v>
      </c>
      <c r="P2" s="142" t="s">
        <v>456</v>
      </c>
      <c r="Q2" s="142" t="s">
        <v>457</v>
      </c>
      <c r="R2" s="142" t="s">
        <v>458</v>
      </c>
      <c r="S2" s="142" t="s">
        <v>459</v>
      </c>
      <c r="T2" s="142" t="s">
        <v>460</v>
      </c>
      <c r="U2" s="142" t="s">
        <v>461</v>
      </c>
      <c r="V2" s="142" t="s">
        <v>462</v>
      </c>
      <c r="W2" s="32" t="s">
        <v>25</v>
      </c>
    </row>
    <row r="3" spans="1:23">
      <c r="A3" s="33" t="s">
        <v>181</v>
      </c>
      <c r="B3" s="34" t="s">
        <v>182</v>
      </c>
      <c r="C3" s="34"/>
      <c r="D3" s="35" t="s">
        <v>183</v>
      </c>
      <c r="E3" s="36">
        <f>E4+E31+E52</f>
        <v>24051930.649999999</v>
      </c>
      <c r="F3" s="36">
        <f t="shared" ref="F3:V3" si="0">F4+F31+F52</f>
        <v>24152256.800000001</v>
      </c>
      <c r="G3" s="36">
        <f t="shared" si="0"/>
        <v>24716410.760000002</v>
      </c>
      <c r="H3" s="36">
        <f t="shared" si="0"/>
        <v>22867719.199999999</v>
      </c>
      <c r="I3" s="36">
        <f t="shared" si="0"/>
        <v>7672935.6500000004</v>
      </c>
      <c r="J3" s="36">
        <f t="shared" si="0"/>
        <v>27869412.350000001</v>
      </c>
      <c r="K3" s="36">
        <f t="shared" si="0"/>
        <v>29888622</v>
      </c>
      <c r="L3" s="36">
        <f t="shared" si="0"/>
        <v>23376685.449999999</v>
      </c>
      <c r="M3" s="36">
        <f t="shared" si="0"/>
        <v>40402962.799999997</v>
      </c>
      <c r="N3" s="36">
        <f t="shared" si="0"/>
        <v>19431736.300000001</v>
      </c>
      <c r="O3" s="36">
        <f t="shared" si="0"/>
        <v>15581362.550000001</v>
      </c>
      <c r="P3" s="36">
        <f t="shared" si="0"/>
        <v>19921942.079999998</v>
      </c>
      <c r="Q3" s="36">
        <f t="shared" si="0"/>
        <v>8033131.2999999998</v>
      </c>
      <c r="R3" s="36">
        <f t="shared" si="0"/>
        <v>16663664.02</v>
      </c>
      <c r="S3" s="36">
        <f t="shared" si="0"/>
        <v>7508751.8499999996</v>
      </c>
      <c r="T3" s="37">
        <f t="shared" si="0"/>
        <v>11476101.9</v>
      </c>
      <c r="U3" s="37">
        <f t="shared" si="0"/>
        <v>2940143.2</v>
      </c>
      <c r="V3" s="36">
        <f t="shared" si="0"/>
        <v>1360378.8</v>
      </c>
      <c r="W3" s="36">
        <f>SUM(E3:V3)</f>
        <v>327916147.66000003</v>
      </c>
    </row>
    <row r="4" spans="1:23">
      <c r="A4" s="33" t="s">
        <v>184</v>
      </c>
      <c r="B4" s="34" t="s">
        <v>128</v>
      </c>
      <c r="C4" s="34"/>
      <c r="D4" s="35" t="s">
        <v>183</v>
      </c>
      <c r="E4" s="36">
        <f t="shared" ref="E4:V4" si="1">E5+E8+E13+E17+E20+E22+E25+E27+E29+E30</f>
        <v>21192847</v>
      </c>
      <c r="F4" s="36">
        <f t="shared" si="1"/>
        <v>21272815</v>
      </c>
      <c r="G4" s="36">
        <f t="shared" si="1"/>
        <v>22065142.800000001</v>
      </c>
      <c r="H4" s="36">
        <f t="shared" si="1"/>
        <v>19613484</v>
      </c>
      <c r="I4" s="36">
        <f t="shared" si="1"/>
        <v>5556438</v>
      </c>
      <c r="J4" s="36">
        <f t="shared" si="1"/>
        <v>23296089</v>
      </c>
      <c r="K4" s="36">
        <f t="shared" si="1"/>
        <v>27008894</v>
      </c>
      <c r="L4" s="36">
        <f t="shared" si="1"/>
        <v>20263201</v>
      </c>
      <c r="M4" s="36">
        <f t="shared" si="1"/>
        <v>34687323</v>
      </c>
      <c r="N4" s="36">
        <f t="shared" si="1"/>
        <v>16615948</v>
      </c>
      <c r="O4" s="36">
        <f t="shared" si="1"/>
        <v>13596410</v>
      </c>
      <c r="P4" s="36">
        <f t="shared" si="1"/>
        <v>16726740</v>
      </c>
      <c r="Q4" s="36">
        <f t="shared" si="1"/>
        <v>6890128</v>
      </c>
      <c r="R4" s="36">
        <f t="shared" si="1"/>
        <v>14217252</v>
      </c>
      <c r="S4" s="36">
        <f t="shared" si="1"/>
        <v>6377882</v>
      </c>
      <c r="T4" s="37">
        <f t="shared" si="1"/>
        <v>9646958</v>
      </c>
      <c r="U4" s="37">
        <f t="shared" si="1"/>
        <v>1953682</v>
      </c>
      <c r="V4" s="36">
        <f t="shared" si="1"/>
        <v>1142438</v>
      </c>
      <c r="W4" s="36">
        <f t="shared" ref="W4:W67" si="2">SUM(E4:V4)</f>
        <v>282123671.80000001</v>
      </c>
    </row>
    <row r="5" spans="1:23">
      <c r="A5" s="33" t="s">
        <v>185</v>
      </c>
      <c r="B5" s="34" t="s">
        <v>186</v>
      </c>
      <c r="C5" s="34"/>
      <c r="D5" s="35" t="s">
        <v>183</v>
      </c>
      <c r="E5" s="36">
        <f>E6+E7</f>
        <v>3169152</v>
      </c>
      <c r="F5" s="36">
        <f t="shared" ref="F5:V5" si="3">F6+F7</f>
        <v>3002028</v>
      </c>
      <c r="G5" s="36">
        <f t="shared" si="3"/>
        <v>3190824</v>
      </c>
      <c r="H5" s="36">
        <f t="shared" si="3"/>
        <v>2521608</v>
      </c>
      <c r="I5" s="36">
        <f t="shared" si="3"/>
        <v>739128</v>
      </c>
      <c r="J5" s="36">
        <f t="shared" si="3"/>
        <v>3295764</v>
      </c>
      <c r="K5" s="36">
        <f t="shared" si="3"/>
        <v>4128732</v>
      </c>
      <c r="L5" s="36">
        <f t="shared" si="3"/>
        <v>2652696</v>
      </c>
      <c r="M5" s="36">
        <f t="shared" si="3"/>
        <v>4275672</v>
      </c>
      <c r="N5" s="36">
        <f t="shared" si="3"/>
        <v>2266260</v>
      </c>
      <c r="O5" s="36">
        <f t="shared" si="3"/>
        <v>1865520</v>
      </c>
      <c r="P5" s="36">
        <f t="shared" si="3"/>
        <v>2223960</v>
      </c>
      <c r="Q5" s="36">
        <f t="shared" si="3"/>
        <v>805056</v>
      </c>
      <c r="R5" s="36">
        <f t="shared" si="3"/>
        <v>1749156</v>
      </c>
      <c r="S5" s="36">
        <f t="shared" si="3"/>
        <v>792864</v>
      </c>
      <c r="T5" s="37">
        <f t="shared" si="3"/>
        <v>1266804</v>
      </c>
      <c r="U5" s="37">
        <f t="shared" si="3"/>
        <v>253188</v>
      </c>
      <c r="V5" s="36">
        <f t="shared" si="3"/>
        <v>153852</v>
      </c>
      <c r="W5" s="36">
        <f t="shared" si="2"/>
        <v>38352264</v>
      </c>
    </row>
    <row r="6" spans="1:23">
      <c r="A6" s="33" t="s">
        <v>187</v>
      </c>
      <c r="B6" s="34" t="s">
        <v>188</v>
      </c>
      <c r="C6" s="34" t="s">
        <v>189</v>
      </c>
      <c r="D6" s="35" t="s">
        <v>190</v>
      </c>
      <c r="E6" s="37">
        <v>1780548</v>
      </c>
      <c r="F6" s="37">
        <v>1740288</v>
      </c>
      <c r="G6" s="37">
        <v>1840272</v>
      </c>
      <c r="H6" s="37">
        <v>1632912</v>
      </c>
      <c r="I6" s="37">
        <v>478740</v>
      </c>
      <c r="J6" s="37">
        <v>1823340</v>
      </c>
      <c r="K6" s="37">
        <v>2122296</v>
      </c>
      <c r="L6" s="37">
        <v>1605312</v>
      </c>
      <c r="M6" s="37">
        <v>2739768</v>
      </c>
      <c r="N6" s="37">
        <v>1389072</v>
      </c>
      <c r="O6" s="37">
        <v>1103028</v>
      </c>
      <c r="P6" s="37">
        <v>1432848</v>
      </c>
      <c r="Q6" s="37">
        <v>536448</v>
      </c>
      <c r="R6" s="37">
        <v>1158696</v>
      </c>
      <c r="S6" s="37">
        <v>525492</v>
      </c>
      <c r="T6" s="37">
        <v>814944</v>
      </c>
      <c r="U6" s="37">
        <v>157884</v>
      </c>
      <c r="V6" s="37">
        <v>102300</v>
      </c>
      <c r="W6" s="36">
        <f t="shared" si="2"/>
        <v>22984188</v>
      </c>
    </row>
    <row r="7" spans="1:23">
      <c r="A7" s="33" t="s">
        <v>191</v>
      </c>
      <c r="B7" s="34" t="s">
        <v>192</v>
      </c>
      <c r="C7" s="34" t="s">
        <v>189</v>
      </c>
      <c r="D7" s="35" t="s">
        <v>190</v>
      </c>
      <c r="E7" s="37">
        <v>1388604</v>
      </c>
      <c r="F7" s="37">
        <v>1261740</v>
      </c>
      <c r="G7" s="37">
        <v>1350552</v>
      </c>
      <c r="H7" s="37">
        <v>888696</v>
      </c>
      <c r="I7" s="37">
        <v>260388</v>
      </c>
      <c r="J7" s="37">
        <v>1472424</v>
      </c>
      <c r="K7" s="37">
        <v>2006436</v>
      </c>
      <c r="L7" s="37">
        <v>1047384</v>
      </c>
      <c r="M7" s="37">
        <v>1535904</v>
      </c>
      <c r="N7" s="37">
        <v>877188</v>
      </c>
      <c r="O7" s="37">
        <v>762492</v>
      </c>
      <c r="P7" s="37">
        <v>791112</v>
      </c>
      <c r="Q7" s="37">
        <v>268608</v>
      </c>
      <c r="R7" s="37">
        <v>590460</v>
      </c>
      <c r="S7" s="37">
        <v>267372</v>
      </c>
      <c r="T7" s="37">
        <v>451860</v>
      </c>
      <c r="U7" s="37">
        <v>95304</v>
      </c>
      <c r="V7" s="37">
        <v>51552</v>
      </c>
      <c r="W7" s="36">
        <f t="shared" si="2"/>
        <v>15368076</v>
      </c>
    </row>
    <row r="8" spans="1:23">
      <c r="A8" s="33" t="s">
        <v>193</v>
      </c>
      <c r="B8" s="34" t="s">
        <v>194</v>
      </c>
      <c r="C8" s="34"/>
      <c r="D8" s="35" t="s">
        <v>183</v>
      </c>
      <c r="E8" s="36">
        <f>E9+E10</f>
        <v>363432</v>
      </c>
      <c r="F8" s="36">
        <f t="shared" ref="F8:V8" si="4">F9+F10</f>
        <v>363372</v>
      </c>
      <c r="G8" s="36">
        <f t="shared" si="4"/>
        <v>374592</v>
      </c>
      <c r="H8" s="36">
        <f t="shared" si="4"/>
        <v>356040</v>
      </c>
      <c r="I8" s="36">
        <f t="shared" si="4"/>
        <v>97464</v>
      </c>
      <c r="J8" s="36">
        <f t="shared" si="4"/>
        <v>407184</v>
      </c>
      <c r="K8" s="36">
        <f t="shared" si="4"/>
        <v>468132</v>
      </c>
      <c r="L8" s="36">
        <f t="shared" si="4"/>
        <v>362808</v>
      </c>
      <c r="M8" s="36">
        <f t="shared" si="4"/>
        <v>630744</v>
      </c>
      <c r="N8" s="36">
        <f t="shared" si="4"/>
        <v>314304</v>
      </c>
      <c r="O8" s="36">
        <f t="shared" si="4"/>
        <v>255084</v>
      </c>
      <c r="P8" s="36">
        <f t="shared" si="4"/>
        <v>324576</v>
      </c>
      <c r="Q8" s="36">
        <f t="shared" si="4"/>
        <v>134832</v>
      </c>
      <c r="R8" s="36">
        <f t="shared" si="4"/>
        <v>275616</v>
      </c>
      <c r="S8" s="36">
        <f t="shared" si="4"/>
        <v>123816</v>
      </c>
      <c r="T8" s="37">
        <f t="shared" si="4"/>
        <v>189468</v>
      </c>
      <c r="U8" s="37">
        <f t="shared" si="4"/>
        <v>37824</v>
      </c>
      <c r="V8" s="36">
        <f t="shared" si="4"/>
        <v>21696</v>
      </c>
      <c r="W8" s="36">
        <f t="shared" si="2"/>
        <v>5100984</v>
      </c>
    </row>
    <row r="9" spans="1:23">
      <c r="A9" s="33" t="s">
        <v>195</v>
      </c>
      <c r="B9" s="34" t="s">
        <v>196</v>
      </c>
      <c r="C9" s="34" t="s">
        <v>189</v>
      </c>
      <c r="D9" s="35" t="s">
        <v>190</v>
      </c>
      <c r="E9" s="37">
        <v>4848</v>
      </c>
      <c r="F9" s="37">
        <v>4788</v>
      </c>
      <c r="G9" s="37">
        <v>5304</v>
      </c>
      <c r="H9" s="37">
        <v>2808</v>
      </c>
      <c r="I9" s="37">
        <v>1128</v>
      </c>
      <c r="J9" s="37">
        <v>5784</v>
      </c>
      <c r="K9" s="37">
        <v>7860</v>
      </c>
      <c r="L9" s="37">
        <v>4224</v>
      </c>
      <c r="M9" s="37">
        <v>4560</v>
      </c>
      <c r="N9" s="37">
        <v>3888</v>
      </c>
      <c r="O9" s="37">
        <v>3540</v>
      </c>
      <c r="P9" s="37">
        <v>3456</v>
      </c>
      <c r="Q9" s="37">
        <v>1032</v>
      </c>
      <c r="R9" s="37">
        <v>2664</v>
      </c>
      <c r="S9" s="37">
        <v>720</v>
      </c>
      <c r="T9" s="37">
        <v>2148</v>
      </c>
      <c r="U9" s="37">
        <v>360</v>
      </c>
      <c r="V9" s="37">
        <v>288</v>
      </c>
      <c r="W9" s="36">
        <f t="shared" si="2"/>
        <v>59400</v>
      </c>
    </row>
    <row r="10" spans="1:23">
      <c r="A10" s="33" t="s">
        <v>197</v>
      </c>
      <c r="B10" s="34" t="s">
        <v>198</v>
      </c>
      <c r="C10" s="34"/>
      <c r="D10" s="35" t="s">
        <v>183</v>
      </c>
      <c r="E10" s="36">
        <f>E11+E12</f>
        <v>358584</v>
      </c>
      <c r="F10" s="36">
        <f t="shared" ref="F10:V10" si="5">F11+F12</f>
        <v>358584</v>
      </c>
      <c r="G10" s="36">
        <f t="shared" si="5"/>
        <v>369288</v>
      </c>
      <c r="H10" s="36">
        <f t="shared" si="5"/>
        <v>353232</v>
      </c>
      <c r="I10" s="36">
        <f t="shared" si="5"/>
        <v>96336</v>
      </c>
      <c r="J10" s="36">
        <f t="shared" si="5"/>
        <v>401400</v>
      </c>
      <c r="K10" s="36">
        <f t="shared" si="5"/>
        <v>460272</v>
      </c>
      <c r="L10" s="36">
        <f t="shared" si="5"/>
        <v>358584</v>
      </c>
      <c r="M10" s="36">
        <f t="shared" si="5"/>
        <v>626184</v>
      </c>
      <c r="N10" s="36">
        <f t="shared" si="5"/>
        <v>310416</v>
      </c>
      <c r="O10" s="36">
        <f t="shared" si="5"/>
        <v>251544</v>
      </c>
      <c r="P10" s="36">
        <f t="shared" si="5"/>
        <v>321120</v>
      </c>
      <c r="Q10" s="36">
        <f t="shared" si="5"/>
        <v>133800</v>
      </c>
      <c r="R10" s="36">
        <f t="shared" si="5"/>
        <v>272952</v>
      </c>
      <c r="S10" s="36">
        <f t="shared" si="5"/>
        <v>123096</v>
      </c>
      <c r="T10" s="37">
        <f t="shared" si="5"/>
        <v>187320</v>
      </c>
      <c r="U10" s="37">
        <f t="shared" si="5"/>
        <v>37464</v>
      </c>
      <c r="V10" s="36">
        <f t="shared" si="5"/>
        <v>21408</v>
      </c>
      <c r="W10" s="36">
        <f t="shared" si="2"/>
        <v>5041584</v>
      </c>
    </row>
    <row r="11" spans="1:2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4824</v>
      </c>
      <c r="F11" s="36">
        <f t="shared" ref="F11:V11" si="6">72*F96</f>
        <v>4824</v>
      </c>
      <c r="G11" s="36">
        <f t="shared" si="6"/>
        <v>4968</v>
      </c>
      <c r="H11" s="36">
        <f t="shared" si="6"/>
        <v>4752</v>
      </c>
      <c r="I11" s="36">
        <f t="shared" si="6"/>
        <v>1296</v>
      </c>
      <c r="J11" s="36">
        <f t="shared" si="6"/>
        <v>5400</v>
      </c>
      <c r="K11" s="36">
        <f t="shared" si="6"/>
        <v>6192</v>
      </c>
      <c r="L11" s="36">
        <f t="shared" si="6"/>
        <v>4824</v>
      </c>
      <c r="M11" s="36">
        <f t="shared" si="6"/>
        <v>8424</v>
      </c>
      <c r="N11" s="36">
        <f t="shared" si="6"/>
        <v>4176</v>
      </c>
      <c r="O11" s="36">
        <f t="shared" si="6"/>
        <v>3384</v>
      </c>
      <c r="P11" s="36">
        <f t="shared" si="6"/>
        <v>4320</v>
      </c>
      <c r="Q11" s="36">
        <f t="shared" si="6"/>
        <v>1800</v>
      </c>
      <c r="R11" s="36">
        <f t="shared" si="6"/>
        <v>3672</v>
      </c>
      <c r="S11" s="36">
        <f t="shared" si="6"/>
        <v>1656</v>
      </c>
      <c r="T11" s="37">
        <v>2520</v>
      </c>
      <c r="U11" s="37">
        <f t="shared" si="6"/>
        <v>504</v>
      </c>
      <c r="V11" s="36">
        <f t="shared" si="6"/>
        <v>288</v>
      </c>
      <c r="W11" s="36">
        <f t="shared" si="2"/>
        <v>67824</v>
      </c>
    </row>
    <row r="12" spans="1:2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353760</v>
      </c>
      <c r="F12" s="36">
        <f t="shared" ref="F12:V12" si="7">440*12*F96</f>
        <v>353760</v>
      </c>
      <c r="G12" s="36">
        <f t="shared" si="7"/>
        <v>364320</v>
      </c>
      <c r="H12" s="36">
        <f t="shared" si="7"/>
        <v>348480</v>
      </c>
      <c r="I12" s="36">
        <f t="shared" si="7"/>
        <v>95040</v>
      </c>
      <c r="J12" s="36">
        <f t="shared" si="7"/>
        <v>396000</v>
      </c>
      <c r="K12" s="36">
        <f t="shared" si="7"/>
        <v>454080</v>
      </c>
      <c r="L12" s="36">
        <f t="shared" si="7"/>
        <v>353760</v>
      </c>
      <c r="M12" s="36">
        <f t="shared" si="7"/>
        <v>617760</v>
      </c>
      <c r="N12" s="36">
        <f t="shared" si="7"/>
        <v>306240</v>
      </c>
      <c r="O12" s="36">
        <f t="shared" si="7"/>
        <v>248160</v>
      </c>
      <c r="P12" s="36">
        <f t="shared" si="7"/>
        <v>316800</v>
      </c>
      <c r="Q12" s="36">
        <f t="shared" si="7"/>
        <v>132000</v>
      </c>
      <c r="R12" s="36">
        <f t="shared" si="7"/>
        <v>269280</v>
      </c>
      <c r="S12" s="36">
        <f t="shared" si="7"/>
        <v>121440</v>
      </c>
      <c r="T12" s="37">
        <v>184800</v>
      </c>
      <c r="U12" s="37">
        <f t="shared" si="7"/>
        <v>36960</v>
      </c>
      <c r="V12" s="36">
        <f t="shared" si="7"/>
        <v>21120</v>
      </c>
      <c r="W12" s="36">
        <f t="shared" si="2"/>
        <v>4973760</v>
      </c>
    </row>
    <row r="13" spans="1:23">
      <c r="A13" s="33" t="s">
        <v>203</v>
      </c>
      <c r="B13" s="34" t="s">
        <v>204</v>
      </c>
      <c r="C13" s="34"/>
      <c r="D13" s="35" t="s">
        <v>205</v>
      </c>
      <c r="E13" s="36">
        <f>E14+E15+E16</f>
        <v>330504</v>
      </c>
      <c r="F13" s="36">
        <f t="shared" ref="F13:V13" si="8">F14+F15+F16</f>
        <v>343512</v>
      </c>
      <c r="G13" s="36">
        <f t="shared" si="8"/>
        <v>356806.2</v>
      </c>
      <c r="H13" s="36">
        <f t="shared" si="8"/>
        <v>290790</v>
      </c>
      <c r="I13" s="36">
        <f t="shared" si="8"/>
        <v>87492</v>
      </c>
      <c r="J13" s="36">
        <f t="shared" si="8"/>
        <v>360714</v>
      </c>
      <c r="K13" s="36">
        <f t="shared" si="8"/>
        <v>410736</v>
      </c>
      <c r="L13" s="36">
        <f t="shared" si="8"/>
        <v>308790</v>
      </c>
      <c r="M13" s="36">
        <f t="shared" si="8"/>
        <v>521430</v>
      </c>
      <c r="N13" s="36">
        <f t="shared" si="8"/>
        <v>254496</v>
      </c>
      <c r="O13" s="36">
        <f t="shared" si="8"/>
        <v>211614</v>
      </c>
      <c r="P13" s="36">
        <f t="shared" si="8"/>
        <v>245316</v>
      </c>
      <c r="Q13" s="36">
        <f t="shared" si="8"/>
        <v>104460</v>
      </c>
      <c r="R13" s="36">
        <f t="shared" si="8"/>
        <v>215940</v>
      </c>
      <c r="S13" s="36">
        <f t="shared" si="8"/>
        <v>95418</v>
      </c>
      <c r="T13" s="37">
        <f t="shared" si="8"/>
        <v>138894</v>
      </c>
      <c r="U13" s="37">
        <f t="shared" si="8"/>
        <v>29070</v>
      </c>
      <c r="V13" s="36">
        <f t="shared" si="8"/>
        <v>17826</v>
      </c>
      <c r="W13" s="36">
        <f t="shared" si="2"/>
        <v>4323808.2</v>
      </c>
    </row>
    <row r="14" spans="1:2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198302.40000000002</v>
      </c>
      <c r="F14" s="36">
        <f t="shared" ref="F14:V14" si="9">F16*3</f>
        <v>206107.19999999998</v>
      </c>
      <c r="G14" s="36">
        <f t="shared" si="9"/>
        <v>214083.72000000003</v>
      </c>
      <c r="H14" s="36">
        <f t="shared" si="9"/>
        <v>174474</v>
      </c>
      <c r="I14" s="36">
        <f t="shared" si="9"/>
        <v>52495.200000000004</v>
      </c>
      <c r="J14" s="36">
        <f t="shared" si="9"/>
        <v>216428.40000000002</v>
      </c>
      <c r="K14" s="36">
        <f t="shared" si="9"/>
        <v>246441.59999999998</v>
      </c>
      <c r="L14" s="36">
        <f t="shared" si="9"/>
        <v>185274</v>
      </c>
      <c r="M14" s="36">
        <f t="shared" si="9"/>
        <v>312858</v>
      </c>
      <c r="N14" s="36">
        <f t="shared" si="9"/>
        <v>152697.59999999998</v>
      </c>
      <c r="O14" s="36">
        <f t="shared" si="9"/>
        <v>126968.40000000001</v>
      </c>
      <c r="P14" s="36">
        <f t="shared" si="9"/>
        <v>147189.59999999998</v>
      </c>
      <c r="Q14" s="36">
        <f t="shared" si="9"/>
        <v>62676</v>
      </c>
      <c r="R14" s="36">
        <f t="shared" si="9"/>
        <v>129564</v>
      </c>
      <c r="S14" s="36">
        <f t="shared" si="9"/>
        <v>57250.799999999996</v>
      </c>
      <c r="T14" s="37">
        <f t="shared" si="9"/>
        <v>83336.399999999994</v>
      </c>
      <c r="U14" s="37">
        <f t="shared" si="9"/>
        <v>17442</v>
      </c>
      <c r="V14" s="36">
        <f t="shared" si="9"/>
        <v>10695.599999999999</v>
      </c>
      <c r="W14" s="36">
        <f t="shared" si="2"/>
        <v>2594284.92</v>
      </c>
    </row>
    <row r="15" spans="1:2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66100.800000000003</v>
      </c>
      <c r="F15" s="36">
        <f t="shared" ref="F15:V15" si="10">F16</f>
        <v>68702.399999999994</v>
      </c>
      <c r="G15" s="36">
        <f t="shared" si="10"/>
        <v>71361.240000000005</v>
      </c>
      <c r="H15" s="36">
        <f t="shared" si="10"/>
        <v>58158</v>
      </c>
      <c r="I15" s="36">
        <f t="shared" si="10"/>
        <v>17498.400000000001</v>
      </c>
      <c r="J15" s="36">
        <f t="shared" si="10"/>
        <v>72142.8</v>
      </c>
      <c r="K15" s="36">
        <f t="shared" si="10"/>
        <v>82147.199999999997</v>
      </c>
      <c r="L15" s="36">
        <f t="shared" si="10"/>
        <v>61758</v>
      </c>
      <c r="M15" s="36">
        <f t="shared" si="10"/>
        <v>104286</v>
      </c>
      <c r="N15" s="36">
        <f t="shared" si="10"/>
        <v>50899.199999999997</v>
      </c>
      <c r="O15" s="36">
        <f t="shared" si="10"/>
        <v>42322.8</v>
      </c>
      <c r="P15" s="36">
        <f t="shared" si="10"/>
        <v>49063.199999999997</v>
      </c>
      <c r="Q15" s="36">
        <f t="shared" si="10"/>
        <v>20892</v>
      </c>
      <c r="R15" s="36">
        <f t="shared" si="10"/>
        <v>43188</v>
      </c>
      <c r="S15" s="36">
        <f t="shared" si="10"/>
        <v>19083.599999999999</v>
      </c>
      <c r="T15" s="37">
        <f t="shared" si="10"/>
        <v>27778.799999999999</v>
      </c>
      <c r="U15" s="37">
        <f t="shared" si="10"/>
        <v>5814</v>
      </c>
      <c r="V15" s="36">
        <f t="shared" si="10"/>
        <v>3565.2</v>
      </c>
      <c r="W15" s="36">
        <f t="shared" si="2"/>
        <v>864761.64</v>
      </c>
    </row>
    <row r="16" spans="1:23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66100.800000000003</v>
      </c>
      <c r="F16" s="37">
        <v>68702.399999999994</v>
      </c>
      <c r="G16" s="37">
        <v>71361.240000000005</v>
      </c>
      <c r="H16" s="37">
        <v>58158</v>
      </c>
      <c r="I16" s="37">
        <v>17498.400000000001</v>
      </c>
      <c r="J16" s="37">
        <v>72142.8</v>
      </c>
      <c r="K16" s="37">
        <v>82147.199999999997</v>
      </c>
      <c r="L16" s="37">
        <v>61758</v>
      </c>
      <c r="M16" s="37">
        <v>104286</v>
      </c>
      <c r="N16" s="37">
        <v>50899.199999999997</v>
      </c>
      <c r="O16" s="37">
        <v>42322.8</v>
      </c>
      <c r="P16" s="37">
        <v>49063.199999999997</v>
      </c>
      <c r="Q16" s="37">
        <v>20892</v>
      </c>
      <c r="R16" s="37">
        <v>43188</v>
      </c>
      <c r="S16" s="37">
        <v>19083.599999999999</v>
      </c>
      <c r="T16" s="37">
        <v>27778.799999999999</v>
      </c>
      <c r="U16" s="37">
        <v>5814</v>
      </c>
      <c r="V16" s="37">
        <v>3565.2</v>
      </c>
      <c r="W16" s="36">
        <f t="shared" si="2"/>
        <v>864761.64</v>
      </c>
    </row>
    <row r="17" spans="1:23">
      <c r="A17" s="33" t="s">
        <v>213</v>
      </c>
      <c r="B17" s="34" t="s">
        <v>214</v>
      </c>
      <c r="C17" s="34"/>
      <c r="D17" s="35" t="s">
        <v>183</v>
      </c>
      <c r="E17" s="36">
        <v>10737487</v>
      </c>
      <c r="F17" s="36">
        <v>10737487</v>
      </c>
      <c r="G17" s="36">
        <v>11058009</v>
      </c>
      <c r="H17" s="36">
        <v>10577226</v>
      </c>
      <c r="I17" s="36">
        <v>2884698</v>
      </c>
      <c r="J17" s="36">
        <v>12019575</v>
      </c>
      <c r="K17" s="36">
        <v>13782446</v>
      </c>
      <c r="L17" s="36">
        <v>10737487</v>
      </c>
      <c r="M17" s="36">
        <v>18750537</v>
      </c>
      <c r="N17" s="36">
        <v>8643160</v>
      </c>
      <c r="O17" s="36">
        <v>7003940</v>
      </c>
      <c r="P17" s="36">
        <v>8941200</v>
      </c>
      <c r="Q17" s="36">
        <v>3725500</v>
      </c>
      <c r="R17" s="36">
        <v>7600020</v>
      </c>
      <c r="S17" s="36">
        <v>3427460</v>
      </c>
      <c r="T17" s="37">
        <v>5215700</v>
      </c>
      <c r="U17" s="37">
        <v>1043140</v>
      </c>
      <c r="V17" s="36">
        <v>589796</v>
      </c>
      <c r="W17" s="36">
        <f t="shared" si="2"/>
        <v>147474868</v>
      </c>
    </row>
    <row r="18" spans="1:23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10570395</v>
      </c>
      <c r="F18" s="43">
        <f t="shared" ref="F18:V18" si="11">F17-F19</f>
        <v>10399313</v>
      </c>
      <c r="G18" s="43">
        <f t="shared" si="11"/>
        <v>10888877</v>
      </c>
      <c r="H18" s="43">
        <f t="shared" si="11"/>
        <v>10415714</v>
      </c>
      <c r="I18" s="43">
        <f t="shared" si="11"/>
        <v>2884698</v>
      </c>
      <c r="J18" s="43">
        <f t="shared" si="11"/>
        <v>11787872</v>
      </c>
      <c r="K18" s="43">
        <f t="shared" si="11"/>
        <v>13599862</v>
      </c>
      <c r="L18" s="43">
        <f t="shared" si="11"/>
        <v>10554546</v>
      </c>
      <c r="M18" s="43">
        <f t="shared" si="11"/>
        <v>18453341</v>
      </c>
      <c r="N18" s="43">
        <f t="shared" si="11"/>
        <v>8467036</v>
      </c>
      <c r="O18" s="43">
        <f t="shared" si="11"/>
        <v>6830456</v>
      </c>
      <c r="P18" s="43">
        <f t="shared" si="11"/>
        <v>8749716</v>
      </c>
      <c r="Q18" s="43">
        <f t="shared" si="11"/>
        <v>3704625</v>
      </c>
      <c r="R18" s="43">
        <f t="shared" si="11"/>
        <v>7437708</v>
      </c>
      <c r="S18" s="43">
        <f t="shared" si="11"/>
        <v>3284204</v>
      </c>
      <c r="T18" s="43">
        <f t="shared" si="11"/>
        <v>5070644</v>
      </c>
      <c r="U18" s="43">
        <f t="shared" si="11"/>
        <v>993750</v>
      </c>
      <c r="V18" s="43">
        <f t="shared" si="11"/>
        <v>589796</v>
      </c>
      <c r="W18" s="36">
        <f t="shared" si="2"/>
        <v>144682553</v>
      </c>
    </row>
    <row r="19" spans="1:23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167092</v>
      </c>
      <c r="F19" s="43">
        <v>338174</v>
      </c>
      <c r="G19" s="43">
        <v>169132</v>
      </c>
      <c r="H19" s="43">
        <v>161512</v>
      </c>
      <c r="I19" s="43"/>
      <c r="J19" s="43">
        <v>231703</v>
      </c>
      <c r="K19" s="43">
        <v>182584</v>
      </c>
      <c r="L19" s="43">
        <v>182941</v>
      </c>
      <c r="M19" s="43">
        <v>297196</v>
      </c>
      <c r="N19" s="43">
        <v>176124</v>
      </c>
      <c r="O19" s="43">
        <v>173484</v>
      </c>
      <c r="P19" s="43">
        <v>191484</v>
      </c>
      <c r="Q19" s="43">
        <v>20875</v>
      </c>
      <c r="R19" s="43">
        <v>162312</v>
      </c>
      <c r="S19" s="43">
        <v>143256</v>
      </c>
      <c r="T19" s="43">
        <v>145056</v>
      </c>
      <c r="U19" s="43">
        <v>49390</v>
      </c>
      <c r="V19" s="43"/>
      <c r="W19" s="36">
        <f t="shared" si="2"/>
        <v>2792315</v>
      </c>
    </row>
    <row r="20" spans="1:23">
      <c r="A20" s="33" t="s">
        <v>221</v>
      </c>
      <c r="B20" s="34" t="s">
        <v>222</v>
      </c>
      <c r="C20" s="34"/>
      <c r="D20" s="42" t="s">
        <v>183</v>
      </c>
      <c r="E20" s="45">
        <f>E21</f>
        <v>1322016</v>
      </c>
      <c r="F20" s="45">
        <f t="shared" ref="F20:V20" si="12">F21</f>
        <v>1374048</v>
      </c>
      <c r="G20" s="45">
        <f t="shared" si="12"/>
        <v>1427224.8</v>
      </c>
      <c r="H20" s="45">
        <f t="shared" si="12"/>
        <v>1163160</v>
      </c>
      <c r="I20" s="45">
        <f t="shared" si="12"/>
        <v>349968</v>
      </c>
      <c r="J20" s="45">
        <f t="shared" si="12"/>
        <v>1442856</v>
      </c>
      <c r="K20" s="45">
        <f t="shared" si="12"/>
        <v>1642944</v>
      </c>
      <c r="L20" s="45">
        <f t="shared" si="12"/>
        <v>1235160</v>
      </c>
      <c r="M20" s="45">
        <f t="shared" si="12"/>
        <v>2085720</v>
      </c>
      <c r="N20" s="45">
        <f t="shared" si="12"/>
        <v>1017984</v>
      </c>
      <c r="O20" s="45">
        <f t="shared" si="12"/>
        <v>846456</v>
      </c>
      <c r="P20" s="45">
        <f t="shared" si="12"/>
        <v>981264</v>
      </c>
      <c r="Q20" s="45">
        <f t="shared" si="12"/>
        <v>417840</v>
      </c>
      <c r="R20" s="45">
        <f t="shared" si="12"/>
        <v>863760</v>
      </c>
      <c r="S20" s="45">
        <f t="shared" si="12"/>
        <v>381672</v>
      </c>
      <c r="T20" s="43">
        <f t="shared" si="12"/>
        <v>555576</v>
      </c>
      <c r="U20" s="43">
        <f t="shared" si="12"/>
        <v>116280</v>
      </c>
      <c r="V20" s="45">
        <f t="shared" si="12"/>
        <v>71304</v>
      </c>
      <c r="W20" s="36">
        <f t="shared" si="2"/>
        <v>17295232.800000001</v>
      </c>
    </row>
    <row r="21" spans="1:23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1322016</v>
      </c>
      <c r="F21" s="45">
        <f t="shared" ref="F21:V21" si="13">F16*20</f>
        <v>1374048</v>
      </c>
      <c r="G21" s="45">
        <f t="shared" si="13"/>
        <v>1427224.8</v>
      </c>
      <c r="H21" s="45">
        <f t="shared" si="13"/>
        <v>1163160</v>
      </c>
      <c r="I21" s="45">
        <f t="shared" si="13"/>
        <v>349968</v>
      </c>
      <c r="J21" s="45">
        <f t="shared" si="13"/>
        <v>1442856</v>
      </c>
      <c r="K21" s="45">
        <f t="shared" si="13"/>
        <v>1642944</v>
      </c>
      <c r="L21" s="45">
        <f t="shared" si="13"/>
        <v>1235160</v>
      </c>
      <c r="M21" s="45">
        <f t="shared" si="13"/>
        <v>2085720</v>
      </c>
      <c r="N21" s="45">
        <f t="shared" si="13"/>
        <v>1017984</v>
      </c>
      <c r="O21" s="45">
        <f t="shared" si="13"/>
        <v>846456</v>
      </c>
      <c r="P21" s="45">
        <f t="shared" si="13"/>
        <v>981264</v>
      </c>
      <c r="Q21" s="45">
        <f t="shared" si="13"/>
        <v>417840</v>
      </c>
      <c r="R21" s="45">
        <f t="shared" si="13"/>
        <v>863760</v>
      </c>
      <c r="S21" s="45">
        <f t="shared" si="13"/>
        <v>381672</v>
      </c>
      <c r="T21" s="43">
        <f t="shared" si="13"/>
        <v>555576</v>
      </c>
      <c r="U21" s="43">
        <f t="shared" si="13"/>
        <v>116280</v>
      </c>
      <c r="V21" s="45">
        <f t="shared" si="13"/>
        <v>71304</v>
      </c>
      <c r="W21" s="36">
        <f t="shared" si="2"/>
        <v>17295232.800000001</v>
      </c>
    </row>
    <row r="22" spans="1:23">
      <c r="A22" s="33" t="s">
        <v>226</v>
      </c>
      <c r="B22" s="34" t="s">
        <v>227</v>
      </c>
      <c r="C22" s="34"/>
      <c r="D22" s="42" t="s">
        <v>208</v>
      </c>
      <c r="E22" s="45">
        <f>E23+E24</f>
        <v>528806.40000000002</v>
      </c>
      <c r="F22" s="45">
        <f t="shared" ref="F22:V22" si="14">F23+F24</f>
        <v>549619.19999999995</v>
      </c>
      <c r="G22" s="45">
        <f t="shared" si="14"/>
        <v>570889.92000000004</v>
      </c>
      <c r="H22" s="45">
        <f t="shared" si="14"/>
        <v>465264</v>
      </c>
      <c r="I22" s="45">
        <f t="shared" si="14"/>
        <v>139987.20000000001</v>
      </c>
      <c r="J22" s="45">
        <f t="shared" si="14"/>
        <v>577142.4</v>
      </c>
      <c r="K22" s="45">
        <f t="shared" si="14"/>
        <v>657177.59999999998</v>
      </c>
      <c r="L22" s="45">
        <f t="shared" si="14"/>
        <v>494064</v>
      </c>
      <c r="M22" s="45">
        <f t="shared" si="14"/>
        <v>834288</v>
      </c>
      <c r="N22" s="45">
        <f t="shared" si="14"/>
        <v>407193.59999999998</v>
      </c>
      <c r="O22" s="45">
        <f t="shared" si="14"/>
        <v>338582.4</v>
      </c>
      <c r="P22" s="45">
        <f t="shared" si="14"/>
        <v>392505.59999999998</v>
      </c>
      <c r="Q22" s="45">
        <f t="shared" si="14"/>
        <v>167136</v>
      </c>
      <c r="R22" s="45">
        <f t="shared" si="14"/>
        <v>345504</v>
      </c>
      <c r="S22" s="45">
        <f t="shared" si="14"/>
        <v>152668.79999999999</v>
      </c>
      <c r="T22" s="43">
        <f t="shared" si="14"/>
        <v>222230.39999999999</v>
      </c>
      <c r="U22" s="43">
        <f t="shared" si="14"/>
        <v>46512</v>
      </c>
      <c r="V22" s="45">
        <f t="shared" si="14"/>
        <v>28521.599999999999</v>
      </c>
      <c r="W22" s="36">
        <f t="shared" si="2"/>
        <v>6918093.1200000001</v>
      </c>
    </row>
    <row r="23" spans="1:23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264403.20000000001</v>
      </c>
      <c r="F23" s="45">
        <f t="shared" ref="F23:V23" si="15">F16*4</f>
        <v>274809.59999999998</v>
      </c>
      <c r="G23" s="45">
        <f t="shared" si="15"/>
        <v>285444.96000000002</v>
      </c>
      <c r="H23" s="45">
        <f t="shared" si="15"/>
        <v>232632</v>
      </c>
      <c r="I23" s="45">
        <f t="shared" si="15"/>
        <v>69993.600000000006</v>
      </c>
      <c r="J23" s="45">
        <f t="shared" si="15"/>
        <v>288571.2</v>
      </c>
      <c r="K23" s="45">
        <f t="shared" si="15"/>
        <v>328588.79999999999</v>
      </c>
      <c r="L23" s="45">
        <f t="shared" si="15"/>
        <v>247032</v>
      </c>
      <c r="M23" s="45">
        <f t="shared" si="15"/>
        <v>417144</v>
      </c>
      <c r="N23" s="45">
        <f t="shared" si="15"/>
        <v>203596.79999999999</v>
      </c>
      <c r="O23" s="45">
        <f t="shared" si="15"/>
        <v>169291.2</v>
      </c>
      <c r="P23" s="45">
        <f t="shared" si="15"/>
        <v>196252.79999999999</v>
      </c>
      <c r="Q23" s="45">
        <f t="shared" si="15"/>
        <v>83568</v>
      </c>
      <c r="R23" s="45">
        <f t="shared" si="15"/>
        <v>172752</v>
      </c>
      <c r="S23" s="45">
        <f t="shared" si="15"/>
        <v>76334.399999999994</v>
      </c>
      <c r="T23" s="43">
        <f t="shared" si="15"/>
        <v>111115.2</v>
      </c>
      <c r="U23" s="43">
        <f t="shared" si="15"/>
        <v>23256</v>
      </c>
      <c r="V23" s="45">
        <f t="shared" si="15"/>
        <v>14260.8</v>
      </c>
      <c r="W23" s="36">
        <f t="shared" si="2"/>
        <v>3459046.56</v>
      </c>
    </row>
    <row r="24" spans="1:23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264403.20000000001</v>
      </c>
      <c r="F24" s="45">
        <f t="shared" ref="F24:V24" si="16">F16*4</f>
        <v>274809.59999999998</v>
      </c>
      <c r="G24" s="45">
        <f t="shared" si="16"/>
        <v>285444.96000000002</v>
      </c>
      <c r="H24" s="45">
        <f t="shared" si="16"/>
        <v>232632</v>
      </c>
      <c r="I24" s="45">
        <f t="shared" si="16"/>
        <v>69993.600000000006</v>
      </c>
      <c r="J24" s="45">
        <f t="shared" si="16"/>
        <v>288571.2</v>
      </c>
      <c r="K24" s="45">
        <f t="shared" si="16"/>
        <v>328588.79999999999</v>
      </c>
      <c r="L24" s="45">
        <f t="shared" si="16"/>
        <v>247032</v>
      </c>
      <c r="M24" s="45">
        <f t="shared" si="16"/>
        <v>417144</v>
      </c>
      <c r="N24" s="45">
        <f t="shared" si="16"/>
        <v>203596.79999999999</v>
      </c>
      <c r="O24" s="45">
        <f t="shared" si="16"/>
        <v>169291.2</v>
      </c>
      <c r="P24" s="45">
        <f t="shared" si="16"/>
        <v>196252.79999999999</v>
      </c>
      <c r="Q24" s="45">
        <f t="shared" si="16"/>
        <v>83568</v>
      </c>
      <c r="R24" s="45">
        <f t="shared" si="16"/>
        <v>172752</v>
      </c>
      <c r="S24" s="45">
        <f t="shared" si="16"/>
        <v>76334.399999999994</v>
      </c>
      <c r="T24" s="43">
        <f t="shared" si="16"/>
        <v>111115.2</v>
      </c>
      <c r="U24" s="43">
        <f t="shared" si="16"/>
        <v>23256</v>
      </c>
      <c r="V24" s="45">
        <f t="shared" si="16"/>
        <v>14260.8</v>
      </c>
      <c r="W24" s="36">
        <f t="shared" si="2"/>
        <v>3459046.56</v>
      </c>
    </row>
    <row r="25" spans="1:23">
      <c r="A25" s="33" t="s">
        <v>233</v>
      </c>
      <c r="B25" s="34" t="s">
        <v>234</v>
      </c>
      <c r="C25" s="34"/>
      <c r="D25" s="35" t="s">
        <v>183</v>
      </c>
      <c r="E25" s="36">
        <f>E26</f>
        <v>2115225.6000000001</v>
      </c>
      <c r="F25" s="36">
        <f t="shared" ref="F25:V25" si="17">F26</f>
        <v>2198476.7999999998</v>
      </c>
      <c r="G25" s="36">
        <f t="shared" si="17"/>
        <v>2283559.6800000002</v>
      </c>
      <c r="H25" s="36">
        <f t="shared" si="17"/>
        <v>1861056</v>
      </c>
      <c r="I25" s="36">
        <f t="shared" si="17"/>
        <v>559948.80000000005</v>
      </c>
      <c r="J25" s="36">
        <f t="shared" si="17"/>
        <v>2308569.6</v>
      </c>
      <c r="K25" s="36">
        <f t="shared" si="17"/>
        <v>2628710.3999999999</v>
      </c>
      <c r="L25" s="36">
        <f t="shared" si="17"/>
        <v>1976256</v>
      </c>
      <c r="M25" s="36">
        <f t="shared" si="17"/>
        <v>3337152</v>
      </c>
      <c r="N25" s="36">
        <f t="shared" si="17"/>
        <v>1628774.3999999999</v>
      </c>
      <c r="O25" s="36">
        <f t="shared" si="17"/>
        <v>1354329.6</v>
      </c>
      <c r="P25" s="36">
        <f t="shared" si="17"/>
        <v>1570022.3999999999</v>
      </c>
      <c r="Q25" s="36">
        <f t="shared" si="17"/>
        <v>668544</v>
      </c>
      <c r="R25" s="36">
        <f t="shared" si="17"/>
        <v>1382016</v>
      </c>
      <c r="S25" s="36">
        <f t="shared" si="17"/>
        <v>610675.19999999995</v>
      </c>
      <c r="T25" s="37">
        <f t="shared" si="17"/>
        <v>888921.59999999998</v>
      </c>
      <c r="U25" s="37">
        <f t="shared" si="17"/>
        <v>186048</v>
      </c>
      <c r="V25" s="36">
        <f t="shared" si="17"/>
        <v>114086.39999999999</v>
      </c>
      <c r="W25" s="36">
        <f t="shared" si="2"/>
        <v>27672372.48</v>
      </c>
    </row>
    <row r="26" spans="1:23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2115225.6000000001</v>
      </c>
      <c r="F26" s="36">
        <f t="shared" ref="F26:V26" si="18">F16*32</f>
        <v>2198476.7999999998</v>
      </c>
      <c r="G26" s="36">
        <f t="shared" si="18"/>
        <v>2283559.6800000002</v>
      </c>
      <c r="H26" s="36">
        <f t="shared" si="18"/>
        <v>1861056</v>
      </c>
      <c r="I26" s="36">
        <f t="shared" si="18"/>
        <v>559948.80000000005</v>
      </c>
      <c r="J26" s="36">
        <f t="shared" si="18"/>
        <v>2308569.6</v>
      </c>
      <c r="K26" s="36">
        <f t="shared" si="18"/>
        <v>2628710.3999999999</v>
      </c>
      <c r="L26" s="36">
        <f t="shared" si="18"/>
        <v>1976256</v>
      </c>
      <c r="M26" s="36">
        <f t="shared" si="18"/>
        <v>3337152</v>
      </c>
      <c r="N26" s="36">
        <f t="shared" si="18"/>
        <v>1628774.3999999999</v>
      </c>
      <c r="O26" s="36">
        <f t="shared" si="18"/>
        <v>1354329.6</v>
      </c>
      <c r="P26" s="36">
        <f t="shared" si="18"/>
        <v>1570022.3999999999</v>
      </c>
      <c r="Q26" s="36">
        <f t="shared" si="18"/>
        <v>668544</v>
      </c>
      <c r="R26" s="36">
        <f t="shared" si="18"/>
        <v>1382016</v>
      </c>
      <c r="S26" s="36">
        <f t="shared" si="18"/>
        <v>610675.19999999995</v>
      </c>
      <c r="T26" s="37">
        <f t="shared" si="18"/>
        <v>888921.59999999998</v>
      </c>
      <c r="U26" s="37">
        <f t="shared" si="18"/>
        <v>186048</v>
      </c>
      <c r="V26" s="36">
        <f t="shared" si="18"/>
        <v>114086.39999999999</v>
      </c>
      <c r="W26" s="36">
        <f t="shared" si="2"/>
        <v>27672372.48</v>
      </c>
    </row>
    <row r="27" spans="1:23">
      <c r="A27" s="33" t="s">
        <v>238</v>
      </c>
      <c r="B27" s="34" t="s">
        <v>239</v>
      </c>
      <c r="C27" s="34"/>
      <c r="D27" s="35" t="s">
        <v>183</v>
      </c>
      <c r="E27" s="36">
        <f>E28</f>
        <v>1057612.8</v>
      </c>
      <c r="F27" s="36">
        <f t="shared" ref="F27:V27" si="19">F28</f>
        <v>1099238.3999999999</v>
      </c>
      <c r="G27" s="36">
        <f t="shared" si="19"/>
        <v>1141779.8400000001</v>
      </c>
      <c r="H27" s="36">
        <f t="shared" si="19"/>
        <v>930528</v>
      </c>
      <c r="I27" s="36">
        <f t="shared" si="19"/>
        <v>279974.40000000002</v>
      </c>
      <c r="J27" s="36">
        <f t="shared" si="19"/>
        <v>1154284.8</v>
      </c>
      <c r="K27" s="36">
        <f t="shared" si="19"/>
        <v>1314355.2</v>
      </c>
      <c r="L27" s="36">
        <f t="shared" si="19"/>
        <v>988128</v>
      </c>
      <c r="M27" s="36">
        <f t="shared" si="19"/>
        <v>1668576</v>
      </c>
      <c r="N27" s="36">
        <f t="shared" si="19"/>
        <v>814387.19999999995</v>
      </c>
      <c r="O27" s="36">
        <f t="shared" si="19"/>
        <v>677164.8</v>
      </c>
      <c r="P27" s="36">
        <f t="shared" si="19"/>
        <v>785011.19999999995</v>
      </c>
      <c r="Q27" s="36">
        <f t="shared" si="19"/>
        <v>334272</v>
      </c>
      <c r="R27" s="36">
        <f t="shared" si="19"/>
        <v>691008</v>
      </c>
      <c r="S27" s="36">
        <f t="shared" si="19"/>
        <v>305337.59999999998</v>
      </c>
      <c r="T27" s="37">
        <f t="shared" si="19"/>
        <v>444460.79999999999</v>
      </c>
      <c r="U27" s="37">
        <f t="shared" si="19"/>
        <v>93024</v>
      </c>
      <c r="V27" s="36">
        <f t="shared" si="19"/>
        <v>57043.199999999997</v>
      </c>
      <c r="W27" s="36">
        <f t="shared" si="2"/>
        <v>13836186.24</v>
      </c>
    </row>
    <row r="28" spans="1:23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1057612.8</v>
      </c>
      <c r="F28" s="36">
        <f t="shared" ref="F28:V28" si="20">F16*16</f>
        <v>1099238.3999999999</v>
      </c>
      <c r="G28" s="36">
        <f t="shared" si="20"/>
        <v>1141779.8400000001</v>
      </c>
      <c r="H28" s="36">
        <f t="shared" si="20"/>
        <v>930528</v>
      </c>
      <c r="I28" s="36">
        <f t="shared" si="20"/>
        <v>279974.40000000002</v>
      </c>
      <c r="J28" s="36">
        <f t="shared" si="20"/>
        <v>1154284.8</v>
      </c>
      <c r="K28" s="36">
        <f t="shared" si="20"/>
        <v>1314355.2</v>
      </c>
      <c r="L28" s="36">
        <f t="shared" si="20"/>
        <v>988128</v>
      </c>
      <c r="M28" s="36">
        <f t="shared" si="20"/>
        <v>1668576</v>
      </c>
      <c r="N28" s="36">
        <f t="shared" si="20"/>
        <v>814387.19999999995</v>
      </c>
      <c r="O28" s="36">
        <f t="shared" si="20"/>
        <v>677164.8</v>
      </c>
      <c r="P28" s="36">
        <f t="shared" si="20"/>
        <v>785011.19999999995</v>
      </c>
      <c r="Q28" s="36">
        <f t="shared" si="20"/>
        <v>334272</v>
      </c>
      <c r="R28" s="36">
        <f t="shared" si="20"/>
        <v>691008</v>
      </c>
      <c r="S28" s="36">
        <f t="shared" si="20"/>
        <v>305337.59999999998</v>
      </c>
      <c r="T28" s="37">
        <f t="shared" si="20"/>
        <v>444460.79999999999</v>
      </c>
      <c r="U28" s="37">
        <f t="shared" si="20"/>
        <v>93024</v>
      </c>
      <c r="V28" s="36">
        <f t="shared" si="20"/>
        <v>57043.199999999997</v>
      </c>
      <c r="W28" s="36">
        <f t="shared" si="2"/>
        <v>13836186.24</v>
      </c>
    </row>
    <row r="29" spans="1:23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643200</v>
      </c>
      <c r="F29" s="36">
        <f t="shared" ref="F29:V29" si="21">9600*F96</f>
        <v>643200</v>
      </c>
      <c r="G29" s="36">
        <f t="shared" si="21"/>
        <v>662400</v>
      </c>
      <c r="H29" s="36">
        <f t="shared" si="21"/>
        <v>633600</v>
      </c>
      <c r="I29" s="36">
        <f t="shared" si="21"/>
        <v>172800</v>
      </c>
      <c r="J29" s="36">
        <f t="shared" si="21"/>
        <v>720000</v>
      </c>
      <c r="K29" s="36">
        <f t="shared" si="21"/>
        <v>825600</v>
      </c>
      <c r="L29" s="36">
        <f t="shared" si="21"/>
        <v>643200</v>
      </c>
      <c r="M29" s="36">
        <f t="shared" si="21"/>
        <v>1123200</v>
      </c>
      <c r="N29" s="36">
        <f t="shared" si="21"/>
        <v>556800</v>
      </c>
      <c r="O29" s="36">
        <f t="shared" si="21"/>
        <v>451200</v>
      </c>
      <c r="P29" s="36">
        <f t="shared" si="21"/>
        <v>576000</v>
      </c>
      <c r="Q29" s="36">
        <f t="shared" si="21"/>
        <v>240000</v>
      </c>
      <c r="R29" s="36">
        <f t="shared" si="21"/>
        <v>489600</v>
      </c>
      <c r="S29" s="36">
        <f t="shared" si="21"/>
        <v>220800</v>
      </c>
      <c r="T29" s="37">
        <f t="shared" si="21"/>
        <v>336000</v>
      </c>
      <c r="U29" s="37">
        <f t="shared" si="21"/>
        <v>67200</v>
      </c>
      <c r="V29" s="36">
        <f t="shared" si="21"/>
        <v>38400</v>
      </c>
      <c r="W29" s="36">
        <f t="shared" si="2"/>
        <v>9043200</v>
      </c>
    </row>
    <row r="30" spans="1:23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925411.20000000007</v>
      </c>
      <c r="F30" s="45">
        <f t="shared" ref="F30:V30" si="22">F16*14</f>
        <v>961833.59999999986</v>
      </c>
      <c r="G30" s="45">
        <f t="shared" si="22"/>
        <v>999057.3600000001</v>
      </c>
      <c r="H30" s="45">
        <f t="shared" si="22"/>
        <v>814212</v>
      </c>
      <c r="I30" s="45">
        <f t="shared" si="22"/>
        <v>244977.60000000003</v>
      </c>
      <c r="J30" s="45">
        <f t="shared" si="22"/>
        <v>1009999.2000000001</v>
      </c>
      <c r="K30" s="45">
        <f t="shared" si="22"/>
        <v>1150060.8</v>
      </c>
      <c r="L30" s="45">
        <f t="shared" si="22"/>
        <v>864612</v>
      </c>
      <c r="M30" s="45">
        <f t="shared" si="22"/>
        <v>1460004</v>
      </c>
      <c r="N30" s="45">
        <f t="shared" si="22"/>
        <v>712588.79999999993</v>
      </c>
      <c r="O30" s="45">
        <f t="shared" si="22"/>
        <v>592519.20000000007</v>
      </c>
      <c r="P30" s="45">
        <f t="shared" si="22"/>
        <v>686884.79999999993</v>
      </c>
      <c r="Q30" s="45">
        <f t="shared" si="22"/>
        <v>292488</v>
      </c>
      <c r="R30" s="45">
        <f t="shared" si="22"/>
        <v>604632</v>
      </c>
      <c r="S30" s="45">
        <f t="shared" si="22"/>
        <v>267170.39999999997</v>
      </c>
      <c r="T30" s="43">
        <f t="shared" si="22"/>
        <v>388903.2</v>
      </c>
      <c r="U30" s="43">
        <f t="shared" si="22"/>
        <v>81396</v>
      </c>
      <c r="V30" s="45">
        <f t="shared" si="22"/>
        <v>49912.799999999996</v>
      </c>
      <c r="W30" s="36">
        <f t="shared" si="2"/>
        <v>12106662.960000001</v>
      </c>
    </row>
    <row r="31" spans="1:23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8400</v>
      </c>
      <c r="F31" s="36">
        <f t="shared" ref="F31:V31" si="23">F32+F40+F42+F45+F47</f>
        <v>12240</v>
      </c>
      <c r="G31" s="36">
        <f t="shared" si="23"/>
        <v>14760</v>
      </c>
      <c r="H31" s="36">
        <f t="shared" si="23"/>
        <v>10800</v>
      </c>
      <c r="I31" s="36">
        <f t="shared" si="23"/>
        <v>5040</v>
      </c>
      <c r="J31" s="36">
        <f t="shared" si="23"/>
        <v>7200</v>
      </c>
      <c r="K31" s="36">
        <f t="shared" si="23"/>
        <v>12360</v>
      </c>
      <c r="L31" s="36">
        <f t="shared" si="23"/>
        <v>47971.199999999997</v>
      </c>
      <c r="M31" s="36">
        <f t="shared" si="23"/>
        <v>15360</v>
      </c>
      <c r="N31" s="36">
        <f t="shared" si="23"/>
        <v>12840</v>
      </c>
      <c r="O31" s="36">
        <f t="shared" si="23"/>
        <v>9600</v>
      </c>
      <c r="P31" s="36">
        <f t="shared" si="23"/>
        <v>13200</v>
      </c>
      <c r="Q31" s="36">
        <f t="shared" si="23"/>
        <v>4320</v>
      </c>
      <c r="R31" s="36">
        <f t="shared" si="23"/>
        <v>9840</v>
      </c>
      <c r="S31" s="36">
        <f t="shared" si="23"/>
        <v>5040</v>
      </c>
      <c r="T31" s="37">
        <f t="shared" si="23"/>
        <v>8280</v>
      </c>
      <c r="U31" s="37">
        <f t="shared" si="23"/>
        <v>360</v>
      </c>
      <c r="V31" s="36">
        <f t="shared" si="23"/>
        <v>1200</v>
      </c>
      <c r="W31" s="36">
        <f t="shared" si="2"/>
        <v>198811.2</v>
      </c>
    </row>
    <row r="32" spans="1:23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</row>
    <row r="33" spans="1:23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</row>
    <row r="34" spans="1:23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</row>
    <row r="35" spans="1:23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</row>
    <row r="36" spans="1:23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</row>
    <row r="37" spans="1:23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</row>
    <row r="38" spans="1:23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</row>
    <row r="39" spans="1:23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</row>
    <row r="40" spans="1:23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</row>
    <row r="41" spans="1:23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</row>
    <row r="42" spans="1:23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</row>
    <row r="43" spans="1:23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</row>
    <row r="44" spans="1:23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</row>
    <row r="45" spans="1:23">
      <c r="A45" s="33" t="s">
        <v>280</v>
      </c>
      <c r="B45" s="34" t="s">
        <v>281</v>
      </c>
      <c r="C45" s="34"/>
      <c r="D45" s="35" t="s">
        <v>183</v>
      </c>
      <c r="E45" s="36">
        <f>E46</f>
        <v>5400</v>
      </c>
      <c r="F45" s="36">
        <f t="shared" ref="F45:V45" si="27">F46</f>
        <v>5040</v>
      </c>
      <c r="G45" s="36">
        <f t="shared" si="27"/>
        <v>7560</v>
      </c>
      <c r="H45" s="36">
        <f t="shared" si="27"/>
        <v>5400</v>
      </c>
      <c r="I45" s="36">
        <f t="shared" si="27"/>
        <v>1440</v>
      </c>
      <c r="J45" s="36">
        <f t="shared" si="27"/>
        <v>1800</v>
      </c>
      <c r="K45" s="36">
        <f t="shared" si="27"/>
        <v>3960</v>
      </c>
      <c r="L45" s="36">
        <f t="shared" si="27"/>
        <v>2520</v>
      </c>
      <c r="M45" s="36">
        <f t="shared" si="27"/>
        <v>5760</v>
      </c>
      <c r="N45" s="36">
        <f t="shared" si="27"/>
        <v>6840</v>
      </c>
      <c r="O45" s="36">
        <f t="shared" si="27"/>
        <v>5400</v>
      </c>
      <c r="P45" s="36">
        <f t="shared" si="27"/>
        <v>5400</v>
      </c>
      <c r="Q45" s="36">
        <f t="shared" si="27"/>
        <v>2520</v>
      </c>
      <c r="R45" s="36">
        <f t="shared" si="27"/>
        <v>3240</v>
      </c>
      <c r="S45" s="36">
        <f t="shared" si="27"/>
        <v>3240</v>
      </c>
      <c r="T45" s="37">
        <f t="shared" si="27"/>
        <v>4680</v>
      </c>
      <c r="U45" s="37">
        <f t="shared" si="27"/>
        <v>360</v>
      </c>
      <c r="V45" s="36">
        <f t="shared" si="27"/>
        <v>0</v>
      </c>
      <c r="W45" s="36">
        <f t="shared" si="2"/>
        <v>70560</v>
      </c>
    </row>
    <row r="46" spans="1:23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5400</v>
      </c>
      <c r="F46" s="37">
        <v>5040</v>
      </c>
      <c r="G46" s="37">
        <v>7560</v>
      </c>
      <c r="H46" s="37">
        <v>5400</v>
      </c>
      <c r="I46" s="37">
        <v>1440</v>
      </c>
      <c r="J46" s="37">
        <v>1800</v>
      </c>
      <c r="K46" s="37">
        <v>3960</v>
      </c>
      <c r="L46" s="37">
        <v>2520</v>
      </c>
      <c r="M46" s="37">
        <v>5760</v>
      </c>
      <c r="N46" s="37">
        <v>6840</v>
      </c>
      <c r="O46" s="37">
        <v>5400</v>
      </c>
      <c r="P46" s="37">
        <v>5400</v>
      </c>
      <c r="Q46" s="37">
        <v>2520</v>
      </c>
      <c r="R46" s="37">
        <v>3240</v>
      </c>
      <c r="S46" s="37">
        <v>3240</v>
      </c>
      <c r="T46" s="37">
        <v>4680</v>
      </c>
      <c r="U46" s="37">
        <v>360</v>
      </c>
      <c r="V46" s="37"/>
      <c r="W46" s="36">
        <f t="shared" si="2"/>
        <v>70560</v>
      </c>
    </row>
    <row r="47" spans="1:23">
      <c r="A47" s="33" t="s">
        <v>284</v>
      </c>
      <c r="B47" s="34" t="s">
        <v>285</v>
      </c>
      <c r="C47" s="34"/>
      <c r="D47" s="35" t="s">
        <v>183</v>
      </c>
      <c r="E47" s="36">
        <f>SUM(E48:E51)</f>
        <v>3000</v>
      </c>
      <c r="F47" s="36">
        <f t="shared" ref="F47:V47" si="28">SUM(F48:F51)</f>
        <v>7200</v>
      </c>
      <c r="G47" s="36">
        <f t="shared" si="28"/>
        <v>7200</v>
      </c>
      <c r="H47" s="36">
        <f t="shared" si="28"/>
        <v>5400</v>
      </c>
      <c r="I47" s="36">
        <f t="shared" si="28"/>
        <v>3600</v>
      </c>
      <c r="J47" s="36">
        <f t="shared" si="28"/>
        <v>5400</v>
      </c>
      <c r="K47" s="36">
        <f t="shared" si="28"/>
        <v>8400</v>
      </c>
      <c r="L47" s="36">
        <f t="shared" si="28"/>
        <v>45451.199999999997</v>
      </c>
      <c r="M47" s="36">
        <f t="shared" si="28"/>
        <v>9600</v>
      </c>
      <c r="N47" s="36">
        <f t="shared" si="28"/>
        <v>6000</v>
      </c>
      <c r="O47" s="36">
        <f t="shared" si="28"/>
        <v>4200</v>
      </c>
      <c r="P47" s="36">
        <f t="shared" si="28"/>
        <v>7800</v>
      </c>
      <c r="Q47" s="36">
        <f t="shared" si="28"/>
        <v>1800</v>
      </c>
      <c r="R47" s="36">
        <f t="shared" si="28"/>
        <v>6600</v>
      </c>
      <c r="S47" s="36">
        <f t="shared" si="28"/>
        <v>1800</v>
      </c>
      <c r="T47" s="37">
        <f t="shared" si="28"/>
        <v>3600</v>
      </c>
      <c r="U47" s="37">
        <f t="shared" si="28"/>
        <v>0</v>
      </c>
      <c r="V47" s="36">
        <f t="shared" si="28"/>
        <v>1200</v>
      </c>
      <c r="W47" s="36">
        <f t="shared" si="2"/>
        <v>128251.2</v>
      </c>
    </row>
    <row r="48" spans="1:23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3000</v>
      </c>
      <c r="F48" s="37">
        <v>7200</v>
      </c>
      <c r="G48" s="37">
        <v>7200</v>
      </c>
      <c r="H48" s="37">
        <v>5400</v>
      </c>
      <c r="I48" s="37">
        <v>3600</v>
      </c>
      <c r="J48" s="37">
        <v>5400</v>
      </c>
      <c r="K48" s="37">
        <v>8400</v>
      </c>
      <c r="L48" s="37">
        <v>6600</v>
      </c>
      <c r="M48" s="37">
        <v>9600</v>
      </c>
      <c r="N48" s="37">
        <v>6000</v>
      </c>
      <c r="O48" s="37">
        <v>4200</v>
      </c>
      <c r="P48" s="37">
        <v>7800</v>
      </c>
      <c r="Q48" s="37">
        <v>1800</v>
      </c>
      <c r="R48" s="37">
        <v>6600</v>
      </c>
      <c r="S48" s="37">
        <v>1800</v>
      </c>
      <c r="T48" s="37">
        <v>3600</v>
      </c>
      <c r="U48" s="37"/>
      <c r="V48" s="37">
        <v>1200</v>
      </c>
      <c r="W48" s="36">
        <f t="shared" si="2"/>
        <v>89400</v>
      </c>
    </row>
    <row r="49" spans="1:23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</row>
    <row r="50" spans="1:23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</row>
    <row r="51" spans="1:23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>
        <v>38851.199999999997</v>
      </c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38851.199999999997</v>
      </c>
    </row>
    <row r="52" spans="1:23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2850683.6500000004</v>
      </c>
      <c r="F52" s="36">
        <f t="shared" ref="F52:V52" si="29">F53+F71+F73+F75+F77+F79+F81+F83+F85+F93</f>
        <v>2867201.8000000003</v>
      </c>
      <c r="G52" s="36">
        <f t="shared" si="29"/>
        <v>2636507.96</v>
      </c>
      <c r="H52" s="36">
        <f t="shared" si="29"/>
        <v>3243435.2</v>
      </c>
      <c r="I52" s="36">
        <f t="shared" si="29"/>
        <v>2111457.6500000004</v>
      </c>
      <c r="J52" s="36">
        <f t="shared" si="29"/>
        <v>4566123.3499999996</v>
      </c>
      <c r="K52" s="36">
        <f t="shared" si="29"/>
        <v>2867368</v>
      </c>
      <c r="L52" s="36">
        <f t="shared" si="29"/>
        <v>3065513.25</v>
      </c>
      <c r="M52" s="36">
        <f t="shared" si="29"/>
        <v>5700279.7999999998</v>
      </c>
      <c r="N52" s="36">
        <f t="shared" si="29"/>
        <v>2802948.3</v>
      </c>
      <c r="O52" s="36">
        <f t="shared" si="29"/>
        <v>1975352.55</v>
      </c>
      <c r="P52" s="36">
        <f t="shared" si="29"/>
        <v>3182002.08</v>
      </c>
      <c r="Q52" s="36">
        <f t="shared" si="29"/>
        <v>1138683.2999999998</v>
      </c>
      <c r="R52" s="36">
        <f t="shared" si="29"/>
        <v>2436572.02</v>
      </c>
      <c r="S52" s="36">
        <f t="shared" si="29"/>
        <v>1125829.8499999999</v>
      </c>
      <c r="T52" s="37">
        <f t="shared" si="29"/>
        <v>1820863.9</v>
      </c>
      <c r="U52" s="37">
        <f t="shared" si="29"/>
        <v>986101.2</v>
      </c>
      <c r="V52" s="36">
        <f t="shared" si="29"/>
        <v>216740.8</v>
      </c>
      <c r="W52" s="36">
        <f t="shared" si="2"/>
        <v>45593664.659999996</v>
      </c>
    </row>
    <row r="53" spans="1:23">
      <c r="A53" s="33" t="s">
        <v>299</v>
      </c>
      <c r="B53" s="34" t="s">
        <v>300</v>
      </c>
      <c r="C53" s="34"/>
      <c r="D53" s="35" t="s">
        <v>301</v>
      </c>
      <c r="E53" s="36">
        <f>SUM(E54:E70)</f>
        <v>1714950</v>
      </c>
      <c r="F53" s="36">
        <f t="shared" ref="F53:V53" si="30">SUM(F54:F70)</f>
        <v>1856480</v>
      </c>
      <c r="G53" s="36">
        <f t="shared" si="30"/>
        <v>1700830</v>
      </c>
      <c r="H53" s="36">
        <f t="shared" si="30"/>
        <v>2337550</v>
      </c>
      <c r="I53" s="36">
        <f t="shared" si="30"/>
        <v>1614000</v>
      </c>
      <c r="J53" s="36">
        <f t="shared" si="30"/>
        <v>3239580</v>
      </c>
      <c r="K53" s="36">
        <f t="shared" si="30"/>
        <v>1614000</v>
      </c>
      <c r="L53" s="36">
        <f t="shared" si="30"/>
        <v>2185100</v>
      </c>
      <c r="M53" s="36">
        <f t="shared" si="30"/>
        <v>4167630</v>
      </c>
      <c r="N53" s="36">
        <f t="shared" si="30"/>
        <v>2000820</v>
      </c>
      <c r="O53" s="36">
        <f t="shared" si="30"/>
        <v>1415120</v>
      </c>
      <c r="P53" s="36">
        <f t="shared" si="30"/>
        <v>2425920</v>
      </c>
      <c r="Q53" s="36">
        <f t="shared" si="30"/>
        <v>798000</v>
      </c>
      <c r="R53" s="36">
        <f t="shared" si="30"/>
        <v>1779540</v>
      </c>
      <c r="S53" s="36">
        <f t="shared" si="30"/>
        <v>803820</v>
      </c>
      <c r="T53" s="37">
        <f t="shared" si="30"/>
        <v>1347460</v>
      </c>
      <c r="U53" s="37">
        <f t="shared" si="30"/>
        <v>798000</v>
      </c>
      <c r="V53" s="36">
        <f t="shared" si="30"/>
        <v>128000</v>
      </c>
      <c r="W53" s="36">
        <f t="shared" si="2"/>
        <v>31926800</v>
      </c>
    </row>
    <row r="54" spans="1:23">
      <c r="A54" s="33" t="s">
        <v>302</v>
      </c>
      <c r="B54" s="34" t="s">
        <v>303</v>
      </c>
      <c r="C54" s="34" t="s">
        <v>189</v>
      </c>
      <c r="D54" s="47"/>
      <c r="E54" s="37">
        <v>1635145.5</v>
      </c>
      <c r="F54" s="37">
        <v>1763656</v>
      </c>
      <c r="G54" s="37">
        <v>1615788.5</v>
      </c>
      <c r="H54" s="37">
        <v>2220672.5</v>
      </c>
      <c r="I54" s="37">
        <v>1597322</v>
      </c>
      <c r="J54" s="37">
        <v>3133418.5</v>
      </c>
      <c r="K54" s="37">
        <v>1540159.5</v>
      </c>
      <c r="L54" s="37">
        <v>2075845</v>
      </c>
      <c r="M54" s="37">
        <v>3959248.5</v>
      </c>
      <c r="N54" s="37">
        <v>1908094</v>
      </c>
      <c r="O54" s="37">
        <v>1344364</v>
      </c>
      <c r="P54" s="37">
        <v>2305555</v>
      </c>
      <c r="Q54" s="37">
        <v>758632</v>
      </c>
      <c r="R54" s="37">
        <v>1695617</v>
      </c>
      <c r="S54" s="37">
        <v>764161</v>
      </c>
      <c r="T54" s="37">
        <v>1299904</v>
      </c>
      <c r="U54" s="37">
        <v>784833</v>
      </c>
      <c r="V54" s="37">
        <v>121600</v>
      </c>
      <c r="W54" s="36">
        <f t="shared" si="2"/>
        <v>30524016</v>
      </c>
    </row>
    <row r="55" spans="1:23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</row>
    <row r="56" spans="1:23">
      <c r="A56" s="33" t="s">
        <v>306</v>
      </c>
      <c r="B56" s="34" t="s">
        <v>307</v>
      </c>
      <c r="C56" s="34" t="s">
        <v>189</v>
      </c>
      <c r="D56" s="4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</row>
    <row r="57" spans="1:23">
      <c r="A57" s="33" t="s">
        <v>308</v>
      </c>
      <c r="B57" s="34" t="s">
        <v>309</v>
      </c>
      <c r="C57" s="34" t="s">
        <v>189</v>
      </c>
      <c r="D57" s="4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6">
        <f t="shared" si="2"/>
        <v>0</v>
      </c>
    </row>
    <row r="58" spans="1:23">
      <c r="A58" s="33" t="s">
        <v>310</v>
      </c>
      <c r="B58" s="34" t="s">
        <v>311</v>
      </c>
      <c r="C58" s="34" t="s">
        <v>189</v>
      </c>
      <c r="D58" s="4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6">
        <f t="shared" si="2"/>
        <v>0</v>
      </c>
    </row>
    <row r="59" spans="1:23">
      <c r="A59" s="33" t="s">
        <v>312</v>
      </c>
      <c r="B59" s="34" t="s">
        <v>313</v>
      </c>
      <c r="C59" s="34" t="s">
        <v>189</v>
      </c>
      <c r="D59" s="4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0</v>
      </c>
    </row>
    <row r="60" spans="1:23">
      <c r="A60" s="33" t="s">
        <v>314</v>
      </c>
      <c r="B60" s="34" t="s">
        <v>315</v>
      </c>
      <c r="C60" s="34" t="s">
        <v>189</v>
      </c>
      <c r="D60" s="4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0</v>
      </c>
    </row>
    <row r="61" spans="1:23">
      <c r="A61" s="33" t="s">
        <v>316</v>
      </c>
      <c r="B61" s="34" t="s">
        <v>317</v>
      </c>
      <c r="C61" s="34" t="s">
        <v>189</v>
      </c>
      <c r="D61" s="4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0</v>
      </c>
    </row>
    <row r="62" spans="1:23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</row>
    <row r="63" spans="1:23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79804.5</v>
      </c>
      <c r="F63" s="37">
        <v>92824</v>
      </c>
      <c r="G63" s="37">
        <v>85041.5</v>
      </c>
      <c r="H63" s="37">
        <v>116877.5</v>
      </c>
      <c r="I63" s="37">
        <v>16678</v>
      </c>
      <c r="J63" s="37">
        <v>106161.5</v>
      </c>
      <c r="K63" s="37">
        <v>73840.5</v>
      </c>
      <c r="L63" s="37">
        <v>109255</v>
      </c>
      <c r="M63" s="37">
        <v>208381.5</v>
      </c>
      <c r="N63" s="37">
        <v>92726</v>
      </c>
      <c r="O63" s="37">
        <v>70756</v>
      </c>
      <c r="P63" s="37">
        <v>120365</v>
      </c>
      <c r="Q63" s="37">
        <v>39368</v>
      </c>
      <c r="R63" s="37">
        <v>83923</v>
      </c>
      <c r="S63" s="37">
        <v>39659</v>
      </c>
      <c r="T63" s="37">
        <v>47556</v>
      </c>
      <c r="U63" s="37">
        <v>13167</v>
      </c>
      <c r="V63" s="37">
        <v>6400</v>
      </c>
      <c r="W63" s="36">
        <f t="shared" si="2"/>
        <v>1402784</v>
      </c>
    </row>
    <row r="64" spans="1:23">
      <c r="A64" s="33" t="s">
        <v>324</v>
      </c>
      <c r="B64" s="34" t="s">
        <v>325</v>
      </c>
      <c r="C64" s="34" t="s">
        <v>189</v>
      </c>
      <c r="D64" s="4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0</v>
      </c>
    </row>
    <row r="65" spans="1:23">
      <c r="A65" s="33" t="s">
        <v>326</v>
      </c>
      <c r="B65" s="34" t="s">
        <v>327</v>
      </c>
      <c r="C65" s="34" t="s">
        <v>189</v>
      </c>
      <c r="D65" s="4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0</v>
      </c>
    </row>
    <row r="66" spans="1:23">
      <c r="A66" s="33" t="s">
        <v>328</v>
      </c>
      <c r="B66" s="34" t="s">
        <v>329</v>
      </c>
      <c r="C66" s="34" t="s">
        <v>189</v>
      </c>
      <c r="D66" s="4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0</v>
      </c>
    </row>
    <row r="67" spans="1:23">
      <c r="A67" s="33" t="s">
        <v>330</v>
      </c>
      <c r="B67" s="34" t="s">
        <v>331</v>
      </c>
      <c r="C67" s="34" t="s">
        <v>189</v>
      </c>
      <c r="D67" s="4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</row>
    <row r="68" spans="1:23">
      <c r="A68" s="33" t="s">
        <v>332</v>
      </c>
      <c r="B68" s="34" t="s">
        <v>333</v>
      </c>
      <c r="C68" s="34" t="s">
        <v>189</v>
      </c>
      <c r="D68" s="4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0</v>
      </c>
    </row>
    <row r="69" spans="1:23">
      <c r="A69" s="33" t="s">
        <v>334</v>
      </c>
      <c r="B69" s="34" t="s">
        <v>335</v>
      </c>
      <c r="C69" s="34" t="s">
        <v>189</v>
      </c>
      <c r="D69" s="4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0</v>
      </c>
    </row>
    <row r="70" spans="1:23">
      <c r="A70" s="33" t="s">
        <v>336</v>
      </c>
      <c r="B70" s="34" t="s">
        <v>337</v>
      </c>
      <c r="C70" s="34" t="s">
        <v>189</v>
      </c>
      <c r="D70" s="4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0</v>
      </c>
    </row>
    <row r="71" spans="1:23">
      <c r="A71" s="33" t="s">
        <v>338</v>
      </c>
      <c r="B71" s="34" t="s">
        <v>339</v>
      </c>
      <c r="C71" s="34"/>
      <c r="D71" s="35"/>
      <c r="E71" s="36">
        <f>E72</f>
        <v>26800</v>
      </c>
      <c r="F71" s="36">
        <f t="shared" ref="F71:V71" si="32">F72</f>
        <v>26800</v>
      </c>
      <c r="G71" s="36">
        <f t="shared" si="32"/>
        <v>27600</v>
      </c>
      <c r="H71" s="36">
        <f t="shared" si="32"/>
        <v>26400</v>
      </c>
      <c r="I71" s="36">
        <f t="shared" si="32"/>
        <v>7200</v>
      </c>
      <c r="J71" s="36">
        <f t="shared" si="32"/>
        <v>30000</v>
      </c>
      <c r="K71" s="36">
        <f t="shared" si="32"/>
        <v>34400</v>
      </c>
      <c r="L71" s="36">
        <f t="shared" si="32"/>
        <v>26800</v>
      </c>
      <c r="M71" s="36">
        <f t="shared" si="32"/>
        <v>46800</v>
      </c>
      <c r="N71" s="36">
        <f t="shared" si="32"/>
        <v>23200</v>
      </c>
      <c r="O71" s="36">
        <f t="shared" si="32"/>
        <v>18800</v>
      </c>
      <c r="P71" s="36">
        <f t="shared" si="32"/>
        <v>24000</v>
      </c>
      <c r="Q71" s="36">
        <f t="shared" si="32"/>
        <v>10000</v>
      </c>
      <c r="R71" s="36">
        <f t="shared" si="32"/>
        <v>20400</v>
      </c>
      <c r="S71" s="36">
        <f t="shared" si="32"/>
        <v>9200</v>
      </c>
      <c r="T71" s="37">
        <f t="shared" si="32"/>
        <v>14000</v>
      </c>
      <c r="U71" s="37">
        <f t="shared" si="32"/>
        <v>2800</v>
      </c>
      <c r="V71" s="36">
        <f t="shared" si="32"/>
        <v>1600</v>
      </c>
      <c r="W71" s="36">
        <f t="shared" si="31"/>
        <v>376800</v>
      </c>
    </row>
    <row r="72" spans="1:23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26800</v>
      </c>
      <c r="F72" s="36">
        <f t="shared" ref="F72:V72" si="33">F96*400</f>
        <v>26800</v>
      </c>
      <c r="G72" s="36">
        <f t="shared" si="33"/>
        <v>27600</v>
      </c>
      <c r="H72" s="36">
        <f t="shared" si="33"/>
        <v>26400</v>
      </c>
      <c r="I72" s="36">
        <f t="shared" si="33"/>
        <v>7200</v>
      </c>
      <c r="J72" s="36">
        <f t="shared" si="33"/>
        <v>30000</v>
      </c>
      <c r="K72" s="36">
        <f t="shared" si="33"/>
        <v>34400</v>
      </c>
      <c r="L72" s="36">
        <f t="shared" si="33"/>
        <v>26800</v>
      </c>
      <c r="M72" s="36">
        <f t="shared" si="33"/>
        <v>46800</v>
      </c>
      <c r="N72" s="36">
        <f t="shared" si="33"/>
        <v>23200</v>
      </c>
      <c r="O72" s="36">
        <f t="shared" si="33"/>
        <v>18800</v>
      </c>
      <c r="P72" s="36">
        <f t="shared" si="33"/>
        <v>24000</v>
      </c>
      <c r="Q72" s="36">
        <f t="shared" si="33"/>
        <v>10000</v>
      </c>
      <c r="R72" s="36">
        <f t="shared" si="33"/>
        <v>20400</v>
      </c>
      <c r="S72" s="36">
        <f t="shared" si="33"/>
        <v>9200</v>
      </c>
      <c r="T72" s="37">
        <f t="shared" si="33"/>
        <v>14000</v>
      </c>
      <c r="U72" s="37">
        <f t="shared" si="33"/>
        <v>2800</v>
      </c>
      <c r="V72" s="36">
        <f t="shared" si="33"/>
        <v>1600</v>
      </c>
      <c r="W72" s="36">
        <f t="shared" si="31"/>
        <v>376800</v>
      </c>
    </row>
    <row r="73" spans="1:23">
      <c r="A73" s="33" t="s">
        <v>343</v>
      </c>
      <c r="B73" s="34" t="s">
        <v>344</v>
      </c>
      <c r="C73" s="34"/>
      <c r="D73" s="35" t="s">
        <v>183</v>
      </c>
      <c r="E73" s="36">
        <f>E74</f>
        <v>118770.45</v>
      </c>
      <c r="F73" s="36">
        <f t="shared" ref="F73:V73" si="34">F74</f>
        <v>184792.19999999998</v>
      </c>
      <c r="G73" s="36">
        <f t="shared" si="34"/>
        <v>77265</v>
      </c>
      <c r="H73" s="36">
        <f t="shared" si="34"/>
        <v>259299.59999999998</v>
      </c>
      <c r="I73" s="36">
        <f t="shared" si="34"/>
        <v>256806.45</v>
      </c>
      <c r="J73" s="36">
        <f t="shared" si="34"/>
        <v>191508.15</v>
      </c>
      <c r="K73" s="36">
        <f t="shared" si="34"/>
        <v>164731.20000000001</v>
      </c>
      <c r="L73" s="36">
        <f t="shared" si="34"/>
        <v>98189.25</v>
      </c>
      <c r="M73" s="36">
        <f t="shared" si="34"/>
        <v>310345.80000000005</v>
      </c>
      <c r="N73" s="36">
        <f t="shared" si="34"/>
        <v>141067.5</v>
      </c>
      <c r="O73" s="36">
        <f t="shared" si="34"/>
        <v>69733.350000000006</v>
      </c>
      <c r="P73" s="36">
        <f t="shared" si="34"/>
        <v>173365.2</v>
      </c>
      <c r="Q73" s="36">
        <f t="shared" si="34"/>
        <v>88565.7</v>
      </c>
      <c r="R73" s="36">
        <f t="shared" si="34"/>
        <v>153908.1</v>
      </c>
      <c r="S73" s="36">
        <f t="shared" si="34"/>
        <v>88875.45</v>
      </c>
      <c r="T73" s="37">
        <f t="shared" si="34"/>
        <v>119667.9</v>
      </c>
      <c r="U73" s="37">
        <f t="shared" si="34"/>
        <v>84090</v>
      </c>
      <c r="V73" s="36">
        <f t="shared" si="34"/>
        <v>0</v>
      </c>
      <c r="W73" s="36">
        <f t="shared" si="31"/>
        <v>2580981.3000000003</v>
      </c>
    </row>
    <row r="74" spans="1:23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118770.45</v>
      </c>
      <c r="F74" s="36">
        <f t="shared" ref="F74:V74" si="35">F108*15</f>
        <v>184792.19999999998</v>
      </c>
      <c r="G74" s="36">
        <f t="shared" si="35"/>
        <v>77265</v>
      </c>
      <c r="H74" s="36">
        <f t="shared" si="35"/>
        <v>259299.59999999998</v>
      </c>
      <c r="I74" s="36">
        <f t="shared" si="35"/>
        <v>256806.45</v>
      </c>
      <c r="J74" s="36">
        <f t="shared" si="35"/>
        <v>191508.15</v>
      </c>
      <c r="K74" s="36">
        <f t="shared" si="35"/>
        <v>164731.20000000001</v>
      </c>
      <c r="L74" s="36">
        <f t="shared" si="35"/>
        <v>98189.25</v>
      </c>
      <c r="M74" s="36">
        <f t="shared" si="35"/>
        <v>310345.80000000005</v>
      </c>
      <c r="N74" s="36">
        <f t="shared" si="35"/>
        <v>141067.5</v>
      </c>
      <c r="O74" s="36">
        <f t="shared" si="35"/>
        <v>69733.350000000006</v>
      </c>
      <c r="P74" s="36">
        <f t="shared" si="35"/>
        <v>173365.2</v>
      </c>
      <c r="Q74" s="36">
        <f t="shared" si="35"/>
        <v>88565.7</v>
      </c>
      <c r="R74" s="36">
        <f t="shared" si="35"/>
        <v>153908.1</v>
      </c>
      <c r="S74" s="36">
        <f t="shared" si="35"/>
        <v>88875.45</v>
      </c>
      <c r="T74" s="37">
        <f t="shared" si="35"/>
        <v>119667.9</v>
      </c>
      <c r="U74" s="37">
        <f t="shared" si="35"/>
        <v>84090</v>
      </c>
      <c r="V74" s="36">
        <f t="shared" si="35"/>
        <v>0</v>
      </c>
      <c r="W74" s="36">
        <f t="shared" si="31"/>
        <v>2580981.3000000003</v>
      </c>
    </row>
    <row r="75" spans="1:23">
      <c r="A75" s="33" t="s">
        <v>348</v>
      </c>
      <c r="B75" s="34" t="s">
        <v>349</v>
      </c>
      <c r="C75" s="34"/>
      <c r="D75" s="35" t="s">
        <v>183</v>
      </c>
      <c r="E75" s="36">
        <f>E76</f>
        <v>45600</v>
      </c>
      <c r="F75" s="36">
        <f t="shared" ref="F75:V75" si="36">F76</f>
        <v>28240</v>
      </c>
      <c r="G75" s="36">
        <f t="shared" si="36"/>
        <v>31208</v>
      </c>
      <c r="H75" s="36">
        <f t="shared" si="36"/>
        <v>70433.600000000006</v>
      </c>
      <c r="I75" s="36">
        <f t="shared" si="36"/>
        <v>53697.599999999999</v>
      </c>
      <c r="J75" s="36">
        <f t="shared" si="36"/>
        <v>60304</v>
      </c>
      <c r="K75" s="36">
        <f t="shared" si="36"/>
        <v>76688</v>
      </c>
      <c r="L75" s="36">
        <f t="shared" si="36"/>
        <v>31192</v>
      </c>
      <c r="M75" s="36">
        <f t="shared" si="36"/>
        <v>97640</v>
      </c>
      <c r="N75" s="36">
        <f t="shared" si="36"/>
        <v>33144</v>
      </c>
      <c r="O75" s="36">
        <f t="shared" si="36"/>
        <v>19888</v>
      </c>
      <c r="P75" s="36">
        <f t="shared" si="36"/>
        <v>33504.080000000002</v>
      </c>
      <c r="Q75" s="36">
        <f t="shared" si="36"/>
        <v>18549.599999999999</v>
      </c>
      <c r="R75" s="36">
        <f t="shared" si="36"/>
        <v>34051.919999999998</v>
      </c>
      <c r="S75" s="36">
        <f t="shared" si="36"/>
        <v>16240</v>
      </c>
      <c r="T75" s="37">
        <f t="shared" si="36"/>
        <v>45420.800000000003</v>
      </c>
      <c r="U75" s="37">
        <f t="shared" si="36"/>
        <v>15715.2</v>
      </c>
      <c r="V75" s="36">
        <f t="shared" si="36"/>
        <v>0</v>
      </c>
      <c r="W75" s="36">
        <f t="shared" si="31"/>
        <v>711516.79999999993</v>
      </c>
    </row>
    <row r="76" spans="1:23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45600</v>
      </c>
      <c r="F76" s="36">
        <f t="shared" ref="F76:V76" si="37">F109*8</f>
        <v>28240</v>
      </c>
      <c r="G76" s="36">
        <f t="shared" si="37"/>
        <v>31208</v>
      </c>
      <c r="H76" s="36">
        <f t="shared" si="37"/>
        <v>70433.600000000006</v>
      </c>
      <c r="I76" s="36">
        <f t="shared" si="37"/>
        <v>53697.599999999999</v>
      </c>
      <c r="J76" s="36">
        <f t="shared" si="37"/>
        <v>60304</v>
      </c>
      <c r="K76" s="36">
        <f t="shared" si="37"/>
        <v>76688</v>
      </c>
      <c r="L76" s="36">
        <f t="shared" si="37"/>
        <v>31192</v>
      </c>
      <c r="M76" s="36">
        <f t="shared" si="37"/>
        <v>97640</v>
      </c>
      <c r="N76" s="36">
        <f t="shared" si="37"/>
        <v>33144</v>
      </c>
      <c r="O76" s="36">
        <f t="shared" si="37"/>
        <v>19888</v>
      </c>
      <c r="P76" s="36">
        <f t="shared" si="37"/>
        <v>33504.080000000002</v>
      </c>
      <c r="Q76" s="36">
        <f t="shared" si="37"/>
        <v>18549.599999999999</v>
      </c>
      <c r="R76" s="36">
        <f t="shared" si="37"/>
        <v>34051.919999999998</v>
      </c>
      <c r="S76" s="36">
        <f t="shared" si="37"/>
        <v>16240</v>
      </c>
      <c r="T76" s="37">
        <f t="shared" si="37"/>
        <v>45420.800000000003</v>
      </c>
      <c r="U76" s="37">
        <f t="shared" si="37"/>
        <v>15715.2</v>
      </c>
      <c r="V76" s="36">
        <f t="shared" si="37"/>
        <v>0</v>
      </c>
      <c r="W76" s="36">
        <f t="shared" si="31"/>
        <v>711516.79999999993</v>
      </c>
    </row>
    <row r="77" spans="1:23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</row>
    <row r="78" spans="1:23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</row>
    <row r="79" spans="1:23">
      <c r="A79" s="33" t="s">
        <v>357</v>
      </c>
      <c r="B79" s="34" t="s">
        <v>358</v>
      </c>
      <c r="C79" s="34"/>
      <c r="D79" s="35" t="s">
        <v>183</v>
      </c>
      <c r="E79" s="36">
        <f>E80</f>
        <v>289440</v>
      </c>
      <c r="F79" s="36">
        <f t="shared" ref="F79:V79" si="39">F80</f>
        <v>289440</v>
      </c>
      <c r="G79" s="36">
        <f t="shared" si="39"/>
        <v>298080</v>
      </c>
      <c r="H79" s="36">
        <f t="shared" si="39"/>
        <v>285120</v>
      </c>
      <c r="I79" s="36">
        <f t="shared" si="39"/>
        <v>77760</v>
      </c>
      <c r="J79" s="36">
        <f t="shared" si="39"/>
        <v>324000</v>
      </c>
      <c r="K79" s="36">
        <f t="shared" si="39"/>
        <v>371520</v>
      </c>
      <c r="L79" s="36">
        <f t="shared" si="39"/>
        <v>289440</v>
      </c>
      <c r="M79" s="36">
        <f t="shared" si="39"/>
        <v>505440</v>
      </c>
      <c r="N79" s="36">
        <f t="shared" si="39"/>
        <v>250560</v>
      </c>
      <c r="O79" s="36">
        <f t="shared" si="39"/>
        <v>203040</v>
      </c>
      <c r="P79" s="36">
        <f t="shared" si="39"/>
        <v>259200</v>
      </c>
      <c r="Q79" s="36">
        <f t="shared" si="39"/>
        <v>108000</v>
      </c>
      <c r="R79" s="36">
        <f t="shared" si="39"/>
        <v>220320</v>
      </c>
      <c r="S79" s="36">
        <f t="shared" si="39"/>
        <v>99360</v>
      </c>
      <c r="T79" s="37">
        <f t="shared" si="39"/>
        <v>151200</v>
      </c>
      <c r="U79" s="37">
        <f t="shared" si="39"/>
        <v>30240</v>
      </c>
      <c r="V79" s="36">
        <f t="shared" si="39"/>
        <v>17280</v>
      </c>
      <c r="W79" s="36">
        <f t="shared" si="31"/>
        <v>4069440</v>
      </c>
    </row>
    <row r="80" spans="1:23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289440</v>
      </c>
      <c r="F80" s="36">
        <f t="shared" ref="F80:V80" si="40">F96*4320</f>
        <v>289440</v>
      </c>
      <c r="G80" s="36">
        <f t="shared" si="40"/>
        <v>298080</v>
      </c>
      <c r="H80" s="36">
        <f t="shared" si="40"/>
        <v>285120</v>
      </c>
      <c r="I80" s="36">
        <f t="shared" si="40"/>
        <v>77760</v>
      </c>
      <c r="J80" s="36">
        <f t="shared" si="40"/>
        <v>324000</v>
      </c>
      <c r="K80" s="36">
        <f t="shared" si="40"/>
        <v>371520</v>
      </c>
      <c r="L80" s="36">
        <f t="shared" si="40"/>
        <v>289440</v>
      </c>
      <c r="M80" s="36">
        <f t="shared" si="40"/>
        <v>505440</v>
      </c>
      <c r="N80" s="36">
        <f t="shared" si="40"/>
        <v>250560</v>
      </c>
      <c r="O80" s="36">
        <f t="shared" si="40"/>
        <v>203040</v>
      </c>
      <c r="P80" s="36">
        <f t="shared" si="40"/>
        <v>259200</v>
      </c>
      <c r="Q80" s="36">
        <f t="shared" si="40"/>
        <v>108000</v>
      </c>
      <c r="R80" s="36">
        <f t="shared" si="40"/>
        <v>220320</v>
      </c>
      <c r="S80" s="36">
        <f t="shared" si="40"/>
        <v>99360</v>
      </c>
      <c r="T80" s="37">
        <f t="shared" si="40"/>
        <v>151200</v>
      </c>
      <c r="U80" s="37">
        <f t="shared" si="40"/>
        <v>30240</v>
      </c>
      <c r="V80" s="36">
        <f t="shared" si="40"/>
        <v>17280</v>
      </c>
      <c r="W80" s="36">
        <f t="shared" si="31"/>
        <v>4069440</v>
      </c>
    </row>
    <row r="81" spans="1:23">
      <c r="A81" s="33" t="s">
        <v>362</v>
      </c>
      <c r="B81" s="34" t="s">
        <v>363</v>
      </c>
      <c r="C81" s="34"/>
      <c r="D81" s="35" t="s">
        <v>183</v>
      </c>
      <c r="E81" s="36">
        <f>E82</f>
        <v>264403.20000000001</v>
      </c>
      <c r="F81" s="36">
        <f t="shared" ref="F81:V81" si="41">F82</f>
        <v>274809.59999999998</v>
      </c>
      <c r="G81" s="36">
        <f t="shared" si="41"/>
        <v>285444.96000000002</v>
      </c>
      <c r="H81" s="36">
        <f t="shared" si="41"/>
        <v>232632</v>
      </c>
      <c r="I81" s="36">
        <f t="shared" si="41"/>
        <v>69993.600000000006</v>
      </c>
      <c r="J81" s="36">
        <f t="shared" si="41"/>
        <v>288571.2</v>
      </c>
      <c r="K81" s="36">
        <f t="shared" si="41"/>
        <v>328588.79999999999</v>
      </c>
      <c r="L81" s="36">
        <f t="shared" si="41"/>
        <v>247032</v>
      </c>
      <c r="M81" s="36">
        <f t="shared" si="41"/>
        <v>417144</v>
      </c>
      <c r="N81" s="36">
        <f t="shared" si="41"/>
        <v>203596.79999999999</v>
      </c>
      <c r="O81" s="36">
        <f t="shared" si="41"/>
        <v>169291.2</v>
      </c>
      <c r="P81" s="36">
        <f t="shared" si="41"/>
        <v>196252.79999999999</v>
      </c>
      <c r="Q81" s="36">
        <f t="shared" si="41"/>
        <v>83568</v>
      </c>
      <c r="R81" s="36">
        <f t="shared" si="41"/>
        <v>172752</v>
      </c>
      <c r="S81" s="36">
        <f t="shared" si="41"/>
        <v>76334.399999999994</v>
      </c>
      <c r="T81" s="37">
        <f t="shared" si="41"/>
        <v>111115.2</v>
      </c>
      <c r="U81" s="37">
        <f t="shared" si="41"/>
        <v>23256</v>
      </c>
      <c r="V81" s="36">
        <f t="shared" si="41"/>
        <v>14260.8</v>
      </c>
      <c r="W81" s="36">
        <f t="shared" si="31"/>
        <v>3459046.56</v>
      </c>
    </row>
    <row r="82" spans="1:23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264403.20000000001</v>
      </c>
      <c r="F82" s="36">
        <f t="shared" ref="F82:V82" si="42">F16*4</f>
        <v>274809.59999999998</v>
      </c>
      <c r="G82" s="36">
        <f t="shared" si="42"/>
        <v>285444.96000000002</v>
      </c>
      <c r="H82" s="36">
        <f t="shared" si="42"/>
        <v>232632</v>
      </c>
      <c r="I82" s="36">
        <f t="shared" si="42"/>
        <v>69993.600000000006</v>
      </c>
      <c r="J82" s="36">
        <f t="shared" si="42"/>
        <v>288571.2</v>
      </c>
      <c r="K82" s="36">
        <f t="shared" si="42"/>
        <v>328588.79999999999</v>
      </c>
      <c r="L82" s="36">
        <f t="shared" si="42"/>
        <v>247032</v>
      </c>
      <c r="M82" s="36">
        <f t="shared" si="42"/>
        <v>417144</v>
      </c>
      <c r="N82" s="36">
        <f t="shared" si="42"/>
        <v>203596.79999999999</v>
      </c>
      <c r="O82" s="36">
        <f t="shared" si="42"/>
        <v>169291.2</v>
      </c>
      <c r="P82" s="36">
        <f t="shared" si="42"/>
        <v>196252.79999999999</v>
      </c>
      <c r="Q82" s="36">
        <f t="shared" si="42"/>
        <v>83568</v>
      </c>
      <c r="R82" s="36">
        <f t="shared" si="42"/>
        <v>172752</v>
      </c>
      <c r="S82" s="36">
        <f t="shared" si="42"/>
        <v>76334.399999999994</v>
      </c>
      <c r="T82" s="37">
        <f t="shared" si="42"/>
        <v>111115.2</v>
      </c>
      <c r="U82" s="37">
        <f t="shared" si="42"/>
        <v>23256</v>
      </c>
      <c r="V82" s="36">
        <f t="shared" si="42"/>
        <v>14260.8</v>
      </c>
      <c r="W82" s="36">
        <f t="shared" si="31"/>
        <v>3459046.56</v>
      </c>
    </row>
    <row r="83" spans="1:23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0</v>
      </c>
      <c r="I83" s="36">
        <f t="shared" si="43"/>
        <v>0</v>
      </c>
      <c r="J83" s="36">
        <f t="shared" si="43"/>
        <v>64000</v>
      </c>
      <c r="K83" s="36">
        <f t="shared" si="43"/>
        <v>32000</v>
      </c>
      <c r="L83" s="36">
        <f t="shared" si="43"/>
        <v>32000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320000</v>
      </c>
    </row>
    <row r="84" spans="1:23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/>
      <c r="I84" s="37"/>
      <c r="J84" s="37">
        <v>64000</v>
      </c>
      <c r="K84" s="37">
        <v>32000</v>
      </c>
      <c r="L84" s="37">
        <v>32000</v>
      </c>
      <c r="M84" s="37">
        <v>32000</v>
      </c>
      <c r="N84" s="37">
        <v>32000</v>
      </c>
      <c r="O84" s="37">
        <v>32000</v>
      </c>
      <c r="P84" s="37"/>
      <c r="Q84" s="37"/>
      <c r="R84" s="37"/>
      <c r="S84" s="37"/>
      <c r="T84" s="37"/>
      <c r="U84" s="37"/>
      <c r="V84" s="37"/>
      <c r="W84" s="36">
        <f t="shared" si="31"/>
        <v>320000</v>
      </c>
    </row>
    <row r="85" spans="1:23">
      <c r="A85" s="33" t="s">
        <v>371</v>
      </c>
      <c r="B85" s="34" t="s">
        <v>372</v>
      </c>
      <c r="C85" s="34"/>
      <c r="D85" s="35" t="s">
        <v>183</v>
      </c>
      <c r="E85" s="36">
        <f>E86+E89+E92</f>
        <v>358720</v>
      </c>
      <c r="F85" s="36">
        <f t="shared" ref="F85:V85" si="44">F86+F89+F92</f>
        <v>174640</v>
      </c>
      <c r="G85" s="36">
        <f t="shared" si="44"/>
        <v>184080</v>
      </c>
      <c r="H85" s="36">
        <f t="shared" si="44"/>
        <v>0</v>
      </c>
      <c r="I85" s="36">
        <f t="shared" si="44"/>
        <v>0</v>
      </c>
      <c r="J85" s="36">
        <f t="shared" si="44"/>
        <v>368160</v>
      </c>
      <c r="K85" s="36">
        <f t="shared" si="44"/>
        <v>245440</v>
      </c>
      <c r="L85" s="36">
        <f t="shared" si="44"/>
        <v>155760</v>
      </c>
      <c r="M85" s="36">
        <f t="shared" si="44"/>
        <v>113280</v>
      </c>
      <c r="N85" s="36">
        <f t="shared" si="44"/>
        <v>108560</v>
      </c>
      <c r="O85" s="36">
        <f t="shared" si="44"/>
        <v>42480</v>
      </c>
      <c r="P85" s="36">
        <f t="shared" si="44"/>
        <v>37760</v>
      </c>
      <c r="Q85" s="36">
        <f t="shared" si="44"/>
        <v>0</v>
      </c>
      <c r="R85" s="36">
        <f t="shared" si="44"/>
        <v>23600</v>
      </c>
      <c r="S85" s="36">
        <f t="shared" si="44"/>
        <v>0</v>
      </c>
      <c r="T85" s="37"/>
      <c r="U85" s="37"/>
      <c r="V85" s="36">
        <f t="shared" si="44"/>
        <v>23600</v>
      </c>
      <c r="W85" s="36">
        <f t="shared" si="31"/>
        <v>1836080</v>
      </c>
    </row>
    <row r="86" spans="1:23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</row>
    <row r="87" spans="1:23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</row>
    <row r="88" spans="1:23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</row>
    <row r="89" spans="1:23">
      <c r="A89" s="33" t="s">
        <v>380</v>
      </c>
      <c r="B89" s="34" t="s">
        <v>381</v>
      </c>
      <c r="C89" s="34"/>
      <c r="D89" s="35" t="s">
        <v>183</v>
      </c>
      <c r="E89" s="36">
        <f>E90+E91</f>
        <v>358720</v>
      </c>
      <c r="F89" s="36">
        <f t="shared" ref="F89:V89" si="46">F90+F91</f>
        <v>174640</v>
      </c>
      <c r="G89" s="36">
        <f t="shared" si="46"/>
        <v>184080</v>
      </c>
      <c r="H89" s="36">
        <f t="shared" si="46"/>
        <v>0</v>
      </c>
      <c r="I89" s="36">
        <f t="shared" si="46"/>
        <v>0</v>
      </c>
      <c r="J89" s="36">
        <f t="shared" si="46"/>
        <v>368160</v>
      </c>
      <c r="K89" s="36">
        <f t="shared" si="46"/>
        <v>245440</v>
      </c>
      <c r="L89" s="36">
        <f t="shared" si="46"/>
        <v>155760</v>
      </c>
      <c r="M89" s="36">
        <f t="shared" si="46"/>
        <v>113280</v>
      </c>
      <c r="N89" s="36">
        <f t="shared" si="46"/>
        <v>108560</v>
      </c>
      <c r="O89" s="36">
        <f t="shared" si="46"/>
        <v>42480</v>
      </c>
      <c r="P89" s="36">
        <f t="shared" si="46"/>
        <v>37760</v>
      </c>
      <c r="Q89" s="36">
        <f t="shared" si="46"/>
        <v>0</v>
      </c>
      <c r="R89" s="36">
        <f t="shared" si="46"/>
        <v>23600</v>
      </c>
      <c r="S89" s="36">
        <f t="shared" si="46"/>
        <v>0</v>
      </c>
      <c r="T89" s="37">
        <f t="shared" si="46"/>
        <v>0</v>
      </c>
      <c r="U89" s="37">
        <f t="shared" si="46"/>
        <v>0</v>
      </c>
      <c r="V89" s="36">
        <f t="shared" si="46"/>
        <v>23600</v>
      </c>
      <c r="W89" s="36">
        <f t="shared" si="31"/>
        <v>1836080</v>
      </c>
    </row>
    <row r="90" spans="1:23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30400</v>
      </c>
      <c r="F90" s="36">
        <f t="shared" ref="F90:V90" si="47">F107*400</f>
        <v>14800</v>
      </c>
      <c r="G90" s="36">
        <f t="shared" si="47"/>
        <v>15600</v>
      </c>
      <c r="H90" s="36">
        <f t="shared" si="47"/>
        <v>0</v>
      </c>
      <c r="I90" s="36">
        <f t="shared" si="47"/>
        <v>0</v>
      </c>
      <c r="J90" s="36">
        <f t="shared" si="47"/>
        <v>31200</v>
      </c>
      <c r="K90" s="36">
        <f t="shared" si="47"/>
        <v>20800</v>
      </c>
      <c r="L90" s="36">
        <f t="shared" si="47"/>
        <v>13200</v>
      </c>
      <c r="M90" s="36">
        <f t="shared" si="47"/>
        <v>9600</v>
      </c>
      <c r="N90" s="36">
        <f t="shared" si="47"/>
        <v>9200</v>
      </c>
      <c r="O90" s="36">
        <f t="shared" si="47"/>
        <v>3600</v>
      </c>
      <c r="P90" s="36">
        <f t="shared" si="47"/>
        <v>3200</v>
      </c>
      <c r="Q90" s="36">
        <f t="shared" si="47"/>
        <v>0</v>
      </c>
      <c r="R90" s="36">
        <f t="shared" si="47"/>
        <v>2000</v>
      </c>
      <c r="S90" s="36">
        <f t="shared" si="47"/>
        <v>0</v>
      </c>
      <c r="T90" s="37"/>
      <c r="U90" s="37"/>
      <c r="V90" s="36">
        <f t="shared" si="47"/>
        <v>2000</v>
      </c>
      <c r="W90" s="36">
        <f t="shared" si="31"/>
        <v>155600</v>
      </c>
    </row>
    <row r="91" spans="1:23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328320</v>
      </c>
      <c r="F91" s="36">
        <f t="shared" ref="F91:V91" si="48">F107*4320</f>
        <v>159840</v>
      </c>
      <c r="G91" s="36">
        <f t="shared" si="48"/>
        <v>168480</v>
      </c>
      <c r="H91" s="36">
        <f t="shared" si="48"/>
        <v>0</v>
      </c>
      <c r="I91" s="36">
        <f t="shared" si="48"/>
        <v>0</v>
      </c>
      <c r="J91" s="36">
        <f t="shared" si="48"/>
        <v>336960</v>
      </c>
      <c r="K91" s="36">
        <f t="shared" si="48"/>
        <v>224640</v>
      </c>
      <c r="L91" s="36">
        <f t="shared" si="48"/>
        <v>142560</v>
      </c>
      <c r="M91" s="36">
        <f t="shared" si="48"/>
        <v>103680</v>
      </c>
      <c r="N91" s="36">
        <f t="shared" si="48"/>
        <v>99360</v>
      </c>
      <c r="O91" s="36">
        <f t="shared" si="48"/>
        <v>38880</v>
      </c>
      <c r="P91" s="36">
        <f t="shared" si="48"/>
        <v>34560</v>
      </c>
      <c r="Q91" s="36">
        <f t="shared" si="48"/>
        <v>0</v>
      </c>
      <c r="R91" s="36">
        <f t="shared" si="48"/>
        <v>21600</v>
      </c>
      <c r="S91" s="36">
        <f t="shared" si="48"/>
        <v>0</v>
      </c>
      <c r="T91" s="37"/>
      <c r="U91" s="37"/>
      <c r="V91" s="36">
        <f t="shared" si="48"/>
        <v>21600</v>
      </c>
      <c r="W91" s="36">
        <f t="shared" si="31"/>
        <v>1680480</v>
      </c>
    </row>
    <row r="92" spans="1:23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</row>
    <row r="93" spans="1:23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32000</v>
      </c>
      <c r="I93" s="36">
        <f t="shared" si="49"/>
        <v>32000</v>
      </c>
      <c r="J93" s="36">
        <f t="shared" si="49"/>
        <v>0</v>
      </c>
      <c r="K93" s="36">
        <f t="shared" si="49"/>
        <v>0</v>
      </c>
      <c r="L93" s="36">
        <f t="shared" si="49"/>
        <v>0</v>
      </c>
      <c r="M93" s="36">
        <f t="shared" si="49"/>
        <v>10000</v>
      </c>
      <c r="N93" s="36">
        <f t="shared" si="49"/>
        <v>10000</v>
      </c>
      <c r="O93" s="36">
        <f t="shared" si="49"/>
        <v>5000</v>
      </c>
      <c r="P93" s="36">
        <f t="shared" si="49"/>
        <v>32000</v>
      </c>
      <c r="Q93" s="36">
        <f t="shared" si="49"/>
        <v>32000</v>
      </c>
      <c r="R93" s="36">
        <f t="shared" si="49"/>
        <v>32000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49"/>
        <v>32000</v>
      </c>
      <c r="W93" s="36">
        <f t="shared" si="31"/>
        <v>313000</v>
      </c>
    </row>
    <row r="94" spans="1:23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/>
      <c r="F94" s="52"/>
      <c r="G94" s="52"/>
      <c r="H94" s="52">
        <v>32000</v>
      </c>
      <c r="I94" s="52">
        <v>32000</v>
      </c>
      <c r="J94" s="52"/>
      <c r="K94" s="52"/>
      <c r="L94" s="52"/>
      <c r="M94" s="52">
        <v>10000</v>
      </c>
      <c r="N94" s="52">
        <v>10000</v>
      </c>
      <c r="O94" s="52">
        <v>5000</v>
      </c>
      <c r="P94" s="52">
        <v>32000</v>
      </c>
      <c r="Q94" s="52">
        <v>32000</v>
      </c>
      <c r="R94" s="52">
        <v>32000</v>
      </c>
      <c r="S94" s="52">
        <v>32000</v>
      </c>
      <c r="T94" s="52">
        <v>32000</v>
      </c>
      <c r="U94" s="52">
        <v>32000</v>
      </c>
      <c r="V94" s="52">
        <v>32000</v>
      </c>
      <c r="W94" s="36">
        <f t="shared" si="31"/>
        <v>313000</v>
      </c>
    </row>
    <row r="95" spans="1:23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</row>
    <row r="96" spans="1:23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67</v>
      </c>
      <c r="F96" s="36">
        <f t="shared" ref="F96:V96" si="50">F97+F98+F99+F100</f>
        <v>67</v>
      </c>
      <c r="G96" s="36">
        <f t="shared" si="50"/>
        <v>69</v>
      </c>
      <c r="H96" s="36">
        <f t="shared" si="50"/>
        <v>66</v>
      </c>
      <c r="I96" s="36">
        <f t="shared" si="50"/>
        <v>18</v>
      </c>
      <c r="J96" s="36">
        <f t="shared" si="50"/>
        <v>75</v>
      </c>
      <c r="K96" s="36">
        <f t="shared" si="50"/>
        <v>86</v>
      </c>
      <c r="L96" s="36">
        <f t="shared" si="50"/>
        <v>67</v>
      </c>
      <c r="M96" s="36">
        <f t="shared" si="50"/>
        <v>117</v>
      </c>
      <c r="N96" s="36">
        <f t="shared" si="50"/>
        <v>58</v>
      </c>
      <c r="O96" s="36">
        <f t="shared" si="50"/>
        <v>47</v>
      </c>
      <c r="P96" s="36">
        <f t="shared" si="50"/>
        <v>60</v>
      </c>
      <c r="Q96" s="36">
        <f t="shared" si="50"/>
        <v>25</v>
      </c>
      <c r="R96" s="36">
        <f t="shared" si="50"/>
        <v>51</v>
      </c>
      <c r="S96" s="36">
        <f t="shared" si="50"/>
        <v>23</v>
      </c>
      <c r="T96" s="37">
        <f t="shared" si="50"/>
        <v>35</v>
      </c>
      <c r="U96" s="37">
        <f t="shared" si="50"/>
        <v>7</v>
      </c>
      <c r="V96" s="36">
        <f t="shared" si="50"/>
        <v>4</v>
      </c>
      <c r="W96" s="36">
        <f t="shared" si="31"/>
        <v>942</v>
      </c>
    </row>
    <row r="97" spans="1:23">
      <c r="A97" s="33" t="s">
        <v>400</v>
      </c>
      <c r="B97" s="56" t="s">
        <v>401</v>
      </c>
      <c r="C97" s="56"/>
      <c r="D97" s="42"/>
      <c r="E97" s="43">
        <v>67</v>
      </c>
      <c r="F97" s="43">
        <v>67</v>
      </c>
      <c r="G97" s="43">
        <v>69</v>
      </c>
      <c r="H97" s="43">
        <v>66</v>
      </c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269</v>
      </c>
    </row>
    <row r="98" spans="1:23">
      <c r="A98" s="33" t="s">
        <v>402</v>
      </c>
      <c r="B98" s="56" t="s">
        <v>403</v>
      </c>
      <c r="C98" s="56"/>
      <c r="D98" s="35"/>
      <c r="E98" s="37"/>
      <c r="F98" s="37"/>
      <c r="G98" s="37"/>
      <c r="H98" s="37"/>
      <c r="I98" s="37">
        <v>18</v>
      </c>
      <c r="J98" s="37">
        <v>75</v>
      </c>
      <c r="K98" s="37">
        <v>86</v>
      </c>
      <c r="L98" s="37">
        <v>67</v>
      </c>
      <c r="M98" s="37">
        <v>117</v>
      </c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363</v>
      </c>
    </row>
    <row r="99" spans="1:23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>
        <v>58</v>
      </c>
      <c r="O99" s="43">
        <v>47</v>
      </c>
      <c r="P99" s="43">
        <v>60</v>
      </c>
      <c r="Q99" s="43">
        <v>25</v>
      </c>
      <c r="R99" s="43">
        <v>51</v>
      </c>
      <c r="S99" s="43">
        <v>23</v>
      </c>
      <c r="T99" s="43">
        <v>35</v>
      </c>
      <c r="U99" s="43">
        <v>7</v>
      </c>
      <c r="V99" s="43"/>
      <c r="W99" s="36">
        <f t="shared" si="31"/>
        <v>306</v>
      </c>
    </row>
    <row r="100" spans="1:23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>
        <v>4</v>
      </c>
      <c r="W100" s="36">
        <f t="shared" si="31"/>
        <v>4</v>
      </c>
    </row>
    <row r="101" spans="1:23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558</v>
      </c>
      <c r="F101" s="36">
        <f t="shared" ref="F101:V101" si="51">F102+F103+F104+F105</f>
        <v>656</v>
      </c>
      <c r="G101" s="36">
        <f t="shared" si="51"/>
        <v>601</v>
      </c>
      <c r="H101" s="36">
        <f t="shared" si="51"/>
        <v>820</v>
      </c>
      <c r="I101" s="36">
        <f t="shared" si="51"/>
        <v>124</v>
      </c>
      <c r="J101" s="36">
        <f t="shared" si="51"/>
        <v>785</v>
      </c>
      <c r="K101" s="36">
        <f t="shared" si="51"/>
        <v>549</v>
      </c>
      <c r="L101" s="36">
        <f t="shared" si="51"/>
        <v>808</v>
      </c>
      <c r="M101" s="36">
        <f t="shared" si="51"/>
        <v>1545</v>
      </c>
      <c r="N101" s="36">
        <f t="shared" si="51"/>
        <v>695</v>
      </c>
      <c r="O101" s="36">
        <f t="shared" si="51"/>
        <v>532</v>
      </c>
      <c r="P101" s="36">
        <f t="shared" si="51"/>
        <v>905</v>
      </c>
      <c r="Q101" s="36">
        <f t="shared" si="51"/>
        <v>296</v>
      </c>
      <c r="R101" s="36">
        <f t="shared" si="51"/>
        <v>631</v>
      </c>
      <c r="S101" s="36">
        <f t="shared" si="51"/>
        <v>296</v>
      </c>
      <c r="T101" s="37">
        <f t="shared" si="51"/>
        <v>351</v>
      </c>
      <c r="U101" s="37">
        <f t="shared" si="51"/>
        <v>99</v>
      </c>
      <c r="V101" s="36">
        <f t="shared" si="51"/>
        <v>0</v>
      </c>
      <c r="W101" s="36">
        <f t="shared" si="31"/>
        <v>10251</v>
      </c>
    </row>
    <row r="102" spans="1:23">
      <c r="A102" s="33" t="s">
        <v>411</v>
      </c>
      <c r="B102" s="56" t="s">
        <v>401</v>
      </c>
      <c r="C102" s="56"/>
      <c r="D102" s="42"/>
      <c r="E102" s="43">
        <v>558</v>
      </c>
      <c r="F102" s="43">
        <v>656</v>
      </c>
      <c r="G102" s="43">
        <v>601</v>
      </c>
      <c r="H102" s="43">
        <v>820</v>
      </c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2635</v>
      </c>
    </row>
    <row r="103" spans="1:23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/>
      <c r="I103" s="37">
        <v>124</v>
      </c>
      <c r="J103" s="37">
        <v>785</v>
      </c>
      <c r="K103" s="37">
        <v>549</v>
      </c>
      <c r="L103" s="37">
        <v>808</v>
      </c>
      <c r="M103" s="37">
        <v>1545</v>
      </c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3811</v>
      </c>
    </row>
    <row r="104" spans="1:23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>
        <v>695</v>
      </c>
      <c r="O104" s="43">
        <v>532</v>
      </c>
      <c r="P104" s="43">
        <v>905</v>
      </c>
      <c r="Q104" s="43">
        <v>296</v>
      </c>
      <c r="R104" s="43">
        <v>631</v>
      </c>
      <c r="S104" s="43">
        <v>296</v>
      </c>
      <c r="T104" s="43">
        <v>351</v>
      </c>
      <c r="U104" s="43">
        <v>99</v>
      </c>
      <c r="V104" s="43"/>
      <c r="W104" s="36">
        <f t="shared" si="31"/>
        <v>3805</v>
      </c>
    </row>
    <row r="105" spans="1:23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</row>
    <row r="106" spans="1:23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</row>
    <row r="107" spans="1:23">
      <c r="A107" s="33" t="s">
        <v>417</v>
      </c>
      <c r="B107" s="34" t="s">
        <v>418</v>
      </c>
      <c r="C107" s="34"/>
      <c r="D107" s="35"/>
      <c r="E107" s="37">
        <v>76</v>
      </c>
      <c r="F107" s="37">
        <v>37</v>
      </c>
      <c r="G107" s="37">
        <v>39</v>
      </c>
      <c r="H107" s="37"/>
      <c r="I107" s="37"/>
      <c r="J107" s="37">
        <v>78</v>
      </c>
      <c r="K107" s="37">
        <v>52</v>
      </c>
      <c r="L107" s="37">
        <v>33</v>
      </c>
      <c r="M107" s="37">
        <v>24</v>
      </c>
      <c r="N107" s="37">
        <v>23</v>
      </c>
      <c r="O107" s="37">
        <v>9</v>
      </c>
      <c r="P107" s="37">
        <v>8</v>
      </c>
      <c r="Q107" s="37"/>
      <c r="R107" s="37">
        <v>5</v>
      </c>
      <c r="S107" s="37"/>
      <c r="T107" s="37"/>
      <c r="U107" s="37"/>
      <c r="V107" s="37">
        <v>5</v>
      </c>
      <c r="W107" s="36">
        <f t="shared" si="31"/>
        <v>389</v>
      </c>
    </row>
    <row r="108" spans="1:23">
      <c r="A108" s="33" t="s">
        <v>419</v>
      </c>
      <c r="B108" s="56" t="s">
        <v>420</v>
      </c>
      <c r="C108" s="56"/>
      <c r="D108" s="47"/>
      <c r="E108" s="37">
        <v>7918.03</v>
      </c>
      <c r="F108" s="37">
        <v>12319.48</v>
      </c>
      <c r="G108" s="37">
        <v>5151</v>
      </c>
      <c r="H108" s="37">
        <v>17286.64</v>
      </c>
      <c r="I108" s="37">
        <v>17120.43</v>
      </c>
      <c r="J108" s="37">
        <v>12767.21</v>
      </c>
      <c r="K108" s="37">
        <v>10982.08</v>
      </c>
      <c r="L108" s="37">
        <v>6545.95</v>
      </c>
      <c r="M108" s="37">
        <v>20689.72</v>
      </c>
      <c r="N108" s="37">
        <v>9404.5</v>
      </c>
      <c r="O108" s="37">
        <v>4648.8900000000003</v>
      </c>
      <c r="P108" s="37">
        <v>11557.68</v>
      </c>
      <c r="Q108" s="37">
        <v>5904.38</v>
      </c>
      <c r="R108" s="37">
        <v>10260.540000000001</v>
      </c>
      <c r="S108" s="37">
        <v>5925.03</v>
      </c>
      <c r="T108" s="37">
        <v>7977.86</v>
      </c>
      <c r="U108" s="37">
        <v>5606</v>
      </c>
      <c r="V108" s="37"/>
      <c r="W108" s="36">
        <f t="shared" si="31"/>
        <v>172065.41999999998</v>
      </c>
    </row>
    <row r="109" spans="1:23">
      <c r="A109" s="33" t="s">
        <v>421</v>
      </c>
      <c r="B109" s="56" t="s">
        <v>422</v>
      </c>
      <c r="C109" s="56"/>
      <c r="D109" s="47"/>
      <c r="E109" s="37">
        <v>5700</v>
      </c>
      <c r="F109" s="37">
        <v>3530</v>
      </c>
      <c r="G109" s="37">
        <v>3901</v>
      </c>
      <c r="H109" s="37">
        <v>8804.2000000000007</v>
      </c>
      <c r="I109" s="37">
        <v>6712.2</v>
      </c>
      <c r="J109" s="37">
        <v>7538</v>
      </c>
      <c r="K109" s="37">
        <v>9586</v>
      </c>
      <c r="L109" s="37">
        <v>3899</v>
      </c>
      <c r="M109" s="37">
        <v>12205</v>
      </c>
      <c r="N109" s="37">
        <v>4143</v>
      </c>
      <c r="O109" s="37">
        <v>2486</v>
      </c>
      <c r="P109" s="37">
        <v>4188.01</v>
      </c>
      <c r="Q109" s="37">
        <v>2318.6999999999998</v>
      </c>
      <c r="R109" s="37">
        <v>4256.49</v>
      </c>
      <c r="S109" s="37">
        <v>2030</v>
      </c>
      <c r="T109" s="37">
        <v>5677.6</v>
      </c>
      <c r="U109" s="37">
        <v>1964.4</v>
      </c>
      <c r="V109" s="37"/>
      <c r="W109" s="36">
        <f t="shared" si="31"/>
        <v>88939.599999999991</v>
      </c>
    </row>
  </sheetData>
  <protectedRanges>
    <protectedRange password="E9C1" sqref="B31:D109 A4:D12 A2:W3 B13:D28 A13:A109 W4:W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W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9"/>
  <sheetViews>
    <sheetView topLeftCell="K1" workbookViewId="0">
      <selection activeCell="Q3" sqref="Q3:Q109"/>
    </sheetView>
  </sheetViews>
  <sheetFormatPr defaultColWidth="15.625" defaultRowHeight="11.25"/>
  <cols>
    <col min="1" max="1" width="4.625" style="145" customWidth="1"/>
    <col min="2" max="2" width="29.25" style="145" customWidth="1"/>
    <col min="3" max="3" width="13" style="145" customWidth="1"/>
    <col min="4" max="4" width="20" style="175" customWidth="1"/>
    <col min="5" max="17" width="15.625" style="145"/>
    <col min="18" max="18" width="20" style="145" bestFit="1" customWidth="1"/>
    <col min="19" max="256" width="15.625" style="145"/>
    <col min="257" max="257" width="4.625" style="145" customWidth="1"/>
    <col min="258" max="258" width="29.25" style="145" customWidth="1"/>
    <col min="259" max="259" width="13" style="145" customWidth="1"/>
    <col min="260" max="260" width="20" style="145" customWidth="1"/>
    <col min="261" max="273" width="15.625" style="145"/>
    <col min="274" max="274" width="20" style="145" bestFit="1" customWidth="1"/>
    <col min="275" max="512" width="15.625" style="145"/>
    <col min="513" max="513" width="4.625" style="145" customWidth="1"/>
    <col min="514" max="514" width="29.25" style="145" customWidth="1"/>
    <col min="515" max="515" width="13" style="145" customWidth="1"/>
    <col min="516" max="516" width="20" style="145" customWidth="1"/>
    <col min="517" max="529" width="15.625" style="145"/>
    <col min="530" max="530" width="20" style="145" bestFit="1" customWidth="1"/>
    <col min="531" max="768" width="15.625" style="145"/>
    <col min="769" max="769" width="4.625" style="145" customWidth="1"/>
    <col min="770" max="770" width="29.25" style="145" customWidth="1"/>
    <col min="771" max="771" width="13" style="145" customWidth="1"/>
    <col min="772" max="772" width="20" style="145" customWidth="1"/>
    <col min="773" max="785" width="15.625" style="145"/>
    <col min="786" max="786" width="20" style="145" bestFit="1" customWidth="1"/>
    <col min="787" max="1024" width="15.625" style="145"/>
    <col min="1025" max="1025" width="4.625" style="145" customWidth="1"/>
    <col min="1026" max="1026" width="29.25" style="145" customWidth="1"/>
    <col min="1027" max="1027" width="13" style="145" customWidth="1"/>
    <col min="1028" max="1028" width="20" style="145" customWidth="1"/>
    <col min="1029" max="1041" width="15.625" style="145"/>
    <col min="1042" max="1042" width="20" style="145" bestFit="1" customWidth="1"/>
    <col min="1043" max="1280" width="15.625" style="145"/>
    <col min="1281" max="1281" width="4.625" style="145" customWidth="1"/>
    <col min="1282" max="1282" width="29.25" style="145" customWidth="1"/>
    <col min="1283" max="1283" width="13" style="145" customWidth="1"/>
    <col min="1284" max="1284" width="20" style="145" customWidth="1"/>
    <col min="1285" max="1297" width="15.625" style="145"/>
    <col min="1298" max="1298" width="20" style="145" bestFit="1" customWidth="1"/>
    <col min="1299" max="1536" width="15.625" style="145"/>
    <col min="1537" max="1537" width="4.625" style="145" customWidth="1"/>
    <col min="1538" max="1538" width="29.25" style="145" customWidth="1"/>
    <col min="1539" max="1539" width="13" style="145" customWidth="1"/>
    <col min="1540" max="1540" width="20" style="145" customWidth="1"/>
    <col min="1541" max="1553" width="15.625" style="145"/>
    <col min="1554" max="1554" width="20" style="145" bestFit="1" customWidth="1"/>
    <col min="1555" max="1792" width="15.625" style="145"/>
    <col min="1793" max="1793" width="4.625" style="145" customWidth="1"/>
    <col min="1794" max="1794" width="29.25" style="145" customWidth="1"/>
    <col min="1795" max="1795" width="13" style="145" customWidth="1"/>
    <col min="1796" max="1796" width="20" style="145" customWidth="1"/>
    <col min="1797" max="1809" width="15.625" style="145"/>
    <col min="1810" max="1810" width="20" style="145" bestFit="1" customWidth="1"/>
    <col min="1811" max="2048" width="15.625" style="145"/>
    <col min="2049" max="2049" width="4.625" style="145" customWidth="1"/>
    <col min="2050" max="2050" width="29.25" style="145" customWidth="1"/>
    <col min="2051" max="2051" width="13" style="145" customWidth="1"/>
    <col min="2052" max="2052" width="20" style="145" customWidth="1"/>
    <col min="2053" max="2065" width="15.625" style="145"/>
    <col min="2066" max="2066" width="20" style="145" bestFit="1" customWidth="1"/>
    <col min="2067" max="2304" width="15.625" style="145"/>
    <col min="2305" max="2305" width="4.625" style="145" customWidth="1"/>
    <col min="2306" max="2306" width="29.25" style="145" customWidth="1"/>
    <col min="2307" max="2307" width="13" style="145" customWidth="1"/>
    <col min="2308" max="2308" width="20" style="145" customWidth="1"/>
    <col min="2309" max="2321" width="15.625" style="145"/>
    <col min="2322" max="2322" width="20" style="145" bestFit="1" customWidth="1"/>
    <col min="2323" max="2560" width="15.625" style="145"/>
    <col min="2561" max="2561" width="4.625" style="145" customWidth="1"/>
    <col min="2562" max="2562" width="29.25" style="145" customWidth="1"/>
    <col min="2563" max="2563" width="13" style="145" customWidth="1"/>
    <col min="2564" max="2564" width="20" style="145" customWidth="1"/>
    <col min="2565" max="2577" width="15.625" style="145"/>
    <col min="2578" max="2578" width="20" style="145" bestFit="1" customWidth="1"/>
    <col min="2579" max="2816" width="15.625" style="145"/>
    <col min="2817" max="2817" width="4.625" style="145" customWidth="1"/>
    <col min="2818" max="2818" width="29.25" style="145" customWidth="1"/>
    <col min="2819" max="2819" width="13" style="145" customWidth="1"/>
    <col min="2820" max="2820" width="20" style="145" customWidth="1"/>
    <col min="2821" max="2833" width="15.625" style="145"/>
    <col min="2834" max="2834" width="20" style="145" bestFit="1" customWidth="1"/>
    <col min="2835" max="3072" width="15.625" style="145"/>
    <col min="3073" max="3073" width="4.625" style="145" customWidth="1"/>
    <col min="3074" max="3074" width="29.25" style="145" customWidth="1"/>
    <col min="3075" max="3075" width="13" style="145" customWidth="1"/>
    <col min="3076" max="3076" width="20" style="145" customWidth="1"/>
    <col min="3077" max="3089" width="15.625" style="145"/>
    <col min="3090" max="3090" width="20" style="145" bestFit="1" customWidth="1"/>
    <col min="3091" max="3328" width="15.625" style="145"/>
    <col min="3329" max="3329" width="4.625" style="145" customWidth="1"/>
    <col min="3330" max="3330" width="29.25" style="145" customWidth="1"/>
    <col min="3331" max="3331" width="13" style="145" customWidth="1"/>
    <col min="3332" max="3332" width="20" style="145" customWidth="1"/>
    <col min="3333" max="3345" width="15.625" style="145"/>
    <col min="3346" max="3346" width="20" style="145" bestFit="1" customWidth="1"/>
    <col min="3347" max="3584" width="15.625" style="145"/>
    <col min="3585" max="3585" width="4.625" style="145" customWidth="1"/>
    <col min="3586" max="3586" width="29.25" style="145" customWidth="1"/>
    <col min="3587" max="3587" width="13" style="145" customWidth="1"/>
    <col min="3588" max="3588" width="20" style="145" customWidth="1"/>
    <col min="3589" max="3601" width="15.625" style="145"/>
    <col min="3602" max="3602" width="20" style="145" bestFit="1" customWidth="1"/>
    <col min="3603" max="3840" width="15.625" style="145"/>
    <col min="3841" max="3841" width="4.625" style="145" customWidth="1"/>
    <col min="3842" max="3842" width="29.25" style="145" customWidth="1"/>
    <col min="3843" max="3843" width="13" style="145" customWidth="1"/>
    <col min="3844" max="3844" width="20" style="145" customWidth="1"/>
    <col min="3845" max="3857" width="15.625" style="145"/>
    <col min="3858" max="3858" width="20" style="145" bestFit="1" customWidth="1"/>
    <col min="3859" max="4096" width="15.625" style="145"/>
    <col min="4097" max="4097" width="4.625" style="145" customWidth="1"/>
    <col min="4098" max="4098" width="29.25" style="145" customWidth="1"/>
    <col min="4099" max="4099" width="13" style="145" customWidth="1"/>
    <col min="4100" max="4100" width="20" style="145" customWidth="1"/>
    <col min="4101" max="4113" width="15.625" style="145"/>
    <col min="4114" max="4114" width="20" style="145" bestFit="1" customWidth="1"/>
    <col min="4115" max="4352" width="15.625" style="145"/>
    <col min="4353" max="4353" width="4.625" style="145" customWidth="1"/>
    <col min="4354" max="4354" width="29.25" style="145" customWidth="1"/>
    <col min="4355" max="4355" width="13" style="145" customWidth="1"/>
    <col min="4356" max="4356" width="20" style="145" customWidth="1"/>
    <col min="4357" max="4369" width="15.625" style="145"/>
    <col min="4370" max="4370" width="20" style="145" bestFit="1" customWidth="1"/>
    <col min="4371" max="4608" width="15.625" style="145"/>
    <col min="4609" max="4609" width="4.625" style="145" customWidth="1"/>
    <col min="4610" max="4610" width="29.25" style="145" customWidth="1"/>
    <col min="4611" max="4611" width="13" style="145" customWidth="1"/>
    <col min="4612" max="4612" width="20" style="145" customWidth="1"/>
    <col min="4613" max="4625" width="15.625" style="145"/>
    <col min="4626" max="4626" width="20" style="145" bestFit="1" customWidth="1"/>
    <col min="4627" max="4864" width="15.625" style="145"/>
    <col min="4865" max="4865" width="4.625" style="145" customWidth="1"/>
    <col min="4866" max="4866" width="29.25" style="145" customWidth="1"/>
    <col min="4867" max="4867" width="13" style="145" customWidth="1"/>
    <col min="4868" max="4868" width="20" style="145" customWidth="1"/>
    <col min="4869" max="4881" width="15.625" style="145"/>
    <col min="4882" max="4882" width="20" style="145" bestFit="1" customWidth="1"/>
    <col min="4883" max="5120" width="15.625" style="145"/>
    <col min="5121" max="5121" width="4.625" style="145" customWidth="1"/>
    <col min="5122" max="5122" width="29.25" style="145" customWidth="1"/>
    <col min="5123" max="5123" width="13" style="145" customWidth="1"/>
    <col min="5124" max="5124" width="20" style="145" customWidth="1"/>
    <col min="5125" max="5137" width="15.625" style="145"/>
    <col min="5138" max="5138" width="20" style="145" bestFit="1" customWidth="1"/>
    <col min="5139" max="5376" width="15.625" style="145"/>
    <col min="5377" max="5377" width="4.625" style="145" customWidth="1"/>
    <col min="5378" max="5378" width="29.25" style="145" customWidth="1"/>
    <col min="5379" max="5379" width="13" style="145" customWidth="1"/>
    <col min="5380" max="5380" width="20" style="145" customWidth="1"/>
    <col min="5381" max="5393" width="15.625" style="145"/>
    <col min="5394" max="5394" width="20" style="145" bestFit="1" customWidth="1"/>
    <col min="5395" max="5632" width="15.625" style="145"/>
    <col min="5633" max="5633" width="4.625" style="145" customWidth="1"/>
    <col min="5634" max="5634" width="29.25" style="145" customWidth="1"/>
    <col min="5635" max="5635" width="13" style="145" customWidth="1"/>
    <col min="5636" max="5636" width="20" style="145" customWidth="1"/>
    <col min="5637" max="5649" width="15.625" style="145"/>
    <col min="5650" max="5650" width="20" style="145" bestFit="1" customWidth="1"/>
    <col min="5651" max="5888" width="15.625" style="145"/>
    <col min="5889" max="5889" width="4.625" style="145" customWidth="1"/>
    <col min="5890" max="5890" width="29.25" style="145" customWidth="1"/>
    <col min="5891" max="5891" width="13" style="145" customWidth="1"/>
    <col min="5892" max="5892" width="20" style="145" customWidth="1"/>
    <col min="5893" max="5905" width="15.625" style="145"/>
    <col min="5906" max="5906" width="20" style="145" bestFit="1" customWidth="1"/>
    <col min="5907" max="6144" width="15.625" style="145"/>
    <col min="6145" max="6145" width="4.625" style="145" customWidth="1"/>
    <col min="6146" max="6146" width="29.25" style="145" customWidth="1"/>
    <col min="6147" max="6147" width="13" style="145" customWidth="1"/>
    <col min="6148" max="6148" width="20" style="145" customWidth="1"/>
    <col min="6149" max="6161" width="15.625" style="145"/>
    <col min="6162" max="6162" width="20" style="145" bestFit="1" customWidth="1"/>
    <col min="6163" max="6400" width="15.625" style="145"/>
    <col min="6401" max="6401" width="4.625" style="145" customWidth="1"/>
    <col min="6402" max="6402" width="29.25" style="145" customWidth="1"/>
    <col min="6403" max="6403" width="13" style="145" customWidth="1"/>
    <col min="6404" max="6404" width="20" style="145" customWidth="1"/>
    <col min="6405" max="6417" width="15.625" style="145"/>
    <col min="6418" max="6418" width="20" style="145" bestFit="1" customWidth="1"/>
    <col min="6419" max="6656" width="15.625" style="145"/>
    <col min="6657" max="6657" width="4.625" style="145" customWidth="1"/>
    <col min="6658" max="6658" width="29.25" style="145" customWidth="1"/>
    <col min="6659" max="6659" width="13" style="145" customWidth="1"/>
    <col min="6660" max="6660" width="20" style="145" customWidth="1"/>
    <col min="6661" max="6673" width="15.625" style="145"/>
    <col min="6674" max="6674" width="20" style="145" bestFit="1" customWidth="1"/>
    <col min="6675" max="6912" width="15.625" style="145"/>
    <col min="6913" max="6913" width="4.625" style="145" customWidth="1"/>
    <col min="6914" max="6914" width="29.25" style="145" customWidth="1"/>
    <col min="6915" max="6915" width="13" style="145" customWidth="1"/>
    <col min="6916" max="6916" width="20" style="145" customWidth="1"/>
    <col min="6917" max="6929" width="15.625" style="145"/>
    <col min="6930" max="6930" width="20" style="145" bestFit="1" customWidth="1"/>
    <col min="6931" max="7168" width="15.625" style="145"/>
    <col min="7169" max="7169" width="4.625" style="145" customWidth="1"/>
    <col min="7170" max="7170" width="29.25" style="145" customWidth="1"/>
    <col min="7171" max="7171" width="13" style="145" customWidth="1"/>
    <col min="7172" max="7172" width="20" style="145" customWidth="1"/>
    <col min="7173" max="7185" width="15.625" style="145"/>
    <col min="7186" max="7186" width="20" style="145" bestFit="1" customWidth="1"/>
    <col min="7187" max="7424" width="15.625" style="145"/>
    <col min="7425" max="7425" width="4.625" style="145" customWidth="1"/>
    <col min="7426" max="7426" width="29.25" style="145" customWidth="1"/>
    <col min="7427" max="7427" width="13" style="145" customWidth="1"/>
    <col min="7428" max="7428" width="20" style="145" customWidth="1"/>
    <col min="7429" max="7441" width="15.625" style="145"/>
    <col min="7442" max="7442" width="20" style="145" bestFit="1" customWidth="1"/>
    <col min="7443" max="7680" width="15.625" style="145"/>
    <col min="7681" max="7681" width="4.625" style="145" customWidth="1"/>
    <col min="7682" max="7682" width="29.25" style="145" customWidth="1"/>
    <col min="7683" max="7683" width="13" style="145" customWidth="1"/>
    <col min="7684" max="7684" width="20" style="145" customWidth="1"/>
    <col min="7685" max="7697" width="15.625" style="145"/>
    <col min="7698" max="7698" width="20" style="145" bestFit="1" customWidth="1"/>
    <col min="7699" max="7936" width="15.625" style="145"/>
    <col min="7937" max="7937" width="4.625" style="145" customWidth="1"/>
    <col min="7938" max="7938" width="29.25" style="145" customWidth="1"/>
    <col min="7939" max="7939" width="13" style="145" customWidth="1"/>
    <col min="7940" max="7940" width="20" style="145" customWidth="1"/>
    <col min="7941" max="7953" width="15.625" style="145"/>
    <col min="7954" max="7954" width="20" style="145" bestFit="1" customWidth="1"/>
    <col min="7955" max="8192" width="15.625" style="145"/>
    <col min="8193" max="8193" width="4.625" style="145" customWidth="1"/>
    <col min="8194" max="8194" width="29.25" style="145" customWidth="1"/>
    <col min="8195" max="8195" width="13" style="145" customWidth="1"/>
    <col min="8196" max="8196" width="20" style="145" customWidth="1"/>
    <col min="8197" max="8209" width="15.625" style="145"/>
    <col min="8210" max="8210" width="20" style="145" bestFit="1" customWidth="1"/>
    <col min="8211" max="8448" width="15.625" style="145"/>
    <col min="8449" max="8449" width="4.625" style="145" customWidth="1"/>
    <col min="8450" max="8450" width="29.25" style="145" customWidth="1"/>
    <col min="8451" max="8451" width="13" style="145" customWidth="1"/>
    <col min="8452" max="8452" width="20" style="145" customWidth="1"/>
    <col min="8453" max="8465" width="15.625" style="145"/>
    <col min="8466" max="8466" width="20" style="145" bestFit="1" customWidth="1"/>
    <col min="8467" max="8704" width="15.625" style="145"/>
    <col min="8705" max="8705" width="4.625" style="145" customWidth="1"/>
    <col min="8706" max="8706" width="29.25" style="145" customWidth="1"/>
    <col min="8707" max="8707" width="13" style="145" customWidth="1"/>
    <col min="8708" max="8708" width="20" style="145" customWidth="1"/>
    <col min="8709" max="8721" width="15.625" style="145"/>
    <col min="8722" max="8722" width="20" style="145" bestFit="1" customWidth="1"/>
    <col min="8723" max="8960" width="15.625" style="145"/>
    <col min="8961" max="8961" width="4.625" style="145" customWidth="1"/>
    <col min="8962" max="8962" width="29.25" style="145" customWidth="1"/>
    <col min="8963" max="8963" width="13" style="145" customWidth="1"/>
    <col min="8964" max="8964" width="20" style="145" customWidth="1"/>
    <col min="8965" max="8977" width="15.625" style="145"/>
    <col min="8978" max="8978" width="20" style="145" bestFit="1" customWidth="1"/>
    <col min="8979" max="9216" width="15.625" style="145"/>
    <col min="9217" max="9217" width="4.625" style="145" customWidth="1"/>
    <col min="9218" max="9218" width="29.25" style="145" customWidth="1"/>
    <col min="9219" max="9219" width="13" style="145" customWidth="1"/>
    <col min="9220" max="9220" width="20" style="145" customWidth="1"/>
    <col min="9221" max="9233" width="15.625" style="145"/>
    <col min="9234" max="9234" width="20" style="145" bestFit="1" customWidth="1"/>
    <col min="9235" max="9472" width="15.625" style="145"/>
    <col min="9473" max="9473" width="4.625" style="145" customWidth="1"/>
    <col min="9474" max="9474" width="29.25" style="145" customWidth="1"/>
    <col min="9475" max="9475" width="13" style="145" customWidth="1"/>
    <col min="9476" max="9476" width="20" style="145" customWidth="1"/>
    <col min="9477" max="9489" width="15.625" style="145"/>
    <col min="9490" max="9490" width="20" style="145" bestFit="1" customWidth="1"/>
    <col min="9491" max="9728" width="15.625" style="145"/>
    <col min="9729" max="9729" width="4.625" style="145" customWidth="1"/>
    <col min="9730" max="9730" width="29.25" style="145" customWidth="1"/>
    <col min="9731" max="9731" width="13" style="145" customWidth="1"/>
    <col min="9732" max="9732" width="20" style="145" customWidth="1"/>
    <col min="9733" max="9745" width="15.625" style="145"/>
    <col min="9746" max="9746" width="20" style="145" bestFit="1" customWidth="1"/>
    <col min="9747" max="9984" width="15.625" style="145"/>
    <col min="9985" max="9985" width="4.625" style="145" customWidth="1"/>
    <col min="9986" max="9986" width="29.25" style="145" customWidth="1"/>
    <col min="9987" max="9987" width="13" style="145" customWidth="1"/>
    <col min="9988" max="9988" width="20" style="145" customWidth="1"/>
    <col min="9989" max="10001" width="15.625" style="145"/>
    <col min="10002" max="10002" width="20" style="145" bestFit="1" customWidth="1"/>
    <col min="10003" max="10240" width="15.625" style="145"/>
    <col min="10241" max="10241" width="4.625" style="145" customWidth="1"/>
    <col min="10242" max="10242" width="29.25" style="145" customWidth="1"/>
    <col min="10243" max="10243" width="13" style="145" customWidth="1"/>
    <col min="10244" max="10244" width="20" style="145" customWidth="1"/>
    <col min="10245" max="10257" width="15.625" style="145"/>
    <col min="10258" max="10258" width="20" style="145" bestFit="1" customWidth="1"/>
    <col min="10259" max="10496" width="15.625" style="145"/>
    <col min="10497" max="10497" width="4.625" style="145" customWidth="1"/>
    <col min="10498" max="10498" width="29.25" style="145" customWidth="1"/>
    <col min="10499" max="10499" width="13" style="145" customWidth="1"/>
    <col min="10500" max="10500" width="20" style="145" customWidth="1"/>
    <col min="10501" max="10513" width="15.625" style="145"/>
    <col min="10514" max="10514" width="20" style="145" bestFit="1" customWidth="1"/>
    <col min="10515" max="10752" width="15.625" style="145"/>
    <col min="10753" max="10753" width="4.625" style="145" customWidth="1"/>
    <col min="10754" max="10754" width="29.25" style="145" customWidth="1"/>
    <col min="10755" max="10755" width="13" style="145" customWidth="1"/>
    <col min="10756" max="10756" width="20" style="145" customWidth="1"/>
    <col min="10757" max="10769" width="15.625" style="145"/>
    <col min="10770" max="10770" width="20" style="145" bestFit="1" customWidth="1"/>
    <col min="10771" max="11008" width="15.625" style="145"/>
    <col min="11009" max="11009" width="4.625" style="145" customWidth="1"/>
    <col min="11010" max="11010" width="29.25" style="145" customWidth="1"/>
    <col min="11011" max="11011" width="13" style="145" customWidth="1"/>
    <col min="11012" max="11012" width="20" style="145" customWidth="1"/>
    <col min="11013" max="11025" width="15.625" style="145"/>
    <col min="11026" max="11026" width="20" style="145" bestFit="1" customWidth="1"/>
    <col min="11027" max="11264" width="15.625" style="145"/>
    <col min="11265" max="11265" width="4.625" style="145" customWidth="1"/>
    <col min="11266" max="11266" width="29.25" style="145" customWidth="1"/>
    <col min="11267" max="11267" width="13" style="145" customWidth="1"/>
    <col min="11268" max="11268" width="20" style="145" customWidth="1"/>
    <col min="11269" max="11281" width="15.625" style="145"/>
    <col min="11282" max="11282" width="20" style="145" bestFit="1" customWidth="1"/>
    <col min="11283" max="11520" width="15.625" style="145"/>
    <col min="11521" max="11521" width="4.625" style="145" customWidth="1"/>
    <col min="11522" max="11522" width="29.25" style="145" customWidth="1"/>
    <col min="11523" max="11523" width="13" style="145" customWidth="1"/>
    <col min="11524" max="11524" width="20" style="145" customWidth="1"/>
    <col min="11525" max="11537" width="15.625" style="145"/>
    <col min="11538" max="11538" width="20" style="145" bestFit="1" customWidth="1"/>
    <col min="11539" max="11776" width="15.625" style="145"/>
    <col min="11777" max="11777" width="4.625" style="145" customWidth="1"/>
    <col min="11778" max="11778" width="29.25" style="145" customWidth="1"/>
    <col min="11779" max="11779" width="13" style="145" customWidth="1"/>
    <col min="11780" max="11780" width="20" style="145" customWidth="1"/>
    <col min="11781" max="11793" width="15.625" style="145"/>
    <col min="11794" max="11794" width="20" style="145" bestFit="1" customWidth="1"/>
    <col min="11795" max="12032" width="15.625" style="145"/>
    <col min="12033" max="12033" width="4.625" style="145" customWidth="1"/>
    <col min="12034" max="12034" width="29.25" style="145" customWidth="1"/>
    <col min="12035" max="12035" width="13" style="145" customWidth="1"/>
    <col min="12036" max="12036" width="20" style="145" customWidth="1"/>
    <col min="12037" max="12049" width="15.625" style="145"/>
    <col min="12050" max="12050" width="20" style="145" bestFit="1" customWidth="1"/>
    <col min="12051" max="12288" width="15.625" style="145"/>
    <col min="12289" max="12289" width="4.625" style="145" customWidth="1"/>
    <col min="12290" max="12290" width="29.25" style="145" customWidth="1"/>
    <col min="12291" max="12291" width="13" style="145" customWidth="1"/>
    <col min="12292" max="12292" width="20" style="145" customWidth="1"/>
    <col min="12293" max="12305" width="15.625" style="145"/>
    <col min="12306" max="12306" width="20" style="145" bestFit="1" customWidth="1"/>
    <col min="12307" max="12544" width="15.625" style="145"/>
    <col min="12545" max="12545" width="4.625" style="145" customWidth="1"/>
    <col min="12546" max="12546" width="29.25" style="145" customWidth="1"/>
    <col min="12547" max="12547" width="13" style="145" customWidth="1"/>
    <col min="12548" max="12548" width="20" style="145" customWidth="1"/>
    <col min="12549" max="12561" width="15.625" style="145"/>
    <col min="12562" max="12562" width="20" style="145" bestFit="1" customWidth="1"/>
    <col min="12563" max="12800" width="15.625" style="145"/>
    <col min="12801" max="12801" width="4.625" style="145" customWidth="1"/>
    <col min="12802" max="12802" width="29.25" style="145" customWidth="1"/>
    <col min="12803" max="12803" width="13" style="145" customWidth="1"/>
    <col min="12804" max="12804" width="20" style="145" customWidth="1"/>
    <col min="12805" max="12817" width="15.625" style="145"/>
    <col min="12818" max="12818" width="20" style="145" bestFit="1" customWidth="1"/>
    <col min="12819" max="13056" width="15.625" style="145"/>
    <col min="13057" max="13057" width="4.625" style="145" customWidth="1"/>
    <col min="13058" max="13058" width="29.25" style="145" customWidth="1"/>
    <col min="13059" max="13059" width="13" style="145" customWidth="1"/>
    <col min="13060" max="13060" width="20" style="145" customWidth="1"/>
    <col min="13061" max="13073" width="15.625" style="145"/>
    <col min="13074" max="13074" width="20" style="145" bestFit="1" customWidth="1"/>
    <col min="13075" max="13312" width="15.625" style="145"/>
    <col min="13313" max="13313" width="4.625" style="145" customWidth="1"/>
    <col min="13314" max="13314" width="29.25" style="145" customWidth="1"/>
    <col min="13315" max="13315" width="13" style="145" customWidth="1"/>
    <col min="13316" max="13316" width="20" style="145" customWidth="1"/>
    <col min="13317" max="13329" width="15.625" style="145"/>
    <col min="13330" max="13330" width="20" style="145" bestFit="1" customWidth="1"/>
    <col min="13331" max="13568" width="15.625" style="145"/>
    <col min="13569" max="13569" width="4.625" style="145" customWidth="1"/>
    <col min="13570" max="13570" width="29.25" style="145" customWidth="1"/>
    <col min="13571" max="13571" width="13" style="145" customWidth="1"/>
    <col min="13572" max="13572" width="20" style="145" customWidth="1"/>
    <col min="13573" max="13585" width="15.625" style="145"/>
    <col min="13586" max="13586" width="20" style="145" bestFit="1" customWidth="1"/>
    <col min="13587" max="13824" width="15.625" style="145"/>
    <col min="13825" max="13825" width="4.625" style="145" customWidth="1"/>
    <col min="13826" max="13826" width="29.25" style="145" customWidth="1"/>
    <col min="13827" max="13827" width="13" style="145" customWidth="1"/>
    <col min="13828" max="13828" width="20" style="145" customWidth="1"/>
    <col min="13829" max="13841" width="15.625" style="145"/>
    <col min="13842" max="13842" width="20" style="145" bestFit="1" customWidth="1"/>
    <col min="13843" max="14080" width="15.625" style="145"/>
    <col min="14081" max="14081" width="4.625" style="145" customWidth="1"/>
    <col min="14082" max="14082" width="29.25" style="145" customWidth="1"/>
    <col min="14083" max="14083" width="13" style="145" customWidth="1"/>
    <col min="14084" max="14084" width="20" style="145" customWidth="1"/>
    <col min="14085" max="14097" width="15.625" style="145"/>
    <col min="14098" max="14098" width="20" style="145" bestFit="1" customWidth="1"/>
    <col min="14099" max="14336" width="15.625" style="145"/>
    <col min="14337" max="14337" width="4.625" style="145" customWidth="1"/>
    <col min="14338" max="14338" width="29.25" style="145" customWidth="1"/>
    <col min="14339" max="14339" width="13" style="145" customWidth="1"/>
    <col min="14340" max="14340" width="20" style="145" customWidth="1"/>
    <col min="14341" max="14353" width="15.625" style="145"/>
    <col min="14354" max="14354" width="20" style="145" bestFit="1" customWidth="1"/>
    <col min="14355" max="14592" width="15.625" style="145"/>
    <col min="14593" max="14593" width="4.625" style="145" customWidth="1"/>
    <col min="14594" max="14594" width="29.25" style="145" customWidth="1"/>
    <col min="14595" max="14595" width="13" style="145" customWidth="1"/>
    <col min="14596" max="14596" width="20" style="145" customWidth="1"/>
    <col min="14597" max="14609" width="15.625" style="145"/>
    <col min="14610" max="14610" width="20" style="145" bestFit="1" customWidth="1"/>
    <col min="14611" max="14848" width="15.625" style="145"/>
    <col min="14849" max="14849" width="4.625" style="145" customWidth="1"/>
    <col min="14850" max="14850" width="29.25" style="145" customWidth="1"/>
    <col min="14851" max="14851" width="13" style="145" customWidth="1"/>
    <col min="14852" max="14852" width="20" style="145" customWidth="1"/>
    <col min="14853" max="14865" width="15.625" style="145"/>
    <col min="14866" max="14866" width="20" style="145" bestFit="1" customWidth="1"/>
    <col min="14867" max="15104" width="15.625" style="145"/>
    <col min="15105" max="15105" width="4.625" style="145" customWidth="1"/>
    <col min="15106" max="15106" width="29.25" style="145" customWidth="1"/>
    <col min="15107" max="15107" width="13" style="145" customWidth="1"/>
    <col min="15108" max="15108" width="20" style="145" customWidth="1"/>
    <col min="15109" max="15121" width="15.625" style="145"/>
    <col min="15122" max="15122" width="20" style="145" bestFit="1" customWidth="1"/>
    <col min="15123" max="15360" width="15.625" style="145"/>
    <col min="15361" max="15361" width="4.625" style="145" customWidth="1"/>
    <col min="15362" max="15362" width="29.25" style="145" customWidth="1"/>
    <col min="15363" max="15363" width="13" style="145" customWidth="1"/>
    <col min="15364" max="15364" width="20" style="145" customWidth="1"/>
    <col min="15365" max="15377" width="15.625" style="145"/>
    <col min="15378" max="15378" width="20" style="145" bestFit="1" customWidth="1"/>
    <col min="15379" max="15616" width="15.625" style="145"/>
    <col min="15617" max="15617" width="4.625" style="145" customWidth="1"/>
    <col min="15618" max="15618" width="29.25" style="145" customWidth="1"/>
    <col min="15619" max="15619" width="13" style="145" customWidth="1"/>
    <col min="15620" max="15620" width="20" style="145" customWidth="1"/>
    <col min="15621" max="15633" width="15.625" style="145"/>
    <col min="15634" max="15634" width="20" style="145" bestFit="1" customWidth="1"/>
    <col min="15635" max="15872" width="15.625" style="145"/>
    <col min="15873" max="15873" width="4.625" style="145" customWidth="1"/>
    <col min="15874" max="15874" width="29.25" style="145" customWidth="1"/>
    <col min="15875" max="15875" width="13" style="145" customWidth="1"/>
    <col min="15876" max="15876" width="20" style="145" customWidth="1"/>
    <col min="15877" max="15889" width="15.625" style="145"/>
    <col min="15890" max="15890" width="20" style="145" bestFit="1" customWidth="1"/>
    <col min="15891" max="16128" width="15.625" style="145"/>
    <col min="16129" max="16129" width="4.625" style="145" customWidth="1"/>
    <col min="16130" max="16130" width="29.25" style="145" customWidth="1"/>
    <col min="16131" max="16131" width="13" style="145" customWidth="1"/>
    <col min="16132" max="16132" width="20" style="145" customWidth="1"/>
    <col min="16133" max="16145" width="15.625" style="145"/>
    <col min="16146" max="16146" width="20" style="145" bestFit="1" customWidth="1"/>
    <col min="16147" max="16384" width="15.625" style="145"/>
  </cols>
  <sheetData>
    <row r="1" spans="1:19" ht="25.5">
      <c r="A1" s="279" t="s">
        <v>543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</row>
    <row r="2" spans="1:19">
      <c r="A2" s="146" t="s">
        <v>0</v>
      </c>
      <c r="B2" s="146" t="s">
        <v>178</v>
      </c>
      <c r="C2" s="146" t="s">
        <v>179</v>
      </c>
      <c r="D2" s="147" t="s">
        <v>180</v>
      </c>
      <c r="E2" s="147" t="s">
        <v>544</v>
      </c>
      <c r="F2" s="147" t="s">
        <v>545</v>
      </c>
      <c r="G2" s="147" t="s">
        <v>546</v>
      </c>
      <c r="H2" s="147" t="s">
        <v>547</v>
      </c>
      <c r="I2" s="147" t="s">
        <v>548</v>
      </c>
      <c r="J2" s="147" t="s">
        <v>549</v>
      </c>
      <c r="K2" s="147" t="s">
        <v>550</v>
      </c>
      <c r="L2" s="147" t="s">
        <v>551</v>
      </c>
      <c r="M2" s="147" t="s">
        <v>552</v>
      </c>
      <c r="N2" s="147" t="s">
        <v>553</v>
      </c>
      <c r="O2" s="147" t="s">
        <v>554</v>
      </c>
      <c r="P2" s="147" t="s">
        <v>555</v>
      </c>
      <c r="Q2" s="147" t="s">
        <v>25</v>
      </c>
      <c r="R2" s="148"/>
    </row>
    <row r="3" spans="1:19">
      <c r="A3" s="149" t="s">
        <v>181</v>
      </c>
      <c r="B3" s="150" t="s">
        <v>182</v>
      </c>
      <c r="C3" s="150"/>
      <c r="D3" s="151" t="s">
        <v>183</v>
      </c>
      <c r="E3" s="152">
        <f>E4+E31+E52</f>
        <v>3306073.6</v>
      </c>
      <c r="F3" s="152">
        <f t="shared" ref="F3:P3" si="0">F4+F31+F52</f>
        <v>62927525</v>
      </c>
      <c r="G3" s="152">
        <f t="shared" si="0"/>
        <v>25426189.550000001</v>
      </c>
      <c r="H3" s="152">
        <f t="shared" si="0"/>
        <v>26410477.600000001</v>
      </c>
      <c r="I3" s="152">
        <f t="shared" si="0"/>
        <v>32511102.600000001</v>
      </c>
      <c r="J3" s="152">
        <f t="shared" si="0"/>
        <v>9822050.5999999996</v>
      </c>
      <c r="K3" s="152">
        <f t="shared" si="0"/>
        <v>7668188.7000000002</v>
      </c>
      <c r="L3" s="152">
        <f t="shared" si="0"/>
        <v>8720129</v>
      </c>
      <c r="M3" s="152">
        <f t="shared" si="0"/>
        <v>8385542.0499999998</v>
      </c>
      <c r="N3" s="152">
        <f t="shared" si="0"/>
        <v>15847271</v>
      </c>
      <c r="O3" s="152">
        <f t="shared" si="0"/>
        <v>5420378</v>
      </c>
      <c r="P3" s="152">
        <f t="shared" si="0"/>
        <v>2334319.2000000002</v>
      </c>
      <c r="Q3" s="152">
        <f t="shared" ref="Q3:Q66" si="1">SUM(E3:P3)</f>
        <v>208779246.89999998</v>
      </c>
      <c r="R3" s="148"/>
      <c r="S3" s="153"/>
    </row>
    <row r="4" spans="1:19">
      <c r="A4" s="149" t="s">
        <v>184</v>
      </c>
      <c r="B4" s="150" t="s">
        <v>128</v>
      </c>
      <c r="C4" s="150"/>
      <c r="D4" s="151" t="s">
        <v>183</v>
      </c>
      <c r="E4" s="152">
        <f t="shared" ref="E4:P4" si="2">E5+E8+E13+E17+E20+E22+E25+E27+E29+E30</f>
        <v>2831883</v>
      </c>
      <c r="F4" s="152">
        <f t="shared" si="2"/>
        <v>55983847</v>
      </c>
      <c r="G4" s="152">
        <f t="shared" si="2"/>
        <v>22168371</v>
      </c>
      <c r="H4" s="152">
        <f t="shared" si="2"/>
        <v>22597389</v>
      </c>
      <c r="I4" s="152">
        <f t="shared" si="2"/>
        <v>27433036</v>
      </c>
      <c r="J4" s="152">
        <f t="shared" si="2"/>
        <v>8533910</v>
      </c>
      <c r="K4" s="152">
        <f t="shared" si="2"/>
        <v>6544010</v>
      </c>
      <c r="L4" s="152">
        <f t="shared" si="2"/>
        <v>7507464</v>
      </c>
      <c r="M4" s="152">
        <f t="shared" si="2"/>
        <v>6793770</v>
      </c>
      <c r="N4" s="152">
        <f t="shared" si="2"/>
        <v>13345032</v>
      </c>
      <c r="O4" s="152">
        <f t="shared" si="2"/>
        <v>4322447</v>
      </c>
      <c r="P4" s="152">
        <f t="shared" si="2"/>
        <v>1327154</v>
      </c>
      <c r="Q4" s="152">
        <f t="shared" si="1"/>
        <v>179388313</v>
      </c>
    </row>
    <row r="5" spans="1:19">
      <c r="A5" s="149" t="s">
        <v>185</v>
      </c>
      <c r="B5" s="150" t="s">
        <v>186</v>
      </c>
      <c r="C5" s="150"/>
      <c r="D5" s="151" t="s">
        <v>183</v>
      </c>
      <c r="E5" s="152">
        <f>E6+E7</f>
        <v>446544</v>
      </c>
      <c r="F5" s="152">
        <f t="shared" ref="F5:P5" si="3">F6+F7</f>
        <v>8900676</v>
      </c>
      <c r="G5" s="152">
        <f t="shared" si="3"/>
        <v>2528784</v>
      </c>
      <c r="H5" s="152">
        <f t="shared" si="3"/>
        <v>2598744</v>
      </c>
      <c r="I5" s="152">
        <f t="shared" si="3"/>
        <v>3194124</v>
      </c>
      <c r="J5" s="152">
        <f t="shared" si="3"/>
        <v>1279728</v>
      </c>
      <c r="K5" s="152">
        <f t="shared" si="3"/>
        <v>854256</v>
      </c>
      <c r="L5" s="152">
        <f t="shared" si="3"/>
        <v>942006</v>
      </c>
      <c r="M5" s="152">
        <f t="shared" si="3"/>
        <v>832992</v>
      </c>
      <c r="N5" s="152">
        <f t="shared" si="3"/>
        <v>1547628</v>
      </c>
      <c r="O5" s="152">
        <f t="shared" si="3"/>
        <v>517956</v>
      </c>
      <c r="P5" s="152">
        <f t="shared" si="3"/>
        <v>164028</v>
      </c>
      <c r="Q5" s="152">
        <f t="shared" si="1"/>
        <v>23807466</v>
      </c>
    </row>
    <row r="6" spans="1:19">
      <c r="A6" s="149" t="s">
        <v>187</v>
      </c>
      <c r="B6" s="150" t="s">
        <v>188</v>
      </c>
      <c r="C6" s="150" t="s">
        <v>189</v>
      </c>
      <c r="D6" s="151" t="s">
        <v>190</v>
      </c>
      <c r="E6" s="154">
        <v>227244</v>
      </c>
      <c r="F6" s="154">
        <f>376577*12</f>
        <v>4518924</v>
      </c>
      <c r="G6" s="154">
        <v>1812216</v>
      </c>
      <c r="H6" s="154">
        <v>1727808</v>
      </c>
      <c r="I6" s="154">
        <v>2155800</v>
      </c>
      <c r="J6" s="154">
        <v>708708</v>
      </c>
      <c r="K6" s="154">
        <v>546648</v>
      </c>
      <c r="L6" s="154">
        <v>637302</v>
      </c>
      <c r="M6" s="154">
        <v>543180</v>
      </c>
      <c r="N6" s="154">
        <v>1051488</v>
      </c>
      <c r="O6" s="154">
        <v>366492</v>
      </c>
      <c r="P6" s="154">
        <v>118140</v>
      </c>
      <c r="Q6" s="152">
        <f t="shared" si="1"/>
        <v>14413950</v>
      </c>
    </row>
    <row r="7" spans="1:19">
      <c r="A7" s="149" t="s">
        <v>191</v>
      </c>
      <c r="B7" s="150" t="s">
        <v>192</v>
      </c>
      <c r="C7" s="150" t="s">
        <v>189</v>
      </c>
      <c r="D7" s="151" t="s">
        <v>190</v>
      </c>
      <c r="E7" s="154">
        <v>219300</v>
      </c>
      <c r="F7" s="154">
        <f>365146*12</f>
        <v>4381752</v>
      </c>
      <c r="G7" s="154">
        <v>716568</v>
      </c>
      <c r="H7" s="154">
        <v>870936</v>
      </c>
      <c r="I7" s="154">
        <v>1038324</v>
      </c>
      <c r="J7" s="154">
        <v>571020</v>
      </c>
      <c r="K7" s="154">
        <v>307608</v>
      </c>
      <c r="L7" s="154">
        <v>304704</v>
      </c>
      <c r="M7" s="154">
        <v>289812</v>
      </c>
      <c r="N7" s="154">
        <v>496140</v>
      </c>
      <c r="O7" s="154">
        <v>151464</v>
      </c>
      <c r="P7" s="154">
        <v>45888</v>
      </c>
      <c r="Q7" s="152">
        <f t="shared" si="1"/>
        <v>9393516</v>
      </c>
    </row>
    <row r="8" spans="1:19">
      <c r="A8" s="149" t="s">
        <v>193</v>
      </c>
      <c r="B8" s="150" t="s">
        <v>194</v>
      </c>
      <c r="C8" s="150"/>
      <c r="D8" s="151" t="s">
        <v>183</v>
      </c>
      <c r="E8" s="152">
        <f>E9+E10</f>
        <v>48840</v>
      </c>
      <c r="F8" s="152">
        <f t="shared" ref="F8:P8" si="4">F9+F10</f>
        <v>952896</v>
      </c>
      <c r="G8" s="152">
        <f t="shared" si="4"/>
        <v>403608</v>
      </c>
      <c r="H8" s="152">
        <f t="shared" si="4"/>
        <v>402996</v>
      </c>
      <c r="I8" s="152">
        <f t="shared" si="4"/>
        <v>505956</v>
      </c>
      <c r="J8" s="152">
        <f t="shared" si="4"/>
        <v>157944</v>
      </c>
      <c r="K8" s="152">
        <f t="shared" si="4"/>
        <v>124584</v>
      </c>
      <c r="L8" s="152">
        <f t="shared" si="4"/>
        <v>145788</v>
      </c>
      <c r="M8" s="152">
        <f t="shared" si="4"/>
        <v>129600</v>
      </c>
      <c r="N8" s="152">
        <f t="shared" si="4"/>
        <v>258624</v>
      </c>
      <c r="O8" s="152">
        <f t="shared" si="4"/>
        <v>86196</v>
      </c>
      <c r="P8" s="152">
        <f t="shared" si="4"/>
        <v>27000</v>
      </c>
      <c r="Q8" s="152">
        <f t="shared" si="1"/>
        <v>3244032</v>
      </c>
    </row>
    <row r="9" spans="1:19">
      <c r="A9" s="149" t="s">
        <v>195</v>
      </c>
      <c r="B9" s="150" t="s">
        <v>196</v>
      </c>
      <c r="C9" s="150" t="s">
        <v>189</v>
      </c>
      <c r="D9" s="151" t="s">
        <v>190</v>
      </c>
      <c r="E9" s="154">
        <v>672</v>
      </c>
      <c r="F9" s="154">
        <f>1358*12</f>
        <v>16296</v>
      </c>
      <c r="G9" s="154">
        <v>2208</v>
      </c>
      <c r="H9" s="154">
        <v>1596</v>
      </c>
      <c r="I9" s="154">
        <v>2868</v>
      </c>
      <c r="J9" s="154">
        <v>2736</v>
      </c>
      <c r="K9" s="154">
        <v>1488</v>
      </c>
      <c r="L9" s="154">
        <v>1284</v>
      </c>
      <c r="M9" s="154">
        <v>1152</v>
      </c>
      <c r="N9" s="154">
        <v>1728</v>
      </c>
      <c r="O9" s="154">
        <v>564</v>
      </c>
      <c r="P9" s="154">
        <v>240</v>
      </c>
      <c r="Q9" s="152">
        <f t="shared" si="1"/>
        <v>32832</v>
      </c>
    </row>
    <row r="10" spans="1:19">
      <c r="A10" s="149" t="s">
        <v>197</v>
      </c>
      <c r="B10" s="150" t="s">
        <v>198</v>
      </c>
      <c r="C10" s="150"/>
      <c r="D10" s="151" t="s">
        <v>183</v>
      </c>
      <c r="E10" s="152">
        <f>E11+E12</f>
        <v>48168</v>
      </c>
      <c r="F10" s="152">
        <f t="shared" ref="F10:P10" si="5">F11+F12</f>
        <v>936600</v>
      </c>
      <c r="G10" s="152">
        <f t="shared" si="5"/>
        <v>401400</v>
      </c>
      <c r="H10" s="152">
        <f t="shared" si="5"/>
        <v>401400</v>
      </c>
      <c r="I10" s="152">
        <f t="shared" si="5"/>
        <v>503088</v>
      </c>
      <c r="J10" s="152">
        <f t="shared" si="5"/>
        <v>155208</v>
      </c>
      <c r="K10" s="152">
        <f t="shared" si="5"/>
        <v>123096</v>
      </c>
      <c r="L10" s="152">
        <f t="shared" si="5"/>
        <v>144504</v>
      </c>
      <c r="M10" s="152">
        <f t="shared" si="5"/>
        <v>128448</v>
      </c>
      <c r="N10" s="152">
        <f t="shared" si="5"/>
        <v>256896</v>
      </c>
      <c r="O10" s="152">
        <f t="shared" si="5"/>
        <v>85632</v>
      </c>
      <c r="P10" s="152">
        <f t="shared" si="5"/>
        <v>26760</v>
      </c>
      <c r="Q10" s="152">
        <f t="shared" si="1"/>
        <v>3211200</v>
      </c>
    </row>
    <row r="11" spans="1:19" s="157" customFormat="1">
      <c r="A11" s="149" t="s">
        <v>199</v>
      </c>
      <c r="B11" s="155" t="s">
        <v>200</v>
      </c>
      <c r="C11" s="155" t="s">
        <v>189</v>
      </c>
      <c r="D11" s="156" t="s">
        <v>183</v>
      </c>
      <c r="E11" s="152">
        <f>72*E96</f>
        <v>648</v>
      </c>
      <c r="F11" s="152">
        <f t="shared" ref="F11:P11" si="6">72*F96</f>
        <v>12600</v>
      </c>
      <c r="G11" s="152">
        <f t="shared" si="6"/>
        <v>5400</v>
      </c>
      <c r="H11" s="152">
        <f t="shared" si="6"/>
        <v>5400</v>
      </c>
      <c r="I11" s="152">
        <f t="shared" si="6"/>
        <v>6768</v>
      </c>
      <c r="J11" s="152">
        <f t="shared" si="6"/>
        <v>2088</v>
      </c>
      <c r="K11" s="152">
        <f t="shared" si="6"/>
        <v>1656</v>
      </c>
      <c r="L11" s="152">
        <f t="shared" si="6"/>
        <v>1944</v>
      </c>
      <c r="M11" s="152">
        <f t="shared" si="6"/>
        <v>1728</v>
      </c>
      <c r="N11" s="152">
        <f t="shared" si="6"/>
        <v>3456</v>
      </c>
      <c r="O11" s="152">
        <f t="shared" si="6"/>
        <v>1152</v>
      </c>
      <c r="P11" s="152">
        <f t="shared" si="6"/>
        <v>360</v>
      </c>
      <c r="Q11" s="152">
        <f t="shared" si="1"/>
        <v>43200</v>
      </c>
    </row>
    <row r="12" spans="1:19" s="157" customFormat="1">
      <c r="A12" s="149" t="s">
        <v>201</v>
      </c>
      <c r="B12" s="155" t="s">
        <v>202</v>
      </c>
      <c r="C12" s="155" t="s">
        <v>189</v>
      </c>
      <c r="D12" s="156" t="s">
        <v>183</v>
      </c>
      <c r="E12" s="152">
        <f>440*12*E96</f>
        <v>47520</v>
      </c>
      <c r="F12" s="152">
        <f t="shared" ref="F12:P12" si="7">440*12*F96</f>
        <v>924000</v>
      </c>
      <c r="G12" s="152">
        <f t="shared" si="7"/>
        <v>396000</v>
      </c>
      <c r="H12" s="152">
        <f t="shared" si="7"/>
        <v>396000</v>
      </c>
      <c r="I12" s="152">
        <f t="shared" si="7"/>
        <v>496320</v>
      </c>
      <c r="J12" s="152">
        <f t="shared" si="7"/>
        <v>153120</v>
      </c>
      <c r="K12" s="152">
        <f t="shared" si="7"/>
        <v>121440</v>
      </c>
      <c r="L12" s="152">
        <f t="shared" si="7"/>
        <v>142560</v>
      </c>
      <c r="M12" s="152">
        <f t="shared" si="7"/>
        <v>126720</v>
      </c>
      <c r="N12" s="152">
        <f t="shared" si="7"/>
        <v>253440</v>
      </c>
      <c r="O12" s="152">
        <f t="shared" si="7"/>
        <v>84480</v>
      </c>
      <c r="P12" s="152">
        <f t="shared" si="7"/>
        <v>26400</v>
      </c>
      <c r="Q12" s="152">
        <f t="shared" si="1"/>
        <v>3168000</v>
      </c>
    </row>
    <row r="13" spans="1:19">
      <c r="A13" s="149" t="s">
        <v>203</v>
      </c>
      <c r="B13" s="150" t="s">
        <v>204</v>
      </c>
      <c r="C13" s="150"/>
      <c r="D13" s="151" t="s">
        <v>205</v>
      </c>
      <c r="E13" s="152">
        <f>E14+E15+E16</f>
        <v>48582</v>
      </c>
      <c r="F13" s="152">
        <f t="shared" ref="F13:P13" si="8">F14+F15+F16</f>
        <v>863400</v>
      </c>
      <c r="G13" s="152">
        <f t="shared" si="8"/>
        <v>341916</v>
      </c>
      <c r="H13" s="152">
        <f t="shared" si="8"/>
        <v>360846</v>
      </c>
      <c r="I13" s="152">
        <f t="shared" si="8"/>
        <v>408738</v>
      </c>
      <c r="J13" s="152">
        <f t="shared" si="8"/>
        <v>131382</v>
      </c>
      <c r="K13" s="152">
        <f t="shared" si="8"/>
        <v>100890</v>
      </c>
      <c r="L13" s="152">
        <f t="shared" si="8"/>
        <v>112470</v>
      </c>
      <c r="M13" s="152">
        <f t="shared" si="8"/>
        <v>106542</v>
      </c>
      <c r="N13" s="152">
        <f t="shared" si="8"/>
        <v>206580</v>
      </c>
      <c r="O13" s="152">
        <f t="shared" si="8"/>
        <v>62125</v>
      </c>
      <c r="P13" s="152">
        <f t="shared" si="8"/>
        <v>18054</v>
      </c>
      <c r="Q13" s="152">
        <f t="shared" si="1"/>
        <v>2761525</v>
      </c>
    </row>
    <row r="14" spans="1:19" s="157" customFormat="1">
      <c r="A14" s="149" t="s">
        <v>206</v>
      </c>
      <c r="B14" s="155" t="s">
        <v>556</v>
      </c>
      <c r="C14" s="155" t="s">
        <v>189</v>
      </c>
      <c r="D14" s="156" t="s">
        <v>208</v>
      </c>
      <c r="E14" s="152">
        <f>E16*3</f>
        <v>29149.199999999997</v>
      </c>
      <c r="F14" s="152">
        <f t="shared" ref="F14:P14" si="9">F16*3</f>
        <v>518040</v>
      </c>
      <c r="G14" s="152">
        <f t="shared" si="9"/>
        <v>205149.59999999998</v>
      </c>
      <c r="H14" s="152">
        <f t="shared" si="9"/>
        <v>216507.59999999998</v>
      </c>
      <c r="I14" s="152">
        <f t="shared" si="9"/>
        <v>245242.80000000002</v>
      </c>
      <c r="J14" s="152">
        <f t="shared" si="9"/>
        <v>78829.200000000012</v>
      </c>
      <c r="K14" s="152">
        <f t="shared" si="9"/>
        <v>60534</v>
      </c>
      <c r="L14" s="152">
        <f t="shared" si="9"/>
        <v>67482</v>
      </c>
      <c r="M14" s="152">
        <f t="shared" si="9"/>
        <v>63925.200000000004</v>
      </c>
      <c r="N14" s="152">
        <f t="shared" si="9"/>
        <v>123948</v>
      </c>
      <c r="O14" s="152">
        <f t="shared" si="9"/>
        <v>37275</v>
      </c>
      <c r="P14" s="152">
        <f t="shared" si="9"/>
        <v>10832.400000000001</v>
      </c>
      <c r="Q14" s="152">
        <f t="shared" si="1"/>
        <v>1656914.9999999998</v>
      </c>
    </row>
    <row r="15" spans="1:19" s="157" customFormat="1">
      <c r="A15" s="149" t="s">
        <v>209</v>
      </c>
      <c r="B15" s="155" t="s">
        <v>557</v>
      </c>
      <c r="C15" s="155" t="s">
        <v>189</v>
      </c>
      <c r="D15" s="156" t="s">
        <v>208</v>
      </c>
      <c r="E15" s="152">
        <f>E16</f>
        <v>9716.4</v>
      </c>
      <c r="F15" s="152">
        <f t="shared" ref="F15:P15" si="10">F16</f>
        <v>172680</v>
      </c>
      <c r="G15" s="152">
        <f t="shared" si="10"/>
        <v>68383.199999999997</v>
      </c>
      <c r="H15" s="152">
        <f t="shared" si="10"/>
        <v>72169.2</v>
      </c>
      <c r="I15" s="152">
        <f t="shared" si="10"/>
        <v>81747.600000000006</v>
      </c>
      <c r="J15" s="152">
        <f t="shared" si="10"/>
        <v>26276.400000000001</v>
      </c>
      <c r="K15" s="152">
        <f t="shared" si="10"/>
        <v>20178</v>
      </c>
      <c r="L15" s="152">
        <f t="shared" si="10"/>
        <v>22494</v>
      </c>
      <c r="M15" s="152">
        <f t="shared" si="10"/>
        <v>21308.400000000001</v>
      </c>
      <c r="N15" s="152">
        <f t="shared" si="10"/>
        <v>41316</v>
      </c>
      <c r="O15" s="152">
        <f t="shared" si="10"/>
        <v>12425</v>
      </c>
      <c r="P15" s="152">
        <f t="shared" si="10"/>
        <v>3610.8</v>
      </c>
      <c r="Q15" s="152">
        <f t="shared" si="1"/>
        <v>552305.00000000012</v>
      </c>
    </row>
    <row r="16" spans="1:19" s="157" customFormat="1">
      <c r="A16" s="149" t="s">
        <v>211</v>
      </c>
      <c r="B16" s="155" t="s">
        <v>558</v>
      </c>
      <c r="C16" s="155" t="s">
        <v>189</v>
      </c>
      <c r="D16" s="156" t="s">
        <v>208</v>
      </c>
      <c r="E16" s="154">
        <v>9716.4</v>
      </c>
      <c r="F16" s="154">
        <f>14390*12</f>
        <v>172680</v>
      </c>
      <c r="G16" s="154">
        <v>68383.199999999997</v>
      </c>
      <c r="H16" s="154">
        <v>72169.2</v>
      </c>
      <c r="I16" s="154">
        <v>81747.600000000006</v>
      </c>
      <c r="J16" s="154">
        <v>26276.400000000001</v>
      </c>
      <c r="K16" s="154">
        <v>20178</v>
      </c>
      <c r="L16" s="154">
        <v>22494</v>
      </c>
      <c r="M16" s="154">
        <v>21308.400000000001</v>
      </c>
      <c r="N16" s="154">
        <v>41316</v>
      </c>
      <c r="O16" s="154">
        <v>12425</v>
      </c>
      <c r="P16" s="154">
        <v>3610.8</v>
      </c>
      <c r="Q16" s="152">
        <f t="shared" si="1"/>
        <v>552305.00000000012</v>
      </c>
    </row>
    <row r="17" spans="1:17">
      <c r="A17" s="149" t="s">
        <v>213</v>
      </c>
      <c r="B17" s="150" t="s">
        <v>214</v>
      </c>
      <c r="C17" s="150"/>
      <c r="D17" s="151" t="s">
        <v>183</v>
      </c>
      <c r="E17" s="152">
        <v>1327041</v>
      </c>
      <c r="F17" s="152">
        <v>28045675</v>
      </c>
      <c r="G17" s="152">
        <v>12019575</v>
      </c>
      <c r="H17" s="152">
        <v>12019575</v>
      </c>
      <c r="I17" s="152">
        <v>15064534</v>
      </c>
      <c r="J17" s="152">
        <v>4321580</v>
      </c>
      <c r="K17" s="152">
        <v>3427460</v>
      </c>
      <c r="L17" s="152">
        <v>4023540</v>
      </c>
      <c r="M17" s="152">
        <v>3576480</v>
      </c>
      <c r="N17" s="152">
        <v>7152960</v>
      </c>
      <c r="O17" s="152">
        <v>2384320</v>
      </c>
      <c r="P17" s="152">
        <v>745100</v>
      </c>
      <c r="Q17" s="152">
        <f t="shared" si="1"/>
        <v>94107840</v>
      </c>
    </row>
    <row r="18" spans="1:17" ht="22.5">
      <c r="A18" s="149" t="s">
        <v>215</v>
      </c>
      <c r="B18" s="158" t="s">
        <v>216</v>
      </c>
      <c r="C18" s="158" t="s">
        <v>189</v>
      </c>
      <c r="D18" s="159" t="s">
        <v>217</v>
      </c>
      <c r="E18" s="160">
        <f>E17-E19</f>
        <v>1327041</v>
      </c>
      <c r="F18" s="160">
        <f t="shared" ref="F18:P18" si="11">F17-F19</f>
        <v>27858395</v>
      </c>
      <c r="G18" s="160">
        <f t="shared" si="11"/>
        <v>11859443</v>
      </c>
      <c r="H18" s="160">
        <f t="shared" si="11"/>
        <v>11849411</v>
      </c>
      <c r="I18" s="160">
        <f t="shared" si="11"/>
        <v>14878278</v>
      </c>
      <c r="J18" s="160">
        <f t="shared" si="11"/>
        <v>4173524</v>
      </c>
      <c r="K18" s="160">
        <f t="shared" si="11"/>
        <v>3268376</v>
      </c>
      <c r="L18" s="160">
        <f t="shared" si="11"/>
        <v>3869964</v>
      </c>
      <c r="M18" s="160">
        <f t="shared" si="11"/>
        <v>3448576</v>
      </c>
      <c r="N18" s="160">
        <f t="shared" si="11"/>
        <v>6989544</v>
      </c>
      <c r="O18" s="160">
        <f t="shared" si="11"/>
        <v>2237464</v>
      </c>
      <c r="P18" s="160">
        <f t="shared" si="11"/>
        <v>625324</v>
      </c>
      <c r="Q18" s="152">
        <f t="shared" si="1"/>
        <v>92385340</v>
      </c>
    </row>
    <row r="19" spans="1:17">
      <c r="A19" s="149" t="s">
        <v>218</v>
      </c>
      <c r="B19" s="158" t="s">
        <v>219</v>
      </c>
      <c r="C19" s="158" t="s">
        <v>189</v>
      </c>
      <c r="D19" s="159" t="s">
        <v>220</v>
      </c>
      <c r="E19" s="160"/>
      <c r="F19" s="161">
        <v>187280</v>
      </c>
      <c r="G19" s="160">
        <v>160132</v>
      </c>
      <c r="H19" s="160">
        <v>170164</v>
      </c>
      <c r="I19" s="160">
        <v>186256</v>
      </c>
      <c r="J19" s="160">
        <v>148056</v>
      </c>
      <c r="K19" s="160">
        <v>159084</v>
      </c>
      <c r="L19" s="160">
        <v>153576</v>
      </c>
      <c r="M19" s="160">
        <v>127904</v>
      </c>
      <c r="N19" s="160">
        <v>163416</v>
      </c>
      <c r="O19" s="160">
        <v>146856</v>
      </c>
      <c r="P19" s="160">
        <v>119776</v>
      </c>
      <c r="Q19" s="152">
        <f t="shared" si="1"/>
        <v>1722500</v>
      </c>
    </row>
    <row r="20" spans="1:17">
      <c r="A20" s="149" t="s">
        <v>221</v>
      </c>
      <c r="B20" s="150" t="s">
        <v>222</v>
      </c>
      <c r="C20" s="150"/>
      <c r="D20" s="159" t="s">
        <v>183</v>
      </c>
      <c r="E20" s="162">
        <f>E21</f>
        <v>194328</v>
      </c>
      <c r="F20" s="162">
        <f t="shared" ref="F20:P20" si="12">F21</f>
        <v>3453600</v>
      </c>
      <c r="G20" s="162">
        <f t="shared" si="12"/>
        <v>1367664</v>
      </c>
      <c r="H20" s="162">
        <f t="shared" si="12"/>
        <v>1443384</v>
      </c>
      <c r="I20" s="162">
        <f t="shared" si="12"/>
        <v>1634952</v>
      </c>
      <c r="J20" s="162">
        <f t="shared" si="12"/>
        <v>525528</v>
      </c>
      <c r="K20" s="162">
        <f t="shared" si="12"/>
        <v>403560</v>
      </c>
      <c r="L20" s="162">
        <f t="shared" si="12"/>
        <v>449880</v>
      </c>
      <c r="M20" s="162">
        <f t="shared" si="12"/>
        <v>426168</v>
      </c>
      <c r="N20" s="162">
        <f t="shared" si="12"/>
        <v>826320</v>
      </c>
      <c r="O20" s="162">
        <f t="shared" si="12"/>
        <v>248500</v>
      </c>
      <c r="P20" s="162">
        <f t="shared" si="12"/>
        <v>72216</v>
      </c>
      <c r="Q20" s="152">
        <f t="shared" si="1"/>
        <v>11046100</v>
      </c>
    </row>
    <row r="21" spans="1:17">
      <c r="A21" s="149" t="s">
        <v>223</v>
      </c>
      <c r="B21" s="150" t="s">
        <v>559</v>
      </c>
      <c r="C21" s="150" t="s">
        <v>225</v>
      </c>
      <c r="D21" s="159" t="s">
        <v>183</v>
      </c>
      <c r="E21" s="162">
        <f>E16*20</f>
        <v>194328</v>
      </c>
      <c r="F21" s="162">
        <f t="shared" ref="F21:P21" si="13">F16*20</f>
        <v>3453600</v>
      </c>
      <c r="G21" s="162">
        <f t="shared" si="13"/>
        <v>1367664</v>
      </c>
      <c r="H21" s="162">
        <f t="shared" si="13"/>
        <v>1443384</v>
      </c>
      <c r="I21" s="162">
        <f t="shared" si="13"/>
        <v>1634952</v>
      </c>
      <c r="J21" s="162">
        <f t="shared" si="13"/>
        <v>525528</v>
      </c>
      <c r="K21" s="162">
        <f t="shared" si="13"/>
        <v>403560</v>
      </c>
      <c r="L21" s="162">
        <f t="shared" si="13"/>
        <v>449880</v>
      </c>
      <c r="M21" s="162">
        <f t="shared" si="13"/>
        <v>426168</v>
      </c>
      <c r="N21" s="162">
        <f t="shared" si="13"/>
        <v>826320</v>
      </c>
      <c r="O21" s="162">
        <f t="shared" si="13"/>
        <v>248500</v>
      </c>
      <c r="P21" s="162">
        <f t="shared" si="13"/>
        <v>72216</v>
      </c>
      <c r="Q21" s="152">
        <f t="shared" si="1"/>
        <v>11046100</v>
      </c>
    </row>
    <row r="22" spans="1:17">
      <c r="A22" s="149" t="s">
        <v>226</v>
      </c>
      <c r="B22" s="150" t="s">
        <v>227</v>
      </c>
      <c r="C22" s="150"/>
      <c r="D22" s="159" t="s">
        <v>208</v>
      </c>
      <c r="E22" s="162">
        <f>E23+E24</f>
        <v>77731.199999999997</v>
      </c>
      <c r="F22" s="162">
        <f t="shared" ref="F22:P22" si="14">F23+F24</f>
        <v>1381440</v>
      </c>
      <c r="G22" s="162">
        <f t="shared" si="14"/>
        <v>547065.59999999998</v>
      </c>
      <c r="H22" s="162">
        <f t="shared" si="14"/>
        <v>577353.6</v>
      </c>
      <c r="I22" s="162">
        <f t="shared" si="14"/>
        <v>653980.80000000005</v>
      </c>
      <c r="J22" s="162">
        <f t="shared" si="14"/>
        <v>210211.20000000001</v>
      </c>
      <c r="K22" s="162">
        <f t="shared" si="14"/>
        <v>161424</v>
      </c>
      <c r="L22" s="162">
        <f t="shared" si="14"/>
        <v>179952</v>
      </c>
      <c r="M22" s="162">
        <f t="shared" si="14"/>
        <v>170467.20000000001</v>
      </c>
      <c r="N22" s="162">
        <f t="shared" si="14"/>
        <v>330528</v>
      </c>
      <c r="O22" s="162">
        <f t="shared" si="14"/>
        <v>99400</v>
      </c>
      <c r="P22" s="162">
        <f t="shared" si="14"/>
        <v>28886.400000000001</v>
      </c>
      <c r="Q22" s="152">
        <f t="shared" si="1"/>
        <v>4418440.0000000009</v>
      </c>
    </row>
    <row r="23" spans="1:17">
      <c r="A23" s="149" t="s">
        <v>228</v>
      </c>
      <c r="B23" s="150" t="s">
        <v>560</v>
      </c>
      <c r="C23" s="150" t="s">
        <v>230</v>
      </c>
      <c r="D23" s="159" t="s">
        <v>208</v>
      </c>
      <c r="E23" s="162">
        <f>E16*4</f>
        <v>38865.599999999999</v>
      </c>
      <c r="F23" s="162">
        <f t="shared" ref="F23:P23" si="15">F16*4</f>
        <v>690720</v>
      </c>
      <c r="G23" s="162">
        <f t="shared" si="15"/>
        <v>273532.79999999999</v>
      </c>
      <c r="H23" s="162">
        <f t="shared" si="15"/>
        <v>288676.8</v>
      </c>
      <c r="I23" s="162">
        <f t="shared" si="15"/>
        <v>326990.40000000002</v>
      </c>
      <c r="J23" s="162">
        <f t="shared" si="15"/>
        <v>105105.60000000001</v>
      </c>
      <c r="K23" s="162">
        <f t="shared" si="15"/>
        <v>80712</v>
      </c>
      <c r="L23" s="162">
        <f t="shared" si="15"/>
        <v>89976</v>
      </c>
      <c r="M23" s="162">
        <f t="shared" si="15"/>
        <v>85233.600000000006</v>
      </c>
      <c r="N23" s="162">
        <f t="shared" si="15"/>
        <v>165264</v>
      </c>
      <c r="O23" s="162">
        <f t="shared" si="15"/>
        <v>49700</v>
      </c>
      <c r="P23" s="162">
        <f t="shared" si="15"/>
        <v>14443.2</v>
      </c>
      <c r="Q23" s="152">
        <f t="shared" si="1"/>
        <v>2209220.0000000005</v>
      </c>
    </row>
    <row r="24" spans="1:17">
      <c r="A24" s="149" t="s">
        <v>231</v>
      </c>
      <c r="B24" s="150" t="s">
        <v>561</v>
      </c>
      <c r="C24" s="150" t="s">
        <v>230</v>
      </c>
      <c r="D24" s="159" t="s">
        <v>208</v>
      </c>
      <c r="E24" s="162">
        <f>E16*4</f>
        <v>38865.599999999999</v>
      </c>
      <c r="F24" s="162">
        <f t="shared" ref="F24:P24" si="16">F16*4</f>
        <v>690720</v>
      </c>
      <c r="G24" s="162">
        <f t="shared" si="16"/>
        <v>273532.79999999999</v>
      </c>
      <c r="H24" s="162">
        <f t="shared" si="16"/>
        <v>288676.8</v>
      </c>
      <c r="I24" s="162">
        <f t="shared" si="16"/>
        <v>326990.40000000002</v>
      </c>
      <c r="J24" s="162">
        <f t="shared" si="16"/>
        <v>105105.60000000001</v>
      </c>
      <c r="K24" s="162">
        <f t="shared" si="16"/>
        <v>80712</v>
      </c>
      <c r="L24" s="162">
        <f t="shared" si="16"/>
        <v>89976</v>
      </c>
      <c r="M24" s="162">
        <f t="shared" si="16"/>
        <v>85233.600000000006</v>
      </c>
      <c r="N24" s="162">
        <f t="shared" si="16"/>
        <v>165264</v>
      </c>
      <c r="O24" s="162">
        <f t="shared" si="16"/>
        <v>49700</v>
      </c>
      <c r="P24" s="162">
        <f t="shared" si="16"/>
        <v>14443.2</v>
      </c>
      <c r="Q24" s="152">
        <f t="shared" si="1"/>
        <v>2209220.0000000005</v>
      </c>
    </row>
    <row r="25" spans="1:17">
      <c r="A25" s="149" t="s">
        <v>233</v>
      </c>
      <c r="B25" s="150" t="s">
        <v>234</v>
      </c>
      <c r="C25" s="150"/>
      <c r="D25" s="151" t="s">
        <v>183</v>
      </c>
      <c r="E25" s="152">
        <f>E26</f>
        <v>310924.79999999999</v>
      </c>
      <c r="F25" s="152">
        <f t="shared" ref="F25:P25" si="17">F26</f>
        <v>5525760</v>
      </c>
      <c r="G25" s="152">
        <f t="shared" si="17"/>
        <v>2188262.3999999999</v>
      </c>
      <c r="H25" s="152">
        <f t="shared" si="17"/>
        <v>2309414.4</v>
      </c>
      <c r="I25" s="152">
        <f t="shared" si="17"/>
        <v>2615923.2000000002</v>
      </c>
      <c r="J25" s="152">
        <f t="shared" si="17"/>
        <v>840844.80000000005</v>
      </c>
      <c r="K25" s="152">
        <f t="shared" si="17"/>
        <v>645696</v>
      </c>
      <c r="L25" s="152">
        <f t="shared" si="17"/>
        <v>719808</v>
      </c>
      <c r="M25" s="152">
        <f t="shared" si="17"/>
        <v>681868.80000000005</v>
      </c>
      <c r="N25" s="152">
        <f t="shared" si="17"/>
        <v>1322112</v>
      </c>
      <c r="O25" s="152">
        <f t="shared" si="17"/>
        <v>397600</v>
      </c>
      <c r="P25" s="152">
        <f t="shared" si="17"/>
        <v>115545.60000000001</v>
      </c>
      <c r="Q25" s="152">
        <f t="shared" si="1"/>
        <v>17673760.000000004</v>
      </c>
    </row>
    <row r="26" spans="1:17" s="157" customFormat="1">
      <c r="A26" s="149" t="s">
        <v>235</v>
      </c>
      <c r="B26" s="155" t="s">
        <v>562</v>
      </c>
      <c r="C26" s="155" t="s">
        <v>237</v>
      </c>
      <c r="D26" s="156" t="s">
        <v>208</v>
      </c>
      <c r="E26" s="152">
        <f>E16*32</f>
        <v>310924.79999999999</v>
      </c>
      <c r="F26" s="152">
        <f t="shared" ref="F26:P26" si="18">F16*32</f>
        <v>5525760</v>
      </c>
      <c r="G26" s="152">
        <f t="shared" si="18"/>
        <v>2188262.3999999999</v>
      </c>
      <c r="H26" s="152">
        <f t="shared" si="18"/>
        <v>2309414.4</v>
      </c>
      <c r="I26" s="152">
        <f t="shared" si="18"/>
        <v>2615923.2000000002</v>
      </c>
      <c r="J26" s="152">
        <f t="shared" si="18"/>
        <v>840844.80000000005</v>
      </c>
      <c r="K26" s="152">
        <f t="shared" si="18"/>
        <v>645696</v>
      </c>
      <c r="L26" s="152">
        <f t="shared" si="18"/>
        <v>719808</v>
      </c>
      <c r="M26" s="152">
        <f t="shared" si="18"/>
        <v>681868.80000000005</v>
      </c>
      <c r="N26" s="152">
        <f t="shared" si="18"/>
        <v>1322112</v>
      </c>
      <c r="O26" s="152">
        <f t="shared" si="18"/>
        <v>397600</v>
      </c>
      <c r="P26" s="152">
        <f t="shared" si="18"/>
        <v>115545.60000000001</v>
      </c>
      <c r="Q26" s="152">
        <f t="shared" si="1"/>
        <v>17673760.000000004</v>
      </c>
    </row>
    <row r="27" spans="1:17">
      <c r="A27" s="149" t="s">
        <v>238</v>
      </c>
      <c r="B27" s="150" t="s">
        <v>239</v>
      </c>
      <c r="C27" s="150"/>
      <c r="D27" s="151" t="s">
        <v>183</v>
      </c>
      <c r="E27" s="152">
        <f>E28</f>
        <v>155462.39999999999</v>
      </c>
      <c r="F27" s="152">
        <f t="shared" ref="F27:P27" si="19">F28</f>
        <v>2762880</v>
      </c>
      <c r="G27" s="152">
        <f t="shared" si="19"/>
        <v>1094131.2</v>
      </c>
      <c r="H27" s="152">
        <f t="shared" si="19"/>
        <v>1154707.2</v>
      </c>
      <c r="I27" s="152">
        <f t="shared" si="19"/>
        <v>1307961.6000000001</v>
      </c>
      <c r="J27" s="152">
        <f t="shared" si="19"/>
        <v>420422.40000000002</v>
      </c>
      <c r="K27" s="152">
        <f t="shared" si="19"/>
        <v>322848</v>
      </c>
      <c r="L27" s="152">
        <f t="shared" si="19"/>
        <v>359904</v>
      </c>
      <c r="M27" s="152">
        <f t="shared" si="19"/>
        <v>340934.40000000002</v>
      </c>
      <c r="N27" s="152">
        <f t="shared" si="19"/>
        <v>661056</v>
      </c>
      <c r="O27" s="152">
        <f t="shared" si="19"/>
        <v>198800</v>
      </c>
      <c r="P27" s="152">
        <f t="shared" si="19"/>
        <v>57772.800000000003</v>
      </c>
      <c r="Q27" s="152">
        <f t="shared" si="1"/>
        <v>8836880.0000000019</v>
      </c>
    </row>
    <row r="28" spans="1:17" s="157" customFormat="1">
      <c r="A28" s="149" t="s">
        <v>240</v>
      </c>
      <c r="B28" s="155" t="s">
        <v>241</v>
      </c>
      <c r="C28" s="155" t="s">
        <v>242</v>
      </c>
      <c r="D28" s="156" t="s">
        <v>208</v>
      </c>
      <c r="E28" s="152">
        <f>E16*16</f>
        <v>155462.39999999999</v>
      </c>
      <c r="F28" s="152">
        <f t="shared" ref="F28:P28" si="20">F16*16</f>
        <v>2762880</v>
      </c>
      <c r="G28" s="152">
        <f t="shared" si="20"/>
        <v>1094131.2</v>
      </c>
      <c r="H28" s="152">
        <f t="shared" si="20"/>
        <v>1154707.2</v>
      </c>
      <c r="I28" s="152">
        <f t="shared" si="20"/>
        <v>1307961.6000000001</v>
      </c>
      <c r="J28" s="152">
        <f t="shared" si="20"/>
        <v>420422.40000000002</v>
      </c>
      <c r="K28" s="152">
        <f t="shared" si="20"/>
        <v>322848</v>
      </c>
      <c r="L28" s="152">
        <f t="shared" si="20"/>
        <v>359904</v>
      </c>
      <c r="M28" s="152">
        <f t="shared" si="20"/>
        <v>340934.40000000002</v>
      </c>
      <c r="N28" s="152">
        <f t="shared" si="20"/>
        <v>661056</v>
      </c>
      <c r="O28" s="152">
        <f t="shared" si="20"/>
        <v>198800</v>
      </c>
      <c r="P28" s="152">
        <f t="shared" si="20"/>
        <v>57772.800000000003</v>
      </c>
      <c r="Q28" s="152">
        <f t="shared" si="1"/>
        <v>8836880.0000000019</v>
      </c>
    </row>
    <row r="29" spans="1:17" ht="22.5">
      <c r="A29" s="149" t="s">
        <v>243</v>
      </c>
      <c r="B29" s="150" t="s">
        <v>244</v>
      </c>
      <c r="C29" s="158" t="s">
        <v>189</v>
      </c>
      <c r="D29" s="156" t="s">
        <v>245</v>
      </c>
      <c r="E29" s="152">
        <f>9600*E96</f>
        <v>86400</v>
      </c>
      <c r="F29" s="152">
        <f t="shared" ref="F29:P29" si="21">9600*F96</f>
        <v>1680000</v>
      </c>
      <c r="G29" s="152">
        <f t="shared" si="21"/>
        <v>720000</v>
      </c>
      <c r="H29" s="152">
        <f t="shared" si="21"/>
        <v>720000</v>
      </c>
      <c r="I29" s="152">
        <f t="shared" si="21"/>
        <v>902400</v>
      </c>
      <c r="J29" s="152">
        <f t="shared" si="21"/>
        <v>278400</v>
      </c>
      <c r="K29" s="152">
        <f t="shared" si="21"/>
        <v>220800</v>
      </c>
      <c r="L29" s="152">
        <f t="shared" si="21"/>
        <v>259200</v>
      </c>
      <c r="M29" s="152">
        <f t="shared" si="21"/>
        <v>230400</v>
      </c>
      <c r="N29" s="152">
        <f t="shared" si="21"/>
        <v>460800</v>
      </c>
      <c r="O29" s="152">
        <f t="shared" si="21"/>
        <v>153600</v>
      </c>
      <c r="P29" s="152">
        <f t="shared" si="21"/>
        <v>48000</v>
      </c>
      <c r="Q29" s="152">
        <f t="shared" si="1"/>
        <v>5760000</v>
      </c>
    </row>
    <row r="30" spans="1:17">
      <c r="A30" s="149" t="s">
        <v>246</v>
      </c>
      <c r="B30" s="150" t="s">
        <v>247</v>
      </c>
      <c r="C30" s="150" t="s">
        <v>247</v>
      </c>
      <c r="D30" s="156" t="s">
        <v>208</v>
      </c>
      <c r="E30" s="162">
        <f>E16*14</f>
        <v>136029.6</v>
      </c>
      <c r="F30" s="162">
        <f t="shared" ref="F30:P30" si="22">F16*14</f>
        <v>2417520</v>
      </c>
      <c r="G30" s="162">
        <f t="shared" si="22"/>
        <v>957364.79999999993</v>
      </c>
      <c r="H30" s="162">
        <f t="shared" si="22"/>
        <v>1010368.7999999999</v>
      </c>
      <c r="I30" s="162">
        <f t="shared" si="22"/>
        <v>1144466.4000000001</v>
      </c>
      <c r="J30" s="162">
        <f t="shared" si="22"/>
        <v>367869.60000000003</v>
      </c>
      <c r="K30" s="162">
        <f t="shared" si="22"/>
        <v>282492</v>
      </c>
      <c r="L30" s="162">
        <f t="shared" si="22"/>
        <v>314916</v>
      </c>
      <c r="M30" s="162">
        <f t="shared" si="22"/>
        <v>298317.60000000003</v>
      </c>
      <c r="N30" s="162">
        <f t="shared" si="22"/>
        <v>578424</v>
      </c>
      <c r="O30" s="162">
        <f t="shared" si="22"/>
        <v>173950</v>
      </c>
      <c r="P30" s="162">
        <f t="shared" si="22"/>
        <v>50551.200000000004</v>
      </c>
      <c r="Q30" s="152">
        <f t="shared" si="1"/>
        <v>7732270</v>
      </c>
    </row>
    <row r="31" spans="1:17">
      <c r="A31" s="149" t="s">
        <v>248</v>
      </c>
      <c r="B31" s="150" t="s">
        <v>249</v>
      </c>
      <c r="C31" s="150"/>
      <c r="D31" s="151" t="s">
        <v>183</v>
      </c>
      <c r="E31" s="152">
        <f>E32+E40+E42+E45+E47</f>
        <v>360</v>
      </c>
      <c r="F31" s="152">
        <f t="shared" ref="F31:P31" si="23">F32+F40+F42+F45+F47</f>
        <v>8480</v>
      </c>
      <c r="G31" s="152">
        <f t="shared" si="23"/>
        <v>4160</v>
      </c>
      <c r="H31" s="152">
        <f t="shared" si="23"/>
        <v>6120</v>
      </c>
      <c r="I31" s="152">
        <f t="shared" si="23"/>
        <v>15400</v>
      </c>
      <c r="J31" s="152">
        <f t="shared" si="23"/>
        <v>4590</v>
      </c>
      <c r="K31" s="152">
        <f t="shared" si="23"/>
        <v>5380</v>
      </c>
      <c r="L31" s="152">
        <f t="shared" si="23"/>
        <v>5960</v>
      </c>
      <c r="M31" s="152">
        <f t="shared" si="23"/>
        <v>9000</v>
      </c>
      <c r="N31" s="152">
        <f t="shared" si="23"/>
        <v>10400</v>
      </c>
      <c r="O31" s="152">
        <f t="shared" si="23"/>
        <v>6380</v>
      </c>
      <c r="P31" s="152">
        <f t="shared" si="23"/>
        <v>3080</v>
      </c>
      <c r="Q31" s="152">
        <f t="shared" si="1"/>
        <v>79310</v>
      </c>
    </row>
    <row r="32" spans="1:17">
      <c r="A32" s="149" t="s">
        <v>250</v>
      </c>
      <c r="B32" s="150" t="s">
        <v>251</v>
      </c>
      <c r="C32" s="150"/>
      <c r="D32" s="151" t="s">
        <v>183</v>
      </c>
      <c r="E32" s="152">
        <f>E33+E34+E35+E36+E37+E38+E39</f>
        <v>0</v>
      </c>
      <c r="F32" s="152">
        <f t="shared" ref="F32:P32" si="24">F33+F34+F35+F36+F37+F38+F39</f>
        <v>0</v>
      </c>
      <c r="G32" s="152">
        <f t="shared" si="24"/>
        <v>0</v>
      </c>
      <c r="H32" s="152">
        <f t="shared" si="24"/>
        <v>0</v>
      </c>
      <c r="I32" s="152">
        <f t="shared" si="24"/>
        <v>0</v>
      </c>
      <c r="J32" s="152">
        <f t="shared" si="24"/>
        <v>0</v>
      </c>
      <c r="K32" s="152">
        <f t="shared" si="24"/>
        <v>0</v>
      </c>
      <c r="L32" s="152">
        <f t="shared" si="24"/>
        <v>0</v>
      </c>
      <c r="M32" s="152">
        <f t="shared" si="24"/>
        <v>0</v>
      </c>
      <c r="N32" s="152">
        <f t="shared" si="24"/>
        <v>0</v>
      </c>
      <c r="O32" s="152">
        <f t="shared" si="24"/>
        <v>0</v>
      </c>
      <c r="P32" s="152">
        <f t="shared" si="24"/>
        <v>0</v>
      </c>
      <c r="Q32" s="152">
        <f t="shared" si="1"/>
        <v>0</v>
      </c>
    </row>
    <row r="33" spans="1:17">
      <c r="A33" s="149" t="s">
        <v>252</v>
      </c>
      <c r="B33" s="150" t="s">
        <v>253</v>
      </c>
      <c r="C33" s="150" t="s">
        <v>254</v>
      </c>
      <c r="D33" s="159" t="s">
        <v>255</v>
      </c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52">
        <f t="shared" si="1"/>
        <v>0</v>
      </c>
    </row>
    <row r="34" spans="1:17">
      <c r="A34" s="149" t="s">
        <v>256</v>
      </c>
      <c r="B34" s="150" t="s">
        <v>257</v>
      </c>
      <c r="C34" s="150" t="s">
        <v>254</v>
      </c>
      <c r="D34" s="159" t="s">
        <v>255</v>
      </c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52">
        <f t="shared" si="1"/>
        <v>0</v>
      </c>
    </row>
    <row r="35" spans="1:17">
      <c r="A35" s="149" t="s">
        <v>258</v>
      </c>
      <c r="B35" s="150" t="s">
        <v>259</v>
      </c>
      <c r="C35" s="150" t="s">
        <v>254</v>
      </c>
      <c r="D35" s="159" t="s">
        <v>260</v>
      </c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52">
        <f t="shared" si="1"/>
        <v>0</v>
      </c>
    </row>
    <row r="36" spans="1:17">
      <c r="A36" s="149" t="s">
        <v>261</v>
      </c>
      <c r="B36" s="150" t="s">
        <v>262</v>
      </c>
      <c r="C36" s="150" t="s">
        <v>254</v>
      </c>
      <c r="D36" s="159" t="s">
        <v>255</v>
      </c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52">
        <f t="shared" si="1"/>
        <v>0</v>
      </c>
    </row>
    <row r="37" spans="1:17">
      <c r="A37" s="149" t="s">
        <v>263</v>
      </c>
      <c r="B37" s="150" t="s">
        <v>264</v>
      </c>
      <c r="C37" s="150" t="s">
        <v>254</v>
      </c>
      <c r="D37" s="159" t="s">
        <v>255</v>
      </c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52">
        <f t="shared" si="1"/>
        <v>0</v>
      </c>
    </row>
    <row r="38" spans="1:17">
      <c r="A38" s="149" t="s">
        <v>265</v>
      </c>
      <c r="B38" s="150" t="s">
        <v>266</v>
      </c>
      <c r="C38" s="150" t="s">
        <v>254</v>
      </c>
      <c r="D38" s="159" t="s">
        <v>255</v>
      </c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52">
        <f t="shared" si="1"/>
        <v>0</v>
      </c>
    </row>
    <row r="39" spans="1:17">
      <c r="A39" s="149" t="s">
        <v>267</v>
      </c>
      <c r="B39" s="150" t="s">
        <v>268</v>
      </c>
      <c r="C39" s="150" t="s">
        <v>254</v>
      </c>
      <c r="D39" s="159" t="s">
        <v>255</v>
      </c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52">
        <f t="shared" si="1"/>
        <v>0</v>
      </c>
    </row>
    <row r="40" spans="1:17">
      <c r="A40" s="149" t="s">
        <v>269</v>
      </c>
      <c r="B40" s="150" t="s">
        <v>270</v>
      </c>
      <c r="C40" s="150"/>
      <c r="D40" s="151" t="s">
        <v>183</v>
      </c>
      <c r="E40" s="152">
        <f>E41</f>
        <v>0</v>
      </c>
      <c r="F40" s="152">
        <f t="shared" ref="F40:P40" si="25">F41</f>
        <v>0</v>
      </c>
      <c r="G40" s="152">
        <f t="shared" si="25"/>
        <v>0</v>
      </c>
      <c r="H40" s="152">
        <f t="shared" si="25"/>
        <v>0</v>
      </c>
      <c r="I40" s="152">
        <f t="shared" si="25"/>
        <v>0</v>
      </c>
      <c r="J40" s="152">
        <f t="shared" si="25"/>
        <v>0</v>
      </c>
      <c r="K40" s="152">
        <f t="shared" si="25"/>
        <v>0</v>
      </c>
      <c r="L40" s="152">
        <f t="shared" si="25"/>
        <v>0</v>
      </c>
      <c r="M40" s="152">
        <f t="shared" si="25"/>
        <v>0</v>
      </c>
      <c r="N40" s="152">
        <f t="shared" si="25"/>
        <v>0</v>
      </c>
      <c r="O40" s="152">
        <f t="shared" si="25"/>
        <v>0</v>
      </c>
      <c r="P40" s="152">
        <f t="shared" si="25"/>
        <v>0</v>
      </c>
      <c r="Q40" s="152">
        <f t="shared" si="1"/>
        <v>0</v>
      </c>
    </row>
    <row r="41" spans="1:17" s="157" customFormat="1">
      <c r="A41" s="149" t="s">
        <v>271</v>
      </c>
      <c r="B41" s="155" t="s">
        <v>272</v>
      </c>
      <c r="C41" s="155" t="s">
        <v>189</v>
      </c>
      <c r="D41" s="156" t="s">
        <v>273</v>
      </c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52">
        <f t="shared" si="1"/>
        <v>0</v>
      </c>
    </row>
    <row r="42" spans="1:17">
      <c r="A42" s="149" t="s">
        <v>274</v>
      </c>
      <c r="B42" s="150" t="s">
        <v>275</v>
      </c>
      <c r="C42" s="150"/>
      <c r="D42" s="151" t="s">
        <v>183</v>
      </c>
      <c r="E42" s="152">
        <f>E43+E44</f>
        <v>0</v>
      </c>
      <c r="F42" s="152">
        <f t="shared" ref="F42:P42" si="26">F43+F44</f>
        <v>0</v>
      </c>
      <c r="G42" s="152">
        <f t="shared" si="26"/>
        <v>0</v>
      </c>
      <c r="H42" s="152">
        <f t="shared" si="26"/>
        <v>0</v>
      </c>
      <c r="I42" s="152">
        <f t="shared" si="26"/>
        <v>0</v>
      </c>
      <c r="J42" s="152">
        <f t="shared" si="26"/>
        <v>0</v>
      </c>
      <c r="K42" s="152">
        <f t="shared" si="26"/>
        <v>0</v>
      </c>
      <c r="L42" s="152">
        <f t="shared" si="26"/>
        <v>0</v>
      </c>
      <c r="M42" s="152">
        <f t="shared" si="26"/>
        <v>0</v>
      </c>
      <c r="N42" s="152">
        <f t="shared" si="26"/>
        <v>0</v>
      </c>
      <c r="O42" s="152">
        <f t="shared" si="26"/>
        <v>0</v>
      </c>
      <c r="P42" s="152">
        <f t="shared" si="26"/>
        <v>0</v>
      </c>
      <c r="Q42" s="152">
        <f t="shared" si="1"/>
        <v>0</v>
      </c>
    </row>
    <row r="43" spans="1:17" s="157" customFormat="1">
      <c r="A43" s="149" t="s">
        <v>276</v>
      </c>
      <c r="B43" s="155" t="s">
        <v>277</v>
      </c>
      <c r="C43" s="155" t="s">
        <v>189</v>
      </c>
      <c r="D43" s="156" t="s">
        <v>260</v>
      </c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52">
        <f t="shared" si="1"/>
        <v>0</v>
      </c>
    </row>
    <row r="44" spans="1:17" s="157" customFormat="1">
      <c r="A44" s="149" t="s">
        <v>278</v>
      </c>
      <c r="B44" s="155" t="s">
        <v>279</v>
      </c>
      <c r="C44" s="155" t="s">
        <v>189</v>
      </c>
      <c r="D44" s="156" t="s">
        <v>260</v>
      </c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52">
        <f t="shared" si="1"/>
        <v>0</v>
      </c>
    </row>
    <row r="45" spans="1:17">
      <c r="A45" s="149" t="s">
        <v>280</v>
      </c>
      <c r="B45" s="150" t="s">
        <v>281</v>
      </c>
      <c r="C45" s="150"/>
      <c r="D45" s="151" t="s">
        <v>183</v>
      </c>
      <c r="E45" s="152">
        <f>E46</f>
        <v>360</v>
      </c>
      <c r="F45" s="152">
        <f t="shared" ref="F45:P45" si="27">F46</f>
        <v>6480</v>
      </c>
      <c r="G45" s="152">
        <f t="shared" si="27"/>
        <v>2160</v>
      </c>
      <c r="H45" s="152">
        <f t="shared" si="27"/>
        <v>720</v>
      </c>
      <c r="I45" s="152">
        <f t="shared" si="27"/>
        <v>5400</v>
      </c>
      <c r="J45" s="152">
        <f t="shared" si="27"/>
        <v>3240</v>
      </c>
      <c r="K45" s="152">
        <f t="shared" si="27"/>
        <v>2880</v>
      </c>
      <c r="L45" s="152">
        <f t="shared" si="27"/>
        <v>2160</v>
      </c>
      <c r="M45" s="152">
        <f t="shared" si="27"/>
        <v>5400</v>
      </c>
      <c r="N45" s="152">
        <f t="shared" si="27"/>
        <v>5400</v>
      </c>
      <c r="O45" s="152">
        <f t="shared" si="27"/>
        <v>2880</v>
      </c>
      <c r="P45" s="152">
        <f t="shared" si="27"/>
        <v>1080</v>
      </c>
      <c r="Q45" s="152">
        <f t="shared" si="1"/>
        <v>38160</v>
      </c>
    </row>
    <row r="46" spans="1:17">
      <c r="A46" s="149" t="s">
        <v>282</v>
      </c>
      <c r="B46" s="150" t="s">
        <v>283</v>
      </c>
      <c r="C46" s="150" t="s">
        <v>189</v>
      </c>
      <c r="D46" s="151" t="s">
        <v>190</v>
      </c>
      <c r="E46" s="154">
        <v>360</v>
      </c>
      <c r="F46" s="154">
        <f>(540+30)*12-30*12</f>
        <v>6480</v>
      </c>
      <c r="G46" s="154">
        <v>2160</v>
      </c>
      <c r="H46" s="154">
        <v>720</v>
      </c>
      <c r="I46" s="154">
        <v>5400</v>
      </c>
      <c r="J46" s="154">
        <v>3240</v>
      </c>
      <c r="K46" s="154">
        <v>2880</v>
      </c>
      <c r="L46" s="154">
        <v>2160</v>
      </c>
      <c r="M46" s="154">
        <v>5400</v>
      </c>
      <c r="N46" s="154">
        <v>5400</v>
      </c>
      <c r="O46" s="154">
        <v>2880</v>
      </c>
      <c r="P46" s="154">
        <v>1080</v>
      </c>
      <c r="Q46" s="152">
        <f t="shared" si="1"/>
        <v>38160</v>
      </c>
    </row>
    <row r="47" spans="1:17">
      <c r="A47" s="149" t="s">
        <v>284</v>
      </c>
      <c r="B47" s="150" t="s">
        <v>285</v>
      </c>
      <c r="C47" s="150"/>
      <c r="D47" s="151" t="s">
        <v>183</v>
      </c>
      <c r="E47" s="152">
        <f>SUM(E48:E51)</f>
        <v>0</v>
      </c>
      <c r="F47" s="152">
        <f t="shared" ref="F47:P47" si="28">SUM(F48:F51)</f>
        <v>2000</v>
      </c>
      <c r="G47" s="152">
        <f t="shared" si="28"/>
        <v>2000</v>
      </c>
      <c r="H47" s="152">
        <f t="shared" si="28"/>
        <v>5400</v>
      </c>
      <c r="I47" s="152">
        <f t="shared" si="28"/>
        <v>10000</v>
      </c>
      <c r="J47" s="152">
        <f t="shared" si="28"/>
        <v>1350</v>
      </c>
      <c r="K47" s="152">
        <f t="shared" si="28"/>
        <v>2500</v>
      </c>
      <c r="L47" s="152">
        <f t="shared" si="28"/>
        <v>3800</v>
      </c>
      <c r="M47" s="152">
        <f t="shared" si="28"/>
        <v>3600</v>
      </c>
      <c r="N47" s="152">
        <f t="shared" si="28"/>
        <v>5000</v>
      </c>
      <c r="O47" s="152">
        <f t="shared" si="28"/>
        <v>3500</v>
      </c>
      <c r="P47" s="152">
        <f t="shared" si="28"/>
        <v>2000</v>
      </c>
      <c r="Q47" s="152">
        <f t="shared" si="1"/>
        <v>41150</v>
      </c>
    </row>
    <row r="48" spans="1:17">
      <c r="A48" s="149" t="s">
        <v>286</v>
      </c>
      <c r="B48" s="150" t="s">
        <v>287</v>
      </c>
      <c r="C48" s="150" t="s">
        <v>189</v>
      </c>
      <c r="D48" s="151" t="s">
        <v>288</v>
      </c>
      <c r="E48" s="154">
        <v>0</v>
      </c>
      <c r="F48" s="154">
        <v>2000</v>
      </c>
      <c r="G48" s="154">
        <v>2000</v>
      </c>
      <c r="H48" s="154">
        <v>5400</v>
      </c>
      <c r="I48" s="154">
        <v>10000</v>
      </c>
      <c r="J48" s="154">
        <v>1350</v>
      </c>
      <c r="K48" s="154">
        <v>2500</v>
      </c>
      <c r="L48" s="154">
        <v>3800</v>
      </c>
      <c r="M48" s="154">
        <v>3600</v>
      </c>
      <c r="N48" s="154">
        <v>5000</v>
      </c>
      <c r="O48" s="154">
        <v>3500</v>
      </c>
      <c r="P48" s="154">
        <v>2000</v>
      </c>
      <c r="Q48" s="152">
        <f t="shared" si="1"/>
        <v>41150</v>
      </c>
    </row>
    <row r="49" spans="1:17" s="157" customFormat="1">
      <c r="A49" s="149" t="s">
        <v>289</v>
      </c>
      <c r="B49" s="155" t="s">
        <v>290</v>
      </c>
      <c r="C49" s="155" t="s">
        <v>189</v>
      </c>
      <c r="D49" s="156" t="s">
        <v>291</v>
      </c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52">
        <f t="shared" si="1"/>
        <v>0</v>
      </c>
    </row>
    <row r="50" spans="1:17" s="157" customFormat="1">
      <c r="A50" s="149" t="s">
        <v>292</v>
      </c>
      <c r="B50" s="155" t="s">
        <v>293</v>
      </c>
      <c r="C50" s="155" t="s">
        <v>189</v>
      </c>
      <c r="D50" s="156" t="s">
        <v>291</v>
      </c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52">
        <f t="shared" si="1"/>
        <v>0</v>
      </c>
    </row>
    <row r="51" spans="1:17" ht="33.75">
      <c r="A51" s="149" t="s">
        <v>294</v>
      </c>
      <c r="B51" s="150" t="s">
        <v>295</v>
      </c>
      <c r="C51" s="150" t="s">
        <v>189</v>
      </c>
      <c r="D51" s="159" t="s">
        <v>296</v>
      </c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52">
        <f t="shared" si="1"/>
        <v>0</v>
      </c>
    </row>
    <row r="52" spans="1:17">
      <c r="A52" s="149" t="s">
        <v>297</v>
      </c>
      <c r="B52" s="150" t="s">
        <v>298</v>
      </c>
      <c r="C52" s="150"/>
      <c r="D52" s="151" t="s">
        <v>183</v>
      </c>
      <c r="E52" s="152">
        <f>E53+E71+E73+E75+E77+E79+E81+E83+E85+E93</f>
        <v>473830.6</v>
      </c>
      <c r="F52" s="152">
        <f t="shared" ref="F52:P52" si="29">F53+F71+F73+F75+F77+F79+F81+F83+F85+F93</f>
        <v>6935198</v>
      </c>
      <c r="G52" s="152">
        <f t="shared" si="29"/>
        <v>3253658.55</v>
      </c>
      <c r="H52" s="152">
        <f t="shared" si="29"/>
        <v>3806968.5999999996</v>
      </c>
      <c r="I52" s="152">
        <f t="shared" si="29"/>
        <v>5062666.6000000006</v>
      </c>
      <c r="J52" s="152">
        <f t="shared" si="29"/>
        <v>1283550.6000000001</v>
      </c>
      <c r="K52" s="152">
        <f t="shared" si="29"/>
        <v>1118798.7</v>
      </c>
      <c r="L52" s="152">
        <f t="shared" si="29"/>
        <v>1206705</v>
      </c>
      <c r="M52" s="152">
        <f t="shared" si="29"/>
        <v>1582772.05</v>
      </c>
      <c r="N52" s="152">
        <f t="shared" si="29"/>
        <v>2491839</v>
      </c>
      <c r="O52" s="152">
        <f t="shared" si="29"/>
        <v>1091551</v>
      </c>
      <c r="P52" s="152">
        <f t="shared" si="29"/>
        <v>1004085.2</v>
      </c>
      <c r="Q52" s="152">
        <f t="shared" si="1"/>
        <v>29311623.899999999</v>
      </c>
    </row>
    <row r="53" spans="1:17">
      <c r="A53" s="149" t="s">
        <v>299</v>
      </c>
      <c r="B53" s="150" t="s">
        <v>300</v>
      </c>
      <c r="C53" s="150"/>
      <c r="D53" s="151" t="s">
        <v>301</v>
      </c>
      <c r="E53" s="152">
        <f>SUM(E54:E70)</f>
        <v>288000</v>
      </c>
      <c r="F53" s="152">
        <v>4124540</v>
      </c>
      <c r="G53" s="152">
        <f t="shared" ref="G53:P53" si="30">SUM(G54:G70)</f>
        <v>2227210</v>
      </c>
      <c r="H53" s="152">
        <v>2714620</v>
      </c>
      <c r="I53" s="152">
        <v>3976230</v>
      </c>
      <c r="J53" s="152">
        <f t="shared" si="30"/>
        <v>856520</v>
      </c>
      <c r="K53" s="152">
        <f t="shared" si="30"/>
        <v>798000</v>
      </c>
      <c r="L53" s="152">
        <f t="shared" si="30"/>
        <v>851200</v>
      </c>
      <c r="M53" s="152">
        <f t="shared" si="30"/>
        <v>1239560</v>
      </c>
      <c r="N53" s="152">
        <f t="shared" si="30"/>
        <v>1856680</v>
      </c>
      <c r="O53" s="152">
        <f t="shared" si="30"/>
        <v>798000</v>
      </c>
      <c r="P53" s="152">
        <f t="shared" si="30"/>
        <v>798000</v>
      </c>
      <c r="Q53" s="152">
        <f t="shared" si="1"/>
        <v>20528560</v>
      </c>
    </row>
    <row r="54" spans="1:17">
      <c r="A54" s="149" t="s">
        <v>302</v>
      </c>
      <c r="B54" s="150" t="s">
        <v>303</v>
      </c>
      <c r="C54" s="150" t="s">
        <v>189</v>
      </c>
      <c r="D54" s="164"/>
      <c r="E54" s="154">
        <f>32000*9-E63</f>
        <v>273600</v>
      </c>
      <c r="F54" s="154">
        <f>4034340-F63</f>
        <v>3828113</v>
      </c>
      <c r="G54" s="154">
        <f>2227210-G63</f>
        <v>2115849</v>
      </c>
      <c r="H54" s="154">
        <f>2603960-H63</f>
        <v>2468229</v>
      </c>
      <c r="I54" s="154">
        <f>3813980-I63</f>
        <v>3615168</v>
      </c>
      <c r="J54" s="154">
        <f>856520-J63</f>
        <v>813694</v>
      </c>
      <c r="K54" s="154">
        <f>798000-K63</f>
        <v>763952</v>
      </c>
      <c r="L54" s="154">
        <f>851200-L63</f>
        <v>808640</v>
      </c>
      <c r="M54" s="154">
        <f>1239560-M63</f>
        <v>1177582</v>
      </c>
      <c r="N54" s="154">
        <f>861840+994840-N63</f>
        <v>1763846</v>
      </c>
      <c r="O54" s="154">
        <f>798000-O63</f>
        <v>770602</v>
      </c>
      <c r="P54" s="154">
        <f>798000-P63</f>
        <v>773395</v>
      </c>
      <c r="Q54" s="152">
        <f t="shared" si="1"/>
        <v>19172670</v>
      </c>
    </row>
    <row r="55" spans="1:17">
      <c r="A55" s="149" t="s">
        <v>304</v>
      </c>
      <c r="B55" s="150" t="s">
        <v>305</v>
      </c>
      <c r="C55" s="150" t="s">
        <v>189</v>
      </c>
      <c r="D55" s="16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2">
        <f t="shared" si="1"/>
        <v>0</v>
      </c>
    </row>
    <row r="56" spans="1:17">
      <c r="A56" s="149" t="s">
        <v>306</v>
      </c>
      <c r="B56" s="150" t="s">
        <v>307</v>
      </c>
      <c r="C56" s="150" t="s">
        <v>189</v>
      </c>
      <c r="D56" s="16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2">
        <f t="shared" si="1"/>
        <v>0</v>
      </c>
    </row>
    <row r="57" spans="1:17">
      <c r="A57" s="149" t="s">
        <v>308</v>
      </c>
      <c r="B57" s="150" t="s">
        <v>309</v>
      </c>
      <c r="C57" s="150" t="s">
        <v>189</v>
      </c>
      <c r="D57" s="16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2">
        <f t="shared" si="1"/>
        <v>0</v>
      </c>
    </row>
    <row r="58" spans="1:17">
      <c r="A58" s="149" t="s">
        <v>310</v>
      </c>
      <c r="B58" s="150" t="s">
        <v>311</v>
      </c>
      <c r="C58" s="150" t="s">
        <v>189</v>
      </c>
      <c r="D58" s="16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2">
        <f t="shared" si="1"/>
        <v>0</v>
      </c>
    </row>
    <row r="59" spans="1:17">
      <c r="A59" s="149" t="s">
        <v>312</v>
      </c>
      <c r="B59" s="150" t="s">
        <v>313</v>
      </c>
      <c r="C59" s="150" t="s">
        <v>189</v>
      </c>
      <c r="D59" s="16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2">
        <f t="shared" si="1"/>
        <v>0</v>
      </c>
    </row>
    <row r="60" spans="1:17">
      <c r="A60" s="149" t="s">
        <v>314</v>
      </c>
      <c r="B60" s="150" t="s">
        <v>315</v>
      </c>
      <c r="C60" s="150" t="s">
        <v>189</v>
      </c>
      <c r="D60" s="16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2">
        <f t="shared" si="1"/>
        <v>0</v>
      </c>
    </row>
    <row r="61" spans="1:17">
      <c r="A61" s="149" t="s">
        <v>316</v>
      </c>
      <c r="B61" s="150" t="s">
        <v>317</v>
      </c>
      <c r="C61" s="150" t="s">
        <v>189</v>
      </c>
      <c r="D61" s="16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2">
        <f t="shared" si="1"/>
        <v>0</v>
      </c>
    </row>
    <row r="62" spans="1:17">
      <c r="A62" s="149" t="s">
        <v>318</v>
      </c>
      <c r="B62" s="150" t="s">
        <v>319</v>
      </c>
      <c r="C62" s="150" t="s">
        <v>189</v>
      </c>
      <c r="D62" s="16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2">
        <f t="shared" si="1"/>
        <v>0</v>
      </c>
    </row>
    <row r="63" spans="1:17">
      <c r="A63" s="149" t="s">
        <v>320</v>
      </c>
      <c r="B63" s="150" t="s">
        <v>563</v>
      </c>
      <c r="C63" s="150" t="s">
        <v>564</v>
      </c>
      <c r="D63" s="164" t="s">
        <v>565</v>
      </c>
      <c r="E63" s="154">
        <f>32000*9*0.05</f>
        <v>14400</v>
      </c>
      <c r="F63" s="154">
        <v>206227</v>
      </c>
      <c r="G63" s="154">
        <v>111361</v>
      </c>
      <c r="H63" s="154">
        <v>135731</v>
      </c>
      <c r="I63" s="154">
        <v>198812</v>
      </c>
      <c r="J63" s="154">
        <v>42826</v>
      </c>
      <c r="K63" s="154">
        <v>34048</v>
      </c>
      <c r="L63" s="154">
        <v>42560</v>
      </c>
      <c r="M63" s="154">
        <v>61978</v>
      </c>
      <c r="N63" s="154">
        <f>43092+49742</f>
        <v>92834</v>
      </c>
      <c r="O63" s="154">
        <v>27398</v>
      </c>
      <c r="P63" s="154">
        <v>24605</v>
      </c>
      <c r="Q63" s="152">
        <f t="shared" si="1"/>
        <v>992780</v>
      </c>
    </row>
    <row r="64" spans="1:17">
      <c r="A64" s="149" t="s">
        <v>324</v>
      </c>
      <c r="B64" s="150" t="s">
        <v>325</v>
      </c>
      <c r="C64" s="150" t="s">
        <v>189</v>
      </c>
      <c r="D64" s="16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2">
        <f t="shared" si="1"/>
        <v>0</v>
      </c>
    </row>
    <row r="65" spans="1:17">
      <c r="A65" s="149" t="s">
        <v>326</v>
      </c>
      <c r="B65" s="150" t="s">
        <v>327</v>
      </c>
      <c r="C65" s="150" t="s">
        <v>189</v>
      </c>
      <c r="D65" s="16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2">
        <f t="shared" si="1"/>
        <v>0</v>
      </c>
    </row>
    <row r="66" spans="1:17">
      <c r="A66" s="149" t="s">
        <v>328</v>
      </c>
      <c r="B66" s="150" t="s">
        <v>329</v>
      </c>
      <c r="C66" s="150" t="s">
        <v>189</v>
      </c>
      <c r="D66" s="16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2">
        <f t="shared" si="1"/>
        <v>0</v>
      </c>
    </row>
    <row r="67" spans="1:17">
      <c r="A67" s="149" t="s">
        <v>330</v>
      </c>
      <c r="B67" s="150" t="s">
        <v>331</v>
      </c>
      <c r="C67" s="150" t="s">
        <v>189</v>
      </c>
      <c r="D67" s="16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2">
        <f t="shared" ref="Q67:Q109" si="31">SUM(E67:P67)</f>
        <v>0</v>
      </c>
    </row>
    <row r="68" spans="1:17">
      <c r="A68" s="149" t="s">
        <v>332</v>
      </c>
      <c r="B68" s="150" t="s">
        <v>333</v>
      </c>
      <c r="C68" s="150" t="s">
        <v>189</v>
      </c>
      <c r="D68" s="16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2">
        <f t="shared" si="31"/>
        <v>0</v>
      </c>
    </row>
    <row r="69" spans="1:17">
      <c r="A69" s="149" t="s">
        <v>334</v>
      </c>
      <c r="B69" s="150" t="s">
        <v>335</v>
      </c>
      <c r="C69" s="150" t="s">
        <v>189</v>
      </c>
      <c r="D69" s="16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2">
        <f t="shared" si="31"/>
        <v>0</v>
      </c>
    </row>
    <row r="70" spans="1:17">
      <c r="A70" s="149" t="s">
        <v>336</v>
      </c>
      <c r="B70" s="150" t="s">
        <v>337</v>
      </c>
      <c r="C70" s="150" t="s">
        <v>189</v>
      </c>
      <c r="D70" s="16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2">
        <f t="shared" si="31"/>
        <v>0</v>
      </c>
    </row>
    <row r="71" spans="1:17">
      <c r="A71" s="149" t="s">
        <v>338</v>
      </c>
      <c r="B71" s="150" t="s">
        <v>339</v>
      </c>
      <c r="C71" s="150"/>
      <c r="D71" s="151"/>
      <c r="E71" s="152">
        <f>E72</f>
        <v>3600</v>
      </c>
      <c r="F71" s="152">
        <f t="shared" ref="F71:P71" si="32">F72</f>
        <v>70000</v>
      </c>
      <c r="G71" s="152">
        <f t="shared" si="32"/>
        <v>30000</v>
      </c>
      <c r="H71" s="152">
        <f t="shared" si="32"/>
        <v>30000</v>
      </c>
      <c r="I71" s="152">
        <f t="shared" si="32"/>
        <v>37600</v>
      </c>
      <c r="J71" s="152">
        <f t="shared" si="32"/>
        <v>11600</v>
      </c>
      <c r="K71" s="152">
        <f t="shared" si="32"/>
        <v>9200</v>
      </c>
      <c r="L71" s="152">
        <f t="shared" si="32"/>
        <v>10800</v>
      </c>
      <c r="M71" s="152">
        <f t="shared" si="32"/>
        <v>9600</v>
      </c>
      <c r="N71" s="152">
        <f t="shared" si="32"/>
        <v>19200</v>
      </c>
      <c r="O71" s="152">
        <f t="shared" si="32"/>
        <v>6400</v>
      </c>
      <c r="P71" s="152">
        <f t="shared" si="32"/>
        <v>2000</v>
      </c>
      <c r="Q71" s="152">
        <f t="shared" si="31"/>
        <v>240000</v>
      </c>
    </row>
    <row r="72" spans="1:17" s="157" customFormat="1" ht="22.5">
      <c r="A72" s="149" t="s">
        <v>340</v>
      </c>
      <c r="B72" s="155" t="s">
        <v>341</v>
      </c>
      <c r="C72" s="155" t="s">
        <v>189</v>
      </c>
      <c r="D72" s="165" t="s">
        <v>342</v>
      </c>
      <c r="E72" s="152">
        <f>E96*400</f>
        <v>3600</v>
      </c>
      <c r="F72" s="152">
        <f t="shared" ref="F72:P72" si="33">F96*400</f>
        <v>70000</v>
      </c>
      <c r="G72" s="152">
        <f t="shared" si="33"/>
        <v>30000</v>
      </c>
      <c r="H72" s="152">
        <f t="shared" si="33"/>
        <v>30000</v>
      </c>
      <c r="I72" s="152">
        <f t="shared" si="33"/>
        <v>37600</v>
      </c>
      <c r="J72" s="152">
        <f t="shared" si="33"/>
        <v>11600</v>
      </c>
      <c r="K72" s="152">
        <f t="shared" si="33"/>
        <v>9200</v>
      </c>
      <c r="L72" s="152">
        <f t="shared" si="33"/>
        <v>10800</v>
      </c>
      <c r="M72" s="152">
        <f t="shared" si="33"/>
        <v>9600</v>
      </c>
      <c r="N72" s="152">
        <f t="shared" si="33"/>
        <v>19200</v>
      </c>
      <c r="O72" s="152">
        <f t="shared" si="33"/>
        <v>6400</v>
      </c>
      <c r="P72" s="152">
        <f t="shared" si="33"/>
        <v>2000</v>
      </c>
      <c r="Q72" s="152">
        <f t="shared" si="31"/>
        <v>240000</v>
      </c>
    </row>
    <row r="73" spans="1:17">
      <c r="A73" s="149" t="s">
        <v>343</v>
      </c>
      <c r="B73" s="150" t="s">
        <v>344</v>
      </c>
      <c r="C73" s="150"/>
      <c r="D73" s="151" t="s">
        <v>183</v>
      </c>
      <c r="E73" s="152">
        <f>E74</f>
        <v>20325</v>
      </c>
      <c r="F73" s="152">
        <f t="shared" ref="F73:P73" si="34">F74</f>
        <v>297282</v>
      </c>
      <c r="G73" s="152">
        <f t="shared" si="34"/>
        <v>278907.75</v>
      </c>
      <c r="H73" s="152">
        <f t="shared" si="34"/>
        <v>300871.8</v>
      </c>
      <c r="I73" s="152">
        <f t="shared" si="34"/>
        <v>218115</v>
      </c>
      <c r="J73" s="152">
        <f t="shared" si="34"/>
        <v>71205</v>
      </c>
      <c r="K73" s="152">
        <f t="shared" si="34"/>
        <v>74342.700000000012</v>
      </c>
      <c r="L73" s="152">
        <f t="shared" si="34"/>
        <v>85185</v>
      </c>
      <c r="M73" s="152">
        <f t="shared" si="34"/>
        <v>92082.45</v>
      </c>
      <c r="N73" s="152">
        <f t="shared" si="34"/>
        <v>173535</v>
      </c>
      <c r="O73" s="152">
        <f t="shared" si="34"/>
        <v>110475</v>
      </c>
      <c r="P73" s="152">
        <f t="shared" si="34"/>
        <v>110250</v>
      </c>
      <c r="Q73" s="152">
        <f t="shared" si="31"/>
        <v>1832576.7</v>
      </c>
    </row>
    <row r="74" spans="1:17" s="157" customFormat="1">
      <c r="A74" s="149" t="s">
        <v>345</v>
      </c>
      <c r="B74" s="155" t="s">
        <v>346</v>
      </c>
      <c r="C74" s="155" t="s">
        <v>189</v>
      </c>
      <c r="D74" s="165" t="s">
        <v>347</v>
      </c>
      <c r="E74" s="152">
        <f>E108*15</f>
        <v>20325</v>
      </c>
      <c r="F74" s="152">
        <f t="shared" ref="F74:P74" si="35">F108*15</f>
        <v>297282</v>
      </c>
      <c r="G74" s="152">
        <f t="shared" si="35"/>
        <v>278907.75</v>
      </c>
      <c r="H74" s="152">
        <f t="shared" si="35"/>
        <v>300871.8</v>
      </c>
      <c r="I74" s="152">
        <f t="shared" si="35"/>
        <v>218115</v>
      </c>
      <c r="J74" s="152">
        <f t="shared" si="35"/>
        <v>71205</v>
      </c>
      <c r="K74" s="152">
        <f t="shared" si="35"/>
        <v>74342.700000000012</v>
      </c>
      <c r="L74" s="152">
        <f t="shared" si="35"/>
        <v>85185</v>
      </c>
      <c r="M74" s="152">
        <f t="shared" si="35"/>
        <v>92082.45</v>
      </c>
      <c r="N74" s="152">
        <f t="shared" si="35"/>
        <v>173535</v>
      </c>
      <c r="O74" s="152">
        <f t="shared" si="35"/>
        <v>110475</v>
      </c>
      <c r="P74" s="152">
        <f t="shared" si="35"/>
        <v>110250</v>
      </c>
      <c r="Q74" s="152">
        <f t="shared" si="31"/>
        <v>1832576.7</v>
      </c>
    </row>
    <row r="75" spans="1:17">
      <c r="A75" s="149" t="s">
        <v>348</v>
      </c>
      <c r="B75" s="150" t="s">
        <v>349</v>
      </c>
      <c r="C75" s="150"/>
      <c r="D75" s="151" t="s">
        <v>183</v>
      </c>
      <c r="E75" s="152">
        <f>E76</f>
        <v>14400</v>
      </c>
      <c r="F75" s="152">
        <f t="shared" ref="F75:P75" si="36">F76</f>
        <v>97216</v>
      </c>
      <c r="G75" s="152">
        <f t="shared" si="36"/>
        <v>78568</v>
      </c>
      <c r="H75" s="152">
        <f t="shared" si="36"/>
        <v>112080</v>
      </c>
      <c r="I75" s="152">
        <f t="shared" si="36"/>
        <v>65651.199999999997</v>
      </c>
      <c r="J75" s="152">
        <f t="shared" si="36"/>
        <v>20480</v>
      </c>
      <c r="K75" s="152">
        <f t="shared" si="36"/>
        <v>15744</v>
      </c>
      <c r="L75" s="152">
        <f t="shared" si="36"/>
        <v>20904</v>
      </c>
      <c r="M75" s="152">
        <f t="shared" si="36"/>
        <v>20616</v>
      </c>
      <c r="N75" s="152">
        <f t="shared" si="36"/>
        <v>37800</v>
      </c>
      <c r="O75" s="152">
        <f t="shared" si="36"/>
        <v>25856</v>
      </c>
      <c r="P75" s="152">
        <f t="shared" si="36"/>
        <v>25792</v>
      </c>
      <c r="Q75" s="152">
        <f t="shared" si="31"/>
        <v>535107.19999999995</v>
      </c>
    </row>
    <row r="76" spans="1:17" s="157" customFormat="1">
      <c r="A76" s="149" t="s">
        <v>350</v>
      </c>
      <c r="B76" s="155" t="s">
        <v>351</v>
      </c>
      <c r="C76" s="155" t="s">
        <v>189</v>
      </c>
      <c r="D76" s="165" t="s">
        <v>352</v>
      </c>
      <c r="E76" s="152">
        <f>E109*8</f>
        <v>14400</v>
      </c>
      <c r="F76" s="152">
        <f t="shared" ref="F76:P76" si="37">F109*8</f>
        <v>97216</v>
      </c>
      <c r="G76" s="152">
        <f t="shared" si="37"/>
        <v>78568</v>
      </c>
      <c r="H76" s="152">
        <f t="shared" si="37"/>
        <v>112080</v>
      </c>
      <c r="I76" s="152">
        <f t="shared" si="37"/>
        <v>65651.199999999997</v>
      </c>
      <c r="J76" s="152">
        <f t="shared" si="37"/>
        <v>20480</v>
      </c>
      <c r="K76" s="152">
        <f t="shared" si="37"/>
        <v>15744</v>
      </c>
      <c r="L76" s="152">
        <f t="shared" si="37"/>
        <v>20904</v>
      </c>
      <c r="M76" s="152">
        <f t="shared" si="37"/>
        <v>20616</v>
      </c>
      <c r="N76" s="152">
        <f t="shared" si="37"/>
        <v>37800</v>
      </c>
      <c r="O76" s="152">
        <f t="shared" si="37"/>
        <v>25856</v>
      </c>
      <c r="P76" s="152">
        <f t="shared" si="37"/>
        <v>25792</v>
      </c>
      <c r="Q76" s="152">
        <f t="shared" si="31"/>
        <v>535107.19999999995</v>
      </c>
    </row>
    <row r="77" spans="1:17">
      <c r="A77" s="149" t="s">
        <v>353</v>
      </c>
      <c r="B77" s="150" t="s">
        <v>354</v>
      </c>
      <c r="C77" s="150"/>
      <c r="D77" s="151" t="s">
        <v>183</v>
      </c>
      <c r="E77" s="152">
        <f>E78</f>
        <v>0</v>
      </c>
      <c r="F77" s="152">
        <f t="shared" ref="F77:P77" si="38">F78</f>
        <v>0</v>
      </c>
      <c r="G77" s="152">
        <f t="shared" si="38"/>
        <v>0</v>
      </c>
      <c r="H77" s="152">
        <f t="shared" si="38"/>
        <v>0</v>
      </c>
      <c r="I77" s="152">
        <f t="shared" si="38"/>
        <v>0</v>
      </c>
      <c r="J77" s="152">
        <f t="shared" si="38"/>
        <v>0</v>
      </c>
      <c r="K77" s="152">
        <f t="shared" si="38"/>
        <v>0</v>
      </c>
      <c r="L77" s="152">
        <f t="shared" si="38"/>
        <v>0</v>
      </c>
      <c r="M77" s="152">
        <f t="shared" si="38"/>
        <v>0</v>
      </c>
      <c r="N77" s="152">
        <f t="shared" si="38"/>
        <v>0</v>
      </c>
      <c r="O77" s="152">
        <f t="shared" si="38"/>
        <v>0</v>
      </c>
      <c r="P77" s="152">
        <f t="shared" si="38"/>
        <v>0</v>
      </c>
      <c r="Q77" s="152">
        <f t="shared" si="31"/>
        <v>0</v>
      </c>
    </row>
    <row r="78" spans="1:17" s="157" customFormat="1">
      <c r="A78" s="149" t="s">
        <v>355</v>
      </c>
      <c r="B78" s="155" t="s">
        <v>356</v>
      </c>
      <c r="C78" s="155" t="s">
        <v>189</v>
      </c>
      <c r="D78" s="165" t="s">
        <v>291</v>
      </c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52">
        <f t="shared" si="31"/>
        <v>0</v>
      </c>
    </row>
    <row r="79" spans="1:17">
      <c r="A79" s="149" t="s">
        <v>357</v>
      </c>
      <c r="B79" s="150" t="s">
        <v>358</v>
      </c>
      <c r="C79" s="150"/>
      <c r="D79" s="151" t="s">
        <v>183</v>
      </c>
      <c r="E79" s="152">
        <f>E80</f>
        <v>38880</v>
      </c>
      <c r="F79" s="152">
        <f t="shared" ref="F79:P79" si="39">F80</f>
        <v>756000</v>
      </c>
      <c r="G79" s="152">
        <f t="shared" si="39"/>
        <v>324000</v>
      </c>
      <c r="H79" s="152">
        <f t="shared" si="39"/>
        <v>324000</v>
      </c>
      <c r="I79" s="152">
        <f t="shared" si="39"/>
        <v>406080</v>
      </c>
      <c r="J79" s="152">
        <f t="shared" si="39"/>
        <v>125280</v>
      </c>
      <c r="K79" s="152">
        <f t="shared" si="39"/>
        <v>99360</v>
      </c>
      <c r="L79" s="152">
        <f t="shared" si="39"/>
        <v>116640</v>
      </c>
      <c r="M79" s="152">
        <f t="shared" si="39"/>
        <v>103680</v>
      </c>
      <c r="N79" s="152">
        <f t="shared" si="39"/>
        <v>207360</v>
      </c>
      <c r="O79" s="152">
        <f t="shared" si="39"/>
        <v>69120</v>
      </c>
      <c r="P79" s="152">
        <f t="shared" si="39"/>
        <v>21600</v>
      </c>
      <c r="Q79" s="152">
        <f t="shared" si="31"/>
        <v>2592000</v>
      </c>
    </row>
    <row r="80" spans="1:17" s="157" customFormat="1" ht="22.5">
      <c r="A80" s="149" t="s">
        <v>359</v>
      </c>
      <c r="B80" s="155" t="s">
        <v>360</v>
      </c>
      <c r="C80" s="155" t="s">
        <v>189</v>
      </c>
      <c r="D80" s="165" t="s">
        <v>361</v>
      </c>
      <c r="E80" s="152">
        <f>E96*4320</f>
        <v>38880</v>
      </c>
      <c r="F80" s="152">
        <f t="shared" ref="F80:P80" si="40">F96*4320</f>
        <v>756000</v>
      </c>
      <c r="G80" s="152">
        <f t="shared" si="40"/>
        <v>324000</v>
      </c>
      <c r="H80" s="152">
        <f t="shared" si="40"/>
        <v>324000</v>
      </c>
      <c r="I80" s="152">
        <f t="shared" si="40"/>
        <v>406080</v>
      </c>
      <c r="J80" s="152">
        <f t="shared" si="40"/>
        <v>125280</v>
      </c>
      <c r="K80" s="152">
        <f t="shared" si="40"/>
        <v>99360</v>
      </c>
      <c r="L80" s="152">
        <f t="shared" si="40"/>
        <v>116640</v>
      </c>
      <c r="M80" s="152">
        <f t="shared" si="40"/>
        <v>103680</v>
      </c>
      <c r="N80" s="152">
        <f t="shared" si="40"/>
        <v>207360</v>
      </c>
      <c r="O80" s="152">
        <f t="shared" si="40"/>
        <v>69120</v>
      </c>
      <c r="P80" s="152">
        <f t="shared" si="40"/>
        <v>21600</v>
      </c>
      <c r="Q80" s="152">
        <f t="shared" si="31"/>
        <v>2592000</v>
      </c>
    </row>
    <row r="81" spans="1:17">
      <c r="A81" s="149" t="s">
        <v>362</v>
      </c>
      <c r="B81" s="150" t="s">
        <v>363</v>
      </c>
      <c r="C81" s="150"/>
      <c r="D81" s="151" t="s">
        <v>183</v>
      </c>
      <c r="E81" s="152">
        <f>E82</f>
        <v>38865.599999999999</v>
      </c>
      <c r="F81" s="152">
        <f t="shared" ref="F81:P81" si="41">F82</f>
        <v>690720</v>
      </c>
      <c r="G81" s="152">
        <f t="shared" si="41"/>
        <v>273532.79999999999</v>
      </c>
      <c r="H81" s="152">
        <f t="shared" si="41"/>
        <v>288676.8</v>
      </c>
      <c r="I81" s="152">
        <f t="shared" si="41"/>
        <v>326990.40000000002</v>
      </c>
      <c r="J81" s="152">
        <f t="shared" si="41"/>
        <v>105105.60000000001</v>
      </c>
      <c r="K81" s="152">
        <f t="shared" si="41"/>
        <v>80712</v>
      </c>
      <c r="L81" s="152">
        <f t="shared" si="41"/>
        <v>89976</v>
      </c>
      <c r="M81" s="152">
        <f t="shared" si="41"/>
        <v>85233.600000000006</v>
      </c>
      <c r="N81" s="152">
        <f t="shared" si="41"/>
        <v>165264</v>
      </c>
      <c r="O81" s="152">
        <f t="shared" si="41"/>
        <v>49700</v>
      </c>
      <c r="P81" s="152">
        <f t="shared" si="41"/>
        <v>14443.2</v>
      </c>
      <c r="Q81" s="152">
        <f t="shared" si="31"/>
        <v>2209220.0000000005</v>
      </c>
    </row>
    <row r="82" spans="1:17" s="157" customFormat="1">
      <c r="A82" s="149" t="s">
        <v>364</v>
      </c>
      <c r="B82" s="155" t="s">
        <v>365</v>
      </c>
      <c r="C82" s="155" t="s">
        <v>189</v>
      </c>
      <c r="D82" s="156" t="s">
        <v>208</v>
      </c>
      <c r="E82" s="152">
        <f>E16*4</f>
        <v>38865.599999999999</v>
      </c>
      <c r="F82" s="152">
        <f t="shared" ref="F82:P82" si="42">F16*4</f>
        <v>690720</v>
      </c>
      <c r="G82" s="152">
        <f t="shared" si="42"/>
        <v>273532.79999999999</v>
      </c>
      <c r="H82" s="152">
        <f t="shared" si="42"/>
        <v>288676.8</v>
      </c>
      <c r="I82" s="152">
        <f t="shared" si="42"/>
        <v>326990.40000000002</v>
      </c>
      <c r="J82" s="152">
        <f t="shared" si="42"/>
        <v>105105.60000000001</v>
      </c>
      <c r="K82" s="152">
        <f t="shared" si="42"/>
        <v>80712</v>
      </c>
      <c r="L82" s="152">
        <f t="shared" si="42"/>
        <v>89976</v>
      </c>
      <c r="M82" s="152">
        <f t="shared" si="42"/>
        <v>85233.600000000006</v>
      </c>
      <c r="N82" s="152">
        <f t="shared" si="42"/>
        <v>165264</v>
      </c>
      <c r="O82" s="152">
        <f t="shared" si="42"/>
        <v>49700</v>
      </c>
      <c r="P82" s="152">
        <f t="shared" si="42"/>
        <v>14443.2</v>
      </c>
      <c r="Q82" s="152">
        <f t="shared" si="31"/>
        <v>2209220.0000000005</v>
      </c>
    </row>
    <row r="83" spans="1:17">
      <c r="A83" s="149" t="s">
        <v>366</v>
      </c>
      <c r="B83" s="150" t="s">
        <v>367</v>
      </c>
      <c r="C83" s="150"/>
      <c r="D83" s="151" t="s">
        <v>183</v>
      </c>
      <c r="E83" s="152">
        <f>E84</f>
        <v>0</v>
      </c>
      <c r="F83" s="152">
        <f t="shared" ref="F83:P83" si="43">F84</f>
        <v>64000</v>
      </c>
      <c r="G83" s="152">
        <f t="shared" si="43"/>
        <v>0</v>
      </c>
      <c r="H83" s="152">
        <f t="shared" si="43"/>
        <v>0</v>
      </c>
      <c r="I83" s="152">
        <f t="shared" si="43"/>
        <v>0</v>
      </c>
      <c r="J83" s="152">
        <f t="shared" si="43"/>
        <v>0</v>
      </c>
      <c r="K83" s="152">
        <f t="shared" si="43"/>
        <v>0</v>
      </c>
      <c r="L83" s="152">
        <f t="shared" si="43"/>
        <v>0</v>
      </c>
      <c r="M83" s="152">
        <f t="shared" si="43"/>
        <v>0</v>
      </c>
      <c r="N83" s="152">
        <f t="shared" si="43"/>
        <v>0</v>
      </c>
      <c r="O83" s="152">
        <f t="shared" si="43"/>
        <v>0</v>
      </c>
      <c r="P83" s="152">
        <f t="shared" si="43"/>
        <v>0</v>
      </c>
      <c r="Q83" s="152">
        <f t="shared" si="31"/>
        <v>64000</v>
      </c>
    </row>
    <row r="84" spans="1:17" ht="33.75">
      <c r="A84" s="149" t="s">
        <v>368</v>
      </c>
      <c r="B84" s="150" t="s">
        <v>369</v>
      </c>
      <c r="C84" s="150" t="s">
        <v>189</v>
      </c>
      <c r="D84" s="164" t="s">
        <v>370</v>
      </c>
      <c r="E84" s="154"/>
      <c r="F84" s="154">
        <v>64000</v>
      </c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2">
        <f t="shared" si="31"/>
        <v>64000</v>
      </c>
    </row>
    <row r="85" spans="1:17">
      <c r="A85" s="149" t="s">
        <v>371</v>
      </c>
      <c r="B85" s="150" t="s">
        <v>372</v>
      </c>
      <c r="C85" s="150"/>
      <c r="D85" s="151" t="s">
        <v>183</v>
      </c>
      <c r="E85" s="152">
        <f>E86+E89+E92</f>
        <v>37760</v>
      </c>
      <c r="F85" s="152">
        <f t="shared" ref="F85:P85" si="44">F86+F89+F92</f>
        <v>835440</v>
      </c>
      <c r="G85" s="152">
        <f t="shared" si="44"/>
        <v>9440</v>
      </c>
      <c r="H85" s="152">
        <f t="shared" si="44"/>
        <v>4720</v>
      </c>
      <c r="I85" s="152">
        <f t="shared" si="44"/>
        <v>0</v>
      </c>
      <c r="J85" s="152">
        <f t="shared" si="44"/>
        <v>61360</v>
      </c>
      <c r="K85" s="152">
        <f t="shared" si="44"/>
        <v>9440</v>
      </c>
      <c r="L85" s="152">
        <f t="shared" si="44"/>
        <v>0</v>
      </c>
      <c r="M85" s="152">
        <f t="shared" si="44"/>
        <v>0</v>
      </c>
      <c r="N85" s="152">
        <f t="shared" si="44"/>
        <v>0</v>
      </c>
      <c r="O85" s="152">
        <f t="shared" si="44"/>
        <v>0</v>
      </c>
      <c r="P85" s="152">
        <f t="shared" si="44"/>
        <v>0</v>
      </c>
      <c r="Q85" s="152">
        <f t="shared" si="31"/>
        <v>958160</v>
      </c>
    </row>
    <row r="86" spans="1:17">
      <c r="A86" s="149" t="s">
        <v>373</v>
      </c>
      <c r="B86" s="150" t="s">
        <v>374</v>
      </c>
      <c r="C86" s="150"/>
      <c r="D86" s="151" t="s">
        <v>183</v>
      </c>
      <c r="E86" s="152">
        <f>E87+E88</f>
        <v>0</v>
      </c>
      <c r="F86" s="152">
        <f t="shared" ref="F86:P86" si="45">F87+F88</f>
        <v>0</v>
      </c>
      <c r="G86" s="152">
        <f t="shared" si="45"/>
        <v>0</v>
      </c>
      <c r="H86" s="152">
        <f t="shared" si="45"/>
        <v>0</v>
      </c>
      <c r="I86" s="152">
        <f t="shared" si="45"/>
        <v>0</v>
      </c>
      <c r="J86" s="152">
        <f t="shared" si="45"/>
        <v>0</v>
      </c>
      <c r="K86" s="152">
        <f t="shared" si="45"/>
        <v>0</v>
      </c>
      <c r="L86" s="152">
        <f t="shared" si="45"/>
        <v>0</v>
      </c>
      <c r="M86" s="152">
        <f t="shared" si="45"/>
        <v>0</v>
      </c>
      <c r="N86" s="152">
        <f t="shared" si="45"/>
        <v>0</v>
      </c>
      <c r="O86" s="152">
        <f t="shared" si="45"/>
        <v>0</v>
      </c>
      <c r="P86" s="152">
        <f t="shared" si="45"/>
        <v>0</v>
      </c>
      <c r="Q86" s="152">
        <f t="shared" si="31"/>
        <v>0</v>
      </c>
    </row>
    <row r="87" spans="1:17">
      <c r="A87" s="149" t="s">
        <v>375</v>
      </c>
      <c r="B87" s="150" t="s">
        <v>376</v>
      </c>
      <c r="C87" s="150" t="s">
        <v>189</v>
      </c>
      <c r="D87" s="164" t="s">
        <v>291</v>
      </c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52">
        <f t="shared" si="31"/>
        <v>0</v>
      </c>
    </row>
    <row r="88" spans="1:17">
      <c r="A88" s="149" t="s">
        <v>377</v>
      </c>
      <c r="B88" s="150" t="s">
        <v>378</v>
      </c>
      <c r="C88" s="150" t="s">
        <v>189</v>
      </c>
      <c r="D88" s="151" t="s">
        <v>379</v>
      </c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52">
        <f t="shared" si="31"/>
        <v>0</v>
      </c>
    </row>
    <row r="89" spans="1:17">
      <c r="A89" s="149" t="s">
        <v>380</v>
      </c>
      <c r="B89" s="150" t="s">
        <v>381</v>
      </c>
      <c r="C89" s="150"/>
      <c r="D89" s="151" t="s">
        <v>183</v>
      </c>
      <c r="E89" s="152">
        <f>E90+E91</f>
        <v>37760</v>
      </c>
      <c r="F89" s="152">
        <f t="shared" ref="F89:P89" si="46">F90+F91</f>
        <v>835440</v>
      </c>
      <c r="G89" s="152">
        <f t="shared" si="46"/>
        <v>9440</v>
      </c>
      <c r="H89" s="152">
        <f t="shared" si="46"/>
        <v>4720</v>
      </c>
      <c r="I89" s="152">
        <f t="shared" si="46"/>
        <v>0</v>
      </c>
      <c r="J89" s="152">
        <f t="shared" si="46"/>
        <v>61360</v>
      </c>
      <c r="K89" s="152">
        <f t="shared" si="46"/>
        <v>9440</v>
      </c>
      <c r="L89" s="152">
        <f t="shared" si="46"/>
        <v>0</v>
      </c>
      <c r="M89" s="152">
        <f t="shared" si="46"/>
        <v>0</v>
      </c>
      <c r="N89" s="152">
        <f t="shared" si="46"/>
        <v>0</v>
      </c>
      <c r="O89" s="152">
        <f t="shared" si="46"/>
        <v>0</v>
      </c>
      <c r="P89" s="152">
        <f t="shared" si="46"/>
        <v>0</v>
      </c>
      <c r="Q89" s="152">
        <f t="shared" si="31"/>
        <v>958160</v>
      </c>
    </row>
    <row r="90" spans="1:17" s="157" customFormat="1" ht="22.5">
      <c r="A90" s="149" t="s">
        <v>382</v>
      </c>
      <c r="B90" s="155" t="s">
        <v>383</v>
      </c>
      <c r="C90" s="155" t="s">
        <v>189</v>
      </c>
      <c r="D90" s="165" t="s">
        <v>384</v>
      </c>
      <c r="E90" s="152">
        <f>E107*400</f>
        <v>3200</v>
      </c>
      <c r="F90" s="152">
        <f t="shared" ref="F90:P90" si="47">F107*400</f>
        <v>70800</v>
      </c>
      <c r="G90" s="152">
        <f t="shared" si="47"/>
        <v>800</v>
      </c>
      <c r="H90" s="152">
        <f t="shared" si="47"/>
        <v>400</v>
      </c>
      <c r="I90" s="152">
        <f t="shared" si="47"/>
        <v>0</v>
      </c>
      <c r="J90" s="152">
        <f t="shared" si="47"/>
        <v>5200</v>
      </c>
      <c r="K90" s="152">
        <f t="shared" si="47"/>
        <v>800</v>
      </c>
      <c r="L90" s="152">
        <f t="shared" si="47"/>
        <v>0</v>
      </c>
      <c r="M90" s="152">
        <f t="shared" si="47"/>
        <v>0</v>
      </c>
      <c r="N90" s="152">
        <f t="shared" si="47"/>
        <v>0</v>
      </c>
      <c r="O90" s="152">
        <f t="shared" si="47"/>
        <v>0</v>
      </c>
      <c r="P90" s="152">
        <f t="shared" si="47"/>
        <v>0</v>
      </c>
      <c r="Q90" s="152">
        <f t="shared" si="31"/>
        <v>81200</v>
      </c>
    </row>
    <row r="91" spans="1:17" s="157" customFormat="1" ht="22.5">
      <c r="A91" s="149" t="s">
        <v>385</v>
      </c>
      <c r="B91" s="155" t="s">
        <v>386</v>
      </c>
      <c r="C91" s="155" t="s">
        <v>189</v>
      </c>
      <c r="D91" s="165" t="s">
        <v>387</v>
      </c>
      <c r="E91" s="152">
        <f>E107*4320</f>
        <v>34560</v>
      </c>
      <c r="F91" s="152">
        <f t="shared" ref="F91:P91" si="48">F107*4320</f>
        <v>764640</v>
      </c>
      <c r="G91" s="152">
        <f t="shared" si="48"/>
        <v>8640</v>
      </c>
      <c r="H91" s="152">
        <f t="shared" si="48"/>
        <v>4320</v>
      </c>
      <c r="I91" s="152">
        <f t="shared" si="48"/>
        <v>0</v>
      </c>
      <c r="J91" s="152">
        <f t="shared" si="48"/>
        <v>56160</v>
      </c>
      <c r="K91" s="152">
        <f t="shared" si="48"/>
        <v>8640</v>
      </c>
      <c r="L91" s="152">
        <f t="shared" si="48"/>
        <v>0</v>
      </c>
      <c r="M91" s="152">
        <f t="shared" si="48"/>
        <v>0</v>
      </c>
      <c r="N91" s="152">
        <f t="shared" si="48"/>
        <v>0</v>
      </c>
      <c r="O91" s="152">
        <f t="shared" si="48"/>
        <v>0</v>
      </c>
      <c r="P91" s="152">
        <f t="shared" si="48"/>
        <v>0</v>
      </c>
      <c r="Q91" s="152">
        <f t="shared" si="31"/>
        <v>876960</v>
      </c>
    </row>
    <row r="92" spans="1:17">
      <c r="A92" s="149" t="s">
        <v>388</v>
      </c>
      <c r="B92" s="150" t="s">
        <v>389</v>
      </c>
      <c r="C92" s="150" t="s">
        <v>189</v>
      </c>
      <c r="D92" s="164" t="s">
        <v>291</v>
      </c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52">
        <f t="shared" si="31"/>
        <v>0</v>
      </c>
    </row>
    <row r="93" spans="1:17">
      <c r="A93" s="149" t="s">
        <v>390</v>
      </c>
      <c r="B93" s="150" t="s">
        <v>391</v>
      </c>
      <c r="C93" s="150"/>
      <c r="D93" s="151" t="s">
        <v>183</v>
      </c>
      <c r="E93" s="152">
        <f>E94</f>
        <v>32000</v>
      </c>
      <c r="F93" s="152">
        <f t="shared" ref="F93:P93" si="49">F94</f>
        <v>0</v>
      </c>
      <c r="G93" s="152">
        <f t="shared" si="49"/>
        <v>32000</v>
      </c>
      <c r="H93" s="152">
        <f t="shared" si="49"/>
        <v>32000</v>
      </c>
      <c r="I93" s="152">
        <f t="shared" si="49"/>
        <v>32000</v>
      </c>
      <c r="J93" s="152">
        <f t="shared" si="49"/>
        <v>32000</v>
      </c>
      <c r="K93" s="152">
        <f t="shared" si="49"/>
        <v>32000</v>
      </c>
      <c r="L93" s="152">
        <f t="shared" si="49"/>
        <v>32000</v>
      </c>
      <c r="M93" s="152">
        <f t="shared" si="49"/>
        <v>32000</v>
      </c>
      <c r="N93" s="152">
        <f t="shared" si="49"/>
        <v>32000</v>
      </c>
      <c r="O93" s="152">
        <f t="shared" si="49"/>
        <v>32000</v>
      </c>
      <c r="P93" s="152">
        <f t="shared" si="49"/>
        <v>32000</v>
      </c>
      <c r="Q93" s="152">
        <f t="shared" si="31"/>
        <v>352000</v>
      </c>
    </row>
    <row r="94" spans="1:17" ht="57" thickBot="1">
      <c r="A94" s="149" t="s">
        <v>392</v>
      </c>
      <c r="B94" s="167" t="s">
        <v>393</v>
      </c>
      <c r="C94" s="150" t="s">
        <v>189</v>
      </c>
      <c r="D94" s="168" t="s">
        <v>566</v>
      </c>
      <c r="E94" s="169">
        <v>32000</v>
      </c>
      <c r="F94" s="169"/>
      <c r="G94" s="169">
        <v>32000</v>
      </c>
      <c r="H94" s="169">
        <v>32000</v>
      </c>
      <c r="I94" s="169">
        <v>32000</v>
      </c>
      <c r="J94" s="169">
        <v>32000</v>
      </c>
      <c r="K94" s="169">
        <v>32000</v>
      </c>
      <c r="L94" s="169">
        <v>32000</v>
      </c>
      <c r="M94" s="169">
        <v>32000</v>
      </c>
      <c r="N94" s="169">
        <v>32000</v>
      </c>
      <c r="O94" s="169">
        <v>32000</v>
      </c>
      <c r="P94" s="169">
        <v>32000</v>
      </c>
      <c r="Q94" s="152">
        <f t="shared" si="31"/>
        <v>352000</v>
      </c>
    </row>
    <row r="95" spans="1:17" ht="12" thickTop="1">
      <c r="A95" s="149" t="s">
        <v>395</v>
      </c>
      <c r="B95" s="170" t="s">
        <v>396</v>
      </c>
      <c r="C95" s="170"/>
      <c r="D95" s="171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52">
        <f t="shared" si="31"/>
        <v>0</v>
      </c>
    </row>
    <row r="96" spans="1:17" ht="22.5">
      <c r="A96" s="149" t="s">
        <v>397</v>
      </c>
      <c r="B96" s="150" t="s">
        <v>398</v>
      </c>
      <c r="C96" s="150"/>
      <c r="D96" s="151" t="s">
        <v>567</v>
      </c>
      <c r="E96" s="152">
        <f>E97+E98+E99+E100</f>
        <v>9</v>
      </c>
      <c r="F96" s="152">
        <f t="shared" ref="F96:P96" si="50">F97+F98+F99+F100</f>
        <v>175</v>
      </c>
      <c r="G96" s="152">
        <f t="shared" si="50"/>
        <v>75</v>
      </c>
      <c r="H96" s="152">
        <f t="shared" si="50"/>
        <v>75</v>
      </c>
      <c r="I96" s="152">
        <f t="shared" si="50"/>
        <v>94</v>
      </c>
      <c r="J96" s="152">
        <f t="shared" si="50"/>
        <v>29</v>
      </c>
      <c r="K96" s="152">
        <f t="shared" si="50"/>
        <v>23</v>
      </c>
      <c r="L96" s="152">
        <f t="shared" si="50"/>
        <v>27</v>
      </c>
      <c r="M96" s="152">
        <f t="shared" si="50"/>
        <v>24</v>
      </c>
      <c r="N96" s="152">
        <f t="shared" si="50"/>
        <v>48</v>
      </c>
      <c r="O96" s="152">
        <f t="shared" si="50"/>
        <v>16</v>
      </c>
      <c r="P96" s="152">
        <f t="shared" si="50"/>
        <v>5</v>
      </c>
      <c r="Q96" s="152">
        <f t="shared" si="31"/>
        <v>600</v>
      </c>
    </row>
    <row r="97" spans="1:17">
      <c r="A97" s="149" t="s">
        <v>400</v>
      </c>
      <c r="B97" s="173" t="s">
        <v>401</v>
      </c>
      <c r="C97" s="173"/>
      <c r="D97" s="159"/>
      <c r="E97" s="160"/>
      <c r="F97" s="160">
        <v>90</v>
      </c>
      <c r="G97" s="160">
        <v>75</v>
      </c>
      <c r="H97" s="160"/>
      <c r="I97" s="160"/>
      <c r="J97" s="160"/>
      <c r="K97" s="160"/>
      <c r="L97" s="160"/>
      <c r="M97" s="160"/>
      <c r="N97" s="160"/>
      <c r="O97" s="160"/>
      <c r="P97" s="160"/>
      <c r="Q97" s="152">
        <f t="shared" si="31"/>
        <v>165</v>
      </c>
    </row>
    <row r="98" spans="1:17">
      <c r="A98" s="149" t="s">
        <v>402</v>
      </c>
      <c r="B98" s="173" t="s">
        <v>403</v>
      </c>
      <c r="C98" s="173"/>
      <c r="D98" s="151"/>
      <c r="E98" s="154"/>
      <c r="F98" s="154">
        <v>85</v>
      </c>
      <c r="G98" s="154"/>
      <c r="H98" s="154">
        <v>75</v>
      </c>
      <c r="I98" s="154">
        <v>94</v>
      </c>
      <c r="J98" s="154"/>
      <c r="K98" s="154"/>
      <c r="L98" s="154"/>
      <c r="M98" s="154"/>
      <c r="N98" s="154"/>
      <c r="O98" s="154"/>
      <c r="P98" s="154"/>
      <c r="Q98" s="152">
        <f t="shared" si="31"/>
        <v>254</v>
      </c>
    </row>
    <row r="99" spans="1:17">
      <c r="A99" s="149" t="s">
        <v>404</v>
      </c>
      <c r="B99" s="173" t="s">
        <v>405</v>
      </c>
      <c r="C99" s="173"/>
      <c r="D99" s="159"/>
      <c r="E99" s="160"/>
      <c r="F99" s="160"/>
      <c r="G99" s="160"/>
      <c r="H99" s="160"/>
      <c r="I99" s="160"/>
      <c r="J99" s="160">
        <v>29</v>
      </c>
      <c r="K99" s="160">
        <v>23</v>
      </c>
      <c r="L99" s="160">
        <v>27</v>
      </c>
      <c r="M99" s="160">
        <v>24</v>
      </c>
      <c r="N99" s="160">
        <v>48</v>
      </c>
      <c r="O99" s="160">
        <v>16</v>
      </c>
      <c r="P99" s="160">
        <v>5</v>
      </c>
      <c r="Q99" s="152">
        <f t="shared" si="31"/>
        <v>172</v>
      </c>
    </row>
    <row r="100" spans="1:17">
      <c r="A100" s="149" t="s">
        <v>406</v>
      </c>
      <c r="B100" s="173" t="s">
        <v>407</v>
      </c>
      <c r="C100" s="173"/>
      <c r="D100" s="159"/>
      <c r="E100" s="160">
        <v>9</v>
      </c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52">
        <f t="shared" si="31"/>
        <v>9</v>
      </c>
    </row>
    <row r="101" spans="1:17" ht="33.75">
      <c r="A101" s="149" t="s">
        <v>408</v>
      </c>
      <c r="B101" s="150" t="s">
        <v>409</v>
      </c>
      <c r="C101" s="150"/>
      <c r="D101" s="151" t="s">
        <v>568</v>
      </c>
      <c r="E101" s="152">
        <f>E102+E103+E104+E105</f>
        <v>0</v>
      </c>
      <c r="F101" s="152">
        <f t="shared" ref="F101:P101" si="51">F102+F103+F104+F105</f>
        <v>1498</v>
      </c>
      <c r="G101" s="152">
        <f t="shared" si="51"/>
        <v>787</v>
      </c>
      <c r="H101" s="152">
        <f t="shared" si="51"/>
        <v>1007</v>
      </c>
      <c r="I101" s="152">
        <f t="shared" si="51"/>
        <v>1476</v>
      </c>
      <c r="J101" s="152">
        <f t="shared" si="51"/>
        <v>322</v>
      </c>
      <c r="K101" s="152">
        <f t="shared" si="51"/>
        <v>256</v>
      </c>
      <c r="L101" s="152">
        <f t="shared" si="51"/>
        <v>320</v>
      </c>
      <c r="M101" s="152">
        <f t="shared" si="51"/>
        <v>466</v>
      </c>
      <c r="N101" s="152">
        <f t="shared" si="51"/>
        <v>698</v>
      </c>
      <c r="O101" s="152">
        <f t="shared" si="51"/>
        <v>206</v>
      </c>
      <c r="P101" s="152">
        <f t="shared" si="51"/>
        <v>185</v>
      </c>
      <c r="Q101" s="152">
        <f t="shared" si="31"/>
        <v>7221</v>
      </c>
    </row>
    <row r="102" spans="1:17">
      <c r="A102" s="149" t="s">
        <v>411</v>
      </c>
      <c r="B102" s="173" t="s">
        <v>401</v>
      </c>
      <c r="C102" s="173"/>
      <c r="D102" s="159"/>
      <c r="E102" s="160"/>
      <c r="F102" s="160">
        <v>678</v>
      </c>
      <c r="G102" s="160">
        <v>787</v>
      </c>
      <c r="H102" s="160"/>
      <c r="I102" s="160"/>
      <c r="J102" s="160"/>
      <c r="K102" s="160"/>
      <c r="L102" s="160"/>
      <c r="M102" s="160"/>
      <c r="N102" s="160"/>
      <c r="O102" s="160"/>
      <c r="P102" s="160"/>
      <c r="Q102" s="152">
        <f t="shared" si="31"/>
        <v>1465</v>
      </c>
    </row>
    <row r="103" spans="1:17">
      <c r="A103" s="149" t="s">
        <v>412</v>
      </c>
      <c r="B103" s="173" t="s">
        <v>403</v>
      </c>
      <c r="C103" s="173"/>
      <c r="D103" s="151"/>
      <c r="E103" s="154"/>
      <c r="F103" s="154">
        <v>820</v>
      </c>
      <c r="G103" s="154"/>
      <c r="H103" s="154">
        <v>1007</v>
      </c>
      <c r="I103" s="154">
        <v>1476</v>
      </c>
      <c r="J103" s="154"/>
      <c r="K103" s="154"/>
      <c r="L103" s="154"/>
      <c r="M103" s="154"/>
      <c r="N103" s="154"/>
      <c r="O103" s="154"/>
      <c r="P103" s="154"/>
      <c r="Q103" s="152">
        <f t="shared" si="31"/>
        <v>3303</v>
      </c>
    </row>
    <row r="104" spans="1:17">
      <c r="A104" s="149" t="s">
        <v>413</v>
      </c>
      <c r="B104" s="173" t="s">
        <v>405</v>
      </c>
      <c r="C104" s="173"/>
      <c r="D104" s="159"/>
      <c r="E104" s="160"/>
      <c r="F104" s="160"/>
      <c r="G104" s="160"/>
      <c r="H104" s="160"/>
      <c r="I104" s="160"/>
      <c r="J104" s="160">
        <v>322</v>
      </c>
      <c r="K104" s="160">
        <v>256</v>
      </c>
      <c r="L104" s="160">
        <v>320</v>
      </c>
      <c r="M104" s="160">
        <v>466</v>
      </c>
      <c r="N104" s="160">
        <f>324+374</f>
        <v>698</v>
      </c>
      <c r="O104" s="160">
        <v>206</v>
      </c>
      <c r="P104" s="160">
        <v>185</v>
      </c>
      <c r="Q104" s="152">
        <f t="shared" si="31"/>
        <v>2453</v>
      </c>
    </row>
    <row r="105" spans="1:17">
      <c r="A105" s="149" t="s">
        <v>414</v>
      </c>
      <c r="B105" s="173" t="s">
        <v>407</v>
      </c>
      <c r="C105" s="173"/>
      <c r="D105" s="159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52">
        <f t="shared" si="31"/>
        <v>0</v>
      </c>
    </row>
    <row r="106" spans="1:17">
      <c r="A106" s="149" t="s">
        <v>415</v>
      </c>
      <c r="B106" s="150" t="s">
        <v>416</v>
      </c>
      <c r="C106" s="150"/>
      <c r="D106" s="16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52">
        <f t="shared" si="31"/>
        <v>0</v>
      </c>
    </row>
    <row r="107" spans="1:17">
      <c r="A107" s="149" t="s">
        <v>417</v>
      </c>
      <c r="B107" s="150" t="s">
        <v>418</v>
      </c>
      <c r="C107" s="150"/>
      <c r="D107" s="151"/>
      <c r="E107" s="154">
        <v>8</v>
      </c>
      <c r="F107" s="154">
        <v>177</v>
      </c>
      <c r="G107" s="154">
        <v>2</v>
      </c>
      <c r="H107" s="154">
        <v>1</v>
      </c>
      <c r="I107" s="154"/>
      <c r="J107" s="154">
        <v>13</v>
      </c>
      <c r="K107" s="154">
        <v>2</v>
      </c>
      <c r="L107" s="154"/>
      <c r="M107" s="154"/>
      <c r="N107" s="154"/>
      <c r="O107" s="154"/>
      <c r="P107" s="154"/>
      <c r="Q107" s="152">
        <f t="shared" si="31"/>
        <v>203</v>
      </c>
    </row>
    <row r="108" spans="1:17">
      <c r="A108" s="149" t="s">
        <v>419</v>
      </c>
      <c r="B108" s="173" t="s">
        <v>420</v>
      </c>
      <c r="C108" s="173"/>
      <c r="D108" s="164"/>
      <c r="E108" s="154">
        <v>1355</v>
      </c>
      <c r="F108" s="154">
        <v>19818.8</v>
      </c>
      <c r="G108" s="154">
        <v>18593.849999999999</v>
      </c>
      <c r="H108" s="154">
        <v>20058.12</v>
      </c>
      <c r="I108" s="154">
        <v>14541</v>
      </c>
      <c r="J108" s="154">
        <v>4747</v>
      </c>
      <c r="K108" s="154">
        <v>4956.18</v>
      </c>
      <c r="L108" s="154">
        <v>5679</v>
      </c>
      <c r="M108" s="154">
        <v>6138.83</v>
      </c>
      <c r="N108" s="154">
        <v>11569</v>
      </c>
      <c r="O108" s="154">
        <v>7365</v>
      </c>
      <c r="P108" s="154">
        <v>7350</v>
      </c>
      <c r="Q108" s="152">
        <f t="shared" si="31"/>
        <v>122171.77999999998</v>
      </c>
    </row>
    <row r="109" spans="1:17">
      <c r="A109" s="149" t="s">
        <v>421</v>
      </c>
      <c r="B109" s="173" t="s">
        <v>422</v>
      </c>
      <c r="C109" s="173"/>
      <c r="D109" s="164"/>
      <c r="E109" s="154">
        <v>1800</v>
      </c>
      <c r="F109" s="154">
        <v>12152</v>
      </c>
      <c r="G109" s="154">
        <v>9821</v>
      </c>
      <c r="H109" s="154">
        <v>14010</v>
      </c>
      <c r="I109" s="154">
        <v>8206.4</v>
      </c>
      <c r="J109" s="154">
        <v>2560</v>
      </c>
      <c r="K109" s="154">
        <v>1968</v>
      </c>
      <c r="L109" s="154">
        <v>2613</v>
      </c>
      <c r="M109" s="154">
        <v>2577</v>
      </c>
      <c r="N109" s="154">
        <v>4725</v>
      </c>
      <c r="O109" s="154">
        <v>3232</v>
      </c>
      <c r="P109" s="154">
        <v>3224</v>
      </c>
      <c r="Q109" s="152">
        <f t="shared" si="31"/>
        <v>66888.399999999994</v>
      </c>
    </row>
  </sheetData>
  <protectedRanges>
    <protectedRange password="E9C1" sqref="B31:D109 A4:D12 A2:Q3 B13:D28 A13:A109 Q4:Q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Q1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workbookViewId="0">
      <selection activeCell="M3" sqref="M3:M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3" ht="25.5">
      <c r="A1" s="279" t="s">
        <v>177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533</v>
      </c>
      <c r="F2" s="32" t="s">
        <v>534</v>
      </c>
      <c r="G2" s="32" t="s">
        <v>535</v>
      </c>
      <c r="H2" s="32" t="s">
        <v>536</v>
      </c>
      <c r="I2" s="32" t="s">
        <v>537</v>
      </c>
      <c r="J2" s="32" t="s">
        <v>538</v>
      </c>
      <c r="K2" s="32" t="s">
        <v>539</v>
      </c>
      <c r="L2" s="32" t="s">
        <v>540</v>
      </c>
      <c r="M2" s="32" t="s">
        <v>25</v>
      </c>
    </row>
    <row r="3" spans="1:13">
      <c r="A3" s="33" t="s">
        <v>181</v>
      </c>
      <c r="B3" s="34" t="s">
        <v>182</v>
      </c>
      <c r="C3" s="34"/>
      <c r="D3" s="35" t="s">
        <v>183</v>
      </c>
      <c r="E3" s="36">
        <f>E4+E31+E52</f>
        <v>9649060</v>
      </c>
      <c r="F3" s="36">
        <f t="shared" ref="F3:L3" si="0">F4+F31+F52</f>
        <v>55404432.049999997</v>
      </c>
      <c r="G3" s="36">
        <f t="shared" si="0"/>
        <v>18890112.300000001</v>
      </c>
      <c r="H3" s="36">
        <f t="shared" si="0"/>
        <v>43636211</v>
      </c>
      <c r="I3" s="36">
        <f t="shared" si="0"/>
        <v>53867325.799999997</v>
      </c>
      <c r="J3" s="36">
        <f t="shared" si="0"/>
        <v>14435861.340000002</v>
      </c>
      <c r="K3" s="36">
        <f t="shared" si="0"/>
        <v>13389011.050000001</v>
      </c>
      <c r="L3" s="36">
        <f t="shared" si="0"/>
        <v>2584158</v>
      </c>
      <c r="M3" s="36">
        <f t="shared" ref="M3:M66" si="1">SUM(E3:L3)</f>
        <v>211856171.53999999</v>
      </c>
    </row>
    <row r="4" spans="1:13">
      <c r="A4" s="33" t="s">
        <v>184</v>
      </c>
      <c r="B4" s="34" t="s">
        <v>128</v>
      </c>
      <c r="C4" s="34"/>
      <c r="D4" s="35" t="s">
        <v>183</v>
      </c>
      <c r="E4" s="36">
        <f t="shared" ref="E4:L4" si="2">E5+E8+E13+E17+E20+E22+E25+E27+E29+E30</f>
        <v>8443425</v>
      </c>
      <c r="F4" s="36">
        <f t="shared" si="2"/>
        <v>47638358</v>
      </c>
      <c r="G4" s="36">
        <f t="shared" si="2"/>
        <v>16201346</v>
      </c>
      <c r="H4" s="36">
        <f t="shared" si="2"/>
        <v>38489626</v>
      </c>
      <c r="I4" s="36">
        <f t="shared" si="2"/>
        <v>46218899</v>
      </c>
      <c r="J4" s="36">
        <f t="shared" si="2"/>
        <v>12209162.200000001</v>
      </c>
      <c r="K4" s="36">
        <f t="shared" si="2"/>
        <v>11570419</v>
      </c>
      <c r="L4" s="36">
        <f t="shared" si="2"/>
        <v>2159018</v>
      </c>
      <c r="M4" s="36">
        <f t="shared" si="1"/>
        <v>182930253.19999999</v>
      </c>
    </row>
    <row r="5" spans="1:13">
      <c r="A5" s="33" t="s">
        <v>185</v>
      </c>
      <c r="B5" s="34" t="s">
        <v>186</v>
      </c>
      <c r="C5" s="34"/>
      <c r="D5" s="35" t="s">
        <v>183</v>
      </c>
      <c r="E5" s="36">
        <f>E6+E7</f>
        <v>1218756</v>
      </c>
      <c r="F5" s="36">
        <f t="shared" ref="F5:L5" si="3">F6+F7</f>
        <v>7112496</v>
      </c>
      <c r="G5" s="36">
        <f t="shared" si="3"/>
        <v>2136708</v>
      </c>
      <c r="H5" s="36">
        <f t="shared" si="3"/>
        <v>5676036</v>
      </c>
      <c r="I5" s="36">
        <f t="shared" si="3"/>
        <v>6531264</v>
      </c>
      <c r="J5" s="36">
        <f t="shared" si="3"/>
        <v>1607232</v>
      </c>
      <c r="K5" s="36">
        <f t="shared" si="3"/>
        <v>1461636</v>
      </c>
      <c r="L5" s="36">
        <f t="shared" si="3"/>
        <v>352656</v>
      </c>
      <c r="M5" s="36">
        <f t="shared" si="1"/>
        <v>26096784</v>
      </c>
    </row>
    <row r="6" spans="1:13">
      <c r="A6" s="33" t="s">
        <v>187</v>
      </c>
      <c r="B6" s="34" t="s">
        <v>188</v>
      </c>
      <c r="C6" s="34" t="s">
        <v>189</v>
      </c>
      <c r="D6" s="35" t="s">
        <v>190</v>
      </c>
      <c r="E6" s="37">
        <f>59344*12</f>
        <v>712128</v>
      </c>
      <c r="F6" s="37">
        <v>3883176</v>
      </c>
      <c r="G6" s="37">
        <v>1336536</v>
      </c>
      <c r="H6" s="37">
        <f>256179*12</f>
        <v>3074148</v>
      </c>
      <c r="I6" s="37">
        <v>3699000</v>
      </c>
      <c r="J6" s="37">
        <v>1017636</v>
      </c>
      <c r="K6" s="37">
        <v>940800</v>
      </c>
      <c r="L6" s="37">
        <v>171504</v>
      </c>
      <c r="M6" s="36">
        <f t="shared" si="1"/>
        <v>14834928</v>
      </c>
    </row>
    <row r="7" spans="1:13">
      <c r="A7" s="33" t="s">
        <v>191</v>
      </c>
      <c r="B7" s="34" t="s">
        <v>192</v>
      </c>
      <c r="C7" s="34" t="s">
        <v>189</v>
      </c>
      <c r="D7" s="35" t="s">
        <v>190</v>
      </c>
      <c r="E7" s="37">
        <f>42219*12</f>
        <v>506628</v>
      </c>
      <c r="F7" s="37">
        <v>3229320</v>
      </c>
      <c r="G7" s="37">
        <f>66681*12</f>
        <v>800172</v>
      </c>
      <c r="H7" s="37">
        <f>216824*12</f>
        <v>2601888</v>
      </c>
      <c r="I7" s="37">
        <v>2832264</v>
      </c>
      <c r="J7" s="37">
        <v>589596</v>
      </c>
      <c r="K7" s="37">
        <v>520836</v>
      </c>
      <c r="L7" s="37">
        <v>181152</v>
      </c>
      <c r="M7" s="36">
        <f t="shared" si="1"/>
        <v>11261856</v>
      </c>
    </row>
    <row r="8" spans="1:13">
      <c r="A8" s="33" t="s">
        <v>193</v>
      </c>
      <c r="B8" s="34" t="s">
        <v>194</v>
      </c>
      <c r="C8" s="34"/>
      <c r="D8" s="35" t="s">
        <v>183</v>
      </c>
      <c r="E8" s="36">
        <f>E9+E10</f>
        <v>157824</v>
      </c>
      <c r="F8" s="36">
        <f t="shared" ref="F8:L8" si="4">F9+F10</f>
        <v>815712</v>
      </c>
      <c r="G8" s="36">
        <f t="shared" si="4"/>
        <v>308448</v>
      </c>
      <c r="H8" s="36">
        <f t="shared" si="4"/>
        <v>663948</v>
      </c>
      <c r="I8" s="36">
        <f t="shared" si="4"/>
        <v>808812</v>
      </c>
      <c r="J8" s="36">
        <f t="shared" si="4"/>
        <v>241308</v>
      </c>
      <c r="K8" s="36">
        <f t="shared" si="4"/>
        <v>221748</v>
      </c>
      <c r="L8" s="36">
        <f t="shared" si="4"/>
        <v>38124</v>
      </c>
      <c r="M8" s="36">
        <f t="shared" si="1"/>
        <v>3255924</v>
      </c>
    </row>
    <row r="9" spans="1:13">
      <c r="A9" s="33" t="s">
        <v>195</v>
      </c>
      <c r="B9" s="34" t="s">
        <v>196</v>
      </c>
      <c r="C9" s="34" t="s">
        <v>189</v>
      </c>
      <c r="D9" s="35" t="s">
        <v>190</v>
      </c>
      <c r="E9" s="37">
        <f>218*12</f>
        <v>2616</v>
      </c>
      <c r="F9" s="37">
        <v>12912</v>
      </c>
      <c r="G9" s="37">
        <v>3384</v>
      </c>
      <c r="H9" s="37">
        <v>11004</v>
      </c>
      <c r="I9" s="37">
        <v>11364</v>
      </c>
      <c r="J9" s="37">
        <v>11172</v>
      </c>
      <c r="K9" s="37">
        <v>2316</v>
      </c>
      <c r="L9" s="37">
        <v>660</v>
      </c>
      <c r="M9" s="36">
        <f t="shared" si="1"/>
        <v>55428</v>
      </c>
    </row>
    <row r="10" spans="1:13">
      <c r="A10" s="33" t="s">
        <v>197</v>
      </c>
      <c r="B10" s="34" t="s">
        <v>198</v>
      </c>
      <c r="C10" s="34"/>
      <c r="D10" s="35" t="s">
        <v>183</v>
      </c>
      <c r="E10" s="36">
        <f>E11+E12</f>
        <v>155208</v>
      </c>
      <c r="F10" s="36">
        <f t="shared" ref="F10:L10" si="5">F11+F12</f>
        <v>802800</v>
      </c>
      <c r="G10" s="36">
        <f t="shared" si="5"/>
        <v>305064</v>
      </c>
      <c r="H10" s="36">
        <f t="shared" si="5"/>
        <v>652944</v>
      </c>
      <c r="I10" s="36">
        <f t="shared" si="5"/>
        <v>797448</v>
      </c>
      <c r="J10" s="36">
        <f t="shared" si="5"/>
        <v>230136</v>
      </c>
      <c r="K10" s="36">
        <f t="shared" si="5"/>
        <v>219432</v>
      </c>
      <c r="L10" s="36">
        <f t="shared" si="5"/>
        <v>37464</v>
      </c>
      <c r="M10" s="36">
        <f t="shared" si="1"/>
        <v>3200496</v>
      </c>
    </row>
    <row r="11" spans="1:1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2088</v>
      </c>
      <c r="F11" s="36">
        <f t="shared" ref="F11:L11" si="6">72*F96</f>
        <v>10800</v>
      </c>
      <c r="G11" s="36">
        <f t="shared" si="6"/>
        <v>4104</v>
      </c>
      <c r="H11" s="36">
        <f t="shared" si="6"/>
        <v>8784</v>
      </c>
      <c r="I11" s="36">
        <f t="shared" si="6"/>
        <v>10728</v>
      </c>
      <c r="J11" s="36">
        <f t="shared" si="6"/>
        <v>3096</v>
      </c>
      <c r="K11" s="36">
        <f t="shared" si="6"/>
        <v>2952</v>
      </c>
      <c r="L11" s="36">
        <f t="shared" si="6"/>
        <v>504</v>
      </c>
      <c r="M11" s="36">
        <f t="shared" si="1"/>
        <v>43056</v>
      </c>
    </row>
    <row r="12" spans="1:1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153120</v>
      </c>
      <c r="F12" s="36">
        <f t="shared" ref="F12:L12" si="7">440*12*F96</f>
        <v>792000</v>
      </c>
      <c r="G12" s="36">
        <f t="shared" si="7"/>
        <v>300960</v>
      </c>
      <c r="H12" s="36">
        <f t="shared" si="7"/>
        <v>644160</v>
      </c>
      <c r="I12" s="36">
        <f t="shared" si="7"/>
        <v>786720</v>
      </c>
      <c r="J12" s="36">
        <f t="shared" si="7"/>
        <v>227040</v>
      </c>
      <c r="K12" s="36">
        <f t="shared" si="7"/>
        <v>216480</v>
      </c>
      <c r="L12" s="36">
        <f t="shared" si="7"/>
        <v>36960</v>
      </c>
      <c r="M12" s="36">
        <f t="shared" si="1"/>
        <v>3157440</v>
      </c>
    </row>
    <row r="13" spans="1:13">
      <c r="A13" s="33" t="s">
        <v>203</v>
      </c>
      <c r="B13" s="34" t="s">
        <v>204</v>
      </c>
      <c r="C13" s="34"/>
      <c r="D13" s="35" t="s">
        <v>205</v>
      </c>
      <c r="E13" s="36">
        <f>E14+E15+E16</f>
        <v>129835</v>
      </c>
      <c r="F13" s="36">
        <f t="shared" ref="F13:L13" si="8">F14+F15+F16</f>
        <v>749000</v>
      </c>
      <c r="G13" s="36">
        <f t="shared" si="8"/>
        <v>248150</v>
      </c>
      <c r="H13" s="36">
        <f t="shared" si="8"/>
        <v>601400</v>
      </c>
      <c r="I13" s="36">
        <f t="shared" si="8"/>
        <v>714186</v>
      </c>
      <c r="J13" s="36">
        <f t="shared" si="8"/>
        <v>186313.80000000002</v>
      </c>
      <c r="K13" s="36">
        <f t="shared" si="8"/>
        <v>178085</v>
      </c>
      <c r="L13" s="36">
        <f t="shared" si="8"/>
        <v>35205</v>
      </c>
      <c r="M13" s="36">
        <f t="shared" si="1"/>
        <v>2842174.8</v>
      </c>
    </row>
    <row r="14" spans="1:1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77901</v>
      </c>
      <c r="F14" s="36">
        <f t="shared" ref="F14:L14" si="9">F16*3</f>
        <v>449400</v>
      </c>
      <c r="G14" s="36">
        <f t="shared" si="9"/>
        <v>148890</v>
      </c>
      <c r="H14" s="36">
        <f t="shared" si="9"/>
        <v>360840</v>
      </c>
      <c r="I14" s="36">
        <f t="shared" si="9"/>
        <v>428511.60000000003</v>
      </c>
      <c r="J14" s="36">
        <f t="shared" si="9"/>
        <v>111788.28</v>
      </c>
      <c r="K14" s="36">
        <f t="shared" si="9"/>
        <v>106851</v>
      </c>
      <c r="L14" s="36">
        <f t="shared" si="9"/>
        <v>21123</v>
      </c>
      <c r="M14" s="36">
        <f t="shared" si="1"/>
        <v>1705304.8800000001</v>
      </c>
    </row>
    <row r="15" spans="1:1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25967</v>
      </c>
      <c r="F15" s="36">
        <f t="shared" ref="F15:L15" si="10">F16</f>
        <v>149800</v>
      </c>
      <c r="G15" s="36">
        <f t="shared" si="10"/>
        <v>49630</v>
      </c>
      <c r="H15" s="36">
        <f t="shared" si="10"/>
        <v>120280</v>
      </c>
      <c r="I15" s="36">
        <f t="shared" si="10"/>
        <v>142837.20000000001</v>
      </c>
      <c r="J15" s="36">
        <f t="shared" si="10"/>
        <v>37262.76</v>
      </c>
      <c r="K15" s="36">
        <f t="shared" si="10"/>
        <v>35617</v>
      </c>
      <c r="L15" s="36">
        <f t="shared" si="10"/>
        <v>7041</v>
      </c>
      <c r="M15" s="36">
        <f t="shared" si="1"/>
        <v>568434.96</v>
      </c>
    </row>
    <row r="16" spans="1:13" s="40" customFormat="1">
      <c r="A16" s="33" t="s">
        <v>211</v>
      </c>
      <c r="B16" s="38" t="s">
        <v>541</v>
      </c>
      <c r="C16" s="38" t="s">
        <v>189</v>
      </c>
      <c r="D16" s="39" t="s">
        <v>208</v>
      </c>
      <c r="E16" s="37">
        <v>25967</v>
      </c>
      <c r="F16" s="37">
        <v>149800</v>
      </c>
      <c r="G16" s="37">
        <v>49630</v>
      </c>
      <c r="H16" s="37">
        <v>120280</v>
      </c>
      <c r="I16" s="37">
        <v>142837.20000000001</v>
      </c>
      <c r="J16" s="37">
        <v>37262.76</v>
      </c>
      <c r="K16" s="37">
        <v>35617</v>
      </c>
      <c r="L16" s="37">
        <v>7041</v>
      </c>
      <c r="M16" s="36">
        <f t="shared" si="1"/>
        <v>568434.96</v>
      </c>
    </row>
    <row r="17" spans="1:13">
      <c r="A17" s="33" t="s">
        <v>213</v>
      </c>
      <c r="B17" s="34" t="s">
        <v>214</v>
      </c>
      <c r="C17" s="34"/>
      <c r="D17" s="35" t="s">
        <v>183</v>
      </c>
      <c r="E17" s="36">
        <v>4321580</v>
      </c>
      <c r="F17" s="36">
        <v>24039150</v>
      </c>
      <c r="G17" s="36">
        <v>8494140</v>
      </c>
      <c r="H17" s="36">
        <v>19551842</v>
      </c>
      <c r="I17" s="36">
        <v>23878889</v>
      </c>
      <c r="J17" s="36">
        <v>6407860</v>
      </c>
      <c r="K17" s="36">
        <v>6109820</v>
      </c>
      <c r="L17" s="36">
        <v>1032143</v>
      </c>
      <c r="M17" s="36">
        <f t="shared" si="1"/>
        <v>93835424</v>
      </c>
    </row>
    <row r="18" spans="1:13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4179404</v>
      </c>
      <c r="F18" s="43">
        <f t="shared" ref="F18:L18" si="11">F17-F19</f>
        <v>23623374</v>
      </c>
      <c r="G18" s="43">
        <f t="shared" si="11"/>
        <v>8301684</v>
      </c>
      <c r="H18" s="43">
        <f t="shared" si="11"/>
        <v>19198906</v>
      </c>
      <c r="I18" s="43">
        <f t="shared" si="11"/>
        <v>23674809</v>
      </c>
      <c r="J18" s="43">
        <f t="shared" si="11"/>
        <v>6083188</v>
      </c>
      <c r="K18" s="43">
        <f t="shared" si="11"/>
        <v>5870136</v>
      </c>
      <c r="L18" s="43">
        <f t="shared" si="11"/>
        <v>1032143</v>
      </c>
      <c r="M18" s="36">
        <f t="shared" si="1"/>
        <v>91963644</v>
      </c>
    </row>
    <row r="19" spans="1:13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142176</v>
      </c>
      <c r="F19" s="43">
        <v>415776</v>
      </c>
      <c r="G19" s="43">
        <v>192456</v>
      </c>
      <c r="H19" s="43">
        <v>352936</v>
      </c>
      <c r="I19" s="43">
        <v>204080</v>
      </c>
      <c r="J19" s="43">
        <v>324672</v>
      </c>
      <c r="K19" s="43">
        <f>251934-12250</f>
        <v>239684</v>
      </c>
      <c r="L19" s="43"/>
      <c r="M19" s="36">
        <f t="shared" si="1"/>
        <v>1871780</v>
      </c>
    </row>
    <row r="20" spans="1:13">
      <c r="A20" s="33" t="s">
        <v>221</v>
      </c>
      <c r="B20" s="34" t="s">
        <v>222</v>
      </c>
      <c r="C20" s="34"/>
      <c r="D20" s="42" t="s">
        <v>183</v>
      </c>
      <c r="E20" s="45">
        <f>E21</f>
        <v>519340</v>
      </c>
      <c r="F20" s="45">
        <f t="shared" ref="F20:L20" si="12">F21</f>
        <v>2996000</v>
      </c>
      <c r="G20" s="45">
        <f t="shared" si="12"/>
        <v>992600</v>
      </c>
      <c r="H20" s="45">
        <f t="shared" si="12"/>
        <v>2405600</v>
      </c>
      <c r="I20" s="45">
        <f t="shared" si="12"/>
        <v>2856744</v>
      </c>
      <c r="J20" s="45">
        <f t="shared" si="12"/>
        <v>745255.20000000007</v>
      </c>
      <c r="K20" s="45">
        <f t="shared" si="12"/>
        <v>712340</v>
      </c>
      <c r="L20" s="45">
        <f t="shared" si="12"/>
        <v>140820</v>
      </c>
      <c r="M20" s="36">
        <f t="shared" si="1"/>
        <v>11368699.199999999</v>
      </c>
    </row>
    <row r="21" spans="1:13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519340</v>
      </c>
      <c r="F21" s="45">
        <f t="shared" ref="F21:L21" si="13">F16*20</f>
        <v>2996000</v>
      </c>
      <c r="G21" s="45">
        <f t="shared" si="13"/>
        <v>992600</v>
      </c>
      <c r="H21" s="45">
        <f t="shared" si="13"/>
        <v>2405600</v>
      </c>
      <c r="I21" s="45">
        <f t="shared" si="13"/>
        <v>2856744</v>
      </c>
      <c r="J21" s="45">
        <f t="shared" si="13"/>
        <v>745255.20000000007</v>
      </c>
      <c r="K21" s="45">
        <f t="shared" si="13"/>
        <v>712340</v>
      </c>
      <c r="L21" s="45">
        <f t="shared" si="13"/>
        <v>140820</v>
      </c>
      <c r="M21" s="36">
        <f t="shared" si="1"/>
        <v>11368699.199999999</v>
      </c>
    </row>
    <row r="22" spans="1:13">
      <c r="A22" s="33" t="s">
        <v>226</v>
      </c>
      <c r="B22" s="34" t="s">
        <v>227</v>
      </c>
      <c r="C22" s="34"/>
      <c r="D22" s="42" t="s">
        <v>208</v>
      </c>
      <c r="E22" s="45">
        <f>E23+E24</f>
        <v>207736</v>
      </c>
      <c r="F22" s="45">
        <f t="shared" ref="F22:L22" si="14">F23+F24</f>
        <v>1198400</v>
      </c>
      <c r="G22" s="45">
        <f t="shared" si="14"/>
        <v>397040</v>
      </c>
      <c r="H22" s="45">
        <f t="shared" si="14"/>
        <v>962240</v>
      </c>
      <c r="I22" s="45">
        <f t="shared" si="14"/>
        <v>1142697.6000000001</v>
      </c>
      <c r="J22" s="45">
        <f t="shared" si="14"/>
        <v>298102.08</v>
      </c>
      <c r="K22" s="45">
        <f t="shared" si="14"/>
        <v>284936</v>
      </c>
      <c r="L22" s="45">
        <f t="shared" si="14"/>
        <v>56328</v>
      </c>
      <c r="M22" s="36">
        <f t="shared" si="1"/>
        <v>4547479.68</v>
      </c>
    </row>
    <row r="23" spans="1:13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103868</v>
      </c>
      <c r="F23" s="45">
        <f t="shared" ref="F23:L23" si="15">F16*4</f>
        <v>599200</v>
      </c>
      <c r="G23" s="45">
        <f t="shared" si="15"/>
        <v>198520</v>
      </c>
      <c r="H23" s="45">
        <f t="shared" si="15"/>
        <v>481120</v>
      </c>
      <c r="I23" s="45">
        <f t="shared" si="15"/>
        <v>571348.80000000005</v>
      </c>
      <c r="J23" s="45">
        <f t="shared" si="15"/>
        <v>149051.04</v>
      </c>
      <c r="K23" s="45">
        <f t="shared" si="15"/>
        <v>142468</v>
      </c>
      <c r="L23" s="45">
        <f t="shared" si="15"/>
        <v>28164</v>
      </c>
      <c r="M23" s="36">
        <f t="shared" si="1"/>
        <v>2273739.84</v>
      </c>
    </row>
    <row r="24" spans="1:13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103868</v>
      </c>
      <c r="F24" s="45">
        <f t="shared" ref="F24:L24" si="16">F16*4</f>
        <v>599200</v>
      </c>
      <c r="G24" s="45">
        <f t="shared" si="16"/>
        <v>198520</v>
      </c>
      <c r="H24" s="45">
        <f t="shared" si="16"/>
        <v>481120</v>
      </c>
      <c r="I24" s="45">
        <f t="shared" si="16"/>
        <v>571348.80000000005</v>
      </c>
      <c r="J24" s="45">
        <f t="shared" si="16"/>
        <v>149051.04</v>
      </c>
      <c r="K24" s="45">
        <f t="shared" si="16"/>
        <v>142468</v>
      </c>
      <c r="L24" s="45">
        <f t="shared" si="16"/>
        <v>28164</v>
      </c>
      <c r="M24" s="36">
        <f t="shared" si="1"/>
        <v>2273739.84</v>
      </c>
    </row>
    <row r="25" spans="1:13">
      <c r="A25" s="33" t="s">
        <v>233</v>
      </c>
      <c r="B25" s="34" t="s">
        <v>234</v>
      </c>
      <c r="C25" s="34"/>
      <c r="D25" s="35" t="s">
        <v>183</v>
      </c>
      <c r="E25" s="36">
        <f>E26</f>
        <v>830944</v>
      </c>
      <c r="F25" s="36">
        <f t="shared" ref="F25:L25" si="17">F26</f>
        <v>4793600</v>
      </c>
      <c r="G25" s="36">
        <f t="shared" si="17"/>
        <v>1588160</v>
      </c>
      <c r="H25" s="36">
        <f t="shared" si="17"/>
        <v>3848960</v>
      </c>
      <c r="I25" s="36">
        <f t="shared" si="17"/>
        <v>4570790.4000000004</v>
      </c>
      <c r="J25" s="36">
        <f t="shared" si="17"/>
        <v>1192408.32</v>
      </c>
      <c r="K25" s="36">
        <f t="shared" si="17"/>
        <v>1139744</v>
      </c>
      <c r="L25" s="36">
        <f t="shared" si="17"/>
        <v>225312</v>
      </c>
      <c r="M25" s="36">
        <f t="shared" si="1"/>
        <v>18189918.719999999</v>
      </c>
    </row>
    <row r="26" spans="1:13" s="40" customFormat="1">
      <c r="A26" s="33" t="s">
        <v>235</v>
      </c>
      <c r="B26" s="38" t="s">
        <v>542</v>
      </c>
      <c r="C26" s="38" t="s">
        <v>237</v>
      </c>
      <c r="D26" s="39" t="s">
        <v>208</v>
      </c>
      <c r="E26" s="36">
        <f>E16*32</f>
        <v>830944</v>
      </c>
      <c r="F26" s="36">
        <f t="shared" ref="F26:L26" si="18">F16*32</f>
        <v>4793600</v>
      </c>
      <c r="G26" s="36">
        <f t="shared" si="18"/>
        <v>1588160</v>
      </c>
      <c r="H26" s="36">
        <f t="shared" si="18"/>
        <v>3848960</v>
      </c>
      <c r="I26" s="36">
        <f t="shared" si="18"/>
        <v>4570790.4000000004</v>
      </c>
      <c r="J26" s="36">
        <f t="shared" si="18"/>
        <v>1192408.32</v>
      </c>
      <c r="K26" s="36">
        <f t="shared" si="18"/>
        <v>1139744</v>
      </c>
      <c r="L26" s="36">
        <f t="shared" si="18"/>
        <v>225312</v>
      </c>
      <c r="M26" s="36">
        <f t="shared" si="1"/>
        <v>18189918.719999999</v>
      </c>
    </row>
    <row r="27" spans="1:13">
      <c r="A27" s="33" t="s">
        <v>238</v>
      </c>
      <c r="B27" s="34" t="s">
        <v>239</v>
      </c>
      <c r="C27" s="34"/>
      <c r="D27" s="35" t="s">
        <v>183</v>
      </c>
      <c r="E27" s="36">
        <f>E28</f>
        <v>415472</v>
      </c>
      <c r="F27" s="36">
        <f t="shared" ref="F27:L27" si="19">F28</f>
        <v>2396800</v>
      </c>
      <c r="G27" s="36">
        <f t="shared" si="19"/>
        <v>794080</v>
      </c>
      <c r="H27" s="36">
        <f t="shared" si="19"/>
        <v>1924480</v>
      </c>
      <c r="I27" s="36">
        <f t="shared" si="19"/>
        <v>2285395.2000000002</v>
      </c>
      <c r="J27" s="36">
        <f t="shared" si="19"/>
        <v>596204.16</v>
      </c>
      <c r="K27" s="36">
        <f t="shared" si="19"/>
        <v>569872</v>
      </c>
      <c r="L27" s="36">
        <f t="shared" si="19"/>
        <v>112656</v>
      </c>
      <c r="M27" s="36">
        <f t="shared" si="1"/>
        <v>9094959.3599999994</v>
      </c>
    </row>
    <row r="28" spans="1:13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415472</v>
      </c>
      <c r="F28" s="36">
        <f t="shared" ref="F28:L28" si="20">F16*16</f>
        <v>2396800</v>
      </c>
      <c r="G28" s="36">
        <f t="shared" si="20"/>
        <v>794080</v>
      </c>
      <c r="H28" s="36">
        <f t="shared" si="20"/>
        <v>1924480</v>
      </c>
      <c r="I28" s="36">
        <f t="shared" si="20"/>
        <v>2285395.2000000002</v>
      </c>
      <c r="J28" s="36">
        <f t="shared" si="20"/>
        <v>596204.16</v>
      </c>
      <c r="K28" s="36">
        <f t="shared" si="20"/>
        <v>569872</v>
      </c>
      <c r="L28" s="36">
        <f t="shared" si="20"/>
        <v>112656</v>
      </c>
      <c r="M28" s="36">
        <f t="shared" si="1"/>
        <v>9094959.3599999994</v>
      </c>
    </row>
    <row r="29" spans="1:13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278400</v>
      </c>
      <c r="F29" s="36">
        <f t="shared" ref="F29:L29" si="21">9600*F96</f>
        <v>1440000</v>
      </c>
      <c r="G29" s="36">
        <f t="shared" si="21"/>
        <v>547200</v>
      </c>
      <c r="H29" s="36">
        <f t="shared" si="21"/>
        <v>1171200</v>
      </c>
      <c r="I29" s="36">
        <f t="shared" si="21"/>
        <v>1430400</v>
      </c>
      <c r="J29" s="36">
        <f t="shared" si="21"/>
        <v>412800</v>
      </c>
      <c r="K29" s="36">
        <f t="shared" si="21"/>
        <v>393600</v>
      </c>
      <c r="L29" s="36">
        <f t="shared" si="21"/>
        <v>67200</v>
      </c>
      <c r="M29" s="36">
        <f t="shared" si="1"/>
        <v>5740800</v>
      </c>
    </row>
    <row r="30" spans="1:13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363538</v>
      </c>
      <c r="F30" s="45">
        <f t="shared" ref="F30:L30" si="22">F16*14</f>
        <v>2097200</v>
      </c>
      <c r="G30" s="45">
        <f t="shared" si="22"/>
        <v>694820</v>
      </c>
      <c r="H30" s="45">
        <f t="shared" si="22"/>
        <v>1683920</v>
      </c>
      <c r="I30" s="45">
        <f t="shared" si="22"/>
        <v>1999720.8000000003</v>
      </c>
      <c r="J30" s="45">
        <f t="shared" si="22"/>
        <v>521678.64</v>
      </c>
      <c r="K30" s="45">
        <f t="shared" si="22"/>
        <v>498638</v>
      </c>
      <c r="L30" s="45">
        <f t="shared" si="22"/>
        <v>98574</v>
      </c>
      <c r="M30" s="36">
        <f t="shared" si="1"/>
        <v>7958089.4400000004</v>
      </c>
    </row>
    <row r="31" spans="1:13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4440</v>
      </c>
      <c r="F31" s="36">
        <f t="shared" ref="F31:L31" si="23">F32+F40+F42+F45+F47</f>
        <v>19920</v>
      </c>
      <c r="G31" s="36">
        <f t="shared" si="23"/>
        <v>11070</v>
      </c>
      <c r="H31" s="36">
        <f t="shared" si="23"/>
        <v>12080</v>
      </c>
      <c r="I31" s="36">
        <f t="shared" si="23"/>
        <v>116008</v>
      </c>
      <c r="J31" s="36">
        <f t="shared" si="23"/>
        <v>7680</v>
      </c>
      <c r="K31" s="36">
        <f t="shared" si="23"/>
        <v>7560</v>
      </c>
      <c r="L31" s="36">
        <f t="shared" si="23"/>
        <v>1080</v>
      </c>
      <c r="M31" s="36">
        <f t="shared" si="1"/>
        <v>179838</v>
      </c>
    </row>
    <row r="32" spans="1:13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L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101248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1"/>
        <v>101248</v>
      </c>
    </row>
    <row r="33" spans="1:13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36">
        <f t="shared" si="1"/>
        <v>0</v>
      </c>
    </row>
    <row r="34" spans="1:13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>
        <v>2400</v>
      </c>
      <c r="J34" s="43"/>
      <c r="K34" s="43"/>
      <c r="L34" s="43"/>
      <c r="M34" s="36">
        <f t="shared" si="1"/>
        <v>2400</v>
      </c>
    </row>
    <row r="35" spans="1:13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36">
        <f t="shared" si="1"/>
        <v>0</v>
      </c>
    </row>
    <row r="36" spans="1:13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36">
        <f t="shared" si="1"/>
        <v>0</v>
      </c>
    </row>
    <row r="37" spans="1:13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36">
        <f t="shared" si="1"/>
        <v>0</v>
      </c>
    </row>
    <row r="38" spans="1:13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>
        <v>71848</v>
      </c>
      <c r="J38" s="43"/>
      <c r="K38" s="43"/>
      <c r="L38" s="43"/>
      <c r="M38" s="36">
        <f t="shared" si="1"/>
        <v>71848</v>
      </c>
    </row>
    <row r="39" spans="1:13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>
        <v>27000</v>
      </c>
      <c r="J39" s="43"/>
      <c r="K39" s="43"/>
      <c r="L39" s="43"/>
      <c r="M39" s="36">
        <f t="shared" si="1"/>
        <v>27000</v>
      </c>
    </row>
    <row r="40" spans="1:13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L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1"/>
        <v>0</v>
      </c>
    </row>
    <row r="41" spans="1:13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36">
        <f t="shared" si="1"/>
        <v>0</v>
      </c>
    </row>
    <row r="42" spans="1:13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L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1"/>
        <v>0</v>
      </c>
    </row>
    <row r="43" spans="1:13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36">
        <f t="shared" si="1"/>
        <v>0</v>
      </c>
    </row>
    <row r="44" spans="1:13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36">
        <f t="shared" si="1"/>
        <v>0</v>
      </c>
    </row>
    <row r="45" spans="1:13">
      <c r="A45" s="33" t="s">
        <v>280</v>
      </c>
      <c r="B45" s="34" t="s">
        <v>281</v>
      </c>
      <c r="C45" s="34"/>
      <c r="D45" s="35" t="s">
        <v>183</v>
      </c>
      <c r="E45" s="36">
        <f>E46</f>
        <v>3240</v>
      </c>
      <c r="F45" s="36">
        <f t="shared" ref="F45:L45" si="27">F46</f>
        <v>7920</v>
      </c>
      <c r="G45" s="36">
        <f t="shared" si="27"/>
        <v>6120</v>
      </c>
      <c r="H45" s="36">
        <f t="shared" si="27"/>
        <v>10080</v>
      </c>
      <c r="I45" s="36">
        <f t="shared" si="27"/>
        <v>7560</v>
      </c>
      <c r="J45" s="36">
        <f t="shared" si="27"/>
        <v>2880</v>
      </c>
      <c r="K45" s="36">
        <f t="shared" si="27"/>
        <v>3960</v>
      </c>
      <c r="L45" s="36">
        <f t="shared" si="27"/>
        <v>1080</v>
      </c>
      <c r="M45" s="36">
        <f t="shared" si="1"/>
        <v>42840</v>
      </c>
    </row>
    <row r="46" spans="1:13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270*12</f>
        <v>3240</v>
      </c>
      <c r="F46" s="37">
        <v>7920</v>
      </c>
      <c r="G46" s="37">
        <f>510*12</f>
        <v>6120</v>
      </c>
      <c r="H46" s="37">
        <v>10080</v>
      </c>
      <c r="I46" s="37">
        <v>7560</v>
      </c>
      <c r="J46" s="37">
        <v>2880</v>
      </c>
      <c r="K46" s="37">
        <v>3960</v>
      </c>
      <c r="L46" s="37">
        <v>1080</v>
      </c>
      <c r="M46" s="36">
        <f t="shared" si="1"/>
        <v>42840</v>
      </c>
    </row>
    <row r="47" spans="1:13">
      <c r="A47" s="33" t="s">
        <v>284</v>
      </c>
      <c r="B47" s="34" t="s">
        <v>285</v>
      </c>
      <c r="C47" s="34"/>
      <c r="D47" s="35" t="s">
        <v>183</v>
      </c>
      <c r="E47" s="36">
        <f>SUM(E48:E51)</f>
        <v>1200</v>
      </c>
      <c r="F47" s="36">
        <f t="shared" ref="F47:L47" si="28">SUM(F48:F51)</f>
        <v>12000</v>
      </c>
      <c r="G47" s="36">
        <f t="shared" si="28"/>
        <v>4950</v>
      </c>
      <c r="H47" s="36">
        <f t="shared" si="28"/>
        <v>2000</v>
      </c>
      <c r="I47" s="36">
        <f t="shared" si="28"/>
        <v>7200</v>
      </c>
      <c r="J47" s="36">
        <f t="shared" si="28"/>
        <v>4800</v>
      </c>
      <c r="K47" s="36">
        <f t="shared" si="28"/>
        <v>3600</v>
      </c>
      <c r="L47" s="36">
        <f t="shared" si="28"/>
        <v>0</v>
      </c>
      <c r="M47" s="36">
        <f t="shared" si="1"/>
        <v>35750</v>
      </c>
    </row>
    <row r="48" spans="1:13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f>50*2*12</f>
        <v>1200</v>
      </c>
      <c r="F48" s="37">
        <v>12000</v>
      </c>
      <c r="G48" s="37">
        <v>4950</v>
      </c>
      <c r="H48" s="37">
        <v>2000</v>
      </c>
      <c r="I48" s="37">
        <v>7200</v>
      </c>
      <c r="J48" s="37">
        <v>4800</v>
      </c>
      <c r="K48" s="37">
        <v>3600</v>
      </c>
      <c r="L48" s="37"/>
      <c r="M48" s="36">
        <f t="shared" si="1"/>
        <v>35750</v>
      </c>
    </row>
    <row r="49" spans="1:13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36">
        <f t="shared" si="1"/>
        <v>0</v>
      </c>
    </row>
    <row r="50" spans="1:13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36">
        <f t="shared" si="1"/>
        <v>0</v>
      </c>
    </row>
    <row r="51" spans="1:13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36">
        <f t="shared" si="1"/>
        <v>0</v>
      </c>
    </row>
    <row r="52" spans="1:13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1201195</v>
      </c>
      <c r="F52" s="36">
        <f t="shared" ref="F52:L52" si="29">F53+F71+F73+F75+F77+F79+F81+F83+F85+F93</f>
        <v>7746154.0499999998</v>
      </c>
      <c r="G52" s="36">
        <f t="shared" si="29"/>
        <v>2677696.2999999998</v>
      </c>
      <c r="H52" s="36">
        <f t="shared" si="29"/>
        <v>5134505</v>
      </c>
      <c r="I52" s="36">
        <f t="shared" si="29"/>
        <v>7532418.7999999998</v>
      </c>
      <c r="J52" s="36">
        <f t="shared" si="29"/>
        <v>2219019.14</v>
      </c>
      <c r="K52" s="36">
        <f t="shared" si="29"/>
        <v>1811032.05</v>
      </c>
      <c r="L52" s="36">
        <f t="shared" si="29"/>
        <v>424060</v>
      </c>
      <c r="M52" s="36">
        <f t="shared" si="1"/>
        <v>28746080.340000004</v>
      </c>
    </row>
    <row r="53" spans="1:13">
      <c r="A53" s="33" t="s">
        <v>299</v>
      </c>
      <c r="B53" s="34" t="s">
        <v>300</v>
      </c>
      <c r="C53" s="34"/>
      <c r="D53" s="35" t="s">
        <v>301</v>
      </c>
      <c r="E53" s="36">
        <f>SUM(E54:E70)</f>
        <v>798000</v>
      </c>
      <c r="F53" s="107">
        <f t="shared" ref="F53:L53" si="30">SUM(F54:F70)</f>
        <v>5193190</v>
      </c>
      <c r="G53" s="97">
        <f t="shared" si="30"/>
        <v>1965740</v>
      </c>
      <c r="H53" s="107">
        <f t="shared" si="30"/>
        <v>3341520</v>
      </c>
      <c r="I53" s="107">
        <f t="shared" si="30"/>
        <v>5283100</v>
      </c>
      <c r="J53" s="107">
        <f t="shared" si="30"/>
        <v>1613460</v>
      </c>
      <c r="K53" s="97">
        <f t="shared" si="30"/>
        <v>1236900</v>
      </c>
      <c r="L53" s="97">
        <f t="shared" si="30"/>
        <v>224000</v>
      </c>
      <c r="M53" s="36">
        <f t="shared" si="1"/>
        <v>19655910</v>
      </c>
    </row>
    <row r="54" spans="1:13">
      <c r="A54" s="33" t="s">
        <v>302</v>
      </c>
      <c r="B54" s="34" t="s">
        <v>303</v>
      </c>
      <c r="C54" s="34" t="s">
        <v>189</v>
      </c>
      <c r="D54" s="47"/>
      <c r="E54" s="37">
        <f>310*300-20000+5100+1729</f>
        <v>79829</v>
      </c>
      <c r="F54" s="89">
        <v>726985.5</v>
      </c>
      <c r="G54" s="122">
        <v>253477</v>
      </c>
      <c r="H54" s="89">
        <v>604160</v>
      </c>
      <c r="I54" s="89">
        <v>747530</v>
      </c>
      <c r="J54" s="89">
        <v>334791</v>
      </c>
      <c r="K54" s="122">
        <v>285036</v>
      </c>
      <c r="L54" s="122">
        <v>185400</v>
      </c>
      <c r="M54" s="36">
        <f t="shared" si="1"/>
        <v>3217208.5</v>
      </c>
    </row>
    <row r="55" spans="1:13">
      <c r="A55" s="33" t="s">
        <v>304</v>
      </c>
      <c r="B55" s="34" t="s">
        <v>305</v>
      </c>
      <c r="C55" s="34" t="s">
        <v>189</v>
      </c>
      <c r="D55" s="47"/>
      <c r="E55" s="37">
        <f>30*300</f>
        <v>9000</v>
      </c>
      <c r="F55" s="37">
        <v>119140</v>
      </c>
      <c r="G55" s="122">
        <f>739*30</f>
        <v>22170</v>
      </c>
      <c r="H55" s="37">
        <f>80*554+50*638</f>
        <v>76220</v>
      </c>
      <c r="I55" s="37">
        <v>120320</v>
      </c>
      <c r="J55" s="37">
        <v>5000</v>
      </c>
      <c r="K55" s="122">
        <v>12240</v>
      </c>
      <c r="L55" s="122"/>
      <c r="M55" s="36">
        <f t="shared" si="1"/>
        <v>364090</v>
      </c>
    </row>
    <row r="56" spans="1:13">
      <c r="A56" s="33" t="s">
        <v>306</v>
      </c>
      <c r="B56" s="34" t="s">
        <v>307</v>
      </c>
      <c r="C56" s="34" t="s">
        <v>189</v>
      </c>
      <c r="D56" s="47"/>
      <c r="E56" s="37">
        <f>20*300</f>
        <v>6000</v>
      </c>
      <c r="F56" s="37">
        <v>37660</v>
      </c>
      <c r="G56" s="122"/>
      <c r="H56" s="37"/>
      <c r="I56" s="37"/>
      <c r="J56" s="37"/>
      <c r="K56" s="122">
        <v>8160</v>
      </c>
      <c r="L56" s="122"/>
      <c r="M56" s="36">
        <f t="shared" si="1"/>
        <v>51820</v>
      </c>
    </row>
    <row r="57" spans="1:13">
      <c r="A57" s="33" t="s">
        <v>308</v>
      </c>
      <c r="B57" s="34" t="s">
        <v>309</v>
      </c>
      <c r="C57" s="34" t="s">
        <v>189</v>
      </c>
      <c r="D57" s="47"/>
      <c r="E57" s="37">
        <f>100*300</f>
        <v>30000</v>
      </c>
      <c r="F57" s="37">
        <v>242620</v>
      </c>
      <c r="G57" s="122">
        <f>739*100</f>
        <v>73900</v>
      </c>
      <c r="H57" s="37">
        <f>140*554+120*638</f>
        <v>154120</v>
      </c>
      <c r="I57" s="37">
        <v>246180</v>
      </c>
      <c r="J57" s="37">
        <v>60000</v>
      </c>
      <c r="K57" s="122">
        <v>40800</v>
      </c>
      <c r="L57" s="122">
        <v>5000</v>
      </c>
      <c r="M57" s="36">
        <f t="shared" si="1"/>
        <v>852620</v>
      </c>
    </row>
    <row r="58" spans="1:13">
      <c r="A58" s="33" t="s">
        <v>310</v>
      </c>
      <c r="B58" s="34" t="s">
        <v>311</v>
      </c>
      <c r="C58" s="34" t="s">
        <v>189</v>
      </c>
      <c r="D58" s="47"/>
      <c r="E58" s="37">
        <f>250*300</f>
        <v>75000</v>
      </c>
      <c r="F58" s="37">
        <v>418250</v>
      </c>
      <c r="G58" s="122">
        <f>739*250</f>
        <v>184750</v>
      </c>
      <c r="H58" s="37">
        <f>250*554+200*638</f>
        <v>266100</v>
      </c>
      <c r="I58" s="37">
        <v>423950</v>
      </c>
      <c r="J58" s="37">
        <v>150000</v>
      </c>
      <c r="K58" s="122">
        <v>102000</v>
      </c>
      <c r="L58" s="122">
        <v>17400</v>
      </c>
      <c r="M58" s="36">
        <f t="shared" si="1"/>
        <v>1637450</v>
      </c>
    </row>
    <row r="59" spans="1:13">
      <c r="A59" s="33" t="s">
        <v>312</v>
      </c>
      <c r="B59" s="34" t="s">
        <v>313</v>
      </c>
      <c r="C59" s="34" t="s">
        <v>189</v>
      </c>
      <c r="D59" s="47"/>
      <c r="E59" s="37">
        <f>30*300</f>
        <v>9000</v>
      </c>
      <c r="F59" s="37">
        <v>102480</v>
      </c>
      <c r="G59" s="122">
        <f>739*30</f>
        <v>22170</v>
      </c>
      <c r="H59" s="37">
        <f>60*554+638*50</f>
        <v>65140</v>
      </c>
      <c r="I59" s="37">
        <v>103940</v>
      </c>
      <c r="J59" s="37">
        <v>18000</v>
      </c>
      <c r="K59" s="122">
        <v>12240</v>
      </c>
      <c r="L59" s="122">
        <v>5000</v>
      </c>
      <c r="M59" s="36">
        <f t="shared" si="1"/>
        <v>337970</v>
      </c>
    </row>
    <row r="60" spans="1:13">
      <c r="A60" s="33" t="s">
        <v>314</v>
      </c>
      <c r="B60" s="34" t="s">
        <v>315</v>
      </c>
      <c r="C60" s="34" t="s">
        <v>189</v>
      </c>
      <c r="D60" s="47"/>
      <c r="E60" s="37">
        <f>30*300</f>
        <v>9000</v>
      </c>
      <c r="F60" s="37">
        <v>83650</v>
      </c>
      <c r="G60" s="122">
        <f>739*30</f>
        <v>22170</v>
      </c>
      <c r="H60" s="37">
        <f>554*50+40*638</f>
        <v>53220</v>
      </c>
      <c r="I60" s="37">
        <v>84790</v>
      </c>
      <c r="J60" s="37">
        <v>18000</v>
      </c>
      <c r="K60" s="122">
        <v>12240</v>
      </c>
      <c r="L60" s="122"/>
      <c r="M60" s="36">
        <f t="shared" si="1"/>
        <v>283070</v>
      </c>
    </row>
    <row r="61" spans="1:13">
      <c r="A61" s="33" t="s">
        <v>316</v>
      </c>
      <c r="B61" s="34" t="s">
        <v>317</v>
      </c>
      <c r="C61" s="34" t="s">
        <v>189</v>
      </c>
      <c r="D61" s="47"/>
      <c r="E61" s="37">
        <f>450*300</f>
        <v>135000</v>
      </c>
      <c r="F61" s="37">
        <v>847350</v>
      </c>
      <c r="G61" s="122">
        <f>739*450</f>
        <v>332550</v>
      </c>
      <c r="H61" s="37">
        <f>450*1192</f>
        <v>536400</v>
      </c>
      <c r="I61" s="37">
        <v>861750</v>
      </c>
      <c r="J61" s="37">
        <v>270000</v>
      </c>
      <c r="K61" s="122">
        <v>183600</v>
      </c>
      <c r="L61" s="122"/>
      <c r="M61" s="36">
        <f t="shared" si="1"/>
        <v>3166650</v>
      </c>
    </row>
    <row r="62" spans="1:13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122"/>
      <c r="H62" s="37"/>
      <c r="I62" s="37"/>
      <c r="J62" s="37"/>
      <c r="K62" s="122"/>
      <c r="L62" s="122"/>
      <c r="M62" s="36">
        <f t="shared" si="1"/>
        <v>0</v>
      </c>
    </row>
    <row r="63" spans="1:13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f>39900-1729</f>
        <v>38171</v>
      </c>
      <c r="F63" s="89">
        <v>259659.5</v>
      </c>
      <c r="G63" s="122">
        <f>1965740*5%</f>
        <v>98287</v>
      </c>
      <c r="H63" s="89">
        <v>167076</v>
      </c>
      <c r="I63" s="89">
        <v>264155</v>
      </c>
      <c r="J63" s="89">
        <v>55669</v>
      </c>
      <c r="K63" s="122">
        <v>54264</v>
      </c>
      <c r="L63" s="122">
        <v>11200</v>
      </c>
      <c r="M63" s="36">
        <f t="shared" si="1"/>
        <v>948481.5</v>
      </c>
    </row>
    <row r="64" spans="1:13">
      <c r="A64" s="33" t="s">
        <v>324</v>
      </c>
      <c r="B64" s="34" t="s">
        <v>325</v>
      </c>
      <c r="C64" s="34" t="s">
        <v>189</v>
      </c>
      <c r="D64" s="47"/>
      <c r="E64" s="37">
        <f>24*300</f>
        <v>7200</v>
      </c>
      <c r="F64" s="37">
        <v>48524</v>
      </c>
      <c r="G64" s="122">
        <f>739*24</f>
        <v>17736</v>
      </c>
      <c r="H64" s="37">
        <f>554*28+24*638</f>
        <v>30824</v>
      </c>
      <c r="I64" s="37">
        <v>49236</v>
      </c>
      <c r="J64" s="37">
        <v>14400</v>
      </c>
      <c r="K64" s="122">
        <v>9792</v>
      </c>
      <c r="L64" s="122"/>
      <c r="M64" s="36">
        <f t="shared" si="1"/>
        <v>177712</v>
      </c>
    </row>
    <row r="65" spans="1:13">
      <c r="A65" s="33" t="s">
        <v>326</v>
      </c>
      <c r="B65" s="34" t="s">
        <v>327</v>
      </c>
      <c r="C65" s="34" t="s">
        <v>189</v>
      </c>
      <c r="D65" s="47"/>
      <c r="E65" s="37">
        <f>250*300</f>
        <v>75000</v>
      </c>
      <c r="F65" s="37">
        <v>376600</v>
      </c>
      <c r="G65" s="37">
        <f>739*250</f>
        <v>184750</v>
      </c>
      <c r="H65" s="37">
        <f>200*1192</f>
        <v>238400</v>
      </c>
      <c r="I65" s="37">
        <v>383000</v>
      </c>
      <c r="J65" s="37">
        <v>150000</v>
      </c>
      <c r="K65" s="37">
        <v>102000</v>
      </c>
      <c r="L65" s="122"/>
      <c r="M65" s="36">
        <f t="shared" si="1"/>
        <v>1509750</v>
      </c>
    </row>
    <row r="66" spans="1:13">
      <c r="A66" s="33" t="s">
        <v>328</v>
      </c>
      <c r="B66" s="34" t="s">
        <v>329</v>
      </c>
      <c r="C66" s="34" t="s">
        <v>189</v>
      </c>
      <c r="D66" s="47"/>
      <c r="E66" s="37">
        <f>100*300</f>
        <v>30000</v>
      </c>
      <c r="F66" s="37">
        <v>94150</v>
      </c>
      <c r="G66" s="37">
        <f>739*100</f>
        <v>73900</v>
      </c>
      <c r="H66" s="37">
        <f>50*1192</f>
        <v>59600</v>
      </c>
      <c r="I66" s="37">
        <v>95750</v>
      </c>
      <c r="J66" s="37">
        <v>60000</v>
      </c>
      <c r="K66" s="37">
        <v>40800</v>
      </c>
      <c r="L66" s="37"/>
      <c r="M66" s="36">
        <f t="shared" si="1"/>
        <v>454200</v>
      </c>
    </row>
    <row r="67" spans="1:13">
      <c r="A67" s="33" t="s">
        <v>330</v>
      </c>
      <c r="B67" s="34" t="s">
        <v>331</v>
      </c>
      <c r="C67" s="34" t="s">
        <v>189</v>
      </c>
      <c r="D67" s="47"/>
      <c r="E67" s="37">
        <v>20000</v>
      </c>
      <c r="F67" s="37"/>
      <c r="G67" s="37">
        <f>739*100</f>
        <v>73900</v>
      </c>
      <c r="H67" s="37">
        <f>1192*50</f>
        <v>59600</v>
      </c>
      <c r="I67" s="37">
        <v>38300</v>
      </c>
      <c r="J67" s="37">
        <v>20000</v>
      </c>
      <c r="K67" s="37"/>
      <c r="L67" s="37"/>
      <c r="M67" s="36">
        <f t="shared" ref="M67:M109" si="31">SUM(E67:L67)</f>
        <v>211800</v>
      </c>
    </row>
    <row r="68" spans="1:13">
      <c r="A68" s="33" t="s">
        <v>332</v>
      </c>
      <c r="B68" s="34" t="s">
        <v>333</v>
      </c>
      <c r="C68" s="34" t="s">
        <v>189</v>
      </c>
      <c r="D68" s="47"/>
      <c r="E68" s="37">
        <f>490*300-24*300</f>
        <v>139800</v>
      </c>
      <c r="F68" s="37">
        <v>988771</v>
      </c>
      <c r="G68" s="37">
        <f>739*370</f>
        <v>273430</v>
      </c>
      <c r="H68" s="37">
        <f>554*420+410*638</f>
        <v>494260</v>
      </c>
      <c r="I68" s="37">
        <v>1002449</v>
      </c>
      <c r="J68" s="37">
        <v>217600</v>
      </c>
      <c r="K68" s="37">
        <v>190128</v>
      </c>
      <c r="L68" s="37"/>
      <c r="M68" s="36">
        <f t="shared" si="31"/>
        <v>3306438</v>
      </c>
    </row>
    <row r="69" spans="1:13">
      <c r="A69" s="33" t="s">
        <v>334</v>
      </c>
      <c r="B69" s="34" t="s">
        <v>335</v>
      </c>
      <c r="C69" s="34" t="s">
        <v>189</v>
      </c>
      <c r="D69" s="47"/>
      <c r="E69" s="37">
        <f>450*300</f>
        <v>135000</v>
      </c>
      <c r="F69" s="37">
        <v>500000</v>
      </c>
      <c r="G69" s="37">
        <f>739*450</f>
        <v>332550</v>
      </c>
      <c r="H69" s="37">
        <f>1192*450</f>
        <v>536400</v>
      </c>
      <c r="I69" s="37">
        <v>430875</v>
      </c>
      <c r="J69" s="37">
        <v>120000</v>
      </c>
      <c r="K69" s="37">
        <v>81600</v>
      </c>
      <c r="L69" s="37"/>
      <c r="M69" s="36">
        <f t="shared" si="31"/>
        <v>2136425</v>
      </c>
    </row>
    <row r="70" spans="1:13">
      <c r="A70" s="33" t="s">
        <v>336</v>
      </c>
      <c r="B70" s="34" t="s">
        <v>337</v>
      </c>
      <c r="C70" s="34" t="s">
        <v>189</v>
      </c>
      <c r="D70" s="47"/>
      <c r="E70" s="37"/>
      <c r="F70" s="37">
        <v>347350</v>
      </c>
      <c r="G70" s="37"/>
      <c r="H70" s="37"/>
      <c r="I70" s="37">
        <v>430875</v>
      </c>
      <c r="J70" s="37">
        <v>120000</v>
      </c>
      <c r="K70" s="37">
        <v>102000</v>
      </c>
      <c r="L70" s="37"/>
      <c r="M70" s="36">
        <f t="shared" si="31"/>
        <v>1000225</v>
      </c>
    </row>
    <row r="71" spans="1:13">
      <c r="A71" s="33" t="s">
        <v>338</v>
      </c>
      <c r="B71" s="34" t="s">
        <v>339</v>
      </c>
      <c r="C71" s="34"/>
      <c r="D71" s="35"/>
      <c r="E71" s="36">
        <f>E72</f>
        <v>11600</v>
      </c>
      <c r="F71" s="36">
        <f t="shared" ref="F71:L71" si="32">F72</f>
        <v>60000</v>
      </c>
      <c r="G71" s="36">
        <f t="shared" si="32"/>
        <v>22800</v>
      </c>
      <c r="H71" s="36">
        <f t="shared" si="32"/>
        <v>48800</v>
      </c>
      <c r="I71" s="36">
        <f t="shared" si="32"/>
        <v>59600</v>
      </c>
      <c r="J71" s="36">
        <f t="shared" si="32"/>
        <v>17200</v>
      </c>
      <c r="K71" s="36">
        <f t="shared" si="32"/>
        <v>16400</v>
      </c>
      <c r="L71" s="36">
        <f t="shared" si="32"/>
        <v>2800</v>
      </c>
      <c r="M71" s="36">
        <f t="shared" si="31"/>
        <v>239200</v>
      </c>
    </row>
    <row r="72" spans="1:13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11600</v>
      </c>
      <c r="F72" s="36">
        <f t="shared" ref="F72:L72" si="33">F96*400</f>
        <v>60000</v>
      </c>
      <c r="G72" s="36">
        <f t="shared" si="33"/>
        <v>22800</v>
      </c>
      <c r="H72" s="36">
        <f t="shared" si="33"/>
        <v>48800</v>
      </c>
      <c r="I72" s="36">
        <f t="shared" si="33"/>
        <v>59600</v>
      </c>
      <c r="J72" s="36">
        <f t="shared" si="33"/>
        <v>17200</v>
      </c>
      <c r="K72" s="36">
        <f t="shared" si="33"/>
        <v>16400</v>
      </c>
      <c r="L72" s="36">
        <f t="shared" si="33"/>
        <v>2800</v>
      </c>
      <c r="M72" s="36">
        <f t="shared" si="31"/>
        <v>239200</v>
      </c>
    </row>
    <row r="73" spans="1:13">
      <c r="A73" s="33" t="s">
        <v>343</v>
      </c>
      <c r="B73" s="34" t="s">
        <v>344</v>
      </c>
      <c r="C73" s="34"/>
      <c r="D73" s="35" t="s">
        <v>183</v>
      </c>
      <c r="E73" s="36">
        <f>E74</f>
        <v>64068.6</v>
      </c>
      <c r="F73" s="36">
        <f t="shared" ref="F73:L73" si="34">F74</f>
        <v>281524.05</v>
      </c>
      <c r="G73" s="36">
        <f t="shared" si="34"/>
        <v>117936.3</v>
      </c>
      <c r="H73" s="36">
        <f t="shared" si="34"/>
        <v>211545</v>
      </c>
      <c r="I73" s="36">
        <f t="shared" si="34"/>
        <v>247410</v>
      </c>
      <c r="J73" s="36">
        <f t="shared" si="34"/>
        <v>162034.5</v>
      </c>
      <c r="K73" s="36">
        <f t="shared" si="34"/>
        <v>97744.05</v>
      </c>
      <c r="L73" s="36">
        <f t="shared" si="34"/>
        <v>33240</v>
      </c>
      <c r="M73" s="36">
        <f t="shared" si="31"/>
        <v>1215502.5</v>
      </c>
    </row>
    <row r="74" spans="1:13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64068.6</v>
      </c>
      <c r="F74" s="36">
        <f t="shared" ref="F74:L74" si="35">F108*15</f>
        <v>281524.05</v>
      </c>
      <c r="G74" s="36">
        <f t="shared" si="35"/>
        <v>117936.3</v>
      </c>
      <c r="H74" s="36">
        <f t="shared" si="35"/>
        <v>211545</v>
      </c>
      <c r="I74" s="36">
        <f t="shared" si="35"/>
        <v>247410</v>
      </c>
      <c r="J74" s="36">
        <f t="shared" si="35"/>
        <v>162034.5</v>
      </c>
      <c r="K74" s="36">
        <f t="shared" si="35"/>
        <v>97744.05</v>
      </c>
      <c r="L74" s="36">
        <f t="shared" si="35"/>
        <v>33240</v>
      </c>
      <c r="M74" s="36">
        <f t="shared" si="31"/>
        <v>1215502.5</v>
      </c>
    </row>
    <row r="75" spans="1:13">
      <c r="A75" s="33" t="s">
        <v>348</v>
      </c>
      <c r="B75" s="34" t="s">
        <v>349</v>
      </c>
      <c r="C75" s="34"/>
      <c r="D75" s="35" t="s">
        <v>183</v>
      </c>
      <c r="E75" s="36">
        <f>E76</f>
        <v>23898.400000000001</v>
      </c>
      <c r="F75" s="36">
        <f t="shared" ref="F75:L75" si="36">F76</f>
        <v>144000</v>
      </c>
      <c r="G75" s="36">
        <f t="shared" si="36"/>
        <v>33100</v>
      </c>
      <c r="H75" s="36">
        <f t="shared" si="36"/>
        <v>96000</v>
      </c>
      <c r="I75" s="36">
        <f t="shared" si="36"/>
        <v>78400</v>
      </c>
      <c r="J75" s="36">
        <f t="shared" si="36"/>
        <v>50073.599999999999</v>
      </c>
      <c r="K75" s="36">
        <f t="shared" si="36"/>
        <v>37600</v>
      </c>
      <c r="L75" s="36">
        <f t="shared" si="36"/>
        <v>50016</v>
      </c>
      <c r="M75" s="36">
        <f t="shared" si="31"/>
        <v>513088</v>
      </c>
    </row>
    <row r="76" spans="1:13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23898.400000000001</v>
      </c>
      <c r="F76" s="36">
        <f t="shared" ref="F76:L76" si="37">F109*8</f>
        <v>144000</v>
      </c>
      <c r="G76" s="36">
        <f t="shared" si="37"/>
        <v>33100</v>
      </c>
      <c r="H76" s="36">
        <f t="shared" si="37"/>
        <v>96000</v>
      </c>
      <c r="I76" s="36">
        <f t="shared" si="37"/>
        <v>78400</v>
      </c>
      <c r="J76" s="36">
        <f t="shared" si="37"/>
        <v>50073.599999999999</v>
      </c>
      <c r="K76" s="36">
        <f t="shared" si="37"/>
        <v>37600</v>
      </c>
      <c r="L76" s="36">
        <f t="shared" si="37"/>
        <v>50016</v>
      </c>
      <c r="M76" s="36">
        <f t="shared" si="31"/>
        <v>513088</v>
      </c>
    </row>
    <row r="77" spans="1:13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L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1"/>
        <v>0</v>
      </c>
    </row>
    <row r="78" spans="1:13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36">
        <f t="shared" si="31"/>
        <v>0</v>
      </c>
    </row>
    <row r="79" spans="1:13">
      <c r="A79" s="33" t="s">
        <v>357</v>
      </c>
      <c r="B79" s="34" t="s">
        <v>358</v>
      </c>
      <c r="C79" s="34"/>
      <c r="D79" s="35" t="s">
        <v>183</v>
      </c>
      <c r="E79" s="36">
        <f>E80</f>
        <v>125280</v>
      </c>
      <c r="F79" s="36">
        <f t="shared" ref="F79:L79" si="39">F80</f>
        <v>648000</v>
      </c>
      <c r="G79" s="36">
        <f t="shared" si="39"/>
        <v>246240</v>
      </c>
      <c r="H79" s="36">
        <f t="shared" si="39"/>
        <v>527040</v>
      </c>
      <c r="I79" s="36">
        <f t="shared" si="39"/>
        <v>643680</v>
      </c>
      <c r="J79" s="36">
        <f t="shared" si="39"/>
        <v>185760</v>
      </c>
      <c r="K79" s="36">
        <f t="shared" si="39"/>
        <v>177120</v>
      </c>
      <c r="L79" s="36">
        <f t="shared" si="39"/>
        <v>30240</v>
      </c>
      <c r="M79" s="36">
        <f t="shared" si="31"/>
        <v>2583360</v>
      </c>
    </row>
    <row r="80" spans="1:13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125280</v>
      </c>
      <c r="F80" s="36">
        <f t="shared" ref="F80:L80" si="40">F96*4320</f>
        <v>648000</v>
      </c>
      <c r="G80" s="36">
        <f t="shared" si="40"/>
        <v>246240</v>
      </c>
      <c r="H80" s="36">
        <f t="shared" si="40"/>
        <v>527040</v>
      </c>
      <c r="I80" s="36">
        <f t="shared" si="40"/>
        <v>643680</v>
      </c>
      <c r="J80" s="36">
        <f t="shared" si="40"/>
        <v>185760</v>
      </c>
      <c r="K80" s="36">
        <f t="shared" si="40"/>
        <v>177120</v>
      </c>
      <c r="L80" s="36">
        <f t="shared" si="40"/>
        <v>30240</v>
      </c>
      <c r="M80" s="36">
        <f t="shared" si="31"/>
        <v>2583360</v>
      </c>
    </row>
    <row r="81" spans="1:13">
      <c r="A81" s="33" t="s">
        <v>362</v>
      </c>
      <c r="B81" s="34" t="s">
        <v>363</v>
      </c>
      <c r="C81" s="34"/>
      <c r="D81" s="35" t="s">
        <v>183</v>
      </c>
      <c r="E81" s="36">
        <f>E82</f>
        <v>103868</v>
      </c>
      <c r="F81" s="36">
        <f t="shared" ref="F81:L81" si="41">F82</f>
        <v>599200</v>
      </c>
      <c r="G81" s="36">
        <f t="shared" si="41"/>
        <v>198520</v>
      </c>
      <c r="H81" s="36">
        <f t="shared" si="41"/>
        <v>481120</v>
      </c>
      <c r="I81" s="36">
        <f t="shared" si="41"/>
        <v>571348.80000000005</v>
      </c>
      <c r="J81" s="36">
        <f t="shared" si="41"/>
        <v>149051.04</v>
      </c>
      <c r="K81" s="36">
        <f t="shared" si="41"/>
        <v>142468</v>
      </c>
      <c r="L81" s="36">
        <f t="shared" si="41"/>
        <v>28164</v>
      </c>
      <c r="M81" s="36">
        <f t="shared" si="31"/>
        <v>2273739.84</v>
      </c>
    </row>
    <row r="82" spans="1:13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103868</v>
      </c>
      <c r="F82" s="36">
        <f t="shared" ref="F82:L82" si="42">F16*4</f>
        <v>599200</v>
      </c>
      <c r="G82" s="36">
        <f t="shared" si="42"/>
        <v>198520</v>
      </c>
      <c r="H82" s="36">
        <f t="shared" si="42"/>
        <v>481120</v>
      </c>
      <c r="I82" s="36">
        <f t="shared" si="42"/>
        <v>571348.80000000005</v>
      </c>
      <c r="J82" s="36">
        <f t="shared" si="42"/>
        <v>149051.04</v>
      </c>
      <c r="K82" s="36">
        <f t="shared" si="42"/>
        <v>142468</v>
      </c>
      <c r="L82" s="36">
        <f t="shared" si="42"/>
        <v>28164</v>
      </c>
      <c r="M82" s="36">
        <f t="shared" si="31"/>
        <v>2273739.84</v>
      </c>
    </row>
    <row r="83" spans="1:13">
      <c r="A83" s="33" t="s">
        <v>366</v>
      </c>
      <c r="B83" s="34" t="s">
        <v>367</v>
      </c>
      <c r="C83" s="34"/>
      <c r="D83" s="35" t="s">
        <v>183</v>
      </c>
      <c r="E83" s="36">
        <f>E84</f>
        <v>0</v>
      </c>
      <c r="F83" s="36">
        <f t="shared" ref="F83:L83" si="43">F84</f>
        <v>32000</v>
      </c>
      <c r="G83" s="36">
        <f t="shared" si="43"/>
        <v>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0</v>
      </c>
      <c r="L83" s="36">
        <f t="shared" si="43"/>
        <v>0</v>
      </c>
      <c r="M83" s="36">
        <f t="shared" si="31"/>
        <v>128000</v>
      </c>
    </row>
    <row r="84" spans="1:13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/>
      <c r="F84" s="37">
        <v>32000</v>
      </c>
      <c r="G84" s="37"/>
      <c r="H84" s="37">
        <v>32000</v>
      </c>
      <c r="I84" s="37">
        <v>64000</v>
      </c>
      <c r="J84" s="37"/>
      <c r="K84" s="37"/>
      <c r="L84" s="37"/>
      <c r="M84" s="36">
        <f t="shared" si="31"/>
        <v>128000</v>
      </c>
    </row>
    <row r="85" spans="1:13">
      <c r="A85" s="33" t="s">
        <v>371</v>
      </c>
      <c r="B85" s="34" t="s">
        <v>372</v>
      </c>
      <c r="C85" s="34"/>
      <c r="D85" s="35" t="s">
        <v>183</v>
      </c>
      <c r="E85" s="36">
        <f>E86+E89+E92</f>
        <v>42480</v>
      </c>
      <c r="F85" s="36">
        <f t="shared" ref="F85:L85" si="44">F86+F89+F92</f>
        <v>788240</v>
      </c>
      <c r="G85" s="36">
        <f t="shared" si="44"/>
        <v>61360</v>
      </c>
      <c r="H85" s="36">
        <f t="shared" si="44"/>
        <v>396480</v>
      </c>
      <c r="I85" s="36">
        <f t="shared" si="44"/>
        <v>584880</v>
      </c>
      <c r="J85" s="36">
        <f t="shared" si="44"/>
        <v>9440</v>
      </c>
      <c r="K85" s="36">
        <f t="shared" si="44"/>
        <v>70800</v>
      </c>
      <c r="L85" s="36">
        <f t="shared" si="44"/>
        <v>23600</v>
      </c>
      <c r="M85" s="36">
        <f t="shared" si="31"/>
        <v>1977280</v>
      </c>
    </row>
    <row r="86" spans="1:13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L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4320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31"/>
        <v>4320</v>
      </c>
    </row>
    <row r="87" spans="1:13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36">
        <f t="shared" si="31"/>
        <v>0</v>
      </c>
    </row>
    <row r="88" spans="1:13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>
        <v>4320</v>
      </c>
      <c r="J88" s="43"/>
      <c r="K88" s="43"/>
      <c r="L88" s="43"/>
      <c r="M88" s="36">
        <f t="shared" si="31"/>
        <v>4320</v>
      </c>
    </row>
    <row r="89" spans="1:13">
      <c r="A89" s="33" t="s">
        <v>380</v>
      </c>
      <c r="B89" s="34" t="s">
        <v>381</v>
      </c>
      <c r="C89" s="34"/>
      <c r="D89" s="35" t="s">
        <v>183</v>
      </c>
      <c r="E89" s="36">
        <f>E90+E91</f>
        <v>42480</v>
      </c>
      <c r="F89" s="36">
        <f t="shared" ref="F89:L89" si="46">F90+F91</f>
        <v>788240</v>
      </c>
      <c r="G89" s="36">
        <f t="shared" si="46"/>
        <v>61360</v>
      </c>
      <c r="H89" s="36">
        <f t="shared" si="46"/>
        <v>396480</v>
      </c>
      <c r="I89" s="36">
        <f t="shared" si="46"/>
        <v>580560</v>
      </c>
      <c r="J89" s="36">
        <f t="shared" si="46"/>
        <v>9440</v>
      </c>
      <c r="K89" s="36">
        <f t="shared" si="46"/>
        <v>70800</v>
      </c>
      <c r="L89" s="36">
        <f t="shared" si="46"/>
        <v>23600</v>
      </c>
      <c r="M89" s="36">
        <f t="shared" si="31"/>
        <v>1972960</v>
      </c>
    </row>
    <row r="90" spans="1:13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3600</v>
      </c>
      <c r="F90" s="36">
        <f t="shared" ref="F90:L90" si="47">F107*400</f>
        <v>66800</v>
      </c>
      <c r="G90" s="36">
        <f t="shared" si="47"/>
        <v>5200</v>
      </c>
      <c r="H90" s="36">
        <f t="shared" si="47"/>
        <v>33600</v>
      </c>
      <c r="I90" s="36">
        <f t="shared" si="47"/>
        <v>49200</v>
      </c>
      <c r="J90" s="36">
        <f t="shared" si="47"/>
        <v>800</v>
      </c>
      <c r="K90" s="36">
        <f t="shared" si="47"/>
        <v>6000</v>
      </c>
      <c r="L90" s="36">
        <f t="shared" si="47"/>
        <v>2000</v>
      </c>
      <c r="M90" s="36">
        <f t="shared" si="31"/>
        <v>167200</v>
      </c>
    </row>
    <row r="91" spans="1:13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38880</v>
      </c>
      <c r="F91" s="36">
        <f t="shared" ref="F91:L91" si="48">F107*4320</f>
        <v>721440</v>
      </c>
      <c r="G91" s="36">
        <f t="shared" si="48"/>
        <v>56160</v>
      </c>
      <c r="H91" s="36">
        <f t="shared" si="48"/>
        <v>362880</v>
      </c>
      <c r="I91" s="36">
        <f t="shared" si="48"/>
        <v>531360</v>
      </c>
      <c r="J91" s="36">
        <f t="shared" si="48"/>
        <v>8640</v>
      </c>
      <c r="K91" s="36">
        <f t="shared" si="48"/>
        <v>64800</v>
      </c>
      <c r="L91" s="36">
        <f t="shared" si="48"/>
        <v>21600</v>
      </c>
      <c r="M91" s="36">
        <f t="shared" si="31"/>
        <v>1805760</v>
      </c>
    </row>
    <row r="92" spans="1:13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36">
        <f t="shared" si="31"/>
        <v>0</v>
      </c>
    </row>
    <row r="93" spans="1:13">
      <c r="A93" s="33" t="s">
        <v>390</v>
      </c>
      <c r="B93" s="34" t="s">
        <v>391</v>
      </c>
      <c r="C93" s="34"/>
      <c r="D93" s="35" t="s">
        <v>183</v>
      </c>
      <c r="E93" s="36">
        <f>E94</f>
        <v>32000</v>
      </c>
      <c r="F93" s="36">
        <f t="shared" ref="F93:L93" si="49">F94</f>
        <v>0</v>
      </c>
      <c r="G93" s="36">
        <f t="shared" si="49"/>
        <v>32000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32000</v>
      </c>
      <c r="L93" s="36">
        <f t="shared" si="49"/>
        <v>32000</v>
      </c>
      <c r="M93" s="36">
        <f t="shared" si="31"/>
        <v>160000</v>
      </c>
    </row>
    <row r="94" spans="1:13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>
        <v>32000</v>
      </c>
      <c r="F94" s="52"/>
      <c r="G94" s="52">
        <v>32000</v>
      </c>
      <c r="H94" s="52"/>
      <c r="I94" s="52"/>
      <c r="J94" s="52">
        <v>32000</v>
      </c>
      <c r="K94" s="52">
        <v>32000</v>
      </c>
      <c r="L94" s="52">
        <v>32000</v>
      </c>
      <c r="M94" s="36">
        <f t="shared" si="31"/>
        <v>160000</v>
      </c>
    </row>
    <row r="95" spans="1:13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36">
        <f t="shared" si="31"/>
        <v>0</v>
      </c>
    </row>
    <row r="96" spans="1:13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29</v>
      </c>
      <c r="F96" s="36">
        <f t="shared" ref="F96:L96" si="50">F97+F98+F99+F100</f>
        <v>150</v>
      </c>
      <c r="G96" s="36">
        <f t="shared" si="50"/>
        <v>57</v>
      </c>
      <c r="H96" s="36">
        <f t="shared" si="50"/>
        <v>122</v>
      </c>
      <c r="I96" s="36">
        <f t="shared" si="50"/>
        <v>149</v>
      </c>
      <c r="J96" s="36">
        <f t="shared" si="50"/>
        <v>43</v>
      </c>
      <c r="K96" s="36">
        <f t="shared" si="50"/>
        <v>41</v>
      </c>
      <c r="L96" s="36">
        <f t="shared" si="50"/>
        <v>7</v>
      </c>
      <c r="M96" s="36">
        <f t="shared" si="31"/>
        <v>598</v>
      </c>
    </row>
    <row r="97" spans="1:13">
      <c r="A97" s="33" t="s">
        <v>400</v>
      </c>
      <c r="B97" s="56" t="s">
        <v>401</v>
      </c>
      <c r="C97" s="56"/>
      <c r="D97" s="42"/>
      <c r="E97" s="43"/>
      <c r="F97" s="43">
        <v>82</v>
      </c>
      <c r="G97" s="43"/>
      <c r="H97" s="43">
        <v>60</v>
      </c>
      <c r="I97" s="43">
        <v>73</v>
      </c>
      <c r="J97" s="43"/>
      <c r="K97" s="43"/>
      <c r="L97" s="43"/>
      <c r="M97" s="36">
        <f t="shared" si="31"/>
        <v>215</v>
      </c>
    </row>
    <row r="98" spans="1:13">
      <c r="A98" s="33" t="s">
        <v>402</v>
      </c>
      <c r="B98" s="56" t="s">
        <v>403</v>
      </c>
      <c r="C98" s="56"/>
      <c r="D98" s="35"/>
      <c r="E98" s="37"/>
      <c r="F98" s="37">
        <v>68</v>
      </c>
      <c r="G98" s="37"/>
      <c r="H98" s="37">
        <v>62</v>
      </c>
      <c r="I98" s="37">
        <v>76</v>
      </c>
      <c r="J98" s="37"/>
      <c r="K98" s="37"/>
      <c r="L98" s="37"/>
      <c r="M98" s="36">
        <f t="shared" si="31"/>
        <v>206</v>
      </c>
    </row>
    <row r="99" spans="1:13">
      <c r="A99" s="33" t="s">
        <v>404</v>
      </c>
      <c r="B99" s="56" t="s">
        <v>405</v>
      </c>
      <c r="C99" s="56"/>
      <c r="D99" s="42"/>
      <c r="E99" s="43">
        <v>29</v>
      </c>
      <c r="F99" s="43"/>
      <c r="G99" s="43">
        <v>57</v>
      </c>
      <c r="H99" s="43"/>
      <c r="I99" s="43"/>
      <c r="J99" s="43">
        <v>43</v>
      </c>
      <c r="K99" s="43">
        <v>41</v>
      </c>
      <c r="L99" s="43"/>
      <c r="M99" s="36">
        <f t="shared" si="31"/>
        <v>170</v>
      </c>
    </row>
    <row r="100" spans="1:13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>
        <v>7</v>
      </c>
      <c r="M100" s="36">
        <f t="shared" si="31"/>
        <v>7</v>
      </c>
    </row>
    <row r="101" spans="1:13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287</v>
      </c>
      <c r="F101" s="36">
        <f t="shared" ref="F101:L101" si="51">F102+F103+F104+F105</f>
        <v>1883</v>
      </c>
      <c r="G101" s="36">
        <f t="shared" si="51"/>
        <v>739</v>
      </c>
      <c r="H101" s="36">
        <f t="shared" si="51"/>
        <v>1192</v>
      </c>
      <c r="I101" s="36">
        <f t="shared" si="51"/>
        <v>1915</v>
      </c>
      <c r="J101" s="36">
        <f t="shared" si="51"/>
        <v>412</v>
      </c>
      <c r="K101" s="36">
        <f t="shared" si="51"/>
        <v>408</v>
      </c>
      <c r="L101" s="36">
        <f t="shared" si="51"/>
        <v>0</v>
      </c>
      <c r="M101" s="36">
        <f t="shared" si="31"/>
        <v>6836</v>
      </c>
    </row>
    <row r="102" spans="1:13">
      <c r="A102" s="33" t="s">
        <v>411</v>
      </c>
      <c r="B102" s="56" t="s">
        <v>401</v>
      </c>
      <c r="C102" s="56"/>
      <c r="D102" s="42"/>
      <c r="E102" s="43"/>
      <c r="F102" s="43">
        <v>833</v>
      </c>
      <c r="G102" s="43"/>
      <c r="H102" s="43">
        <v>554</v>
      </c>
      <c r="I102" s="43">
        <v>819</v>
      </c>
      <c r="J102" s="43"/>
      <c r="K102" s="43"/>
      <c r="L102" s="43"/>
      <c r="M102" s="36">
        <f t="shared" si="31"/>
        <v>2206</v>
      </c>
    </row>
    <row r="103" spans="1:13">
      <c r="A103" s="33" t="s">
        <v>412</v>
      </c>
      <c r="B103" s="56" t="s">
        <v>403</v>
      </c>
      <c r="C103" s="56"/>
      <c r="D103" s="35"/>
      <c r="E103" s="37"/>
      <c r="F103" s="37">
        <v>1050</v>
      </c>
      <c r="G103" s="37"/>
      <c r="H103" s="37">
        <v>638</v>
      </c>
      <c r="I103" s="37">
        <v>1096</v>
      </c>
      <c r="J103" s="37"/>
      <c r="K103" s="37"/>
      <c r="L103" s="37"/>
      <c r="M103" s="36">
        <f t="shared" si="31"/>
        <v>2784</v>
      </c>
    </row>
    <row r="104" spans="1:13">
      <c r="A104" s="33" t="s">
        <v>413</v>
      </c>
      <c r="B104" s="56" t="s">
        <v>405</v>
      </c>
      <c r="C104" s="56"/>
      <c r="D104" s="42"/>
      <c r="E104" s="43">
        <v>287</v>
      </c>
      <c r="F104" s="43"/>
      <c r="G104" s="43">
        <v>739</v>
      </c>
      <c r="H104" s="43"/>
      <c r="I104" s="43"/>
      <c r="J104" s="43">
        <v>412</v>
      </c>
      <c r="K104" s="43">
        <v>408</v>
      </c>
      <c r="L104" s="43"/>
      <c r="M104" s="36">
        <f t="shared" si="31"/>
        <v>1846</v>
      </c>
    </row>
    <row r="105" spans="1:13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36">
        <f t="shared" si="31"/>
        <v>0</v>
      </c>
    </row>
    <row r="106" spans="1:13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>
        <v>1</v>
      </c>
      <c r="J106" s="57"/>
      <c r="K106" s="57"/>
      <c r="L106" s="57"/>
      <c r="M106" s="36">
        <f t="shared" si="31"/>
        <v>1</v>
      </c>
    </row>
    <row r="107" spans="1:13">
      <c r="A107" s="33" t="s">
        <v>417</v>
      </c>
      <c r="B107" s="34" t="s">
        <v>418</v>
      </c>
      <c r="C107" s="34"/>
      <c r="D107" s="35"/>
      <c r="E107" s="37">
        <v>9</v>
      </c>
      <c r="F107" s="37">
        <v>167</v>
      </c>
      <c r="G107" s="37">
        <v>13</v>
      </c>
      <c r="H107" s="37">
        <v>84</v>
      </c>
      <c r="I107" s="37">
        <v>123</v>
      </c>
      <c r="J107" s="37">
        <v>2</v>
      </c>
      <c r="K107" s="37">
        <v>15</v>
      </c>
      <c r="L107" s="37">
        <v>5</v>
      </c>
      <c r="M107" s="36">
        <f t="shared" si="31"/>
        <v>418</v>
      </c>
    </row>
    <row r="108" spans="1:13">
      <c r="A108" s="33" t="s">
        <v>419</v>
      </c>
      <c r="B108" s="56" t="s">
        <v>420</v>
      </c>
      <c r="C108" s="56"/>
      <c r="D108" s="47"/>
      <c r="E108" s="37">
        <v>4271.24</v>
      </c>
      <c r="F108" s="37">
        <v>18768.27</v>
      </c>
      <c r="G108" s="37">
        <v>7862.42</v>
      </c>
      <c r="H108" s="37">
        <v>14103</v>
      </c>
      <c r="I108" s="37">
        <v>16494</v>
      </c>
      <c r="J108" s="37">
        <v>10802.3</v>
      </c>
      <c r="K108" s="37">
        <v>6516.27</v>
      </c>
      <c r="L108" s="37">
        <v>2216</v>
      </c>
      <c r="M108" s="36">
        <f t="shared" si="31"/>
        <v>81033.5</v>
      </c>
    </row>
    <row r="109" spans="1:13">
      <c r="A109" s="33" t="s">
        <v>421</v>
      </c>
      <c r="B109" s="56" t="s">
        <v>422</v>
      </c>
      <c r="C109" s="56"/>
      <c r="D109" s="47"/>
      <c r="E109" s="37">
        <v>2987.3</v>
      </c>
      <c r="F109" s="37">
        <v>18000</v>
      </c>
      <c r="G109" s="37">
        <v>4137.5</v>
      </c>
      <c r="H109" s="37">
        <v>12000</v>
      </c>
      <c r="I109" s="37">
        <v>9800</v>
      </c>
      <c r="J109" s="37">
        <v>6259.2</v>
      </c>
      <c r="K109" s="37">
        <v>4700</v>
      </c>
      <c r="L109" s="37">
        <v>6252</v>
      </c>
      <c r="M109" s="36">
        <f t="shared" si="31"/>
        <v>64136</v>
      </c>
    </row>
  </sheetData>
  <protectedRanges>
    <protectedRange password="E9C1" sqref="B31:D109 A4:D12 A2:M3 B13:D28 A13:A109 M4:M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M1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3"/>
  <sheetViews>
    <sheetView workbookViewId="0">
      <pane xSplit="4" ySplit="2" topLeftCell="Q3" activePane="bottomRight" state="frozen"/>
      <selection pane="topRight" activeCell="E1" sqref="E1"/>
      <selection pane="bottomLeft" activeCell="A3" sqref="A3"/>
      <selection pane="bottomRight" activeCell="S3" sqref="S3:S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18" width="15.625" style="30"/>
    <col min="19" max="19" width="14.75" style="30" customWidth="1"/>
    <col min="20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274" width="15.625" style="30"/>
    <col min="275" max="275" width="14.75" style="30" customWidth="1"/>
    <col min="276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530" width="15.625" style="30"/>
    <col min="531" max="531" width="14.75" style="30" customWidth="1"/>
    <col min="532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786" width="15.625" style="30"/>
    <col min="787" max="787" width="14.75" style="30" customWidth="1"/>
    <col min="788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042" width="15.625" style="30"/>
    <col min="1043" max="1043" width="14.75" style="30" customWidth="1"/>
    <col min="1044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298" width="15.625" style="30"/>
    <col min="1299" max="1299" width="14.75" style="30" customWidth="1"/>
    <col min="1300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554" width="15.625" style="30"/>
    <col min="1555" max="1555" width="14.75" style="30" customWidth="1"/>
    <col min="1556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1810" width="15.625" style="30"/>
    <col min="1811" max="1811" width="14.75" style="30" customWidth="1"/>
    <col min="1812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066" width="15.625" style="30"/>
    <col min="2067" max="2067" width="14.75" style="30" customWidth="1"/>
    <col min="2068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322" width="15.625" style="30"/>
    <col min="2323" max="2323" width="14.75" style="30" customWidth="1"/>
    <col min="2324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578" width="15.625" style="30"/>
    <col min="2579" max="2579" width="14.75" style="30" customWidth="1"/>
    <col min="2580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2834" width="15.625" style="30"/>
    <col min="2835" max="2835" width="14.75" style="30" customWidth="1"/>
    <col min="2836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090" width="15.625" style="30"/>
    <col min="3091" max="3091" width="14.75" style="30" customWidth="1"/>
    <col min="3092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346" width="15.625" style="30"/>
    <col min="3347" max="3347" width="14.75" style="30" customWidth="1"/>
    <col min="3348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602" width="15.625" style="30"/>
    <col min="3603" max="3603" width="14.75" style="30" customWidth="1"/>
    <col min="3604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3858" width="15.625" style="30"/>
    <col min="3859" max="3859" width="14.75" style="30" customWidth="1"/>
    <col min="3860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114" width="15.625" style="30"/>
    <col min="4115" max="4115" width="14.75" style="30" customWidth="1"/>
    <col min="4116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370" width="15.625" style="30"/>
    <col min="4371" max="4371" width="14.75" style="30" customWidth="1"/>
    <col min="4372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626" width="15.625" style="30"/>
    <col min="4627" max="4627" width="14.75" style="30" customWidth="1"/>
    <col min="4628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4882" width="15.625" style="30"/>
    <col min="4883" max="4883" width="14.75" style="30" customWidth="1"/>
    <col min="4884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138" width="15.625" style="30"/>
    <col min="5139" max="5139" width="14.75" style="30" customWidth="1"/>
    <col min="5140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394" width="15.625" style="30"/>
    <col min="5395" max="5395" width="14.75" style="30" customWidth="1"/>
    <col min="5396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650" width="15.625" style="30"/>
    <col min="5651" max="5651" width="14.75" style="30" customWidth="1"/>
    <col min="5652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5906" width="15.625" style="30"/>
    <col min="5907" max="5907" width="14.75" style="30" customWidth="1"/>
    <col min="5908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162" width="15.625" style="30"/>
    <col min="6163" max="6163" width="14.75" style="30" customWidth="1"/>
    <col min="6164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418" width="15.625" style="30"/>
    <col min="6419" max="6419" width="14.75" style="30" customWidth="1"/>
    <col min="6420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674" width="15.625" style="30"/>
    <col min="6675" max="6675" width="14.75" style="30" customWidth="1"/>
    <col min="6676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6930" width="15.625" style="30"/>
    <col min="6931" max="6931" width="14.75" style="30" customWidth="1"/>
    <col min="6932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186" width="15.625" style="30"/>
    <col min="7187" max="7187" width="14.75" style="30" customWidth="1"/>
    <col min="7188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442" width="15.625" style="30"/>
    <col min="7443" max="7443" width="14.75" style="30" customWidth="1"/>
    <col min="7444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698" width="15.625" style="30"/>
    <col min="7699" max="7699" width="14.75" style="30" customWidth="1"/>
    <col min="7700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7954" width="15.625" style="30"/>
    <col min="7955" max="7955" width="14.75" style="30" customWidth="1"/>
    <col min="7956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210" width="15.625" style="30"/>
    <col min="8211" max="8211" width="14.75" style="30" customWidth="1"/>
    <col min="8212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466" width="15.625" style="30"/>
    <col min="8467" max="8467" width="14.75" style="30" customWidth="1"/>
    <col min="8468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722" width="15.625" style="30"/>
    <col min="8723" max="8723" width="14.75" style="30" customWidth="1"/>
    <col min="8724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8978" width="15.625" style="30"/>
    <col min="8979" max="8979" width="14.75" style="30" customWidth="1"/>
    <col min="8980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234" width="15.625" style="30"/>
    <col min="9235" max="9235" width="14.75" style="30" customWidth="1"/>
    <col min="9236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490" width="15.625" style="30"/>
    <col min="9491" max="9491" width="14.75" style="30" customWidth="1"/>
    <col min="9492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746" width="15.625" style="30"/>
    <col min="9747" max="9747" width="14.75" style="30" customWidth="1"/>
    <col min="9748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002" width="15.625" style="30"/>
    <col min="10003" max="10003" width="14.75" style="30" customWidth="1"/>
    <col min="10004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258" width="15.625" style="30"/>
    <col min="10259" max="10259" width="14.75" style="30" customWidth="1"/>
    <col min="10260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514" width="15.625" style="30"/>
    <col min="10515" max="10515" width="14.75" style="30" customWidth="1"/>
    <col min="10516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0770" width="15.625" style="30"/>
    <col min="10771" max="10771" width="14.75" style="30" customWidth="1"/>
    <col min="10772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026" width="15.625" style="30"/>
    <col min="11027" max="11027" width="14.75" style="30" customWidth="1"/>
    <col min="11028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282" width="15.625" style="30"/>
    <col min="11283" max="11283" width="14.75" style="30" customWidth="1"/>
    <col min="11284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538" width="15.625" style="30"/>
    <col min="11539" max="11539" width="14.75" style="30" customWidth="1"/>
    <col min="11540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1794" width="15.625" style="30"/>
    <col min="11795" max="11795" width="14.75" style="30" customWidth="1"/>
    <col min="11796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050" width="15.625" style="30"/>
    <col min="12051" max="12051" width="14.75" style="30" customWidth="1"/>
    <col min="12052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306" width="15.625" style="30"/>
    <col min="12307" max="12307" width="14.75" style="30" customWidth="1"/>
    <col min="12308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562" width="15.625" style="30"/>
    <col min="12563" max="12563" width="14.75" style="30" customWidth="1"/>
    <col min="12564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2818" width="15.625" style="30"/>
    <col min="12819" max="12819" width="14.75" style="30" customWidth="1"/>
    <col min="12820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074" width="15.625" style="30"/>
    <col min="13075" max="13075" width="14.75" style="30" customWidth="1"/>
    <col min="13076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330" width="15.625" style="30"/>
    <col min="13331" max="13331" width="14.75" style="30" customWidth="1"/>
    <col min="13332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586" width="15.625" style="30"/>
    <col min="13587" max="13587" width="14.75" style="30" customWidth="1"/>
    <col min="13588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3842" width="15.625" style="30"/>
    <col min="13843" max="13843" width="14.75" style="30" customWidth="1"/>
    <col min="13844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098" width="15.625" style="30"/>
    <col min="14099" max="14099" width="14.75" style="30" customWidth="1"/>
    <col min="14100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354" width="15.625" style="30"/>
    <col min="14355" max="14355" width="14.75" style="30" customWidth="1"/>
    <col min="14356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610" width="15.625" style="30"/>
    <col min="14611" max="14611" width="14.75" style="30" customWidth="1"/>
    <col min="14612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4866" width="15.625" style="30"/>
    <col min="14867" max="14867" width="14.75" style="30" customWidth="1"/>
    <col min="14868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122" width="15.625" style="30"/>
    <col min="15123" max="15123" width="14.75" style="30" customWidth="1"/>
    <col min="15124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378" width="15.625" style="30"/>
    <col min="15379" max="15379" width="14.75" style="30" customWidth="1"/>
    <col min="15380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634" width="15.625" style="30"/>
    <col min="15635" max="15635" width="14.75" style="30" customWidth="1"/>
    <col min="15636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5890" width="15.625" style="30"/>
    <col min="15891" max="15891" width="14.75" style="30" customWidth="1"/>
    <col min="15892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146" width="15.625" style="30"/>
    <col min="16147" max="16147" width="14.75" style="30" customWidth="1"/>
    <col min="16148" max="16384" width="15.625" style="30"/>
  </cols>
  <sheetData>
    <row r="1" spans="1:19" ht="25.5">
      <c r="A1" s="279" t="s">
        <v>177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</row>
    <row r="2" spans="1:19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104</v>
      </c>
      <c r="F2" s="32" t="s">
        <v>105</v>
      </c>
      <c r="G2" s="32" t="s">
        <v>107</v>
      </c>
      <c r="H2" s="32" t="s">
        <v>109</v>
      </c>
      <c r="I2" s="32" t="s">
        <v>108</v>
      </c>
      <c r="J2" s="32" t="s">
        <v>463</v>
      </c>
      <c r="K2" s="32" t="s">
        <v>464</v>
      </c>
      <c r="L2" s="32" t="s">
        <v>465</v>
      </c>
      <c r="M2" s="32" t="s">
        <v>113</v>
      </c>
      <c r="N2" s="32" t="s">
        <v>466</v>
      </c>
      <c r="O2" s="32" t="s">
        <v>467</v>
      </c>
      <c r="P2" s="32" t="s">
        <v>427</v>
      </c>
      <c r="Q2" s="32" t="s">
        <v>468</v>
      </c>
      <c r="R2" s="32" t="s">
        <v>469</v>
      </c>
      <c r="S2" s="32" t="s">
        <v>25</v>
      </c>
    </row>
    <row r="3" spans="1:19">
      <c r="A3" s="33" t="s">
        <v>181</v>
      </c>
      <c r="B3" s="34" t="s">
        <v>182</v>
      </c>
      <c r="C3" s="34"/>
      <c r="D3" s="35" t="s">
        <v>183</v>
      </c>
      <c r="E3" s="36">
        <f>E4+E31+E52</f>
        <v>43976706.799999997</v>
      </c>
      <c r="F3" s="36">
        <f t="shared" ref="F3:R3" si="0">F4+F31+F52</f>
        <v>25289957.600000001</v>
      </c>
      <c r="G3" s="36">
        <f t="shared" si="0"/>
        <v>29903475.800000001</v>
      </c>
      <c r="H3" s="36">
        <f t="shared" si="0"/>
        <v>32617055.199999999</v>
      </c>
      <c r="I3" s="36">
        <f t="shared" si="0"/>
        <v>70572362.799999997</v>
      </c>
      <c r="J3" s="36">
        <f t="shared" si="0"/>
        <v>11814357.449999999</v>
      </c>
      <c r="K3" s="36">
        <f t="shared" si="0"/>
        <v>18166875.199999999</v>
      </c>
      <c r="L3" s="36">
        <f t="shared" si="0"/>
        <v>17005490.199999999</v>
      </c>
      <c r="M3" s="36">
        <f t="shared" si="0"/>
        <v>13366344.15</v>
      </c>
      <c r="N3" s="36">
        <f t="shared" si="0"/>
        <v>14243165</v>
      </c>
      <c r="O3" s="36">
        <f t="shared" si="0"/>
        <v>52212743.149999999</v>
      </c>
      <c r="P3" s="36">
        <f t="shared" si="0"/>
        <v>1808500.2</v>
      </c>
      <c r="Q3" s="36">
        <f t="shared" si="0"/>
        <v>12718641.699999999</v>
      </c>
      <c r="R3" s="36">
        <f t="shared" si="0"/>
        <v>10565115.6</v>
      </c>
      <c r="S3" s="36">
        <f t="shared" ref="S3:S66" si="1">SUM(E3:R3)</f>
        <v>354260790.8499999</v>
      </c>
    </row>
    <row r="4" spans="1:19">
      <c r="A4" s="33" t="s">
        <v>184</v>
      </c>
      <c r="B4" s="34" t="s">
        <v>128</v>
      </c>
      <c r="C4" s="34"/>
      <c r="D4" s="35" t="s">
        <v>183</v>
      </c>
      <c r="E4" s="36">
        <f t="shared" ref="E4:R4" si="2">E5+E8+E13+E17+E20+E22+E25+E27+E29+E30</f>
        <v>38001296</v>
      </c>
      <c r="F4" s="36">
        <f t="shared" si="2"/>
        <v>22250596</v>
      </c>
      <c r="G4" s="36">
        <f t="shared" si="2"/>
        <v>26112774</v>
      </c>
      <c r="H4" s="36">
        <f t="shared" si="2"/>
        <v>28475734</v>
      </c>
      <c r="I4" s="36">
        <f t="shared" si="2"/>
        <v>59414862</v>
      </c>
      <c r="J4" s="36">
        <f t="shared" si="2"/>
        <v>9662151</v>
      </c>
      <c r="K4" s="36">
        <f t="shared" si="2"/>
        <v>15139964</v>
      </c>
      <c r="L4" s="36">
        <f t="shared" si="2"/>
        <v>14582946</v>
      </c>
      <c r="M4" s="36">
        <f t="shared" si="2"/>
        <v>11107848</v>
      </c>
      <c r="N4" s="36">
        <f t="shared" si="2"/>
        <v>12135712</v>
      </c>
      <c r="O4" s="36">
        <f t="shared" si="2"/>
        <v>45941196</v>
      </c>
      <c r="P4" s="36">
        <f t="shared" si="2"/>
        <v>1522957</v>
      </c>
      <c r="Q4" s="36">
        <f t="shared" si="2"/>
        <v>10433627</v>
      </c>
      <c r="R4" s="36">
        <f t="shared" si="2"/>
        <v>8831830</v>
      </c>
      <c r="S4" s="36">
        <f t="shared" si="1"/>
        <v>303613493</v>
      </c>
    </row>
    <row r="5" spans="1:19">
      <c r="A5" s="33" t="s">
        <v>185</v>
      </c>
      <c r="B5" s="34" t="s">
        <v>186</v>
      </c>
      <c r="C5" s="34"/>
      <c r="D5" s="35" t="s">
        <v>183</v>
      </c>
      <c r="E5" s="36">
        <f>E6+E7</f>
        <v>5106072</v>
      </c>
      <c r="F5" s="36">
        <f t="shared" ref="F5:R5" si="3">F6+F7</f>
        <v>3266028</v>
      </c>
      <c r="G5" s="36">
        <f t="shared" si="3"/>
        <v>3784992</v>
      </c>
      <c r="H5" s="36">
        <f t="shared" si="3"/>
        <v>3894816</v>
      </c>
      <c r="I5" s="36">
        <f t="shared" si="3"/>
        <v>7668684</v>
      </c>
      <c r="J5" s="36">
        <f t="shared" si="3"/>
        <v>1167624</v>
      </c>
      <c r="K5" s="36">
        <f t="shared" si="3"/>
        <v>2046408</v>
      </c>
      <c r="L5" s="36">
        <f t="shared" si="3"/>
        <v>2015844</v>
      </c>
      <c r="M5" s="36">
        <f t="shared" si="3"/>
        <v>1455192</v>
      </c>
      <c r="N5" s="36">
        <f t="shared" si="3"/>
        <v>1559724</v>
      </c>
      <c r="O5" s="36">
        <f t="shared" si="3"/>
        <v>5347776</v>
      </c>
      <c r="P5" s="36">
        <f t="shared" si="3"/>
        <v>205200</v>
      </c>
      <c r="Q5" s="36">
        <f t="shared" si="3"/>
        <v>1122036</v>
      </c>
      <c r="R5" s="36">
        <f t="shared" si="3"/>
        <v>1132968</v>
      </c>
      <c r="S5" s="36">
        <f t="shared" si="1"/>
        <v>39773364</v>
      </c>
    </row>
    <row r="6" spans="1:19">
      <c r="A6" s="33" t="s">
        <v>187</v>
      </c>
      <c r="B6" s="34" t="s">
        <v>188</v>
      </c>
      <c r="C6" s="34" t="s">
        <v>189</v>
      </c>
      <c r="D6" s="35" t="s">
        <v>190</v>
      </c>
      <c r="E6" s="37">
        <f>260180*12</f>
        <v>3122160</v>
      </c>
      <c r="F6" s="37">
        <f>154545*12</f>
        <v>1854540</v>
      </c>
      <c r="G6" s="37">
        <f>171955*12</f>
        <v>2063460</v>
      </c>
      <c r="H6" s="37">
        <f>185620*12</f>
        <v>2227440</v>
      </c>
      <c r="I6" s="37">
        <f>406738*12</f>
        <v>4880856</v>
      </c>
      <c r="J6" s="37">
        <f>64362*12</f>
        <v>772344</v>
      </c>
      <c r="K6" s="37">
        <f>103092*12</f>
        <v>1237104</v>
      </c>
      <c r="L6" s="37">
        <f>102749*12</f>
        <v>1232988</v>
      </c>
      <c r="M6" s="37">
        <f>76708*12</f>
        <v>920496</v>
      </c>
      <c r="N6" s="37">
        <f>84709*12</f>
        <v>1016508</v>
      </c>
      <c r="O6" s="37">
        <f>285537*12</f>
        <v>3426444</v>
      </c>
      <c r="P6" s="37">
        <f>10395*12</f>
        <v>124740</v>
      </c>
      <c r="Q6" s="37">
        <f>77901*12</f>
        <v>934812</v>
      </c>
      <c r="R6" s="37">
        <f>58567*12</f>
        <v>702804</v>
      </c>
      <c r="S6" s="36">
        <f t="shared" si="1"/>
        <v>24516696</v>
      </c>
    </row>
    <row r="7" spans="1:19">
      <c r="A7" s="33" t="s">
        <v>191</v>
      </c>
      <c r="B7" s="34" t="s">
        <v>192</v>
      </c>
      <c r="C7" s="34" t="s">
        <v>189</v>
      </c>
      <c r="D7" s="35" t="s">
        <v>190</v>
      </c>
      <c r="E7" s="37">
        <f>165326*12</f>
        <v>1983912</v>
      </c>
      <c r="F7" s="37">
        <f>117624*12</f>
        <v>1411488</v>
      </c>
      <c r="G7" s="37">
        <f>143461*12</f>
        <v>1721532</v>
      </c>
      <c r="H7" s="37">
        <f>138948*12</f>
        <v>1667376</v>
      </c>
      <c r="I7" s="37">
        <f>232319*12</f>
        <v>2787828</v>
      </c>
      <c r="J7" s="37">
        <f>32940*12</f>
        <v>395280</v>
      </c>
      <c r="K7" s="37">
        <f>67442*12</f>
        <v>809304</v>
      </c>
      <c r="L7" s="37">
        <f>65238*12</f>
        <v>782856</v>
      </c>
      <c r="M7" s="37">
        <f>44558*12</f>
        <v>534696</v>
      </c>
      <c r="N7" s="37">
        <f>45268*12</f>
        <v>543216</v>
      </c>
      <c r="O7" s="37">
        <f>160111*12</f>
        <v>1921332</v>
      </c>
      <c r="P7" s="37">
        <f>6705*12</f>
        <v>80460</v>
      </c>
      <c r="Q7" s="37">
        <f>15602*12</f>
        <v>187224</v>
      </c>
      <c r="R7" s="37">
        <f>35847*12</f>
        <v>430164</v>
      </c>
      <c r="S7" s="36">
        <f t="shared" si="1"/>
        <v>15256668</v>
      </c>
    </row>
    <row r="8" spans="1:19">
      <c r="A8" s="33" t="s">
        <v>193</v>
      </c>
      <c r="B8" s="34" t="s">
        <v>194</v>
      </c>
      <c r="C8" s="34"/>
      <c r="D8" s="35" t="s">
        <v>183</v>
      </c>
      <c r="E8" s="36">
        <f>E9+E10</f>
        <v>660348</v>
      </c>
      <c r="F8" s="36">
        <f t="shared" ref="F8:R8" si="4">F9+F10</f>
        <v>380040</v>
      </c>
      <c r="G8" s="36">
        <f t="shared" si="4"/>
        <v>456684</v>
      </c>
      <c r="H8" s="36">
        <f t="shared" si="4"/>
        <v>509268</v>
      </c>
      <c r="I8" s="36">
        <f t="shared" si="4"/>
        <v>1069104</v>
      </c>
      <c r="J8" s="36">
        <f t="shared" si="4"/>
        <v>178080</v>
      </c>
      <c r="K8" s="36">
        <f t="shared" si="4"/>
        <v>287208</v>
      </c>
      <c r="L8" s="36">
        <f t="shared" si="4"/>
        <v>276240</v>
      </c>
      <c r="M8" s="36">
        <f t="shared" si="4"/>
        <v>210864</v>
      </c>
      <c r="N8" s="36">
        <f t="shared" si="4"/>
        <v>232272</v>
      </c>
      <c r="O8" s="36">
        <f t="shared" si="4"/>
        <v>809436</v>
      </c>
      <c r="P8" s="36">
        <f t="shared" si="4"/>
        <v>27036</v>
      </c>
      <c r="Q8" s="36">
        <f t="shared" si="4"/>
        <v>188136</v>
      </c>
      <c r="R8" s="36">
        <f t="shared" si="4"/>
        <v>167508</v>
      </c>
      <c r="S8" s="36">
        <f t="shared" si="1"/>
        <v>5452224</v>
      </c>
    </row>
    <row r="9" spans="1:19">
      <c r="A9" s="33" t="s">
        <v>195</v>
      </c>
      <c r="B9" s="34" t="s">
        <v>196</v>
      </c>
      <c r="C9" s="34" t="s">
        <v>189</v>
      </c>
      <c r="D9" s="35" t="s">
        <v>190</v>
      </c>
      <c r="E9" s="37">
        <f>617*12</f>
        <v>7404</v>
      </c>
      <c r="F9" s="37">
        <f>450*12</f>
        <v>5400</v>
      </c>
      <c r="G9" s="37">
        <f>593*12</f>
        <v>7116</v>
      </c>
      <c r="H9" s="37">
        <f>515*12</f>
        <v>6180</v>
      </c>
      <c r="I9" s="37">
        <f>784*12</f>
        <v>9408</v>
      </c>
      <c r="J9" s="37">
        <f>122*12</f>
        <v>1464</v>
      </c>
      <c r="K9" s="37">
        <f>296*12</f>
        <v>3552</v>
      </c>
      <c r="L9" s="37">
        <f>274*12</f>
        <v>3288</v>
      </c>
      <c r="M9" s="37">
        <f>178*12</f>
        <v>2136</v>
      </c>
      <c r="N9" s="37">
        <f>178*12</f>
        <v>2136</v>
      </c>
      <c r="O9" s="37">
        <f>553*12</f>
        <v>6636</v>
      </c>
      <c r="P9" s="37">
        <f>23*12</f>
        <v>276</v>
      </c>
      <c r="Q9" s="37">
        <f>68*12</f>
        <v>816</v>
      </c>
      <c r="R9" s="37">
        <f>133*12</f>
        <v>1596</v>
      </c>
      <c r="S9" s="36">
        <f t="shared" si="1"/>
        <v>57408</v>
      </c>
    </row>
    <row r="10" spans="1:19">
      <c r="A10" s="33" t="s">
        <v>197</v>
      </c>
      <c r="B10" s="34" t="s">
        <v>198</v>
      </c>
      <c r="C10" s="34"/>
      <c r="D10" s="35" t="s">
        <v>183</v>
      </c>
      <c r="E10" s="36">
        <f>E11+E12</f>
        <v>652944</v>
      </c>
      <c r="F10" s="36">
        <f t="shared" ref="F10:R10" si="5">F11+F12</f>
        <v>374640</v>
      </c>
      <c r="G10" s="36">
        <f t="shared" si="5"/>
        <v>449568</v>
      </c>
      <c r="H10" s="36">
        <f t="shared" si="5"/>
        <v>503088</v>
      </c>
      <c r="I10" s="36">
        <f t="shared" si="5"/>
        <v>1059696</v>
      </c>
      <c r="J10" s="36">
        <f t="shared" si="5"/>
        <v>176616</v>
      </c>
      <c r="K10" s="36">
        <f t="shared" si="5"/>
        <v>283656</v>
      </c>
      <c r="L10" s="36">
        <f t="shared" si="5"/>
        <v>272952</v>
      </c>
      <c r="M10" s="36">
        <f t="shared" si="5"/>
        <v>208728</v>
      </c>
      <c r="N10" s="36">
        <f t="shared" si="5"/>
        <v>230136</v>
      </c>
      <c r="O10" s="36">
        <f t="shared" si="5"/>
        <v>802800</v>
      </c>
      <c r="P10" s="36">
        <f t="shared" si="5"/>
        <v>26760</v>
      </c>
      <c r="Q10" s="36">
        <f t="shared" si="5"/>
        <v>187320</v>
      </c>
      <c r="R10" s="36">
        <f t="shared" si="5"/>
        <v>165912</v>
      </c>
      <c r="S10" s="36">
        <f t="shared" si="1"/>
        <v>5394816</v>
      </c>
    </row>
    <row r="11" spans="1:19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8784</v>
      </c>
      <c r="F11" s="36">
        <f t="shared" ref="F11:R11" si="6">72*F96</f>
        <v>5040</v>
      </c>
      <c r="G11" s="36">
        <f t="shared" si="6"/>
        <v>6048</v>
      </c>
      <c r="H11" s="36">
        <f t="shared" si="6"/>
        <v>6768</v>
      </c>
      <c r="I11" s="36">
        <f t="shared" si="6"/>
        <v>14256</v>
      </c>
      <c r="J11" s="36">
        <f t="shared" si="6"/>
        <v>2376</v>
      </c>
      <c r="K11" s="36">
        <f t="shared" si="6"/>
        <v>3816</v>
      </c>
      <c r="L11" s="36">
        <f t="shared" si="6"/>
        <v>3672</v>
      </c>
      <c r="M11" s="36">
        <f t="shared" si="6"/>
        <v>2808</v>
      </c>
      <c r="N11" s="36">
        <f t="shared" si="6"/>
        <v>3096</v>
      </c>
      <c r="O11" s="36">
        <f t="shared" si="6"/>
        <v>10800</v>
      </c>
      <c r="P11" s="36">
        <f t="shared" si="6"/>
        <v>360</v>
      </c>
      <c r="Q11" s="36">
        <f t="shared" si="6"/>
        <v>2520</v>
      </c>
      <c r="R11" s="36">
        <f t="shared" si="6"/>
        <v>2232</v>
      </c>
      <c r="S11" s="36">
        <f t="shared" si="1"/>
        <v>72576</v>
      </c>
    </row>
    <row r="12" spans="1:19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644160</v>
      </c>
      <c r="F12" s="36">
        <f t="shared" ref="F12:R12" si="7">440*12*F96</f>
        <v>369600</v>
      </c>
      <c r="G12" s="36">
        <f t="shared" si="7"/>
        <v>443520</v>
      </c>
      <c r="H12" s="36">
        <f t="shared" si="7"/>
        <v>496320</v>
      </c>
      <c r="I12" s="36">
        <f t="shared" si="7"/>
        <v>1045440</v>
      </c>
      <c r="J12" s="36">
        <f t="shared" si="7"/>
        <v>174240</v>
      </c>
      <c r="K12" s="36">
        <f t="shared" si="7"/>
        <v>279840</v>
      </c>
      <c r="L12" s="36">
        <f t="shared" si="7"/>
        <v>269280</v>
      </c>
      <c r="M12" s="36">
        <f t="shared" si="7"/>
        <v>205920</v>
      </c>
      <c r="N12" s="36">
        <f t="shared" si="7"/>
        <v>227040</v>
      </c>
      <c r="O12" s="36">
        <f t="shared" si="7"/>
        <v>792000</v>
      </c>
      <c r="P12" s="36">
        <f t="shared" si="7"/>
        <v>26400</v>
      </c>
      <c r="Q12" s="36">
        <f t="shared" si="7"/>
        <v>184800</v>
      </c>
      <c r="R12" s="36">
        <f t="shared" si="7"/>
        <v>163680</v>
      </c>
      <c r="S12" s="36">
        <f t="shared" si="1"/>
        <v>5322240</v>
      </c>
    </row>
    <row r="13" spans="1:19">
      <c r="A13" s="33" t="s">
        <v>203</v>
      </c>
      <c r="B13" s="34" t="s">
        <v>204</v>
      </c>
      <c r="C13" s="34"/>
      <c r="D13" s="35" t="s">
        <v>205</v>
      </c>
      <c r="E13" s="36">
        <f>E14+E15+E16</f>
        <v>605886</v>
      </c>
      <c r="F13" s="36">
        <f t="shared" ref="F13:R13" si="8">F14+F15+F16</f>
        <v>353382</v>
      </c>
      <c r="G13" s="36">
        <f t="shared" si="8"/>
        <v>400146.00000000006</v>
      </c>
      <c r="H13" s="36">
        <f t="shared" si="8"/>
        <v>426564</v>
      </c>
      <c r="I13" s="36">
        <f t="shared" si="8"/>
        <v>897084</v>
      </c>
      <c r="J13" s="36">
        <f t="shared" si="8"/>
        <v>142686</v>
      </c>
      <c r="K13" s="36">
        <f t="shared" si="8"/>
        <v>231551.99999999997</v>
      </c>
      <c r="L13" s="36">
        <f t="shared" si="8"/>
        <v>221118.00000000003</v>
      </c>
      <c r="M13" s="36">
        <f t="shared" si="8"/>
        <v>171348</v>
      </c>
      <c r="N13" s="36">
        <f t="shared" si="8"/>
        <v>185424</v>
      </c>
      <c r="O13" s="36">
        <f t="shared" si="8"/>
        <v>752886</v>
      </c>
      <c r="P13" s="36">
        <f t="shared" si="8"/>
        <v>26603.999999999996</v>
      </c>
      <c r="Q13" s="36">
        <f t="shared" si="8"/>
        <v>167280</v>
      </c>
      <c r="R13" s="36">
        <f t="shared" si="8"/>
        <v>137586</v>
      </c>
      <c r="S13" s="36">
        <f t="shared" si="1"/>
        <v>4719546</v>
      </c>
    </row>
    <row r="14" spans="1:19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363531.60000000003</v>
      </c>
      <c r="F14" s="36">
        <f t="shared" ref="F14:R14" si="9">F16*3</f>
        <v>212029.19999999998</v>
      </c>
      <c r="G14" s="36">
        <f t="shared" si="9"/>
        <v>240087.60000000003</v>
      </c>
      <c r="H14" s="36">
        <f t="shared" si="9"/>
        <v>255938.40000000002</v>
      </c>
      <c r="I14" s="36">
        <f t="shared" si="9"/>
        <v>538250.39999999991</v>
      </c>
      <c r="J14" s="36">
        <f t="shared" si="9"/>
        <v>85611.599999999991</v>
      </c>
      <c r="K14" s="36">
        <f t="shared" si="9"/>
        <v>138931.19999999998</v>
      </c>
      <c r="L14" s="36">
        <f t="shared" si="9"/>
        <v>132670.80000000002</v>
      </c>
      <c r="M14" s="36">
        <f t="shared" si="9"/>
        <v>102808.79999999999</v>
      </c>
      <c r="N14" s="36">
        <f t="shared" si="9"/>
        <v>111254.40000000001</v>
      </c>
      <c r="O14" s="36">
        <f t="shared" si="9"/>
        <v>451731.60000000003</v>
      </c>
      <c r="P14" s="36">
        <f t="shared" si="9"/>
        <v>15962.399999999998</v>
      </c>
      <c r="Q14" s="36">
        <f t="shared" si="9"/>
        <v>100368</v>
      </c>
      <c r="R14" s="36">
        <f t="shared" si="9"/>
        <v>82551.600000000006</v>
      </c>
      <c r="S14" s="36">
        <f t="shared" si="1"/>
        <v>2831727.6000000006</v>
      </c>
    </row>
    <row r="15" spans="1:19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121177.20000000001</v>
      </c>
      <c r="F15" s="36">
        <f t="shared" ref="F15:R15" si="10">F16</f>
        <v>70676.399999999994</v>
      </c>
      <c r="G15" s="36">
        <f t="shared" si="10"/>
        <v>80029.200000000012</v>
      </c>
      <c r="H15" s="36">
        <f t="shared" si="10"/>
        <v>85312.8</v>
      </c>
      <c r="I15" s="36">
        <f t="shared" si="10"/>
        <v>179416.8</v>
      </c>
      <c r="J15" s="36">
        <f t="shared" si="10"/>
        <v>28537.199999999997</v>
      </c>
      <c r="K15" s="36">
        <f t="shared" si="10"/>
        <v>46310.399999999994</v>
      </c>
      <c r="L15" s="36">
        <f t="shared" si="10"/>
        <v>44223.600000000006</v>
      </c>
      <c r="M15" s="36">
        <f t="shared" si="10"/>
        <v>34269.599999999999</v>
      </c>
      <c r="N15" s="36">
        <f t="shared" si="10"/>
        <v>37084.800000000003</v>
      </c>
      <c r="O15" s="36">
        <f t="shared" si="10"/>
        <v>150577.20000000001</v>
      </c>
      <c r="P15" s="36">
        <f t="shared" si="10"/>
        <v>5320.7999999999993</v>
      </c>
      <c r="Q15" s="36">
        <f t="shared" si="10"/>
        <v>33456</v>
      </c>
      <c r="R15" s="36">
        <f t="shared" si="10"/>
        <v>27517.200000000001</v>
      </c>
      <c r="S15" s="36">
        <f t="shared" si="1"/>
        <v>943909.2</v>
      </c>
    </row>
    <row r="16" spans="1:19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f>10098.1*12</f>
        <v>121177.20000000001</v>
      </c>
      <c r="F16" s="37">
        <f>5889.7*12</f>
        <v>70676.399999999994</v>
      </c>
      <c r="G16" s="62">
        <f>6669.1*12</f>
        <v>80029.200000000012</v>
      </c>
      <c r="H16" s="89">
        <v>85312.8</v>
      </c>
      <c r="I16" s="37">
        <f>14951.4*12</f>
        <v>179416.8</v>
      </c>
      <c r="J16" s="37">
        <f>2378.1*12</f>
        <v>28537.199999999997</v>
      </c>
      <c r="K16" s="37">
        <f>3859.2*12</f>
        <v>46310.399999999994</v>
      </c>
      <c r="L16" s="37">
        <f>3685.3*12</f>
        <v>44223.600000000006</v>
      </c>
      <c r="M16" s="89">
        <v>34269.599999999999</v>
      </c>
      <c r="N16" s="89">
        <v>37084.800000000003</v>
      </c>
      <c r="O16" s="37">
        <f>12548.1*12</f>
        <v>150577.20000000001</v>
      </c>
      <c r="P16" s="37">
        <f>443.4*12</f>
        <v>5320.7999999999993</v>
      </c>
      <c r="Q16" s="89">
        <v>33456</v>
      </c>
      <c r="R16" s="89">
        <v>27517.200000000001</v>
      </c>
      <c r="S16" s="36">
        <f t="shared" si="1"/>
        <v>943909.2</v>
      </c>
    </row>
    <row r="17" spans="1:19">
      <c r="A17" s="33" t="s">
        <v>213</v>
      </c>
      <c r="B17" s="34" t="s">
        <v>214</v>
      </c>
      <c r="C17" s="34"/>
      <c r="D17" s="35" t="s">
        <v>183</v>
      </c>
      <c r="E17" s="36">
        <v>19551842</v>
      </c>
      <c r="F17" s="36">
        <v>11218270</v>
      </c>
      <c r="G17" s="36">
        <v>13461924</v>
      </c>
      <c r="H17" s="36">
        <v>15064534</v>
      </c>
      <c r="I17" s="36">
        <v>31731678</v>
      </c>
      <c r="J17" s="36">
        <v>5288613</v>
      </c>
      <c r="K17" s="36">
        <v>7898060</v>
      </c>
      <c r="L17" s="36">
        <v>7600020</v>
      </c>
      <c r="M17" s="36">
        <v>5811780</v>
      </c>
      <c r="N17" s="36">
        <v>6407860</v>
      </c>
      <c r="O17" s="36">
        <v>24039150</v>
      </c>
      <c r="P17" s="36">
        <v>737245</v>
      </c>
      <c r="Q17" s="36">
        <v>5609135</v>
      </c>
      <c r="R17" s="36">
        <v>4619620</v>
      </c>
      <c r="S17" s="36">
        <f t="shared" si="1"/>
        <v>159039731</v>
      </c>
    </row>
    <row r="18" spans="1:19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19183220</v>
      </c>
      <c r="F18" s="43">
        <f t="shared" ref="F18:R18" si="11">F17-F19</f>
        <v>11038998</v>
      </c>
      <c r="G18" s="43">
        <f t="shared" si="11"/>
        <v>13022844</v>
      </c>
      <c r="H18" s="43">
        <f t="shared" si="11"/>
        <v>14659466</v>
      </c>
      <c r="I18" s="43">
        <f t="shared" si="11"/>
        <v>31461938</v>
      </c>
      <c r="J18" s="43">
        <f t="shared" si="11"/>
        <v>5128901</v>
      </c>
      <c r="K18" s="43">
        <f t="shared" si="11"/>
        <v>7650354</v>
      </c>
      <c r="L18" s="43">
        <f t="shared" si="11"/>
        <v>7419048</v>
      </c>
      <c r="M18" s="43">
        <f t="shared" si="11"/>
        <v>5630904</v>
      </c>
      <c r="N18" s="43">
        <f t="shared" si="11"/>
        <v>6250996</v>
      </c>
      <c r="O18" s="43">
        <f t="shared" si="11"/>
        <v>23811634</v>
      </c>
      <c r="P18" s="43">
        <f t="shared" si="11"/>
        <v>737245</v>
      </c>
      <c r="Q18" s="43">
        <f t="shared" si="11"/>
        <v>5470728</v>
      </c>
      <c r="R18" s="43">
        <f t="shared" si="11"/>
        <v>4480706</v>
      </c>
      <c r="S18" s="36">
        <f t="shared" si="1"/>
        <v>155946982</v>
      </c>
    </row>
    <row r="19" spans="1:19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368622</v>
      </c>
      <c r="F19" s="43">
        <f>179272</f>
        <v>179272</v>
      </c>
      <c r="G19" s="43">
        <f>241236+197844</f>
        <v>439080</v>
      </c>
      <c r="H19" s="43">
        <f>186652+218416</f>
        <v>405068</v>
      </c>
      <c r="I19" s="43">
        <f>269740</f>
        <v>269740</v>
      </c>
      <c r="J19" s="43">
        <v>159712</v>
      </c>
      <c r="K19" s="43">
        <v>247706</v>
      </c>
      <c r="L19" s="43">
        <v>180972</v>
      </c>
      <c r="M19" s="43">
        <v>180876</v>
      </c>
      <c r="N19" s="43">
        <v>156864</v>
      </c>
      <c r="O19" s="43">
        <v>227516</v>
      </c>
      <c r="P19" s="43"/>
      <c r="Q19" s="43">
        <v>138407</v>
      </c>
      <c r="R19" s="43">
        <v>138914</v>
      </c>
      <c r="S19" s="36">
        <f t="shared" si="1"/>
        <v>3092749</v>
      </c>
    </row>
    <row r="20" spans="1:19">
      <c r="A20" s="33" t="s">
        <v>221</v>
      </c>
      <c r="B20" s="34" t="s">
        <v>222</v>
      </c>
      <c r="C20" s="34"/>
      <c r="D20" s="42" t="s">
        <v>183</v>
      </c>
      <c r="E20" s="45">
        <f>E21</f>
        <v>2423544</v>
      </c>
      <c r="F20" s="45">
        <f t="shared" ref="F20:R20" si="12">F21</f>
        <v>1413528</v>
      </c>
      <c r="G20" s="45">
        <f t="shared" si="12"/>
        <v>1600584.0000000002</v>
      </c>
      <c r="H20" s="45">
        <f t="shared" si="12"/>
        <v>1706256</v>
      </c>
      <c r="I20" s="45">
        <f t="shared" si="12"/>
        <v>3588336</v>
      </c>
      <c r="J20" s="45">
        <f t="shared" si="12"/>
        <v>570744</v>
      </c>
      <c r="K20" s="45">
        <f t="shared" si="12"/>
        <v>926207.99999999988</v>
      </c>
      <c r="L20" s="45">
        <f t="shared" si="12"/>
        <v>884472.00000000012</v>
      </c>
      <c r="M20" s="45">
        <f t="shared" si="12"/>
        <v>685392</v>
      </c>
      <c r="N20" s="45">
        <f t="shared" si="12"/>
        <v>741696</v>
      </c>
      <c r="O20" s="45">
        <f t="shared" si="12"/>
        <v>3011544</v>
      </c>
      <c r="P20" s="45">
        <f t="shared" si="12"/>
        <v>106415.99999999999</v>
      </c>
      <c r="Q20" s="45">
        <f t="shared" si="12"/>
        <v>669120</v>
      </c>
      <c r="R20" s="45">
        <f t="shared" si="12"/>
        <v>550344</v>
      </c>
      <c r="S20" s="36">
        <f t="shared" si="1"/>
        <v>18878184</v>
      </c>
    </row>
    <row r="21" spans="1:19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2423544</v>
      </c>
      <c r="F21" s="45">
        <f t="shared" ref="F21:R21" si="13">F16*20</f>
        <v>1413528</v>
      </c>
      <c r="G21" s="45">
        <f t="shared" si="13"/>
        <v>1600584.0000000002</v>
      </c>
      <c r="H21" s="45">
        <f t="shared" si="13"/>
        <v>1706256</v>
      </c>
      <c r="I21" s="45">
        <f t="shared" si="13"/>
        <v>3588336</v>
      </c>
      <c r="J21" s="45">
        <f t="shared" si="13"/>
        <v>570744</v>
      </c>
      <c r="K21" s="45">
        <f t="shared" si="13"/>
        <v>926207.99999999988</v>
      </c>
      <c r="L21" s="45">
        <f t="shared" si="13"/>
        <v>884472.00000000012</v>
      </c>
      <c r="M21" s="45">
        <f t="shared" si="13"/>
        <v>685392</v>
      </c>
      <c r="N21" s="45">
        <f t="shared" si="13"/>
        <v>741696</v>
      </c>
      <c r="O21" s="45">
        <f t="shared" si="13"/>
        <v>3011544</v>
      </c>
      <c r="P21" s="45">
        <f t="shared" si="13"/>
        <v>106415.99999999999</v>
      </c>
      <c r="Q21" s="45">
        <f t="shared" si="13"/>
        <v>669120</v>
      </c>
      <c r="R21" s="45">
        <f t="shared" si="13"/>
        <v>550344</v>
      </c>
      <c r="S21" s="36">
        <f t="shared" si="1"/>
        <v>18878184</v>
      </c>
    </row>
    <row r="22" spans="1:19">
      <c r="A22" s="33" t="s">
        <v>226</v>
      </c>
      <c r="B22" s="34" t="s">
        <v>227</v>
      </c>
      <c r="C22" s="34"/>
      <c r="D22" s="42" t="s">
        <v>208</v>
      </c>
      <c r="E22" s="45">
        <f>E23+E24</f>
        <v>969417.60000000009</v>
      </c>
      <c r="F22" s="45">
        <f t="shared" ref="F22:R22" si="14">F23+F24</f>
        <v>565411.19999999995</v>
      </c>
      <c r="G22" s="45">
        <f t="shared" si="14"/>
        <v>640233.60000000009</v>
      </c>
      <c r="H22" s="45">
        <f t="shared" si="14"/>
        <v>682502.4</v>
      </c>
      <c r="I22" s="45">
        <f t="shared" si="14"/>
        <v>1435334.4</v>
      </c>
      <c r="J22" s="45">
        <f t="shared" si="14"/>
        <v>228297.59999999998</v>
      </c>
      <c r="K22" s="45">
        <f t="shared" si="14"/>
        <v>370483.19999999995</v>
      </c>
      <c r="L22" s="45">
        <f t="shared" si="14"/>
        <v>353788.80000000005</v>
      </c>
      <c r="M22" s="45">
        <f t="shared" si="14"/>
        <v>274156.79999999999</v>
      </c>
      <c r="N22" s="45">
        <f t="shared" si="14"/>
        <v>296678.40000000002</v>
      </c>
      <c r="O22" s="45">
        <f t="shared" si="14"/>
        <v>1204617.6000000001</v>
      </c>
      <c r="P22" s="45">
        <f t="shared" si="14"/>
        <v>42566.399999999994</v>
      </c>
      <c r="Q22" s="45">
        <f t="shared" si="14"/>
        <v>267648</v>
      </c>
      <c r="R22" s="45">
        <f t="shared" si="14"/>
        <v>220137.60000000001</v>
      </c>
      <c r="S22" s="36">
        <f t="shared" si="1"/>
        <v>7551273.5999999996</v>
      </c>
    </row>
    <row r="23" spans="1:19">
      <c r="A23" s="33" t="s">
        <v>228</v>
      </c>
      <c r="B23" s="34" t="s">
        <v>470</v>
      </c>
      <c r="C23" s="34" t="s">
        <v>230</v>
      </c>
      <c r="D23" s="42" t="s">
        <v>208</v>
      </c>
      <c r="E23" s="45">
        <f>E16*4</f>
        <v>484708.80000000005</v>
      </c>
      <c r="F23" s="45">
        <f t="shared" ref="F23:R23" si="15">F16*4</f>
        <v>282705.59999999998</v>
      </c>
      <c r="G23" s="45">
        <f t="shared" si="15"/>
        <v>320116.80000000005</v>
      </c>
      <c r="H23" s="45">
        <f t="shared" si="15"/>
        <v>341251.2</v>
      </c>
      <c r="I23" s="45">
        <f t="shared" si="15"/>
        <v>717667.2</v>
      </c>
      <c r="J23" s="45">
        <f t="shared" si="15"/>
        <v>114148.79999999999</v>
      </c>
      <c r="K23" s="45">
        <f t="shared" si="15"/>
        <v>185241.59999999998</v>
      </c>
      <c r="L23" s="45">
        <f t="shared" si="15"/>
        <v>176894.40000000002</v>
      </c>
      <c r="M23" s="45">
        <f t="shared" si="15"/>
        <v>137078.39999999999</v>
      </c>
      <c r="N23" s="45">
        <f t="shared" si="15"/>
        <v>148339.20000000001</v>
      </c>
      <c r="O23" s="45">
        <f t="shared" si="15"/>
        <v>602308.80000000005</v>
      </c>
      <c r="P23" s="45">
        <f t="shared" si="15"/>
        <v>21283.199999999997</v>
      </c>
      <c r="Q23" s="45">
        <f t="shared" si="15"/>
        <v>133824</v>
      </c>
      <c r="R23" s="45">
        <f t="shared" si="15"/>
        <v>110068.8</v>
      </c>
      <c r="S23" s="36">
        <f t="shared" si="1"/>
        <v>3775636.8</v>
      </c>
    </row>
    <row r="24" spans="1:19">
      <c r="A24" s="33" t="s">
        <v>231</v>
      </c>
      <c r="B24" s="34" t="s">
        <v>471</v>
      </c>
      <c r="C24" s="34" t="s">
        <v>230</v>
      </c>
      <c r="D24" s="42" t="s">
        <v>208</v>
      </c>
      <c r="E24" s="45">
        <f>E16*4</f>
        <v>484708.80000000005</v>
      </c>
      <c r="F24" s="45">
        <f t="shared" ref="F24:R24" si="16">F16*4</f>
        <v>282705.59999999998</v>
      </c>
      <c r="G24" s="45">
        <f t="shared" si="16"/>
        <v>320116.80000000005</v>
      </c>
      <c r="H24" s="45">
        <f t="shared" si="16"/>
        <v>341251.2</v>
      </c>
      <c r="I24" s="45">
        <f t="shared" si="16"/>
        <v>717667.2</v>
      </c>
      <c r="J24" s="45">
        <f t="shared" si="16"/>
        <v>114148.79999999999</v>
      </c>
      <c r="K24" s="45">
        <f t="shared" si="16"/>
        <v>185241.59999999998</v>
      </c>
      <c r="L24" s="45">
        <f t="shared" si="16"/>
        <v>176894.40000000002</v>
      </c>
      <c r="M24" s="45">
        <f t="shared" si="16"/>
        <v>137078.39999999999</v>
      </c>
      <c r="N24" s="45">
        <f t="shared" si="16"/>
        <v>148339.20000000001</v>
      </c>
      <c r="O24" s="45">
        <f t="shared" si="16"/>
        <v>602308.80000000005</v>
      </c>
      <c r="P24" s="45">
        <f t="shared" si="16"/>
        <v>21283.199999999997</v>
      </c>
      <c r="Q24" s="45">
        <f t="shared" si="16"/>
        <v>133824</v>
      </c>
      <c r="R24" s="45">
        <f t="shared" si="16"/>
        <v>110068.8</v>
      </c>
      <c r="S24" s="36">
        <f t="shared" si="1"/>
        <v>3775636.8</v>
      </c>
    </row>
    <row r="25" spans="1:19">
      <c r="A25" s="33" t="s">
        <v>233</v>
      </c>
      <c r="B25" s="34" t="s">
        <v>234</v>
      </c>
      <c r="C25" s="34"/>
      <c r="D25" s="35" t="s">
        <v>183</v>
      </c>
      <c r="E25" s="36">
        <f>E26</f>
        <v>3877670.4000000004</v>
      </c>
      <c r="F25" s="36">
        <f t="shared" ref="F25:R25" si="17">F26</f>
        <v>2261644.7999999998</v>
      </c>
      <c r="G25" s="36">
        <f t="shared" si="17"/>
        <v>2560934.4000000004</v>
      </c>
      <c r="H25" s="36">
        <f t="shared" si="17"/>
        <v>2730009.6</v>
      </c>
      <c r="I25" s="36">
        <f t="shared" si="17"/>
        <v>5741337.5999999996</v>
      </c>
      <c r="J25" s="36">
        <f t="shared" si="17"/>
        <v>913190.39999999991</v>
      </c>
      <c r="K25" s="36">
        <f t="shared" si="17"/>
        <v>1481932.7999999998</v>
      </c>
      <c r="L25" s="36">
        <f t="shared" si="17"/>
        <v>1415155.2000000002</v>
      </c>
      <c r="M25" s="36">
        <f t="shared" si="17"/>
        <v>1096627.2</v>
      </c>
      <c r="N25" s="36">
        <f t="shared" si="17"/>
        <v>1186713.6000000001</v>
      </c>
      <c r="O25" s="36">
        <f t="shared" si="17"/>
        <v>4818470.4000000004</v>
      </c>
      <c r="P25" s="36">
        <f t="shared" si="17"/>
        <v>170265.59999999998</v>
      </c>
      <c r="Q25" s="36">
        <f t="shared" si="17"/>
        <v>1070592</v>
      </c>
      <c r="R25" s="36">
        <f t="shared" si="17"/>
        <v>880550.40000000002</v>
      </c>
      <c r="S25" s="36">
        <f t="shared" si="1"/>
        <v>30205094.399999999</v>
      </c>
    </row>
    <row r="26" spans="1:19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3877670.4000000004</v>
      </c>
      <c r="F26" s="36">
        <f t="shared" ref="F26:R26" si="18">F16*32</f>
        <v>2261644.7999999998</v>
      </c>
      <c r="G26" s="36">
        <f t="shared" si="18"/>
        <v>2560934.4000000004</v>
      </c>
      <c r="H26" s="36">
        <f t="shared" si="18"/>
        <v>2730009.6</v>
      </c>
      <c r="I26" s="36">
        <f t="shared" si="18"/>
        <v>5741337.5999999996</v>
      </c>
      <c r="J26" s="36">
        <f t="shared" si="18"/>
        <v>913190.39999999991</v>
      </c>
      <c r="K26" s="36">
        <f t="shared" si="18"/>
        <v>1481932.7999999998</v>
      </c>
      <c r="L26" s="36">
        <f t="shared" si="18"/>
        <v>1415155.2000000002</v>
      </c>
      <c r="M26" s="36">
        <f t="shared" si="18"/>
        <v>1096627.2</v>
      </c>
      <c r="N26" s="36">
        <f t="shared" si="18"/>
        <v>1186713.6000000001</v>
      </c>
      <c r="O26" s="36">
        <f t="shared" si="18"/>
        <v>4818470.4000000004</v>
      </c>
      <c r="P26" s="36">
        <f t="shared" si="18"/>
        <v>170265.59999999998</v>
      </c>
      <c r="Q26" s="36">
        <f t="shared" si="18"/>
        <v>1070592</v>
      </c>
      <c r="R26" s="36">
        <f t="shared" si="18"/>
        <v>880550.40000000002</v>
      </c>
      <c r="S26" s="36">
        <f t="shared" si="1"/>
        <v>30205094.399999999</v>
      </c>
    </row>
    <row r="27" spans="1:19">
      <c r="A27" s="33" t="s">
        <v>238</v>
      </c>
      <c r="B27" s="34" t="s">
        <v>239</v>
      </c>
      <c r="C27" s="34"/>
      <c r="D27" s="35" t="s">
        <v>183</v>
      </c>
      <c r="E27" s="36">
        <f>E28</f>
        <v>1938835.2000000002</v>
      </c>
      <c r="F27" s="36">
        <f t="shared" ref="F27:R27" si="19">F28</f>
        <v>1130822.3999999999</v>
      </c>
      <c r="G27" s="36">
        <f t="shared" si="19"/>
        <v>1280467.2000000002</v>
      </c>
      <c r="H27" s="36">
        <f t="shared" si="19"/>
        <v>1365004.8</v>
      </c>
      <c r="I27" s="36">
        <f t="shared" si="19"/>
        <v>2870668.8</v>
      </c>
      <c r="J27" s="36">
        <f t="shared" si="19"/>
        <v>456595.19999999995</v>
      </c>
      <c r="K27" s="36">
        <f t="shared" si="19"/>
        <v>740966.39999999991</v>
      </c>
      <c r="L27" s="36">
        <f t="shared" si="19"/>
        <v>707577.60000000009</v>
      </c>
      <c r="M27" s="36">
        <f t="shared" si="19"/>
        <v>548313.59999999998</v>
      </c>
      <c r="N27" s="36">
        <f t="shared" si="19"/>
        <v>593356.80000000005</v>
      </c>
      <c r="O27" s="36">
        <f t="shared" si="19"/>
        <v>2409235.2000000002</v>
      </c>
      <c r="P27" s="36">
        <f t="shared" si="19"/>
        <v>85132.799999999988</v>
      </c>
      <c r="Q27" s="36">
        <f t="shared" si="19"/>
        <v>535296</v>
      </c>
      <c r="R27" s="36">
        <f t="shared" si="19"/>
        <v>440275.20000000001</v>
      </c>
      <c r="S27" s="36">
        <f t="shared" si="1"/>
        <v>15102547.199999999</v>
      </c>
    </row>
    <row r="28" spans="1:19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1938835.2000000002</v>
      </c>
      <c r="F28" s="36">
        <f t="shared" ref="F28:R28" si="20">F16*16</f>
        <v>1130822.3999999999</v>
      </c>
      <c r="G28" s="36">
        <f t="shared" si="20"/>
        <v>1280467.2000000002</v>
      </c>
      <c r="H28" s="36">
        <f t="shared" si="20"/>
        <v>1365004.8</v>
      </c>
      <c r="I28" s="36">
        <f t="shared" si="20"/>
        <v>2870668.8</v>
      </c>
      <c r="J28" s="36">
        <f t="shared" si="20"/>
        <v>456595.19999999995</v>
      </c>
      <c r="K28" s="36">
        <f t="shared" si="20"/>
        <v>740966.39999999991</v>
      </c>
      <c r="L28" s="36">
        <f t="shared" si="20"/>
        <v>707577.60000000009</v>
      </c>
      <c r="M28" s="36">
        <f t="shared" si="20"/>
        <v>548313.59999999998</v>
      </c>
      <c r="N28" s="36">
        <f t="shared" si="20"/>
        <v>593356.80000000005</v>
      </c>
      <c r="O28" s="36">
        <f t="shared" si="20"/>
        <v>2409235.2000000002</v>
      </c>
      <c r="P28" s="36">
        <f t="shared" si="20"/>
        <v>85132.799999999988</v>
      </c>
      <c r="Q28" s="36">
        <f t="shared" si="20"/>
        <v>535296</v>
      </c>
      <c r="R28" s="36">
        <f t="shared" si="20"/>
        <v>440275.20000000001</v>
      </c>
      <c r="S28" s="36">
        <f t="shared" si="1"/>
        <v>15102547.199999999</v>
      </c>
    </row>
    <row r="29" spans="1:19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1171200</v>
      </c>
      <c r="F29" s="36">
        <f t="shared" ref="F29:R29" si="21">9600*F96</f>
        <v>672000</v>
      </c>
      <c r="G29" s="36">
        <f t="shared" si="21"/>
        <v>806400</v>
      </c>
      <c r="H29" s="36">
        <f t="shared" si="21"/>
        <v>902400</v>
      </c>
      <c r="I29" s="36">
        <f t="shared" si="21"/>
        <v>1900800</v>
      </c>
      <c r="J29" s="36">
        <f t="shared" si="21"/>
        <v>316800</v>
      </c>
      <c r="K29" s="36">
        <f t="shared" si="21"/>
        <v>508800</v>
      </c>
      <c r="L29" s="36">
        <f t="shared" si="21"/>
        <v>489600</v>
      </c>
      <c r="M29" s="36">
        <f t="shared" si="21"/>
        <v>374400</v>
      </c>
      <c r="N29" s="36">
        <f t="shared" si="21"/>
        <v>412800</v>
      </c>
      <c r="O29" s="36">
        <f t="shared" si="21"/>
        <v>1440000</v>
      </c>
      <c r="P29" s="36">
        <f t="shared" si="21"/>
        <v>48000</v>
      </c>
      <c r="Q29" s="36">
        <f t="shared" si="21"/>
        <v>336000</v>
      </c>
      <c r="R29" s="36">
        <f t="shared" si="21"/>
        <v>297600</v>
      </c>
      <c r="S29" s="36">
        <f t="shared" si="1"/>
        <v>9676800</v>
      </c>
    </row>
    <row r="30" spans="1:19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1696480.8000000003</v>
      </c>
      <c r="F30" s="45">
        <f t="shared" ref="F30:R30" si="22">F16*14</f>
        <v>989469.59999999986</v>
      </c>
      <c r="G30" s="45">
        <f t="shared" si="22"/>
        <v>1120408.8000000003</v>
      </c>
      <c r="H30" s="45">
        <f t="shared" si="22"/>
        <v>1194379.2</v>
      </c>
      <c r="I30" s="45">
        <f t="shared" si="22"/>
        <v>2511835.1999999997</v>
      </c>
      <c r="J30" s="45">
        <f t="shared" si="22"/>
        <v>399520.79999999993</v>
      </c>
      <c r="K30" s="45">
        <f t="shared" si="22"/>
        <v>648345.59999999986</v>
      </c>
      <c r="L30" s="45">
        <f t="shared" si="22"/>
        <v>619130.40000000014</v>
      </c>
      <c r="M30" s="45">
        <f t="shared" si="22"/>
        <v>479774.39999999997</v>
      </c>
      <c r="N30" s="45">
        <f t="shared" si="22"/>
        <v>519187.20000000007</v>
      </c>
      <c r="O30" s="45">
        <f t="shared" si="22"/>
        <v>2108080.8000000003</v>
      </c>
      <c r="P30" s="45">
        <f t="shared" si="22"/>
        <v>74491.199999999983</v>
      </c>
      <c r="Q30" s="45">
        <f t="shared" si="22"/>
        <v>468384</v>
      </c>
      <c r="R30" s="45">
        <f t="shared" si="22"/>
        <v>385240.8</v>
      </c>
      <c r="S30" s="36">
        <f t="shared" si="1"/>
        <v>13214728.800000001</v>
      </c>
    </row>
    <row r="31" spans="1:19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14380</v>
      </c>
      <c r="F31" s="36">
        <f t="shared" ref="F31:R31" si="23">F32+F40+F42+F45+F47</f>
        <v>12840</v>
      </c>
      <c r="G31" s="36">
        <f t="shared" si="23"/>
        <v>7380</v>
      </c>
      <c r="H31" s="36">
        <f t="shared" si="23"/>
        <v>4950</v>
      </c>
      <c r="I31" s="36">
        <f t="shared" si="23"/>
        <v>25220</v>
      </c>
      <c r="J31" s="36">
        <f t="shared" si="23"/>
        <v>2360</v>
      </c>
      <c r="K31" s="36">
        <f t="shared" si="23"/>
        <v>8540</v>
      </c>
      <c r="L31" s="36">
        <f t="shared" si="23"/>
        <v>5820</v>
      </c>
      <c r="M31" s="36">
        <f t="shared" si="23"/>
        <v>9140</v>
      </c>
      <c r="N31" s="36">
        <f t="shared" si="23"/>
        <v>6320</v>
      </c>
      <c r="O31" s="36">
        <f t="shared" si="23"/>
        <v>16380</v>
      </c>
      <c r="P31" s="36">
        <f t="shared" si="23"/>
        <v>0</v>
      </c>
      <c r="Q31" s="36">
        <f t="shared" si="23"/>
        <v>2450</v>
      </c>
      <c r="R31" s="36">
        <f t="shared" si="23"/>
        <v>4260</v>
      </c>
      <c r="S31" s="36">
        <f t="shared" si="1"/>
        <v>120040</v>
      </c>
    </row>
    <row r="32" spans="1:19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R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1"/>
        <v>0</v>
      </c>
    </row>
    <row r="33" spans="1:19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36">
        <f t="shared" si="1"/>
        <v>0</v>
      </c>
    </row>
    <row r="34" spans="1:19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36">
        <f t="shared" si="1"/>
        <v>0</v>
      </c>
    </row>
    <row r="35" spans="1:19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36">
        <f t="shared" si="1"/>
        <v>0</v>
      </c>
    </row>
    <row r="36" spans="1:19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36">
        <f t="shared" si="1"/>
        <v>0</v>
      </c>
    </row>
    <row r="37" spans="1:19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36">
        <f t="shared" si="1"/>
        <v>0</v>
      </c>
    </row>
    <row r="38" spans="1:19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36">
        <f t="shared" si="1"/>
        <v>0</v>
      </c>
    </row>
    <row r="39" spans="1:19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36">
        <f t="shared" si="1"/>
        <v>0</v>
      </c>
    </row>
    <row r="40" spans="1:19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R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1"/>
        <v>0</v>
      </c>
    </row>
    <row r="41" spans="1:19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36">
        <f t="shared" si="1"/>
        <v>0</v>
      </c>
    </row>
    <row r="42" spans="1:19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R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1"/>
        <v>0</v>
      </c>
    </row>
    <row r="43" spans="1:19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36">
        <f t="shared" si="1"/>
        <v>0</v>
      </c>
    </row>
    <row r="44" spans="1:19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36">
        <f t="shared" si="1"/>
        <v>0</v>
      </c>
    </row>
    <row r="45" spans="1:19">
      <c r="A45" s="33" t="s">
        <v>280</v>
      </c>
      <c r="B45" s="34" t="s">
        <v>281</v>
      </c>
      <c r="C45" s="34"/>
      <c r="D45" s="35" t="s">
        <v>183</v>
      </c>
      <c r="E45" s="36">
        <f>E46</f>
        <v>8280</v>
      </c>
      <c r="F45" s="36">
        <f t="shared" ref="F45:R45" si="27">F46</f>
        <v>6840</v>
      </c>
      <c r="G45" s="36">
        <f t="shared" si="27"/>
        <v>4680</v>
      </c>
      <c r="H45" s="36">
        <f t="shared" si="27"/>
        <v>3600</v>
      </c>
      <c r="I45" s="36">
        <f t="shared" si="27"/>
        <v>4320</v>
      </c>
      <c r="J45" s="36">
        <f t="shared" si="27"/>
        <v>2160</v>
      </c>
      <c r="K45" s="36">
        <f t="shared" si="27"/>
        <v>5040</v>
      </c>
      <c r="L45" s="36">
        <f t="shared" si="27"/>
        <v>4320</v>
      </c>
      <c r="M45" s="36">
        <f t="shared" si="27"/>
        <v>5040</v>
      </c>
      <c r="N45" s="36">
        <f t="shared" si="27"/>
        <v>4320</v>
      </c>
      <c r="O45" s="36">
        <f t="shared" si="27"/>
        <v>10080</v>
      </c>
      <c r="P45" s="36">
        <f t="shared" si="27"/>
        <v>0</v>
      </c>
      <c r="Q45" s="36">
        <f t="shared" si="27"/>
        <v>1800</v>
      </c>
      <c r="R45" s="36">
        <f t="shared" si="27"/>
        <v>2160</v>
      </c>
      <c r="S45" s="36">
        <f t="shared" si="1"/>
        <v>62640</v>
      </c>
    </row>
    <row r="46" spans="1:19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690*12</f>
        <v>8280</v>
      </c>
      <c r="F46" s="37">
        <f>570*12</f>
        <v>6840</v>
      </c>
      <c r="G46" s="37">
        <f>390*12</f>
        <v>4680</v>
      </c>
      <c r="H46" s="37">
        <f>300*12</f>
        <v>3600</v>
      </c>
      <c r="I46" s="37">
        <f>360*12</f>
        <v>4320</v>
      </c>
      <c r="J46" s="37">
        <f>180*12</f>
        <v>2160</v>
      </c>
      <c r="K46" s="37">
        <f>420*12</f>
        <v>5040</v>
      </c>
      <c r="L46" s="37">
        <f>360*12</f>
        <v>4320</v>
      </c>
      <c r="M46" s="37">
        <f>420*12</f>
        <v>5040</v>
      </c>
      <c r="N46" s="37">
        <f>360*12</f>
        <v>4320</v>
      </c>
      <c r="O46" s="37">
        <f>840*12</f>
        <v>10080</v>
      </c>
      <c r="P46" s="37"/>
      <c r="Q46" s="37">
        <f>150*12</f>
        <v>1800</v>
      </c>
      <c r="R46" s="37">
        <f>180*12</f>
        <v>2160</v>
      </c>
      <c r="S46" s="36">
        <f t="shared" si="1"/>
        <v>62640</v>
      </c>
    </row>
    <row r="47" spans="1:19">
      <c r="A47" s="33" t="s">
        <v>284</v>
      </c>
      <c r="B47" s="34" t="s">
        <v>285</v>
      </c>
      <c r="C47" s="34"/>
      <c r="D47" s="35" t="s">
        <v>183</v>
      </c>
      <c r="E47" s="36">
        <f>SUM(E48:E51)</f>
        <v>6100</v>
      </c>
      <c r="F47" s="36">
        <f t="shared" ref="F47:R47" si="28">SUM(F48:F51)</f>
        <v>6000</v>
      </c>
      <c r="G47" s="36">
        <f t="shared" si="28"/>
        <v>2700</v>
      </c>
      <c r="H47" s="36">
        <f t="shared" si="28"/>
        <v>1350</v>
      </c>
      <c r="I47" s="36">
        <f t="shared" si="28"/>
        <v>20900</v>
      </c>
      <c r="J47" s="36">
        <f t="shared" si="28"/>
        <v>200</v>
      </c>
      <c r="K47" s="36">
        <f t="shared" si="28"/>
        <v>3500</v>
      </c>
      <c r="L47" s="36">
        <f t="shared" si="28"/>
        <v>1500</v>
      </c>
      <c r="M47" s="36">
        <f t="shared" si="28"/>
        <v>4100</v>
      </c>
      <c r="N47" s="36">
        <f t="shared" si="28"/>
        <v>2000</v>
      </c>
      <c r="O47" s="36">
        <f t="shared" si="28"/>
        <v>6300</v>
      </c>
      <c r="P47" s="36">
        <f t="shared" si="28"/>
        <v>0</v>
      </c>
      <c r="Q47" s="36">
        <f t="shared" si="28"/>
        <v>650</v>
      </c>
      <c r="R47" s="36">
        <f t="shared" si="28"/>
        <v>2100</v>
      </c>
      <c r="S47" s="36">
        <f t="shared" si="1"/>
        <v>57400</v>
      </c>
    </row>
    <row r="48" spans="1:19" s="61" customFormat="1">
      <c r="A48" s="59" t="s">
        <v>286</v>
      </c>
      <c r="B48" s="63" t="s">
        <v>287</v>
      </c>
      <c r="C48" s="63" t="s">
        <v>189</v>
      </c>
      <c r="D48" s="64" t="s">
        <v>288</v>
      </c>
      <c r="E48" s="62">
        <v>6100</v>
      </c>
      <c r="F48" s="62">
        <v>6000</v>
      </c>
      <c r="G48" s="62">
        <v>2700</v>
      </c>
      <c r="H48" s="62">
        <v>1350</v>
      </c>
      <c r="I48" s="62">
        <v>20900</v>
      </c>
      <c r="J48" s="62">
        <v>200</v>
      </c>
      <c r="K48" s="62">
        <v>3500</v>
      </c>
      <c r="L48" s="62">
        <v>1500</v>
      </c>
      <c r="M48" s="62">
        <v>4100</v>
      </c>
      <c r="N48" s="62">
        <v>2000</v>
      </c>
      <c r="O48" s="62">
        <v>6300</v>
      </c>
      <c r="P48" s="62"/>
      <c r="Q48" s="62">
        <v>650</v>
      </c>
      <c r="R48" s="62">
        <v>2100</v>
      </c>
      <c r="S48" s="60">
        <f t="shared" si="1"/>
        <v>57400</v>
      </c>
    </row>
    <row r="49" spans="1:19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36">
        <f t="shared" si="1"/>
        <v>0</v>
      </c>
    </row>
    <row r="50" spans="1:19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36">
        <f t="shared" si="1"/>
        <v>0</v>
      </c>
    </row>
    <row r="51" spans="1:19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36">
        <f t="shared" si="1"/>
        <v>0</v>
      </c>
    </row>
    <row r="52" spans="1:19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5961030.7999999998</v>
      </c>
      <c r="F52" s="36">
        <f t="shared" ref="F52:R52" si="29">F53+F71+F73+F75+F77+F79+F81+F83+F85+F93</f>
        <v>3026521.6</v>
      </c>
      <c r="G52" s="36">
        <f t="shared" si="29"/>
        <v>3783321.8</v>
      </c>
      <c r="H52" s="36">
        <f t="shared" si="29"/>
        <v>4136371.2</v>
      </c>
      <c r="I52" s="36">
        <f t="shared" si="29"/>
        <v>11132280.799999999</v>
      </c>
      <c r="J52" s="36">
        <f t="shared" si="29"/>
        <v>2149846.4499999997</v>
      </c>
      <c r="K52" s="36">
        <f t="shared" si="29"/>
        <v>3018371.2</v>
      </c>
      <c r="L52" s="36">
        <f t="shared" si="29"/>
        <v>2416724.1999999997</v>
      </c>
      <c r="M52" s="36">
        <f t="shared" si="29"/>
        <v>2249356.15</v>
      </c>
      <c r="N52" s="36">
        <f t="shared" si="29"/>
        <v>2101133</v>
      </c>
      <c r="O52" s="36">
        <f t="shared" si="29"/>
        <v>6255167.1499999994</v>
      </c>
      <c r="P52" s="36">
        <f t="shared" si="29"/>
        <v>285543.2</v>
      </c>
      <c r="Q52" s="36">
        <f t="shared" si="29"/>
        <v>2282564.7000000002</v>
      </c>
      <c r="R52" s="36">
        <f t="shared" si="29"/>
        <v>1729025.6</v>
      </c>
      <c r="S52" s="36">
        <f t="shared" si="1"/>
        <v>50527257.850000001</v>
      </c>
    </row>
    <row r="53" spans="1:19">
      <c r="A53" s="33" t="s">
        <v>299</v>
      </c>
      <c r="B53" s="34" t="s">
        <v>300</v>
      </c>
      <c r="C53" s="34"/>
      <c r="D53" s="35" t="s">
        <v>301</v>
      </c>
      <c r="E53" s="36">
        <f>SUM(E54:E70)</f>
        <v>3715760</v>
      </c>
      <c r="F53" s="36">
        <f t="shared" ref="F53:R53" si="30">SUM(F54:F70)</f>
        <v>1949870</v>
      </c>
      <c r="G53" s="36">
        <f t="shared" si="30"/>
        <v>2388720</v>
      </c>
      <c r="H53" s="36">
        <f t="shared" si="30"/>
        <v>2760350</v>
      </c>
      <c r="I53" s="36">
        <f t="shared" si="30"/>
        <v>8831270</v>
      </c>
      <c r="J53" s="36">
        <f t="shared" si="30"/>
        <v>1614000</v>
      </c>
      <c r="K53" s="36">
        <f t="shared" si="30"/>
        <v>2232240</v>
      </c>
      <c r="L53" s="36">
        <f t="shared" si="30"/>
        <v>1740140</v>
      </c>
      <c r="M53" s="36">
        <f t="shared" si="30"/>
        <v>1657180</v>
      </c>
      <c r="N53" s="36">
        <f t="shared" si="30"/>
        <v>1556600</v>
      </c>
      <c r="O53" s="36">
        <f t="shared" si="30"/>
        <v>4234380</v>
      </c>
      <c r="P53" s="36">
        <f t="shared" si="30"/>
        <v>160000</v>
      </c>
      <c r="Q53" s="36">
        <f t="shared" si="30"/>
        <v>1698000</v>
      </c>
      <c r="R53" s="36">
        <f t="shared" si="30"/>
        <v>1311380</v>
      </c>
      <c r="S53" s="36">
        <f t="shared" si="1"/>
        <v>35849890</v>
      </c>
    </row>
    <row r="54" spans="1:19">
      <c r="A54" s="33" t="s">
        <v>302</v>
      </c>
      <c r="B54" s="34" t="s">
        <v>303</v>
      </c>
      <c r="C54" s="34" t="s">
        <v>189</v>
      </c>
      <c r="D54" s="47"/>
      <c r="E54" s="37">
        <f>[2]公用定额!E5</f>
        <v>591972</v>
      </c>
      <c r="F54" s="37">
        <f>[2]公用定额!F5</f>
        <v>150000</v>
      </c>
      <c r="G54" s="37">
        <f>[2]公用定额!G5</f>
        <v>212796</v>
      </c>
      <c r="H54" s="37">
        <f>[2]公用定额!H5</f>
        <v>232508.5</v>
      </c>
      <c r="I54" s="37">
        <f>[2]公用定额!I5</f>
        <v>1166580.5</v>
      </c>
      <c r="J54" s="37">
        <f>[2]公用定额!J5</f>
        <v>208430</v>
      </c>
      <c r="K54" s="37">
        <f>[2]公用定额!K5</f>
        <v>156327</v>
      </c>
      <c r="L54" s="37">
        <f>[2]公用定额!L5</f>
        <v>144681</v>
      </c>
      <c r="M54" s="37">
        <f>[2]公用定额!M5</f>
        <v>120216</v>
      </c>
      <c r="N54" s="37">
        <f>[2]公用定额!N5</f>
        <v>404356</v>
      </c>
      <c r="O54" s="37">
        <f>[2]公用定额!O5</f>
        <v>323262.5</v>
      </c>
      <c r="P54" s="37">
        <f>[2]公用定额!P5</f>
        <v>18100</v>
      </c>
      <c r="Q54" s="37">
        <f>[2]公用定额!Q5</f>
        <v>125045.5</v>
      </c>
      <c r="R54" s="37">
        <f>[2]公用定额!R5</f>
        <v>216264</v>
      </c>
      <c r="S54" s="36">
        <f t="shared" si="1"/>
        <v>4070539</v>
      </c>
    </row>
    <row r="55" spans="1:19">
      <c r="A55" s="33" t="s">
        <v>304</v>
      </c>
      <c r="B55" s="34" t="s">
        <v>305</v>
      </c>
      <c r="C55" s="34" t="s">
        <v>189</v>
      </c>
      <c r="D55" s="47"/>
      <c r="E55" s="37">
        <f>[2]公用定额!E6</f>
        <v>50000</v>
      </c>
      <c r="F55" s="37">
        <f>[2]公用定额!F6</f>
        <v>90000</v>
      </c>
      <c r="G55" s="37">
        <f>[2]公用定额!G6</f>
        <v>4000</v>
      </c>
      <c r="H55" s="37">
        <f>[2]公用定额!H6</f>
        <v>100000</v>
      </c>
      <c r="I55" s="37">
        <f>[2]公用定额!I6</f>
        <v>15000</v>
      </c>
      <c r="J55" s="37">
        <f>[2]公用定额!J6</f>
        <v>0</v>
      </c>
      <c r="K55" s="37">
        <f>[2]公用定额!K6</f>
        <v>10000</v>
      </c>
      <c r="L55" s="37">
        <f>[2]公用定额!L6</f>
        <v>10000</v>
      </c>
      <c r="M55" s="37">
        <f>[2]公用定额!M6</f>
        <v>0</v>
      </c>
      <c r="N55" s="37">
        <f>[2]公用定额!N6</f>
        <v>10000</v>
      </c>
      <c r="O55" s="37">
        <f>[2]公用定额!O6</f>
        <v>0</v>
      </c>
      <c r="P55" s="37">
        <f>[2]公用定额!P6</f>
        <v>0</v>
      </c>
      <c r="Q55" s="37">
        <f>[2]公用定额!Q6</f>
        <v>0</v>
      </c>
      <c r="R55" s="37">
        <f>[2]公用定额!R6</f>
        <v>0</v>
      </c>
      <c r="S55" s="36">
        <f t="shared" si="1"/>
        <v>289000</v>
      </c>
    </row>
    <row r="56" spans="1:19">
      <c r="A56" s="33" t="s">
        <v>306</v>
      </c>
      <c r="B56" s="34" t="s">
        <v>307</v>
      </c>
      <c r="C56" s="34" t="s">
        <v>189</v>
      </c>
      <c r="D56" s="47"/>
      <c r="E56" s="37">
        <f>[2]公用定额!E7</f>
        <v>0</v>
      </c>
      <c r="F56" s="37">
        <f>[2]公用定额!F7</f>
        <v>0</v>
      </c>
      <c r="G56" s="37">
        <f>[2]公用定额!G7</f>
        <v>0</v>
      </c>
      <c r="H56" s="37">
        <f>[2]公用定额!H7</f>
        <v>0</v>
      </c>
      <c r="I56" s="37">
        <f>[2]公用定额!I7</f>
        <v>0</v>
      </c>
      <c r="J56" s="37">
        <f>[2]公用定额!J7</f>
        <v>0</v>
      </c>
      <c r="K56" s="37">
        <f>[2]公用定额!K7</f>
        <v>0</v>
      </c>
      <c r="L56" s="37">
        <f>[2]公用定额!L7</f>
        <v>10000</v>
      </c>
      <c r="M56" s="37">
        <f>[2]公用定额!M7</f>
        <v>0</v>
      </c>
      <c r="N56" s="37">
        <f>[2]公用定额!N7</f>
        <v>100000</v>
      </c>
      <c r="O56" s="37">
        <f>[2]公用定额!O7</f>
        <v>0</v>
      </c>
      <c r="P56" s="37">
        <f>[2]公用定额!P7</f>
        <v>0</v>
      </c>
      <c r="Q56" s="37">
        <f>[2]公用定额!Q7</f>
        <v>0</v>
      </c>
      <c r="R56" s="37">
        <f>[2]公用定额!R7</f>
        <v>20000</v>
      </c>
      <c r="S56" s="36">
        <f t="shared" si="1"/>
        <v>130000</v>
      </c>
    </row>
    <row r="57" spans="1:19">
      <c r="A57" s="33" t="s">
        <v>308</v>
      </c>
      <c r="B57" s="34" t="s">
        <v>309</v>
      </c>
      <c r="C57" s="34" t="s">
        <v>189</v>
      </c>
      <c r="D57" s="47"/>
      <c r="E57" s="37">
        <f>[2]公用定额!E8</f>
        <v>180000</v>
      </c>
      <c r="F57" s="37">
        <f>[2]公用定额!F8</f>
        <v>156000</v>
      </c>
      <c r="G57" s="37">
        <f>[2]公用定额!G8</f>
        <v>160000</v>
      </c>
      <c r="H57" s="37">
        <f>[2]公用定额!H8</f>
        <v>150000</v>
      </c>
      <c r="I57" s="37">
        <f>[2]公用定额!I8</f>
        <v>120000</v>
      </c>
      <c r="J57" s="37">
        <f>[2]公用定额!J8</f>
        <v>20000</v>
      </c>
      <c r="K57" s="37">
        <f>[2]公用定额!K8</f>
        <v>50000</v>
      </c>
      <c r="L57" s="37">
        <f>[2]公用定额!L8</f>
        <v>40000</v>
      </c>
      <c r="M57" s="37">
        <f>[2]公用定额!M8</f>
        <v>50000</v>
      </c>
      <c r="N57" s="37">
        <f>[2]公用定额!N8</f>
        <v>50000</v>
      </c>
      <c r="O57" s="37">
        <f>[2]公用定额!O8</f>
        <v>150000</v>
      </c>
      <c r="P57" s="37">
        <f>[2]公用定额!P8</f>
        <v>0</v>
      </c>
      <c r="Q57" s="37">
        <f>[2]公用定额!Q8</f>
        <v>30000</v>
      </c>
      <c r="R57" s="37">
        <f>[2]公用定额!R8</f>
        <v>30000</v>
      </c>
      <c r="S57" s="36">
        <f t="shared" si="1"/>
        <v>1186000</v>
      </c>
    </row>
    <row r="58" spans="1:19">
      <c r="A58" s="33" t="s">
        <v>310</v>
      </c>
      <c r="B58" s="34" t="s">
        <v>311</v>
      </c>
      <c r="C58" s="34" t="s">
        <v>189</v>
      </c>
      <c r="D58" s="47"/>
      <c r="E58" s="37">
        <f>[2]公用定额!E9</f>
        <v>260000</v>
      </c>
      <c r="F58" s="37">
        <f>[2]公用定额!F9</f>
        <v>140000</v>
      </c>
      <c r="G58" s="37">
        <f>[2]公用定额!G9</f>
        <v>120000</v>
      </c>
      <c r="H58" s="37">
        <f>[2]公用定额!H9</f>
        <v>200000</v>
      </c>
      <c r="I58" s="37">
        <f>[2]公用定额!I9</f>
        <v>450000</v>
      </c>
      <c r="J58" s="37">
        <f>[2]公用定额!J9</f>
        <v>150000</v>
      </c>
      <c r="K58" s="37">
        <f>[2]公用定额!K9</f>
        <v>200000</v>
      </c>
      <c r="L58" s="37">
        <f>[2]公用定额!L9</f>
        <v>90000</v>
      </c>
      <c r="M58" s="37">
        <f>[2]公用定额!M9</f>
        <v>200000</v>
      </c>
      <c r="N58" s="37">
        <f>[2]公用定额!N9</f>
        <v>150000</v>
      </c>
      <c r="O58" s="37">
        <f>[2]公用定额!O9</f>
        <v>300000</v>
      </c>
      <c r="P58" s="37">
        <f>[2]公用定额!P9</f>
        <v>0</v>
      </c>
      <c r="Q58" s="37">
        <f>[2]公用定额!Q9</f>
        <v>50000</v>
      </c>
      <c r="R58" s="37">
        <f>[2]公用定额!R9</f>
        <v>130000</v>
      </c>
      <c r="S58" s="36">
        <f t="shared" si="1"/>
        <v>2440000</v>
      </c>
    </row>
    <row r="59" spans="1:19">
      <c r="A59" s="33" t="s">
        <v>312</v>
      </c>
      <c r="B59" s="34" t="s">
        <v>313</v>
      </c>
      <c r="C59" s="34" t="s">
        <v>189</v>
      </c>
      <c r="D59" s="47"/>
      <c r="E59" s="37">
        <f>[2]公用定额!E10</f>
        <v>50000</v>
      </c>
      <c r="F59" s="37">
        <f>[2]公用定额!F10</f>
        <v>80000</v>
      </c>
      <c r="G59" s="37">
        <f>[2]公用定额!G10</f>
        <v>3000</v>
      </c>
      <c r="H59" s="37">
        <f>[2]公用定额!H10</f>
        <v>5000</v>
      </c>
      <c r="I59" s="37">
        <f>[2]公用定额!I10</f>
        <v>50000</v>
      </c>
      <c r="J59" s="37">
        <f>[2]公用定额!J10</f>
        <v>6000</v>
      </c>
      <c r="K59" s="37">
        <f>[2]公用定额!K10</f>
        <v>10000</v>
      </c>
      <c r="L59" s="37">
        <f>[2]公用定额!L10</f>
        <v>10000</v>
      </c>
      <c r="M59" s="37">
        <f>[2]公用定额!M10</f>
        <v>10000</v>
      </c>
      <c r="N59" s="37">
        <f>[2]公用定额!N10</f>
        <v>50000</v>
      </c>
      <c r="O59" s="37">
        <f>[2]公用定额!O10</f>
        <v>40000</v>
      </c>
      <c r="P59" s="37">
        <f>[2]公用定额!P10</f>
        <v>5000</v>
      </c>
      <c r="Q59" s="37">
        <f>[2]公用定额!Q10</f>
        <v>10000</v>
      </c>
      <c r="R59" s="37">
        <f>[2]公用定额!R10</f>
        <v>30000</v>
      </c>
      <c r="S59" s="36">
        <f t="shared" si="1"/>
        <v>359000</v>
      </c>
    </row>
    <row r="60" spans="1:19">
      <c r="A60" s="33" t="s">
        <v>314</v>
      </c>
      <c r="B60" s="34" t="s">
        <v>315</v>
      </c>
      <c r="C60" s="34" t="s">
        <v>189</v>
      </c>
      <c r="D60" s="47"/>
      <c r="E60" s="37">
        <f>[2]公用定额!E11</f>
        <v>68000</v>
      </c>
      <c r="F60" s="37">
        <f>[2]公用定额!F11</f>
        <v>56000</v>
      </c>
      <c r="G60" s="37">
        <f>[2]公用定额!G11</f>
        <v>20000</v>
      </c>
      <c r="H60" s="37">
        <f>[2]公用定额!H11</f>
        <v>5000</v>
      </c>
      <c r="I60" s="37">
        <f>[2]公用定额!I11</f>
        <v>10000</v>
      </c>
      <c r="J60" s="37">
        <f>[2]公用定额!J11</f>
        <v>20000</v>
      </c>
      <c r="K60" s="37">
        <f>[2]公用定额!K11</f>
        <v>5000</v>
      </c>
      <c r="L60" s="37">
        <f>[2]公用定额!L11</f>
        <v>2000</v>
      </c>
      <c r="M60" s="37">
        <f>[2]公用定额!M11</f>
        <v>10000</v>
      </c>
      <c r="N60" s="37">
        <f>[2]公用定额!N11</f>
        <v>20000</v>
      </c>
      <c r="O60" s="37">
        <f>[2]公用定额!O11</f>
        <v>0</v>
      </c>
      <c r="P60" s="37">
        <f>[2]公用定额!P11</f>
        <v>1000</v>
      </c>
      <c r="Q60" s="37">
        <f>[2]公用定额!Q11</f>
        <v>1000</v>
      </c>
      <c r="R60" s="37">
        <f>[2]公用定额!R11</f>
        <v>5000</v>
      </c>
      <c r="S60" s="36">
        <f t="shared" si="1"/>
        <v>223000</v>
      </c>
    </row>
    <row r="61" spans="1:19">
      <c r="A61" s="33" t="s">
        <v>316</v>
      </c>
      <c r="B61" s="34" t="s">
        <v>317</v>
      </c>
      <c r="C61" s="34" t="s">
        <v>189</v>
      </c>
      <c r="D61" s="47"/>
      <c r="E61" s="37">
        <f>[2]公用定额!E12</f>
        <v>500000</v>
      </c>
      <c r="F61" s="37">
        <f>[2]公用定额!F12</f>
        <v>200000</v>
      </c>
      <c r="G61" s="37">
        <f>[2]公用定额!G12</f>
        <v>300000</v>
      </c>
      <c r="H61" s="37">
        <f>[2]公用定额!H12</f>
        <v>300000</v>
      </c>
      <c r="I61" s="37">
        <f>[2]公用定额!I12</f>
        <v>50000</v>
      </c>
      <c r="J61" s="37">
        <f>[2]公用定额!J12</f>
        <v>500000</v>
      </c>
      <c r="K61" s="37">
        <f>[2]公用定额!K12</f>
        <v>577797</v>
      </c>
      <c r="L61" s="37">
        <f>[2]公用定额!L12</f>
        <v>250000</v>
      </c>
      <c r="M61" s="37">
        <f>[2]公用定额!M12</f>
        <v>502700</v>
      </c>
      <c r="N61" s="37">
        <f>[2]公用定额!N12</f>
        <v>300000</v>
      </c>
      <c r="O61" s="37">
        <f>[2]公用定额!O12</f>
        <v>750000</v>
      </c>
      <c r="P61" s="37">
        <f>[2]公用定额!P12</f>
        <v>15000</v>
      </c>
      <c r="Q61" s="37">
        <f>[2]公用定额!Q12</f>
        <v>500000</v>
      </c>
      <c r="R61" s="37">
        <f>[2]公用定额!R12</f>
        <v>250000</v>
      </c>
      <c r="S61" s="36">
        <f t="shared" si="1"/>
        <v>4995497</v>
      </c>
    </row>
    <row r="62" spans="1:19">
      <c r="A62" s="33" t="s">
        <v>318</v>
      </c>
      <c r="B62" s="34" t="s">
        <v>319</v>
      </c>
      <c r="C62" s="34" t="s">
        <v>189</v>
      </c>
      <c r="D62" s="47"/>
      <c r="E62" s="37">
        <f>[2]公用定额!E13</f>
        <v>0</v>
      </c>
      <c r="F62" s="37">
        <f>[2]公用定额!F13</f>
        <v>0</v>
      </c>
      <c r="G62" s="37">
        <f>[2]公用定额!G13</f>
        <v>0</v>
      </c>
      <c r="H62" s="37">
        <f>[2]公用定额!H13</f>
        <v>0</v>
      </c>
      <c r="I62" s="37">
        <f>[2]公用定额!I13</f>
        <v>0</v>
      </c>
      <c r="J62" s="37">
        <f>[2]公用定额!J13</f>
        <v>0</v>
      </c>
      <c r="K62" s="37">
        <f>[2]公用定额!K13</f>
        <v>0</v>
      </c>
      <c r="L62" s="37">
        <f>[2]公用定额!L13</f>
        <v>0</v>
      </c>
      <c r="M62" s="37">
        <f>[2]公用定额!M13</f>
        <v>0</v>
      </c>
      <c r="N62" s="37">
        <f>[2]公用定额!N13</f>
        <v>0</v>
      </c>
      <c r="O62" s="37">
        <f>[2]公用定额!O13</f>
        <v>0</v>
      </c>
      <c r="P62" s="37">
        <f>[2]公用定额!P13</f>
        <v>0</v>
      </c>
      <c r="Q62" s="37">
        <f>[2]公用定额!Q13</f>
        <v>0</v>
      </c>
      <c r="R62" s="37">
        <f>[2]公用定额!R13</f>
        <v>0</v>
      </c>
      <c r="S62" s="36">
        <f t="shared" si="1"/>
        <v>0</v>
      </c>
    </row>
    <row r="63" spans="1:19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f>[2]公用定额!E14</f>
        <v>185788</v>
      </c>
      <c r="F63" s="37">
        <f>[2]公用定额!F14</f>
        <v>97493.5</v>
      </c>
      <c r="G63" s="37">
        <f>[2]公用定额!G14</f>
        <v>119436</v>
      </c>
      <c r="H63" s="37">
        <f>[2]公用定额!H14</f>
        <v>138017.5</v>
      </c>
      <c r="I63" s="37">
        <f>[2]公用定额!I14</f>
        <v>441563.5</v>
      </c>
      <c r="J63" s="37">
        <f>[2]公用定额!J14</f>
        <v>34970</v>
      </c>
      <c r="K63" s="37">
        <f>[2]公用定额!K14</f>
        <v>110814</v>
      </c>
      <c r="L63" s="37">
        <f>[2]公用定额!L14</f>
        <v>67855</v>
      </c>
      <c r="M63" s="37">
        <f>[2]公用定额!M14</f>
        <v>62643</v>
      </c>
      <c r="N63" s="37">
        <f>[2]公用定额!N14</f>
        <v>72244</v>
      </c>
      <c r="O63" s="37">
        <f>[2]公用定额!O14</f>
        <v>211719</v>
      </c>
      <c r="P63" s="37">
        <v>8000</v>
      </c>
      <c r="Q63" s="37">
        <f>[2]公用定额!Q14</f>
        <v>59854.5</v>
      </c>
      <c r="R63" s="37">
        <f>[2]公用定额!R14</f>
        <v>60116</v>
      </c>
      <c r="S63" s="36">
        <f t="shared" si="1"/>
        <v>1670514</v>
      </c>
    </row>
    <row r="64" spans="1:19">
      <c r="A64" s="33" t="s">
        <v>324</v>
      </c>
      <c r="B64" s="34" t="s">
        <v>325</v>
      </c>
      <c r="C64" s="34" t="s">
        <v>189</v>
      </c>
      <c r="D64" s="47"/>
      <c r="E64" s="37">
        <f>[2]公用定额!E15</f>
        <v>0</v>
      </c>
      <c r="F64" s="37">
        <f>[2]公用定额!F15</f>
        <v>0</v>
      </c>
      <c r="G64" s="37">
        <f>[2]公用定额!G15</f>
        <v>0</v>
      </c>
      <c r="H64" s="37">
        <f>[2]公用定额!H15</f>
        <v>0</v>
      </c>
      <c r="I64" s="37">
        <f>[2]公用定额!I15</f>
        <v>0</v>
      </c>
      <c r="J64" s="37">
        <f>[2]公用定额!J15</f>
        <v>0</v>
      </c>
      <c r="K64" s="37">
        <f>[2]公用定额!K15</f>
        <v>0</v>
      </c>
      <c r="L64" s="37">
        <f>[2]公用定额!L15</f>
        <v>0</v>
      </c>
      <c r="M64" s="37">
        <f>[2]公用定额!M15</f>
        <v>0</v>
      </c>
      <c r="N64" s="37">
        <f>[2]公用定额!N15</f>
        <v>0</v>
      </c>
      <c r="O64" s="37">
        <f>[2]公用定额!O15</f>
        <v>0</v>
      </c>
      <c r="P64" s="37">
        <f>[2]公用定额!P15</f>
        <v>0</v>
      </c>
      <c r="Q64" s="37">
        <f>[2]公用定额!Q15</f>
        <v>0</v>
      </c>
      <c r="R64" s="37">
        <f>[2]公用定额!R15</f>
        <v>0</v>
      </c>
      <c r="S64" s="36">
        <f t="shared" si="1"/>
        <v>0</v>
      </c>
    </row>
    <row r="65" spans="1:19">
      <c r="A65" s="33" t="s">
        <v>326</v>
      </c>
      <c r="B65" s="34" t="s">
        <v>327</v>
      </c>
      <c r="C65" s="34" t="s">
        <v>189</v>
      </c>
      <c r="D65" s="47"/>
      <c r="E65" s="37">
        <f>[2]公用定额!E16</f>
        <v>850000</v>
      </c>
      <c r="F65" s="37">
        <f>[2]公用定额!F16</f>
        <v>400376.5</v>
      </c>
      <c r="G65" s="37">
        <f>[2]公用定额!G16</f>
        <v>619488</v>
      </c>
      <c r="H65" s="37">
        <f>[2]公用定额!H16</f>
        <v>600000</v>
      </c>
      <c r="I65" s="37">
        <f>[2]公用定额!I16</f>
        <v>3498126</v>
      </c>
      <c r="J65" s="37">
        <f>[2]公用定额!J16</f>
        <v>250000</v>
      </c>
      <c r="K65" s="37">
        <f>[2]公用定额!K16</f>
        <v>742302</v>
      </c>
      <c r="L65" s="37">
        <f>[2]公用定额!L16</f>
        <v>30000</v>
      </c>
      <c r="M65" s="37">
        <f>[2]公用定额!M16</f>
        <v>30000</v>
      </c>
      <c r="N65" s="37">
        <f>[2]公用定额!N16</f>
        <v>120000</v>
      </c>
      <c r="O65" s="37">
        <f>[2]公用定额!O16</f>
        <v>250000</v>
      </c>
      <c r="P65" s="37">
        <f>[2]公用定额!P16</f>
        <v>20000</v>
      </c>
      <c r="Q65" s="37">
        <f>[2]公用定额!Q16</f>
        <v>500000</v>
      </c>
      <c r="R65" s="37">
        <f>[2]公用定额!R16</f>
        <v>150000</v>
      </c>
      <c r="S65" s="36">
        <f t="shared" si="1"/>
        <v>8060292.5</v>
      </c>
    </row>
    <row r="66" spans="1:19">
      <c r="A66" s="33" t="s">
        <v>328</v>
      </c>
      <c r="B66" s="34" t="s">
        <v>329</v>
      </c>
      <c r="C66" s="34" t="s">
        <v>189</v>
      </c>
      <c r="D66" s="47"/>
      <c r="E66" s="37">
        <f>[2]公用定额!E17</f>
        <v>0</v>
      </c>
      <c r="F66" s="37">
        <f>[2]公用定额!F17</f>
        <v>0</v>
      </c>
      <c r="G66" s="37">
        <f>[2]公用定额!G17</f>
        <v>0</v>
      </c>
      <c r="H66" s="37">
        <f>[2]公用定额!H17</f>
        <v>20000</v>
      </c>
      <c r="I66" s="37">
        <f>[2]公用定额!I17</f>
        <v>0</v>
      </c>
      <c r="J66" s="37">
        <f>[2]公用定额!J17</f>
        <v>10000</v>
      </c>
      <c r="K66" s="37">
        <f>[2]公用定额!K17</f>
        <v>20000</v>
      </c>
      <c r="L66" s="37">
        <f>[2]公用定额!L17</f>
        <v>0</v>
      </c>
      <c r="M66" s="37">
        <f>[2]公用定额!M17</f>
        <v>0</v>
      </c>
      <c r="N66" s="37">
        <f>[2]公用定额!N17</f>
        <v>20000</v>
      </c>
      <c r="O66" s="37">
        <f>[2]公用定额!O17</f>
        <v>0</v>
      </c>
      <c r="P66" s="37">
        <f>[2]公用定额!P17</f>
        <v>0</v>
      </c>
      <c r="Q66" s="37">
        <f>[2]公用定额!Q17</f>
        <v>10000</v>
      </c>
      <c r="R66" s="37">
        <f>[2]公用定额!R17</f>
        <v>0</v>
      </c>
      <c r="S66" s="36">
        <f t="shared" si="1"/>
        <v>80000</v>
      </c>
    </row>
    <row r="67" spans="1:19">
      <c r="A67" s="33" t="s">
        <v>330</v>
      </c>
      <c r="B67" s="34" t="s">
        <v>331</v>
      </c>
      <c r="C67" s="34" t="s">
        <v>189</v>
      </c>
      <c r="D67" s="47"/>
      <c r="E67" s="37">
        <f>[2]公用定额!E18</f>
        <v>0</v>
      </c>
      <c r="F67" s="37">
        <f>[2]公用定额!F18</f>
        <v>0</v>
      </c>
      <c r="G67" s="37">
        <f>[2]公用定额!G18</f>
        <v>0</v>
      </c>
      <c r="H67" s="37">
        <f>[2]公用定额!H18</f>
        <v>150000</v>
      </c>
      <c r="I67" s="37">
        <f>[2]公用定额!I18</f>
        <v>0</v>
      </c>
      <c r="J67" s="37">
        <f>[2]公用定额!J18</f>
        <v>50000</v>
      </c>
      <c r="K67" s="37">
        <f>[2]公用定额!K18</f>
        <v>50000</v>
      </c>
      <c r="L67" s="37">
        <f>[2]公用定额!L18</f>
        <v>250000</v>
      </c>
      <c r="M67" s="37">
        <f>[2]公用定额!M18</f>
        <v>50000</v>
      </c>
      <c r="N67" s="37">
        <f>[2]公用定额!N18</f>
        <v>10000</v>
      </c>
      <c r="O67" s="37">
        <f>[2]公用定额!O18</f>
        <v>100000</v>
      </c>
      <c r="P67" s="37">
        <f>[2]公用定额!P18</f>
        <v>0</v>
      </c>
      <c r="Q67" s="37">
        <f>[2]公用定额!Q18</f>
        <v>0</v>
      </c>
      <c r="R67" s="37">
        <f>[2]公用定额!R18</f>
        <v>20000</v>
      </c>
      <c r="S67" s="36">
        <f t="shared" ref="S67:S109" si="31">SUM(E67:R67)</f>
        <v>680000</v>
      </c>
    </row>
    <row r="68" spans="1:19">
      <c r="A68" s="33" t="s">
        <v>332</v>
      </c>
      <c r="B68" s="34" t="s">
        <v>333</v>
      </c>
      <c r="C68" s="34" t="s">
        <v>189</v>
      </c>
      <c r="D68" s="47"/>
      <c r="E68" s="37">
        <f>[2]公用定额!E19</f>
        <v>200000</v>
      </c>
      <c r="F68" s="37">
        <f>[2]公用定额!F19</f>
        <v>180000</v>
      </c>
      <c r="G68" s="37">
        <f>[2]公用定额!G19</f>
        <v>600000</v>
      </c>
      <c r="H68" s="37">
        <f>[2]公用定额!H19</f>
        <v>759824</v>
      </c>
      <c r="I68" s="37">
        <f>[2]公用定额!I19</f>
        <v>2420000</v>
      </c>
      <c r="J68" s="37">
        <f>[2]公用定额!J19</f>
        <v>0</v>
      </c>
      <c r="K68" s="37">
        <f>[2]公用定额!K19</f>
        <v>50000</v>
      </c>
      <c r="L68" s="37">
        <f>[2]公用定额!L19</f>
        <v>835604</v>
      </c>
      <c r="M68" s="37">
        <f>[2]公用定额!M19</f>
        <v>121621</v>
      </c>
      <c r="N68" s="37">
        <f>[2]公用定额!N19</f>
        <v>50000</v>
      </c>
      <c r="O68" s="37">
        <f>[2]公用定额!O19</f>
        <v>0</v>
      </c>
      <c r="P68" s="37">
        <f>[2]公用定额!P19</f>
        <v>0</v>
      </c>
      <c r="Q68" s="37">
        <f>[2]公用定额!Q19</f>
        <v>100000</v>
      </c>
      <c r="R68" s="37">
        <f>[2]公用定额!R19</f>
        <v>50000</v>
      </c>
      <c r="S68" s="36">
        <f t="shared" si="31"/>
        <v>5367049</v>
      </c>
    </row>
    <row r="69" spans="1:19">
      <c r="A69" s="33" t="s">
        <v>334</v>
      </c>
      <c r="B69" s="34" t="s">
        <v>335</v>
      </c>
      <c r="C69" s="34" t="s">
        <v>189</v>
      </c>
      <c r="D69" s="47"/>
      <c r="E69" s="37">
        <f>[2]公用定额!E20</f>
        <v>350000</v>
      </c>
      <c r="F69" s="37">
        <f>[2]公用定额!F20</f>
        <v>150000</v>
      </c>
      <c r="G69" s="37">
        <f>[2]公用定额!G20</f>
        <v>230000</v>
      </c>
      <c r="H69" s="37">
        <f>[2]公用定额!H20</f>
        <v>100000</v>
      </c>
      <c r="I69" s="37">
        <f>[2]公用定额!I20</f>
        <v>110000</v>
      </c>
      <c r="J69" s="37">
        <f>[2]公用定额!J20</f>
        <v>364600</v>
      </c>
      <c r="K69" s="37">
        <f>[2]公用定额!K20</f>
        <v>150000</v>
      </c>
      <c r="L69" s="37">
        <f>[2]公用定额!L20</f>
        <v>0</v>
      </c>
      <c r="M69" s="37">
        <f>[2]公用定额!M20</f>
        <v>500000</v>
      </c>
      <c r="N69" s="37">
        <f>[2]公用定额!N20</f>
        <v>100000</v>
      </c>
      <c r="O69" s="37">
        <f>[2]公用定额!O20</f>
        <v>950000</v>
      </c>
      <c r="P69" s="37">
        <f>[2]公用定额!P20</f>
        <v>12900</v>
      </c>
      <c r="Q69" s="37">
        <f>[2]公用定额!Q20</f>
        <v>312100</v>
      </c>
      <c r="R69" s="37">
        <f>[2]公用定额!R20</f>
        <v>200000</v>
      </c>
      <c r="S69" s="36">
        <f t="shared" si="31"/>
        <v>3529600</v>
      </c>
    </row>
    <row r="70" spans="1:19">
      <c r="A70" s="33" t="s">
        <v>336</v>
      </c>
      <c r="B70" s="34" t="s">
        <v>337</v>
      </c>
      <c r="C70" s="34" t="s">
        <v>189</v>
      </c>
      <c r="D70" s="47"/>
      <c r="E70" s="37">
        <f>[2]公用定额!E21</f>
        <v>430000</v>
      </c>
      <c r="F70" s="37">
        <f>[2]公用定额!F21</f>
        <v>250000</v>
      </c>
      <c r="G70" s="37">
        <f>[2]公用定额!G21</f>
        <v>0</v>
      </c>
      <c r="H70" s="37">
        <f>[2]公用定额!H21</f>
        <v>0</v>
      </c>
      <c r="I70" s="37">
        <f>[2]公用定额!I21</f>
        <v>500000</v>
      </c>
      <c r="J70" s="37">
        <f>[2]公用定额!J21</f>
        <v>0</v>
      </c>
      <c r="K70" s="37">
        <f>[2]公用定额!K21</f>
        <v>100000</v>
      </c>
      <c r="L70" s="37">
        <f>[2]公用定额!L21</f>
        <v>0</v>
      </c>
      <c r="M70" s="37">
        <f>[2]公用定额!M21</f>
        <v>0</v>
      </c>
      <c r="N70" s="37">
        <f>[2]公用定额!N21</f>
        <v>100000</v>
      </c>
      <c r="O70" s="37">
        <f>[2]公用定额!O21</f>
        <v>1159398.5</v>
      </c>
      <c r="P70" s="37">
        <f>[2]公用定额!P21</f>
        <v>80000</v>
      </c>
      <c r="Q70" s="37">
        <f>[2]公用定额!Q21</f>
        <v>0</v>
      </c>
      <c r="R70" s="37">
        <f>[2]公用定额!R21</f>
        <v>150000</v>
      </c>
      <c r="S70" s="36">
        <f t="shared" si="31"/>
        <v>2769398.5</v>
      </c>
    </row>
    <row r="71" spans="1:19">
      <c r="A71" s="33" t="s">
        <v>338</v>
      </c>
      <c r="B71" s="34" t="s">
        <v>339</v>
      </c>
      <c r="C71" s="34"/>
      <c r="D71" s="35"/>
      <c r="E71" s="36">
        <f>E72</f>
        <v>48800</v>
      </c>
      <c r="F71" s="36">
        <f t="shared" ref="F71:R71" si="32">F72</f>
        <v>28000</v>
      </c>
      <c r="G71" s="36">
        <f t="shared" si="32"/>
        <v>33600</v>
      </c>
      <c r="H71" s="36">
        <f t="shared" si="32"/>
        <v>37600</v>
      </c>
      <c r="I71" s="36">
        <f t="shared" si="32"/>
        <v>79200</v>
      </c>
      <c r="J71" s="36">
        <f t="shared" si="32"/>
        <v>13200</v>
      </c>
      <c r="K71" s="36">
        <f t="shared" si="32"/>
        <v>21200</v>
      </c>
      <c r="L71" s="36">
        <f t="shared" si="32"/>
        <v>20400</v>
      </c>
      <c r="M71" s="36">
        <f t="shared" si="32"/>
        <v>15600</v>
      </c>
      <c r="N71" s="36">
        <f t="shared" si="32"/>
        <v>17200</v>
      </c>
      <c r="O71" s="36">
        <f t="shared" si="32"/>
        <v>60000</v>
      </c>
      <c r="P71" s="36">
        <f t="shared" si="32"/>
        <v>2000</v>
      </c>
      <c r="Q71" s="36">
        <f t="shared" si="32"/>
        <v>14000</v>
      </c>
      <c r="R71" s="36">
        <f t="shared" si="32"/>
        <v>12400</v>
      </c>
      <c r="S71" s="36">
        <f t="shared" si="31"/>
        <v>403200</v>
      </c>
    </row>
    <row r="72" spans="1:19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48800</v>
      </c>
      <c r="F72" s="36">
        <f t="shared" ref="F72:R72" si="33">F96*400</f>
        <v>28000</v>
      </c>
      <c r="G72" s="36">
        <f t="shared" si="33"/>
        <v>33600</v>
      </c>
      <c r="H72" s="36">
        <f t="shared" si="33"/>
        <v>37600</v>
      </c>
      <c r="I72" s="36">
        <f t="shared" si="33"/>
        <v>79200</v>
      </c>
      <c r="J72" s="36">
        <f t="shared" si="33"/>
        <v>13200</v>
      </c>
      <c r="K72" s="36">
        <f t="shared" si="33"/>
        <v>21200</v>
      </c>
      <c r="L72" s="36">
        <f t="shared" si="33"/>
        <v>20400</v>
      </c>
      <c r="M72" s="36">
        <f t="shared" si="33"/>
        <v>15600</v>
      </c>
      <c r="N72" s="36">
        <f t="shared" si="33"/>
        <v>17200</v>
      </c>
      <c r="O72" s="36">
        <f t="shared" si="33"/>
        <v>60000</v>
      </c>
      <c r="P72" s="36">
        <f t="shared" si="33"/>
        <v>2000</v>
      </c>
      <c r="Q72" s="36">
        <f t="shared" si="33"/>
        <v>14000</v>
      </c>
      <c r="R72" s="36">
        <f t="shared" si="33"/>
        <v>12400</v>
      </c>
      <c r="S72" s="36">
        <f t="shared" si="31"/>
        <v>403200</v>
      </c>
    </row>
    <row r="73" spans="1:19">
      <c r="A73" s="33" t="s">
        <v>343</v>
      </c>
      <c r="B73" s="34" t="s">
        <v>344</v>
      </c>
      <c r="C73" s="34"/>
      <c r="D73" s="35" t="s">
        <v>183</v>
      </c>
      <c r="E73" s="36">
        <f>E74</f>
        <v>489330</v>
      </c>
      <c r="F73" s="36">
        <f t="shared" ref="F73:R73" si="34">F74</f>
        <v>135690</v>
      </c>
      <c r="G73" s="36">
        <f t="shared" si="34"/>
        <v>204405</v>
      </c>
      <c r="H73" s="36">
        <f t="shared" si="34"/>
        <v>268530</v>
      </c>
      <c r="I73" s="36">
        <f t="shared" si="34"/>
        <v>386583.60000000003</v>
      </c>
      <c r="J73" s="36">
        <f t="shared" si="34"/>
        <v>196585.65</v>
      </c>
      <c r="K73" s="36">
        <f t="shared" si="34"/>
        <v>205953.60000000003</v>
      </c>
      <c r="L73" s="36">
        <f t="shared" si="34"/>
        <v>99419.4</v>
      </c>
      <c r="M73" s="36">
        <f t="shared" si="34"/>
        <v>172176.15</v>
      </c>
      <c r="N73" s="36">
        <f t="shared" si="34"/>
        <v>136753.79999999999</v>
      </c>
      <c r="O73" s="36">
        <f t="shared" si="34"/>
        <v>509998.35</v>
      </c>
      <c r="P73" s="36">
        <f t="shared" si="34"/>
        <v>34500</v>
      </c>
      <c r="Q73" s="36">
        <f t="shared" si="34"/>
        <v>199268.7</v>
      </c>
      <c r="R73" s="36">
        <f t="shared" si="34"/>
        <v>59392.800000000003</v>
      </c>
      <c r="S73" s="36">
        <f t="shared" si="31"/>
        <v>3098587.05</v>
      </c>
    </row>
    <row r="74" spans="1:19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489330</v>
      </c>
      <c r="F74" s="36">
        <f t="shared" ref="F74:R74" si="35">F108*15</f>
        <v>135690</v>
      </c>
      <c r="G74" s="36">
        <f t="shared" si="35"/>
        <v>204405</v>
      </c>
      <c r="H74" s="36">
        <f t="shared" si="35"/>
        <v>268530</v>
      </c>
      <c r="I74" s="36">
        <f t="shared" si="35"/>
        <v>386583.60000000003</v>
      </c>
      <c r="J74" s="36">
        <f t="shared" si="35"/>
        <v>196585.65</v>
      </c>
      <c r="K74" s="36">
        <f t="shared" si="35"/>
        <v>205953.60000000003</v>
      </c>
      <c r="L74" s="36">
        <f t="shared" si="35"/>
        <v>99419.4</v>
      </c>
      <c r="M74" s="36">
        <f t="shared" si="35"/>
        <v>172176.15</v>
      </c>
      <c r="N74" s="36">
        <f t="shared" si="35"/>
        <v>136753.79999999999</v>
      </c>
      <c r="O74" s="36">
        <f t="shared" si="35"/>
        <v>509998.35</v>
      </c>
      <c r="P74" s="36">
        <f t="shared" si="35"/>
        <v>34500</v>
      </c>
      <c r="Q74" s="36">
        <f t="shared" si="35"/>
        <v>199268.7</v>
      </c>
      <c r="R74" s="36">
        <f t="shared" si="35"/>
        <v>59392.800000000003</v>
      </c>
      <c r="S74" s="36">
        <f t="shared" si="31"/>
        <v>3098587.05</v>
      </c>
    </row>
    <row r="75" spans="1:19">
      <c r="A75" s="33" t="s">
        <v>348</v>
      </c>
      <c r="B75" s="34" t="s">
        <v>349</v>
      </c>
      <c r="C75" s="34"/>
      <c r="D75" s="35" t="s">
        <v>183</v>
      </c>
      <c r="E75" s="36">
        <f>E76</f>
        <v>238592</v>
      </c>
      <c r="F75" s="36">
        <f t="shared" ref="F75:R75" si="36">F76</f>
        <v>69296</v>
      </c>
      <c r="G75" s="36">
        <f t="shared" si="36"/>
        <v>64000</v>
      </c>
      <c r="H75" s="36">
        <f t="shared" si="36"/>
        <v>64000</v>
      </c>
      <c r="I75" s="36">
        <f t="shared" si="36"/>
        <v>126840</v>
      </c>
      <c r="J75" s="36">
        <f t="shared" si="36"/>
        <v>37352</v>
      </c>
      <c r="K75" s="36">
        <f t="shared" si="36"/>
        <v>51136</v>
      </c>
      <c r="L75" s="36">
        <f t="shared" si="36"/>
        <v>37310.400000000001</v>
      </c>
      <c r="M75" s="36">
        <f t="shared" si="36"/>
        <v>52681.599999999999</v>
      </c>
      <c r="N75" s="36">
        <f t="shared" si="36"/>
        <v>24480</v>
      </c>
      <c r="O75" s="36">
        <f t="shared" si="36"/>
        <v>168480</v>
      </c>
      <c r="P75" s="36">
        <f t="shared" si="36"/>
        <v>0</v>
      </c>
      <c r="Q75" s="36">
        <f t="shared" si="36"/>
        <v>54272</v>
      </c>
      <c r="R75" s="36">
        <f t="shared" si="36"/>
        <v>32104</v>
      </c>
      <c r="S75" s="36">
        <f t="shared" si="31"/>
        <v>1020544</v>
      </c>
    </row>
    <row r="76" spans="1:19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238592</v>
      </c>
      <c r="F76" s="36">
        <f t="shared" ref="F76:R76" si="37">F109*8</f>
        <v>69296</v>
      </c>
      <c r="G76" s="36">
        <f t="shared" si="37"/>
        <v>64000</v>
      </c>
      <c r="H76" s="36">
        <f t="shared" si="37"/>
        <v>64000</v>
      </c>
      <c r="I76" s="36">
        <f t="shared" si="37"/>
        <v>126840</v>
      </c>
      <c r="J76" s="36">
        <f t="shared" si="37"/>
        <v>37352</v>
      </c>
      <c r="K76" s="36">
        <f t="shared" si="37"/>
        <v>51136</v>
      </c>
      <c r="L76" s="36">
        <f t="shared" si="37"/>
        <v>37310.400000000001</v>
      </c>
      <c r="M76" s="36">
        <f t="shared" si="37"/>
        <v>52681.599999999999</v>
      </c>
      <c r="N76" s="36">
        <f t="shared" si="37"/>
        <v>24480</v>
      </c>
      <c r="O76" s="36">
        <f t="shared" si="37"/>
        <v>168480</v>
      </c>
      <c r="P76" s="36">
        <f t="shared" si="37"/>
        <v>0</v>
      </c>
      <c r="Q76" s="36">
        <f t="shared" si="37"/>
        <v>54272</v>
      </c>
      <c r="R76" s="36">
        <f t="shared" si="37"/>
        <v>32104</v>
      </c>
      <c r="S76" s="36">
        <f t="shared" si="31"/>
        <v>1020544</v>
      </c>
    </row>
    <row r="77" spans="1:19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R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1"/>
        <v>0</v>
      </c>
    </row>
    <row r="78" spans="1:19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36">
        <f t="shared" si="31"/>
        <v>0</v>
      </c>
    </row>
    <row r="79" spans="1:19">
      <c r="A79" s="33" t="s">
        <v>357</v>
      </c>
      <c r="B79" s="34" t="s">
        <v>358</v>
      </c>
      <c r="C79" s="34"/>
      <c r="D79" s="35" t="s">
        <v>183</v>
      </c>
      <c r="E79" s="36">
        <f>E80</f>
        <v>527040</v>
      </c>
      <c r="F79" s="36">
        <f t="shared" ref="F79:R79" si="39">F80</f>
        <v>302400</v>
      </c>
      <c r="G79" s="36">
        <f t="shared" si="39"/>
        <v>362880</v>
      </c>
      <c r="H79" s="36">
        <f t="shared" si="39"/>
        <v>406080</v>
      </c>
      <c r="I79" s="36">
        <f t="shared" si="39"/>
        <v>855360</v>
      </c>
      <c r="J79" s="36">
        <f t="shared" si="39"/>
        <v>142560</v>
      </c>
      <c r="K79" s="36">
        <f t="shared" si="39"/>
        <v>228960</v>
      </c>
      <c r="L79" s="36">
        <f t="shared" si="39"/>
        <v>220320</v>
      </c>
      <c r="M79" s="36">
        <f t="shared" si="39"/>
        <v>168480</v>
      </c>
      <c r="N79" s="36">
        <f t="shared" si="39"/>
        <v>185760</v>
      </c>
      <c r="O79" s="36">
        <f t="shared" si="39"/>
        <v>648000</v>
      </c>
      <c r="P79" s="36">
        <f t="shared" si="39"/>
        <v>21600</v>
      </c>
      <c r="Q79" s="36">
        <f t="shared" si="39"/>
        <v>151200</v>
      </c>
      <c r="R79" s="36">
        <f t="shared" si="39"/>
        <v>133920</v>
      </c>
      <c r="S79" s="36">
        <f t="shared" si="31"/>
        <v>4354560</v>
      </c>
    </row>
    <row r="80" spans="1:19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527040</v>
      </c>
      <c r="F80" s="36">
        <f t="shared" ref="F80:R80" si="40">F96*4320</f>
        <v>302400</v>
      </c>
      <c r="G80" s="36">
        <f t="shared" si="40"/>
        <v>362880</v>
      </c>
      <c r="H80" s="36">
        <f t="shared" si="40"/>
        <v>406080</v>
      </c>
      <c r="I80" s="36">
        <f t="shared" si="40"/>
        <v>855360</v>
      </c>
      <c r="J80" s="36">
        <f t="shared" si="40"/>
        <v>142560</v>
      </c>
      <c r="K80" s="36">
        <f t="shared" si="40"/>
        <v>228960</v>
      </c>
      <c r="L80" s="36">
        <f t="shared" si="40"/>
        <v>220320</v>
      </c>
      <c r="M80" s="36">
        <f t="shared" si="40"/>
        <v>168480</v>
      </c>
      <c r="N80" s="36">
        <f t="shared" si="40"/>
        <v>185760</v>
      </c>
      <c r="O80" s="36">
        <f t="shared" si="40"/>
        <v>648000</v>
      </c>
      <c r="P80" s="36">
        <f t="shared" si="40"/>
        <v>21600</v>
      </c>
      <c r="Q80" s="36">
        <f t="shared" si="40"/>
        <v>151200</v>
      </c>
      <c r="R80" s="36">
        <f t="shared" si="40"/>
        <v>133920</v>
      </c>
      <c r="S80" s="36">
        <f t="shared" si="31"/>
        <v>4354560</v>
      </c>
    </row>
    <row r="81" spans="1:19">
      <c r="A81" s="33" t="s">
        <v>362</v>
      </c>
      <c r="B81" s="34" t="s">
        <v>363</v>
      </c>
      <c r="C81" s="34"/>
      <c r="D81" s="35" t="s">
        <v>183</v>
      </c>
      <c r="E81" s="36">
        <f>E82</f>
        <v>484708.80000000005</v>
      </c>
      <c r="F81" s="36">
        <f t="shared" ref="F81:R81" si="41">F82</f>
        <v>282705.59999999998</v>
      </c>
      <c r="G81" s="36">
        <f t="shared" si="41"/>
        <v>320116.80000000005</v>
      </c>
      <c r="H81" s="36">
        <f t="shared" si="41"/>
        <v>341251.2</v>
      </c>
      <c r="I81" s="36">
        <f t="shared" si="41"/>
        <v>717667.2</v>
      </c>
      <c r="J81" s="36">
        <f t="shared" si="41"/>
        <v>114148.79999999999</v>
      </c>
      <c r="K81" s="36">
        <f t="shared" si="41"/>
        <v>185241.59999999998</v>
      </c>
      <c r="L81" s="36">
        <f t="shared" si="41"/>
        <v>176894.40000000002</v>
      </c>
      <c r="M81" s="36">
        <f t="shared" si="41"/>
        <v>137078.39999999999</v>
      </c>
      <c r="N81" s="36">
        <f t="shared" si="41"/>
        <v>148339.20000000001</v>
      </c>
      <c r="O81" s="36">
        <f t="shared" si="41"/>
        <v>602308.80000000005</v>
      </c>
      <c r="P81" s="36">
        <f t="shared" si="41"/>
        <v>21283.199999999997</v>
      </c>
      <c r="Q81" s="36">
        <f t="shared" si="41"/>
        <v>133824</v>
      </c>
      <c r="R81" s="36">
        <f t="shared" si="41"/>
        <v>110068.8</v>
      </c>
      <c r="S81" s="36">
        <f t="shared" si="31"/>
        <v>3775636.8</v>
      </c>
    </row>
    <row r="82" spans="1:19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484708.80000000005</v>
      </c>
      <c r="F82" s="36">
        <f t="shared" ref="F82:R82" si="42">F16*4</f>
        <v>282705.59999999998</v>
      </c>
      <c r="G82" s="36">
        <f t="shared" si="42"/>
        <v>320116.80000000005</v>
      </c>
      <c r="H82" s="36">
        <f t="shared" si="42"/>
        <v>341251.2</v>
      </c>
      <c r="I82" s="36">
        <f t="shared" si="42"/>
        <v>717667.2</v>
      </c>
      <c r="J82" s="36">
        <f t="shared" si="42"/>
        <v>114148.79999999999</v>
      </c>
      <c r="K82" s="36">
        <f t="shared" si="42"/>
        <v>185241.59999999998</v>
      </c>
      <c r="L82" s="36">
        <f t="shared" si="42"/>
        <v>176894.40000000002</v>
      </c>
      <c r="M82" s="36">
        <f t="shared" si="42"/>
        <v>137078.39999999999</v>
      </c>
      <c r="N82" s="36">
        <f t="shared" si="42"/>
        <v>148339.20000000001</v>
      </c>
      <c r="O82" s="36">
        <f t="shared" si="42"/>
        <v>602308.80000000005</v>
      </c>
      <c r="P82" s="36">
        <f t="shared" si="42"/>
        <v>21283.199999999997</v>
      </c>
      <c r="Q82" s="36">
        <f t="shared" si="42"/>
        <v>133824</v>
      </c>
      <c r="R82" s="36">
        <f t="shared" si="42"/>
        <v>110068.8</v>
      </c>
      <c r="S82" s="36">
        <f t="shared" si="31"/>
        <v>3775636.8</v>
      </c>
    </row>
    <row r="83" spans="1:19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R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32000</v>
      </c>
      <c r="L83" s="36">
        <f t="shared" si="43"/>
        <v>32000</v>
      </c>
      <c r="M83" s="36">
        <f t="shared" si="43"/>
        <v>0</v>
      </c>
      <c r="N83" s="36">
        <f t="shared" si="43"/>
        <v>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0</v>
      </c>
      <c r="S83" s="36">
        <f t="shared" si="31"/>
        <v>320000</v>
      </c>
    </row>
    <row r="84" spans="1:19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64000</v>
      </c>
      <c r="J84" s="37"/>
      <c r="K84" s="37">
        <v>32000</v>
      </c>
      <c r="L84" s="37">
        <v>32000</v>
      </c>
      <c r="M84" s="37"/>
      <c r="N84" s="37"/>
      <c r="O84" s="37">
        <v>32000</v>
      </c>
      <c r="P84" s="37">
        <v>32000</v>
      </c>
      <c r="Q84" s="37"/>
      <c r="R84" s="37"/>
      <c r="S84" s="36">
        <f t="shared" si="31"/>
        <v>320000</v>
      </c>
    </row>
    <row r="85" spans="1:19">
      <c r="A85" s="33" t="s">
        <v>371</v>
      </c>
      <c r="B85" s="34" t="s">
        <v>372</v>
      </c>
      <c r="C85" s="34"/>
      <c r="D85" s="35" t="s">
        <v>183</v>
      </c>
      <c r="E85" s="36">
        <f>E86+E89+E92</f>
        <v>424800</v>
      </c>
      <c r="F85" s="36">
        <f t="shared" ref="F85:R85" si="44">F86+F89+F92</f>
        <v>226560</v>
      </c>
      <c r="G85" s="36">
        <f t="shared" si="44"/>
        <v>377600</v>
      </c>
      <c r="H85" s="36">
        <f t="shared" si="44"/>
        <v>226560</v>
      </c>
      <c r="I85" s="36">
        <f t="shared" si="44"/>
        <v>61360</v>
      </c>
      <c r="J85" s="36">
        <f t="shared" si="44"/>
        <v>0</v>
      </c>
      <c r="K85" s="36">
        <f t="shared" si="44"/>
        <v>56640</v>
      </c>
      <c r="L85" s="36">
        <f t="shared" si="44"/>
        <v>80240</v>
      </c>
      <c r="M85" s="36">
        <f t="shared" si="44"/>
        <v>14160</v>
      </c>
      <c r="N85" s="36">
        <f t="shared" si="44"/>
        <v>0</v>
      </c>
      <c r="O85" s="36">
        <f t="shared" si="44"/>
        <v>0</v>
      </c>
      <c r="P85" s="36">
        <f t="shared" si="44"/>
        <v>14160</v>
      </c>
      <c r="Q85" s="36">
        <f t="shared" si="44"/>
        <v>0</v>
      </c>
      <c r="R85" s="36">
        <f t="shared" si="44"/>
        <v>37760</v>
      </c>
      <c r="S85" s="36">
        <f t="shared" si="31"/>
        <v>1519840</v>
      </c>
    </row>
    <row r="86" spans="1:19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R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31"/>
        <v>0</v>
      </c>
    </row>
    <row r="87" spans="1:19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36">
        <f t="shared" si="31"/>
        <v>0</v>
      </c>
    </row>
    <row r="88" spans="1:19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36">
        <f t="shared" si="31"/>
        <v>0</v>
      </c>
    </row>
    <row r="89" spans="1:19">
      <c r="A89" s="33" t="s">
        <v>380</v>
      </c>
      <c r="B89" s="34" t="s">
        <v>381</v>
      </c>
      <c r="C89" s="34"/>
      <c r="D89" s="35" t="s">
        <v>183</v>
      </c>
      <c r="E89" s="36">
        <f>E90+E91</f>
        <v>424800</v>
      </c>
      <c r="F89" s="36">
        <f t="shared" ref="F89:R89" si="46">F90+F91</f>
        <v>226560</v>
      </c>
      <c r="G89" s="36">
        <f t="shared" si="46"/>
        <v>377600</v>
      </c>
      <c r="H89" s="36">
        <f t="shared" si="46"/>
        <v>226560</v>
      </c>
      <c r="I89" s="36">
        <f t="shared" si="46"/>
        <v>61360</v>
      </c>
      <c r="J89" s="36">
        <f t="shared" si="46"/>
        <v>0</v>
      </c>
      <c r="K89" s="36">
        <f t="shared" si="46"/>
        <v>56640</v>
      </c>
      <c r="L89" s="36">
        <f t="shared" si="46"/>
        <v>80240</v>
      </c>
      <c r="M89" s="36">
        <f t="shared" si="46"/>
        <v>14160</v>
      </c>
      <c r="N89" s="36">
        <f t="shared" si="46"/>
        <v>0</v>
      </c>
      <c r="O89" s="36">
        <f t="shared" si="46"/>
        <v>0</v>
      </c>
      <c r="P89" s="36">
        <f t="shared" si="46"/>
        <v>14160</v>
      </c>
      <c r="Q89" s="36">
        <f t="shared" si="46"/>
        <v>0</v>
      </c>
      <c r="R89" s="36">
        <f t="shared" si="46"/>
        <v>37760</v>
      </c>
      <c r="S89" s="36">
        <f t="shared" si="31"/>
        <v>1519840</v>
      </c>
    </row>
    <row r="90" spans="1:19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36000</v>
      </c>
      <c r="F90" s="36">
        <f t="shared" ref="F90:R90" si="47">F107*400</f>
        <v>19200</v>
      </c>
      <c r="G90" s="36">
        <f t="shared" si="47"/>
        <v>32000</v>
      </c>
      <c r="H90" s="36">
        <f t="shared" si="47"/>
        <v>19200</v>
      </c>
      <c r="I90" s="36">
        <f t="shared" si="47"/>
        <v>5200</v>
      </c>
      <c r="J90" s="36">
        <f t="shared" si="47"/>
        <v>0</v>
      </c>
      <c r="K90" s="36">
        <f t="shared" si="47"/>
        <v>4800</v>
      </c>
      <c r="L90" s="36">
        <f t="shared" si="47"/>
        <v>6800</v>
      </c>
      <c r="M90" s="36">
        <f t="shared" si="47"/>
        <v>1200</v>
      </c>
      <c r="N90" s="36">
        <f t="shared" si="47"/>
        <v>0</v>
      </c>
      <c r="O90" s="36">
        <f t="shared" si="47"/>
        <v>0</v>
      </c>
      <c r="P90" s="36">
        <f t="shared" si="47"/>
        <v>1200</v>
      </c>
      <c r="Q90" s="36">
        <f t="shared" si="47"/>
        <v>0</v>
      </c>
      <c r="R90" s="36">
        <f t="shared" si="47"/>
        <v>3200</v>
      </c>
      <c r="S90" s="36">
        <f t="shared" si="31"/>
        <v>128800</v>
      </c>
    </row>
    <row r="91" spans="1:19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388800</v>
      </c>
      <c r="F91" s="36">
        <f t="shared" ref="F91:R91" si="48">F107*4320</f>
        <v>207360</v>
      </c>
      <c r="G91" s="36">
        <f t="shared" si="48"/>
        <v>345600</v>
      </c>
      <c r="H91" s="36">
        <f t="shared" si="48"/>
        <v>207360</v>
      </c>
      <c r="I91" s="36">
        <f t="shared" si="48"/>
        <v>56160</v>
      </c>
      <c r="J91" s="36">
        <f t="shared" si="48"/>
        <v>0</v>
      </c>
      <c r="K91" s="36">
        <f t="shared" si="48"/>
        <v>51840</v>
      </c>
      <c r="L91" s="36">
        <f t="shared" si="48"/>
        <v>73440</v>
      </c>
      <c r="M91" s="36">
        <f t="shared" si="48"/>
        <v>12960</v>
      </c>
      <c r="N91" s="36">
        <f t="shared" si="48"/>
        <v>0</v>
      </c>
      <c r="O91" s="36">
        <f t="shared" si="48"/>
        <v>0</v>
      </c>
      <c r="P91" s="36">
        <f t="shared" si="48"/>
        <v>12960</v>
      </c>
      <c r="Q91" s="36">
        <f t="shared" si="48"/>
        <v>0</v>
      </c>
      <c r="R91" s="36">
        <f t="shared" si="48"/>
        <v>34560</v>
      </c>
      <c r="S91" s="36">
        <f t="shared" si="31"/>
        <v>1391040</v>
      </c>
    </row>
    <row r="92" spans="1:19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36">
        <f t="shared" si="31"/>
        <v>0</v>
      </c>
    </row>
    <row r="93" spans="1:19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R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10000</v>
      </c>
      <c r="J93" s="36">
        <f t="shared" si="49"/>
        <v>32000</v>
      </c>
      <c r="K93" s="36">
        <f t="shared" si="49"/>
        <v>5000</v>
      </c>
      <c r="L93" s="36">
        <f t="shared" si="49"/>
        <v>10000</v>
      </c>
      <c r="M93" s="36">
        <f t="shared" si="49"/>
        <v>32000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32000</v>
      </c>
      <c r="R93" s="36">
        <f t="shared" si="49"/>
        <v>32000</v>
      </c>
      <c r="S93" s="36">
        <f t="shared" si="31"/>
        <v>185000</v>
      </c>
    </row>
    <row r="94" spans="1:19" ht="57" thickBot="1">
      <c r="A94" s="33" t="s">
        <v>392</v>
      </c>
      <c r="B94" s="50" t="s">
        <v>393</v>
      </c>
      <c r="C94" s="34" t="s">
        <v>189</v>
      </c>
      <c r="D94" s="51" t="s">
        <v>518</v>
      </c>
      <c r="E94" s="52"/>
      <c r="F94" s="52"/>
      <c r="G94" s="52"/>
      <c r="H94" s="52"/>
      <c r="I94" s="52">
        <v>10000</v>
      </c>
      <c r="J94" s="52">
        <v>32000</v>
      </c>
      <c r="K94" s="52">
        <v>5000</v>
      </c>
      <c r="L94" s="52">
        <v>10000</v>
      </c>
      <c r="M94" s="52">
        <v>32000</v>
      </c>
      <c r="N94" s="52">
        <v>32000</v>
      </c>
      <c r="O94" s="52"/>
      <c r="P94" s="52"/>
      <c r="Q94" s="52">
        <v>32000</v>
      </c>
      <c r="R94" s="52">
        <v>32000</v>
      </c>
      <c r="S94" s="36">
        <f t="shared" si="31"/>
        <v>185000</v>
      </c>
    </row>
    <row r="95" spans="1:19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36">
        <f t="shared" si="31"/>
        <v>0</v>
      </c>
    </row>
    <row r="96" spans="1:19" ht="22.5">
      <c r="A96" s="33" t="s">
        <v>397</v>
      </c>
      <c r="B96" s="34" t="s">
        <v>398</v>
      </c>
      <c r="C96" s="34"/>
      <c r="D96" s="35" t="s">
        <v>519</v>
      </c>
      <c r="E96" s="36">
        <f>E97+E98+E99+E100</f>
        <v>122</v>
      </c>
      <c r="F96" s="36">
        <f t="shared" ref="F96:R96" si="50">F97+F98+F99+F100</f>
        <v>70</v>
      </c>
      <c r="G96" s="36">
        <f t="shared" si="50"/>
        <v>84</v>
      </c>
      <c r="H96" s="36">
        <f t="shared" si="50"/>
        <v>94</v>
      </c>
      <c r="I96" s="36">
        <f t="shared" si="50"/>
        <v>198</v>
      </c>
      <c r="J96" s="36">
        <f t="shared" si="50"/>
        <v>33</v>
      </c>
      <c r="K96" s="36">
        <f t="shared" si="50"/>
        <v>53</v>
      </c>
      <c r="L96" s="36">
        <f t="shared" si="50"/>
        <v>51</v>
      </c>
      <c r="M96" s="36">
        <f t="shared" si="50"/>
        <v>39</v>
      </c>
      <c r="N96" s="36">
        <f t="shared" si="50"/>
        <v>43</v>
      </c>
      <c r="O96" s="36">
        <f t="shared" si="50"/>
        <v>150</v>
      </c>
      <c r="P96" s="36">
        <f t="shared" si="50"/>
        <v>5</v>
      </c>
      <c r="Q96" s="36">
        <f t="shared" si="50"/>
        <v>35</v>
      </c>
      <c r="R96" s="36">
        <f t="shared" si="50"/>
        <v>31</v>
      </c>
      <c r="S96" s="36">
        <f t="shared" si="31"/>
        <v>1008</v>
      </c>
    </row>
    <row r="97" spans="1:19">
      <c r="A97" s="33" t="s">
        <v>400</v>
      </c>
      <c r="B97" s="56" t="s">
        <v>401</v>
      </c>
      <c r="C97" s="56"/>
      <c r="D97" s="42"/>
      <c r="E97" s="43">
        <v>122</v>
      </c>
      <c r="F97" s="43">
        <v>70</v>
      </c>
      <c r="G97" s="43"/>
      <c r="H97" s="43"/>
      <c r="I97" s="43"/>
      <c r="J97" s="43"/>
      <c r="K97" s="43"/>
      <c r="L97" s="43"/>
      <c r="M97" s="43"/>
      <c r="N97" s="43"/>
      <c r="O97" s="43">
        <v>72</v>
      </c>
      <c r="P97" s="43"/>
      <c r="Q97" s="43">
        <v>35</v>
      </c>
      <c r="R97" s="43"/>
      <c r="S97" s="36">
        <f t="shared" si="31"/>
        <v>299</v>
      </c>
    </row>
    <row r="98" spans="1:19">
      <c r="A98" s="33" t="s">
        <v>402</v>
      </c>
      <c r="B98" s="56" t="s">
        <v>403</v>
      </c>
      <c r="C98" s="56"/>
      <c r="D98" s="35"/>
      <c r="E98" s="37"/>
      <c r="F98" s="37"/>
      <c r="G98" s="37">
        <v>84</v>
      </c>
      <c r="H98" s="37">
        <v>94</v>
      </c>
      <c r="I98" s="37">
        <v>198</v>
      </c>
      <c r="J98" s="37">
        <v>33</v>
      </c>
      <c r="K98" s="37"/>
      <c r="L98" s="37"/>
      <c r="M98" s="37"/>
      <c r="N98" s="37"/>
      <c r="O98" s="37">
        <v>78</v>
      </c>
      <c r="P98" s="37"/>
      <c r="Q98" s="37"/>
      <c r="R98" s="37"/>
      <c r="S98" s="36">
        <f t="shared" si="31"/>
        <v>487</v>
      </c>
    </row>
    <row r="99" spans="1:19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>
        <v>53</v>
      </c>
      <c r="L99" s="43">
        <v>51</v>
      </c>
      <c r="M99" s="43">
        <v>39</v>
      </c>
      <c r="N99" s="43">
        <v>43</v>
      </c>
      <c r="O99" s="43"/>
      <c r="P99" s="43"/>
      <c r="Q99" s="43">
        <v>0</v>
      </c>
      <c r="R99" s="43">
        <v>31</v>
      </c>
      <c r="S99" s="36">
        <f t="shared" si="31"/>
        <v>217</v>
      </c>
    </row>
    <row r="100" spans="1:19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>
        <v>5</v>
      </c>
      <c r="Q100" s="43"/>
      <c r="R100" s="43"/>
      <c r="S100" s="36">
        <f t="shared" si="31"/>
        <v>5</v>
      </c>
    </row>
    <row r="101" spans="1:19" ht="33.75">
      <c r="A101" s="33" t="s">
        <v>408</v>
      </c>
      <c r="B101" s="34" t="s">
        <v>409</v>
      </c>
      <c r="C101" s="34"/>
      <c r="D101" s="35" t="s">
        <v>520</v>
      </c>
      <c r="E101" s="36">
        <f>E102+E103+E104+E105</f>
        <v>1307</v>
      </c>
      <c r="F101" s="36">
        <f t="shared" ref="F101:R101" si="51">F102+F103+F104+F105</f>
        <v>689</v>
      </c>
      <c r="G101" s="36">
        <f t="shared" si="51"/>
        <v>888</v>
      </c>
      <c r="H101" s="36">
        <f t="shared" si="51"/>
        <v>1024</v>
      </c>
      <c r="I101" s="36">
        <f t="shared" si="51"/>
        <v>3283</v>
      </c>
      <c r="J101" s="36">
        <f t="shared" si="51"/>
        <v>260</v>
      </c>
      <c r="K101" s="36">
        <f t="shared" si="51"/>
        <v>831</v>
      </c>
      <c r="L101" s="36">
        <f t="shared" si="51"/>
        <v>508</v>
      </c>
      <c r="M101" s="36">
        <f t="shared" si="51"/>
        <v>471</v>
      </c>
      <c r="N101" s="36">
        <f t="shared" si="51"/>
        <v>541</v>
      </c>
      <c r="O101" s="36">
        <f t="shared" si="51"/>
        <v>1536</v>
      </c>
      <c r="P101" s="36">
        <f t="shared" si="51"/>
        <v>0</v>
      </c>
      <c r="Q101" s="36">
        <f t="shared" si="51"/>
        <v>423</v>
      </c>
      <c r="R101" s="36">
        <f t="shared" si="51"/>
        <v>452</v>
      </c>
      <c r="S101" s="36">
        <f t="shared" si="31"/>
        <v>12213</v>
      </c>
    </row>
    <row r="102" spans="1:19">
      <c r="A102" s="33" t="s">
        <v>411</v>
      </c>
      <c r="B102" s="56" t="s">
        <v>401</v>
      </c>
      <c r="C102" s="56"/>
      <c r="D102" s="42"/>
      <c r="E102" s="43">
        <v>1307</v>
      </c>
      <c r="F102" s="43">
        <v>689</v>
      </c>
      <c r="G102" s="43"/>
      <c r="H102" s="43"/>
      <c r="I102" s="43"/>
      <c r="J102" s="43"/>
      <c r="K102" s="43"/>
      <c r="L102" s="43"/>
      <c r="M102" s="43"/>
      <c r="N102" s="43"/>
      <c r="O102" s="43">
        <v>567</v>
      </c>
      <c r="P102" s="43"/>
      <c r="Q102" s="43">
        <v>423</v>
      </c>
      <c r="R102" s="43"/>
      <c r="S102" s="36">
        <f t="shared" si="31"/>
        <v>2986</v>
      </c>
    </row>
    <row r="103" spans="1:19">
      <c r="A103" s="33" t="s">
        <v>412</v>
      </c>
      <c r="B103" s="56" t="s">
        <v>403</v>
      </c>
      <c r="C103" s="56"/>
      <c r="D103" s="35"/>
      <c r="E103" s="37"/>
      <c r="F103" s="37"/>
      <c r="G103" s="37">
        <v>888</v>
      </c>
      <c r="H103" s="37">
        <v>1024</v>
      </c>
      <c r="I103" s="37">
        <v>3283</v>
      </c>
      <c r="J103" s="37">
        <v>260</v>
      </c>
      <c r="K103" s="37"/>
      <c r="L103" s="37"/>
      <c r="M103" s="37"/>
      <c r="N103" s="37"/>
      <c r="O103" s="37">
        <v>969</v>
      </c>
      <c r="P103" s="37"/>
      <c r="Q103" s="37"/>
      <c r="R103" s="37"/>
      <c r="S103" s="36">
        <f t="shared" si="31"/>
        <v>6424</v>
      </c>
    </row>
    <row r="104" spans="1:19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>
        <f>587+244</f>
        <v>831</v>
      </c>
      <c r="L104" s="43">
        <f>202+97+209</f>
        <v>508</v>
      </c>
      <c r="M104" s="43">
        <f>323+148</f>
        <v>471</v>
      </c>
      <c r="N104" s="43">
        <f>383+158</f>
        <v>541</v>
      </c>
      <c r="O104" s="43"/>
      <c r="P104" s="43"/>
      <c r="Q104" s="43"/>
      <c r="R104" s="43">
        <f>293+159</f>
        <v>452</v>
      </c>
      <c r="S104" s="36">
        <f t="shared" si="31"/>
        <v>2803</v>
      </c>
    </row>
    <row r="105" spans="1:19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36">
        <f t="shared" si="31"/>
        <v>0</v>
      </c>
    </row>
    <row r="106" spans="1:19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36">
        <f t="shared" si="31"/>
        <v>0</v>
      </c>
    </row>
    <row r="107" spans="1:19">
      <c r="A107" s="33" t="s">
        <v>417</v>
      </c>
      <c r="B107" s="34" t="s">
        <v>418</v>
      </c>
      <c r="C107" s="34"/>
      <c r="D107" s="35"/>
      <c r="E107" s="37">
        <v>90</v>
      </c>
      <c r="F107" s="37">
        <v>48</v>
      </c>
      <c r="G107" s="37">
        <v>80</v>
      </c>
      <c r="H107" s="37">
        <v>48</v>
      </c>
      <c r="I107" s="37">
        <v>13</v>
      </c>
      <c r="J107" s="37"/>
      <c r="K107" s="37">
        <v>12</v>
      </c>
      <c r="L107" s="37">
        <v>17</v>
      </c>
      <c r="M107" s="37">
        <v>3</v>
      </c>
      <c r="N107" s="37"/>
      <c r="O107" s="37"/>
      <c r="P107" s="37">
        <v>3</v>
      </c>
      <c r="Q107" s="37"/>
      <c r="R107" s="37">
        <v>8</v>
      </c>
      <c r="S107" s="36">
        <f t="shared" si="31"/>
        <v>322</v>
      </c>
    </row>
    <row r="108" spans="1:19">
      <c r="A108" s="33" t="s">
        <v>419</v>
      </c>
      <c r="B108" s="56" t="s">
        <v>420</v>
      </c>
      <c r="C108" s="56"/>
      <c r="D108" s="47"/>
      <c r="E108" s="37">
        <v>32622</v>
      </c>
      <c r="F108" s="37">
        <v>9046</v>
      </c>
      <c r="G108" s="37">
        <v>13627</v>
      </c>
      <c r="H108" s="37">
        <v>17902</v>
      </c>
      <c r="I108" s="37">
        <v>25772.240000000002</v>
      </c>
      <c r="J108" s="37">
        <v>13105.71</v>
      </c>
      <c r="K108" s="37">
        <f>10602.95+3127.29</f>
        <v>13730.240000000002</v>
      </c>
      <c r="L108" s="37">
        <v>6627.96</v>
      </c>
      <c r="M108" s="37">
        <v>11478.41</v>
      </c>
      <c r="N108" s="37">
        <v>9116.92</v>
      </c>
      <c r="O108" s="37">
        <v>33999.89</v>
      </c>
      <c r="P108" s="37">
        <v>2300</v>
      </c>
      <c r="Q108" s="37">
        <v>13284.58</v>
      </c>
      <c r="R108" s="37">
        <f>2564.98+1394.54</f>
        <v>3959.52</v>
      </c>
      <c r="S108" s="36">
        <f t="shared" si="31"/>
        <v>206572.47000000003</v>
      </c>
    </row>
    <row r="109" spans="1:19">
      <c r="A109" s="33" t="s">
        <v>421</v>
      </c>
      <c r="B109" s="56" t="s">
        <v>422</v>
      </c>
      <c r="C109" s="56"/>
      <c r="D109" s="47"/>
      <c r="E109" s="37">
        <v>29824</v>
      </c>
      <c r="F109" s="37">
        <v>8662</v>
      </c>
      <c r="G109" s="37">
        <v>8000</v>
      </c>
      <c r="H109" s="37">
        <v>8000</v>
      </c>
      <c r="I109" s="37">
        <v>15855</v>
      </c>
      <c r="J109" s="37">
        <v>4669</v>
      </c>
      <c r="K109" s="37">
        <f>4900+1492</f>
        <v>6392</v>
      </c>
      <c r="L109" s="37">
        <v>4663.8</v>
      </c>
      <c r="M109" s="37">
        <v>6585.2</v>
      </c>
      <c r="N109" s="37">
        <v>3060</v>
      </c>
      <c r="O109" s="37">
        <v>21060</v>
      </c>
      <c r="P109" s="37"/>
      <c r="Q109" s="37">
        <v>6784</v>
      </c>
      <c r="R109" s="37">
        <v>4013</v>
      </c>
      <c r="S109" s="36">
        <f t="shared" si="31"/>
        <v>127568</v>
      </c>
    </row>
    <row r="113" spans="5:7">
      <c r="E113" s="90"/>
      <c r="F113" s="90"/>
      <c r="G113" s="90"/>
    </row>
  </sheetData>
  <protectedRanges>
    <protectedRange password="E9C1" sqref="B31:D109 A4:D12 A2:S3 B13:D28 A13:A109 S4:S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S1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4" ht="25.5">
      <c r="A1" s="279" t="s">
        <v>177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</row>
    <row r="2" spans="1:24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118</v>
      </c>
      <c r="F2" s="32" t="s">
        <v>119</v>
      </c>
      <c r="G2" s="32" t="s">
        <v>447</v>
      </c>
      <c r="H2" s="32" t="s">
        <v>120</v>
      </c>
      <c r="I2" s="32" t="s">
        <v>121</v>
      </c>
      <c r="J2" s="32" t="s">
        <v>425</v>
      </c>
      <c r="K2" s="32" t="s">
        <v>123</v>
      </c>
      <c r="L2" s="32" t="s">
        <v>448</v>
      </c>
      <c r="M2" s="32" t="s">
        <v>449</v>
      </c>
      <c r="N2" s="32" t="s">
        <v>427</v>
      </c>
      <c r="O2" s="32" t="s">
        <v>569</v>
      </c>
      <c r="P2" s="32" t="s">
        <v>569</v>
      </c>
      <c r="Q2" s="32" t="s">
        <v>569</v>
      </c>
      <c r="R2" s="32" t="s">
        <v>569</v>
      </c>
      <c r="S2" s="32" t="s">
        <v>569</v>
      </c>
      <c r="T2" s="32" t="s">
        <v>569</v>
      </c>
      <c r="U2" s="32" t="s">
        <v>569</v>
      </c>
      <c r="V2" s="32" t="s">
        <v>569</v>
      </c>
      <c r="W2" s="32" t="s">
        <v>25</v>
      </c>
      <c r="X2" s="176" t="s">
        <v>570</v>
      </c>
    </row>
    <row r="3" spans="1:24">
      <c r="A3" s="33" t="s">
        <v>181</v>
      </c>
      <c r="B3" s="34" t="s">
        <v>182</v>
      </c>
      <c r="C3" s="34"/>
      <c r="D3" s="35" t="s">
        <v>183</v>
      </c>
      <c r="E3" s="36">
        <f>E4+E31+E52</f>
        <v>29918164</v>
      </c>
      <c r="F3" s="36">
        <f t="shared" ref="F3:V3" si="0">F4+F31+F52</f>
        <v>22685002</v>
      </c>
      <c r="G3" s="36">
        <f t="shared" si="0"/>
        <v>42423128.399999999</v>
      </c>
      <c r="H3" s="36">
        <f t="shared" si="0"/>
        <v>30612200.399999999</v>
      </c>
      <c r="I3" s="36">
        <f t="shared" si="0"/>
        <v>23928219.149999999</v>
      </c>
      <c r="J3" s="36">
        <f t="shared" si="0"/>
        <v>18142838.75</v>
      </c>
      <c r="K3" s="36">
        <f t="shared" si="0"/>
        <v>17048274.75</v>
      </c>
      <c r="L3" s="36">
        <f t="shared" si="0"/>
        <v>12931780.699999999</v>
      </c>
      <c r="M3" s="36">
        <f t="shared" si="0"/>
        <v>15392648.25</v>
      </c>
      <c r="N3" s="36">
        <f t="shared" si="0"/>
        <v>474754</v>
      </c>
      <c r="O3" s="36">
        <f t="shared" si="0"/>
        <v>0</v>
      </c>
      <c r="P3" s="36">
        <f t="shared" si="0"/>
        <v>0</v>
      </c>
      <c r="Q3" s="36">
        <f t="shared" si="0"/>
        <v>0</v>
      </c>
      <c r="R3" s="36">
        <f t="shared" si="0"/>
        <v>0</v>
      </c>
      <c r="S3" s="36">
        <f t="shared" si="0"/>
        <v>0</v>
      </c>
      <c r="T3" s="37"/>
      <c r="U3" s="37"/>
      <c r="V3" s="36">
        <f t="shared" si="0"/>
        <v>0</v>
      </c>
      <c r="W3" s="36">
        <f>SUM(E3:V3)</f>
        <v>213557010.40000001</v>
      </c>
      <c r="X3" s="39"/>
    </row>
    <row r="4" spans="1:24">
      <c r="A4" s="33" t="s">
        <v>184</v>
      </c>
      <c r="B4" s="34" t="s">
        <v>128</v>
      </c>
      <c r="C4" s="34"/>
      <c r="D4" s="35" t="s">
        <v>183</v>
      </c>
      <c r="E4" s="36">
        <f t="shared" ref="E4:V4" si="1">E5+E8+E13+E17+E20+E22+E25+E27+E29+E30</f>
        <v>26810115</v>
      </c>
      <c r="F4" s="36">
        <f t="shared" si="1"/>
        <v>20001922</v>
      </c>
      <c r="G4" s="36">
        <f t="shared" si="1"/>
        <v>36947444</v>
      </c>
      <c r="H4" s="36">
        <f t="shared" si="1"/>
        <v>26073918</v>
      </c>
      <c r="I4" s="36">
        <f t="shared" si="1"/>
        <v>20442345</v>
      </c>
      <c r="J4" s="36">
        <f t="shared" si="1"/>
        <v>15662234</v>
      </c>
      <c r="K4" s="36">
        <f t="shared" si="1"/>
        <v>14906996</v>
      </c>
      <c r="L4" s="36">
        <f t="shared" si="1"/>
        <v>11263700</v>
      </c>
      <c r="M4" s="36">
        <f t="shared" si="1"/>
        <v>13551542</v>
      </c>
      <c r="N4" s="36">
        <f t="shared" si="1"/>
        <v>333581</v>
      </c>
      <c r="O4" s="36">
        <f t="shared" si="1"/>
        <v>0</v>
      </c>
      <c r="P4" s="36">
        <f t="shared" si="1"/>
        <v>0</v>
      </c>
      <c r="Q4" s="36">
        <f t="shared" si="1"/>
        <v>0</v>
      </c>
      <c r="R4" s="36">
        <f t="shared" si="1"/>
        <v>0</v>
      </c>
      <c r="S4" s="36">
        <f t="shared" si="1"/>
        <v>0</v>
      </c>
      <c r="T4" s="37"/>
      <c r="U4" s="37"/>
      <c r="V4" s="36">
        <f t="shared" si="1"/>
        <v>0</v>
      </c>
      <c r="W4" s="36">
        <f t="shared" ref="W4:W67" si="2">SUM(E4:V4)</f>
        <v>185993797</v>
      </c>
      <c r="X4" s="39"/>
    </row>
    <row r="5" spans="1:24">
      <c r="A5" s="33" t="s">
        <v>185</v>
      </c>
      <c r="B5" s="34" t="s">
        <v>186</v>
      </c>
      <c r="C5" s="34"/>
      <c r="D5" s="35" t="s">
        <v>183</v>
      </c>
      <c r="E5" s="36">
        <f>E6+E7</f>
        <v>3824810</v>
      </c>
      <c r="F5" s="36">
        <f t="shared" ref="F5:V5" si="3">F6+F7</f>
        <v>2882330</v>
      </c>
      <c r="G5" s="36">
        <f t="shared" si="3"/>
        <v>5712340</v>
      </c>
      <c r="H5" s="36">
        <f t="shared" si="3"/>
        <v>3577700</v>
      </c>
      <c r="I5" s="36">
        <f t="shared" si="3"/>
        <v>2865400</v>
      </c>
      <c r="J5" s="36">
        <f t="shared" si="3"/>
        <v>1905740</v>
      </c>
      <c r="K5" s="36">
        <f t="shared" si="3"/>
        <v>1898570</v>
      </c>
      <c r="L5" s="36">
        <f t="shared" si="3"/>
        <v>1515230</v>
      </c>
      <c r="M5" s="36">
        <f t="shared" si="3"/>
        <v>1884940</v>
      </c>
      <c r="N5" s="36">
        <f t="shared" si="3"/>
        <v>60670</v>
      </c>
      <c r="O5" s="36">
        <f t="shared" si="3"/>
        <v>0</v>
      </c>
      <c r="P5" s="36">
        <f t="shared" si="3"/>
        <v>0</v>
      </c>
      <c r="Q5" s="36">
        <f t="shared" si="3"/>
        <v>0</v>
      </c>
      <c r="R5" s="36">
        <f t="shared" si="3"/>
        <v>0</v>
      </c>
      <c r="S5" s="36">
        <f t="shared" si="3"/>
        <v>0</v>
      </c>
      <c r="T5" s="37"/>
      <c r="U5" s="37"/>
      <c r="V5" s="36">
        <f t="shared" si="3"/>
        <v>0</v>
      </c>
      <c r="W5" s="36">
        <f t="shared" si="2"/>
        <v>26127730</v>
      </c>
      <c r="X5" s="39"/>
    </row>
    <row r="6" spans="1:24">
      <c r="A6" s="33" t="s">
        <v>187</v>
      </c>
      <c r="B6" s="34" t="s">
        <v>188</v>
      </c>
      <c r="C6" s="34" t="s">
        <v>189</v>
      </c>
      <c r="D6" s="35" t="s">
        <v>190</v>
      </c>
      <c r="E6" s="37">
        <v>2173800</v>
      </c>
      <c r="F6" s="37">
        <v>1661220</v>
      </c>
      <c r="G6" s="37">
        <v>3051220</v>
      </c>
      <c r="H6" s="37">
        <v>2062200</v>
      </c>
      <c r="I6" s="37">
        <v>1603200</v>
      </c>
      <c r="J6" s="37">
        <v>1212520</v>
      </c>
      <c r="K6" s="37">
        <v>1162120</v>
      </c>
      <c r="L6" s="37">
        <v>928920</v>
      </c>
      <c r="M6" s="37">
        <v>1131720</v>
      </c>
      <c r="N6" s="37">
        <v>31940</v>
      </c>
      <c r="O6" s="37"/>
      <c r="P6" s="37"/>
      <c r="Q6" s="37"/>
      <c r="R6" s="37"/>
      <c r="S6" s="37"/>
      <c r="T6" s="37"/>
      <c r="U6" s="37"/>
      <c r="V6" s="37"/>
      <c r="W6" s="36">
        <f t="shared" si="2"/>
        <v>15018860</v>
      </c>
      <c r="X6" s="177"/>
    </row>
    <row r="7" spans="1:24">
      <c r="A7" s="33" t="s">
        <v>191</v>
      </c>
      <c r="B7" s="34" t="s">
        <v>192</v>
      </c>
      <c r="C7" s="34" t="s">
        <v>189</v>
      </c>
      <c r="D7" s="35" t="s">
        <v>190</v>
      </c>
      <c r="E7" s="37">
        <v>1651010</v>
      </c>
      <c r="F7" s="37">
        <v>1221110</v>
      </c>
      <c r="G7" s="37">
        <v>2661120</v>
      </c>
      <c r="H7" s="37">
        <v>1515500</v>
      </c>
      <c r="I7" s="37">
        <v>1262200</v>
      </c>
      <c r="J7" s="37">
        <v>693220</v>
      </c>
      <c r="K7" s="37">
        <v>736450</v>
      </c>
      <c r="L7" s="37">
        <v>586310</v>
      </c>
      <c r="M7" s="37">
        <v>753220</v>
      </c>
      <c r="N7" s="37">
        <v>28730</v>
      </c>
      <c r="O7" s="37"/>
      <c r="P7" s="37"/>
      <c r="Q7" s="37"/>
      <c r="R7" s="37"/>
      <c r="S7" s="37"/>
      <c r="T7" s="37"/>
      <c r="U7" s="37"/>
      <c r="V7" s="37"/>
      <c r="W7" s="36">
        <f t="shared" si="2"/>
        <v>11108870</v>
      </c>
      <c r="X7" s="39"/>
    </row>
    <row r="8" spans="1:24">
      <c r="A8" s="33" t="s">
        <v>193</v>
      </c>
      <c r="B8" s="34" t="s">
        <v>194</v>
      </c>
      <c r="C8" s="34"/>
      <c r="D8" s="35" t="s">
        <v>183</v>
      </c>
      <c r="E8" s="36">
        <f>E9+E10</f>
        <v>460720</v>
      </c>
      <c r="F8" s="36">
        <f t="shared" ref="F8:V8" si="4">F9+F10</f>
        <v>347088</v>
      </c>
      <c r="G8" s="36">
        <f t="shared" si="4"/>
        <v>641756</v>
      </c>
      <c r="H8" s="36">
        <f t="shared" si="4"/>
        <v>466772</v>
      </c>
      <c r="I8" s="36">
        <f t="shared" si="4"/>
        <v>353380</v>
      </c>
      <c r="J8" s="36">
        <f t="shared" si="4"/>
        <v>281354</v>
      </c>
      <c r="K8" s="36">
        <f t="shared" si="4"/>
        <v>259916</v>
      </c>
      <c r="L8" s="36">
        <f t="shared" si="4"/>
        <v>216420</v>
      </c>
      <c r="M8" s="36">
        <f t="shared" si="4"/>
        <v>254712</v>
      </c>
      <c r="N8" s="36">
        <f t="shared" si="4"/>
        <v>5472</v>
      </c>
      <c r="O8" s="36">
        <f t="shared" si="4"/>
        <v>0</v>
      </c>
      <c r="P8" s="36">
        <f t="shared" si="4"/>
        <v>0</v>
      </c>
      <c r="Q8" s="36">
        <f t="shared" si="4"/>
        <v>0</v>
      </c>
      <c r="R8" s="36">
        <f t="shared" si="4"/>
        <v>0</v>
      </c>
      <c r="S8" s="36">
        <f t="shared" si="4"/>
        <v>0</v>
      </c>
      <c r="T8" s="37"/>
      <c r="U8" s="37"/>
      <c r="V8" s="36">
        <f t="shared" si="4"/>
        <v>0</v>
      </c>
      <c r="W8" s="36">
        <f t="shared" si="2"/>
        <v>3287590</v>
      </c>
      <c r="X8" s="39"/>
    </row>
    <row r="9" spans="1:24">
      <c r="A9" s="33" t="s">
        <v>195</v>
      </c>
      <c r="B9" s="34" t="s">
        <v>196</v>
      </c>
      <c r="C9" s="34" t="s">
        <v>189</v>
      </c>
      <c r="D9" s="35" t="s">
        <v>190</v>
      </c>
      <c r="E9" s="37">
        <v>5800</v>
      </c>
      <c r="F9" s="37">
        <v>4560</v>
      </c>
      <c r="G9" s="37">
        <v>10220</v>
      </c>
      <c r="H9" s="37">
        <v>6500</v>
      </c>
      <c r="I9" s="37">
        <v>5500</v>
      </c>
      <c r="J9" s="37">
        <v>3050</v>
      </c>
      <c r="K9" s="37">
        <v>3020</v>
      </c>
      <c r="L9" s="37">
        <v>2340</v>
      </c>
      <c r="M9" s="37">
        <v>3168</v>
      </c>
      <c r="N9" s="37">
        <v>120</v>
      </c>
      <c r="O9" s="37"/>
      <c r="P9" s="37"/>
      <c r="Q9" s="37"/>
      <c r="R9" s="37"/>
      <c r="S9" s="37"/>
      <c r="T9" s="37"/>
      <c r="U9" s="37"/>
      <c r="V9" s="37"/>
      <c r="W9" s="36">
        <f t="shared" si="2"/>
        <v>44278</v>
      </c>
      <c r="X9" s="39"/>
    </row>
    <row r="10" spans="1:24">
      <c r="A10" s="33" t="s">
        <v>197</v>
      </c>
      <c r="B10" s="34" t="s">
        <v>198</v>
      </c>
      <c r="C10" s="34"/>
      <c r="D10" s="35" t="s">
        <v>183</v>
      </c>
      <c r="E10" s="36">
        <f>E11+E12</f>
        <v>454920</v>
      </c>
      <c r="F10" s="36">
        <f t="shared" ref="F10:V10" si="5">F11+F12</f>
        <v>342528</v>
      </c>
      <c r="G10" s="36">
        <f t="shared" si="5"/>
        <v>631536</v>
      </c>
      <c r="H10" s="36">
        <f t="shared" si="5"/>
        <v>460272</v>
      </c>
      <c r="I10" s="36">
        <f t="shared" si="5"/>
        <v>347880</v>
      </c>
      <c r="J10" s="36">
        <f t="shared" si="5"/>
        <v>278304</v>
      </c>
      <c r="K10" s="36">
        <f t="shared" si="5"/>
        <v>256896</v>
      </c>
      <c r="L10" s="36">
        <f t="shared" si="5"/>
        <v>214080</v>
      </c>
      <c r="M10" s="36">
        <f t="shared" si="5"/>
        <v>251544</v>
      </c>
      <c r="N10" s="36">
        <f t="shared" si="5"/>
        <v>5352</v>
      </c>
      <c r="O10" s="36">
        <f t="shared" si="5"/>
        <v>0</v>
      </c>
      <c r="P10" s="36">
        <f t="shared" si="5"/>
        <v>0</v>
      </c>
      <c r="Q10" s="36">
        <f t="shared" si="5"/>
        <v>0</v>
      </c>
      <c r="R10" s="36">
        <f t="shared" si="5"/>
        <v>0</v>
      </c>
      <c r="S10" s="36">
        <f t="shared" si="5"/>
        <v>0</v>
      </c>
      <c r="T10" s="37"/>
      <c r="U10" s="37"/>
      <c r="V10" s="36">
        <f t="shared" si="5"/>
        <v>0</v>
      </c>
      <c r="W10" s="36">
        <f t="shared" si="2"/>
        <v>3243312</v>
      </c>
      <c r="X10" s="39"/>
    </row>
    <row r="11" spans="1:24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6120</v>
      </c>
      <c r="F11" s="36">
        <f t="shared" ref="F11:V11" si="6">72*F96</f>
        <v>4608</v>
      </c>
      <c r="G11" s="36">
        <f t="shared" si="6"/>
        <v>8496</v>
      </c>
      <c r="H11" s="36">
        <f t="shared" si="6"/>
        <v>6192</v>
      </c>
      <c r="I11" s="36">
        <f t="shared" si="6"/>
        <v>4680</v>
      </c>
      <c r="J11" s="36">
        <f t="shared" si="6"/>
        <v>3744</v>
      </c>
      <c r="K11" s="36">
        <f t="shared" si="6"/>
        <v>3456</v>
      </c>
      <c r="L11" s="36">
        <f t="shared" si="6"/>
        <v>2880</v>
      </c>
      <c r="M11" s="36">
        <f t="shared" si="6"/>
        <v>3384</v>
      </c>
      <c r="N11" s="36">
        <f t="shared" si="6"/>
        <v>72</v>
      </c>
      <c r="O11" s="36">
        <f t="shared" si="6"/>
        <v>0</v>
      </c>
      <c r="P11" s="36">
        <f t="shared" si="6"/>
        <v>0</v>
      </c>
      <c r="Q11" s="36">
        <f t="shared" si="6"/>
        <v>0</v>
      </c>
      <c r="R11" s="36">
        <f t="shared" si="6"/>
        <v>0</v>
      </c>
      <c r="S11" s="36">
        <f t="shared" si="6"/>
        <v>0</v>
      </c>
      <c r="T11" s="37"/>
      <c r="U11" s="37"/>
      <c r="V11" s="36">
        <f t="shared" si="6"/>
        <v>0</v>
      </c>
      <c r="W11" s="36">
        <f t="shared" si="2"/>
        <v>43632</v>
      </c>
      <c r="X11" s="39"/>
    </row>
    <row r="12" spans="1:24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448800</v>
      </c>
      <c r="F12" s="36">
        <f t="shared" ref="F12:V12" si="7">440*12*F96</f>
        <v>337920</v>
      </c>
      <c r="G12" s="36">
        <f t="shared" si="7"/>
        <v>623040</v>
      </c>
      <c r="H12" s="36">
        <f t="shared" si="7"/>
        <v>454080</v>
      </c>
      <c r="I12" s="36">
        <f t="shared" si="7"/>
        <v>343200</v>
      </c>
      <c r="J12" s="36">
        <f t="shared" si="7"/>
        <v>274560</v>
      </c>
      <c r="K12" s="36">
        <f t="shared" si="7"/>
        <v>253440</v>
      </c>
      <c r="L12" s="36">
        <f t="shared" si="7"/>
        <v>211200</v>
      </c>
      <c r="M12" s="36">
        <f t="shared" si="7"/>
        <v>248160</v>
      </c>
      <c r="N12" s="36">
        <f t="shared" si="7"/>
        <v>5280</v>
      </c>
      <c r="O12" s="36">
        <f t="shared" si="7"/>
        <v>0</v>
      </c>
      <c r="P12" s="36">
        <f t="shared" si="7"/>
        <v>0</v>
      </c>
      <c r="Q12" s="36">
        <f t="shared" si="7"/>
        <v>0</v>
      </c>
      <c r="R12" s="36">
        <f t="shared" si="7"/>
        <v>0</v>
      </c>
      <c r="S12" s="36">
        <f t="shared" si="7"/>
        <v>0</v>
      </c>
      <c r="T12" s="37"/>
      <c r="U12" s="37"/>
      <c r="V12" s="36">
        <f t="shared" si="7"/>
        <v>0</v>
      </c>
      <c r="W12" s="36">
        <f t="shared" si="2"/>
        <v>3199680</v>
      </c>
      <c r="X12" s="39"/>
    </row>
    <row r="13" spans="1:24">
      <c r="A13" s="33" t="s">
        <v>203</v>
      </c>
      <c r="B13" s="34" t="s">
        <v>204</v>
      </c>
      <c r="C13" s="34"/>
      <c r="D13" s="35" t="s">
        <v>205</v>
      </c>
      <c r="E13" s="36">
        <f>E14+E15+E16</f>
        <v>425600</v>
      </c>
      <c r="F13" s="36">
        <f t="shared" ref="F13:V13" si="8">F14+F15+F16</f>
        <v>310600</v>
      </c>
      <c r="G13" s="36">
        <f t="shared" si="8"/>
        <v>555250</v>
      </c>
      <c r="H13" s="36">
        <f t="shared" si="8"/>
        <v>390600</v>
      </c>
      <c r="I13" s="36">
        <f t="shared" si="8"/>
        <v>325400</v>
      </c>
      <c r="J13" s="36">
        <f t="shared" si="8"/>
        <v>275100</v>
      </c>
      <c r="K13" s="36">
        <f t="shared" si="8"/>
        <v>270250</v>
      </c>
      <c r="L13" s="36">
        <f t="shared" si="8"/>
        <v>167750</v>
      </c>
      <c r="M13" s="36">
        <f t="shared" si="8"/>
        <v>208250</v>
      </c>
      <c r="N13" s="36">
        <f t="shared" si="8"/>
        <v>5810</v>
      </c>
      <c r="O13" s="36">
        <f t="shared" si="8"/>
        <v>0</v>
      </c>
      <c r="P13" s="36">
        <f t="shared" si="8"/>
        <v>0</v>
      </c>
      <c r="Q13" s="36">
        <f t="shared" si="8"/>
        <v>0</v>
      </c>
      <c r="R13" s="36">
        <f t="shared" si="8"/>
        <v>0</v>
      </c>
      <c r="S13" s="36">
        <f t="shared" si="8"/>
        <v>0</v>
      </c>
      <c r="T13" s="37"/>
      <c r="U13" s="37"/>
      <c r="V13" s="36">
        <f t="shared" si="8"/>
        <v>0</v>
      </c>
      <c r="W13" s="36">
        <f t="shared" si="2"/>
        <v>2934610</v>
      </c>
      <c r="X13" s="39"/>
    </row>
    <row r="14" spans="1:24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255360</v>
      </c>
      <c r="F14" s="36">
        <f t="shared" ref="F14:V14" si="9">F16*3</f>
        <v>186360</v>
      </c>
      <c r="G14" s="36">
        <f t="shared" si="9"/>
        <v>333150</v>
      </c>
      <c r="H14" s="36">
        <f t="shared" si="9"/>
        <v>234360</v>
      </c>
      <c r="I14" s="36">
        <f t="shared" si="9"/>
        <v>195240</v>
      </c>
      <c r="J14" s="36">
        <f t="shared" si="9"/>
        <v>165060</v>
      </c>
      <c r="K14" s="36">
        <f t="shared" si="9"/>
        <v>162150</v>
      </c>
      <c r="L14" s="36">
        <f t="shared" si="9"/>
        <v>100650</v>
      </c>
      <c r="M14" s="36">
        <f t="shared" si="9"/>
        <v>124950</v>
      </c>
      <c r="N14" s="36">
        <f t="shared" si="9"/>
        <v>3486</v>
      </c>
      <c r="O14" s="36">
        <f t="shared" si="9"/>
        <v>0</v>
      </c>
      <c r="P14" s="36">
        <f t="shared" si="9"/>
        <v>0</v>
      </c>
      <c r="Q14" s="36">
        <f t="shared" si="9"/>
        <v>0</v>
      </c>
      <c r="R14" s="36">
        <f t="shared" si="9"/>
        <v>0</v>
      </c>
      <c r="S14" s="36">
        <f t="shared" si="9"/>
        <v>0</v>
      </c>
      <c r="T14" s="37"/>
      <c r="U14" s="37"/>
      <c r="V14" s="36">
        <f t="shared" si="9"/>
        <v>0</v>
      </c>
      <c r="W14" s="36">
        <f t="shared" si="2"/>
        <v>1760766</v>
      </c>
      <c r="X14" s="39"/>
    </row>
    <row r="15" spans="1:24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85120</v>
      </c>
      <c r="F15" s="36">
        <f t="shared" ref="F15:V15" si="10">F16</f>
        <v>62120</v>
      </c>
      <c r="G15" s="36">
        <f t="shared" si="10"/>
        <v>111050</v>
      </c>
      <c r="H15" s="36">
        <f t="shared" si="10"/>
        <v>78120</v>
      </c>
      <c r="I15" s="36">
        <f t="shared" si="10"/>
        <v>65080</v>
      </c>
      <c r="J15" s="36">
        <f t="shared" si="10"/>
        <v>55020</v>
      </c>
      <c r="K15" s="36">
        <f t="shared" si="10"/>
        <v>54050</v>
      </c>
      <c r="L15" s="36">
        <f t="shared" si="10"/>
        <v>33550</v>
      </c>
      <c r="M15" s="36">
        <f t="shared" si="10"/>
        <v>41650</v>
      </c>
      <c r="N15" s="36">
        <f t="shared" si="10"/>
        <v>1162</v>
      </c>
      <c r="O15" s="36">
        <f t="shared" si="10"/>
        <v>0</v>
      </c>
      <c r="P15" s="36">
        <f t="shared" si="10"/>
        <v>0</v>
      </c>
      <c r="Q15" s="36">
        <f t="shared" si="10"/>
        <v>0</v>
      </c>
      <c r="R15" s="36">
        <f t="shared" si="10"/>
        <v>0</v>
      </c>
      <c r="S15" s="36">
        <f t="shared" si="10"/>
        <v>0</v>
      </c>
      <c r="T15" s="37"/>
      <c r="U15" s="37"/>
      <c r="V15" s="36">
        <f t="shared" si="10"/>
        <v>0</v>
      </c>
      <c r="W15" s="36">
        <f t="shared" si="2"/>
        <v>586922</v>
      </c>
      <c r="X15" s="39"/>
    </row>
    <row r="16" spans="1:24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85120</v>
      </c>
      <c r="F16" s="37">
        <v>62120</v>
      </c>
      <c r="G16" s="37">
        <v>111050</v>
      </c>
      <c r="H16" s="37">
        <v>78120</v>
      </c>
      <c r="I16" s="37">
        <v>65080</v>
      </c>
      <c r="J16" s="37">
        <v>55020</v>
      </c>
      <c r="K16" s="37">
        <v>54050</v>
      </c>
      <c r="L16" s="37">
        <v>33550</v>
      </c>
      <c r="M16" s="37">
        <v>41650</v>
      </c>
      <c r="N16" s="37">
        <v>1162</v>
      </c>
      <c r="O16" s="37"/>
      <c r="P16" s="37"/>
      <c r="Q16" s="37"/>
      <c r="R16" s="37"/>
      <c r="S16" s="37"/>
      <c r="T16" s="37"/>
      <c r="U16" s="37"/>
      <c r="V16" s="37"/>
      <c r="W16" s="36">
        <f t="shared" si="2"/>
        <v>586922</v>
      </c>
      <c r="X16" s="39"/>
    </row>
    <row r="17" spans="1:24">
      <c r="A17" s="33" t="s">
        <v>213</v>
      </c>
      <c r="B17" s="34" t="s">
        <v>214</v>
      </c>
      <c r="C17" s="34"/>
      <c r="D17" s="35" t="s">
        <v>183</v>
      </c>
      <c r="E17" s="36">
        <f>E18+E19</f>
        <v>13622185</v>
      </c>
      <c r="F17" s="36">
        <f t="shared" ref="F17:V17" si="11">F18+F19</f>
        <v>10256704</v>
      </c>
      <c r="G17" s="36">
        <f t="shared" si="11"/>
        <v>18910798</v>
      </c>
      <c r="H17" s="36">
        <f t="shared" si="11"/>
        <v>13782446</v>
      </c>
      <c r="I17" s="36">
        <f t="shared" si="11"/>
        <v>10416965</v>
      </c>
      <c r="J17" s="36">
        <f t="shared" si="11"/>
        <v>7749040</v>
      </c>
      <c r="K17" s="36">
        <f t="shared" si="11"/>
        <v>7152960</v>
      </c>
      <c r="L17" s="36">
        <f t="shared" si="11"/>
        <v>5960800</v>
      </c>
      <c r="M17" s="36">
        <f t="shared" si="11"/>
        <v>7003940</v>
      </c>
      <c r="N17" s="36">
        <f t="shared" si="11"/>
        <v>147449</v>
      </c>
      <c r="O17" s="36">
        <f t="shared" si="11"/>
        <v>0</v>
      </c>
      <c r="P17" s="36">
        <f t="shared" si="11"/>
        <v>0</v>
      </c>
      <c r="Q17" s="36">
        <f t="shared" si="11"/>
        <v>0</v>
      </c>
      <c r="R17" s="36">
        <f t="shared" si="11"/>
        <v>0</v>
      </c>
      <c r="S17" s="36">
        <f t="shared" si="11"/>
        <v>0</v>
      </c>
      <c r="T17" s="37"/>
      <c r="U17" s="37"/>
      <c r="V17" s="36">
        <f t="shared" si="11"/>
        <v>0</v>
      </c>
      <c r="W17" s="36">
        <f t="shared" si="2"/>
        <v>95003287</v>
      </c>
      <c r="X17" s="39"/>
    </row>
    <row r="18" spans="1:24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v>13414173</v>
      </c>
      <c r="F18" s="43">
        <v>10094832</v>
      </c>
      <c r="G18" s="43">
        <v>18497654</v>
      </c>
      <c r="H18" s="43">
        <v>13427322</v>
      </c>
      <c r="I18" s="43">
        <v>10416965</v>
      </c>
      <c r="J18" s="43">
        <v>7597876</v>
      </c>
      <c r="K18" s="43">
        <v>6977251</v>
      </c>
      <c r="L18" s="43">
        <v>5801368</v>
      </c>
      <c r="M18" s="43">
        <v>6840632</v>
      </c>
      <c r="N18" s="43">
        <v>147449</v>
      </c>
      <c r="O18" s="43"/>
      <c r="P18" s="43"/>
      <c r="Q18" s="43"/>
      <c r="R18" s="43"/>
      <c r="S18" s="43"/>
      <c r="T18" s="43"/>
      <c r="U18" s="43"/>
      <c r="V18" s="43"/>
      <c r="W18" s="36">
        <f t="shared" si="2"/>
        <v>93215522</v>
      </c>
      <c r="X18" s="42"/>
    </row>
    <row r="19" spans="1:24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208012</v>
      </c>
      <c r="F19" s="43">
        <v>161872</v>
      </c>
      <c r="G19" s="43">
        <v>413144</v>
      </c>
      <c r="H19" s="43">
        <v>355124</v>
      </c>
      <c r="I19" s="43"/>
      <c r="J19" s="43">
        <v>151164</v>
      </c>
      <c r="K19" s="43">
        <v>175709</v>
      </c>
      <c r="L19" s="43">
        <v>159432</v>
      </c>
      <c r="M19" s="43">
        <v>163308</v>
      </c>
      <c r="N19" s="43"/>
      <c r="O19" s="43"/>
      <c r="P19" s="43"/>
      <c r="Q19" s="43"/>
      <c r="R19" s="43"/>
      <c r="S19" s="43"/>
      <c r="T19" s="43"/>
      <c r="U19" s="43"/>
      <c r="V19" s="43"/>
      <c r="W19" s="36">
        <f t="shared" si="2"/>
        <v>1787765</v>
      </c>
      <c r="X19" s="42"/>
    </row>
    <row r="20" spans="1:24">
      <c r="A20" s="33" t="s">
        <v>221</v>
      </c>
      <c r="B20" s="34" t="s">
        <v>222</v>
      </c>
      <c r="C20" s="34"/>
      <c r="D20" s="42" t="s">
        <v>183</v>
      </c>
      <c r="E20" s="45">
        <f>E21</f>
        <v>1702400</v>
      </c>
      <c r="F20" s="45">
        <f t="shared" ref="F20:V20" si="12">F21</f>
        <v>1242400</v>
      </c>
      <c r="G20" s="45">
        <f t="shared" si="12"/>
        <v>2221000</v>
      </c>
      <c r="H20" s="45">
        <f t="shared" si="12"/>
        <v>1562400</v>
      </c>
      <c r="I20" s="45">
        <f t="shared" si="12"/>
        <v>1301600</v>
      </c>
      <c r="J20" s="45">
        <f t="shared" si="12"/>
        <v>1100400</v>
      </c>
      <c r="K20" s="45">
        <f t="shared" si="12"/>
        <v>1081000</v>
      </c>
      <c r="L20" s="45">
        <f t="shared" si="12"/>
        <v>671000</v>
      </c>
      <c r="M20" s="45">
        <f t="shared" si="12"/>
        <v>833000</v>
      </c>
      <c r="N20" s="45">
        <f t="shared" si="12"/>
        <v>23240</v>
      </c>
      <c r="O20" s="45">
        <f t="shared" si="12"/>
        <v>0</v>
      </c>
      <c r="P20" s="45">
        <f t="shared" si="12"/>
        <v>0</v>
      </c>
      <c r="Q20" s="45">
        <f t="shared" si="12"/>
        <v>0</v>
      </c>
      <c r="R20" s="45">
        <f t="shared" si="12"/>
        <v>0</v>
      </c>
      <c r="S20" s="45">
        <f t="shared" si="12"/>
        <v>0</v>
      </c>
      <c r="T20" s="43"/>
      <c r="U20" s="43"/>
      <c r="V20" s="45">
        <f t="shared" si="12"/>
        <v>0</v>
      </c>
      <c r="W20" s="36">
        <f t="shared" si="2"/>
        <v>11738440</v>
      </c>
      <c r="X20" s="42"/>
    </row>
    <row r="21" spans="1:24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1702400</v>
      </c>
      <c r="F21" s="45">
        <f t="shared" ref="F21:V21" si="13">F16*20</f>
        <v>1242400</v>
      </c>
      <c r="G21" s="45">
        <f t="shared" si="13"/>
        <v>2221000</v>
      </c>
      <c r="H21" s="45">
        <f t="shared" si="13"/>
        <v>1562400</v>
      </c>
      <c r="I21" s="45">
        <f t="shared" si="13"/>
        <v>1301600</v>
      </c>
      <c r="J21" s="45">
        <f t="shared" si="13"/>
        <v>1100400</v>
      </c>
      <c r="K21" s="45">
        <f t="shared" si="13"/>
        <v>1081000</v>
      </c>
      <c r="L21" s="45">
        <f t="shared" si="13"/>
        <v>671000</v>
      </c>
      <c r="M21" s="45">
        <f t="shared" si="13"/>
        <v>833000</v>
      </c>
      <c r="N21" s="45">
        <f t="shared" si="13"/>
        <v>23240</v>
      </c>
      <c r="O21" s="45">
        <f t="shared" si="13"/>
        <v>0</v>
      </c>
      <c r="P21" s="45">
        <f t="shared" si="13"/>
        <v>0</v>
      </c>
      <c r="Q21" s="45">
        <f t="shared" si="13"/>
        <v>0</v>
      </c>
      <c r="R21" s="45">
        <f t="shared" si="13"/>
        <v>0</v>
      </c>
      <c r="S21" s="45">
        <f t="shared" si="13"/>
        <v>0</v>
      </c>
      <c r="T21" s="43"/>
      <c r="U21" s="43"/>
      <c r="V21" s="45">
        <f t="shared" si="13"/>
        <v>0</v>
      </c>
      <c r="W21" s="36">
        <f t="shared" si="2"/>
        <v>11738440</v>
      </c>
      <c r="X21" s="42"/>
    </row>
    <row r="22" spans="1:24">
      <c r="A22" s="33" t="s">
        <v>226</v>
      </c>
      <c r="B22" s="34" t="s">
        <v>227</v>
      </c>
      <c r="C22" s="34"/>
      <c r="D22" s="42" t="s">
        <v>208</v>
      </c>
      <c r="E22" s="45">
        <f>E23+E24</f>
        <v>680960</v>
      </c>
      <c r="F22" s="45">
        <f t="shared" ref="F22:V22" si="14">F23+F24</f>
        <v>496960</v>
      </c>
      <c r="G22" s="45">
        <f t="shared" si="14"/>
        <v>888400</v>
      </c>
      <c r="H22" s="45">
        <f t="shared" si="14"/>
        <v>624960</v>
      </c>
      <c r="I22" s="45">
        <f t="shared" si="14"/>
        <v>520640</v>
      </c>
      <c r="J22" s="45">
        <f t="shared" si="14"/>
        <v>440160</v>
      </c>
      <c r="K22" s="45">
        <f t="shared" si="14"/>
        <v>432400</v>
      </c>
      <c r="L22" s="45">
        <f t="shared" si="14"/>
        <v>268400</v>
      </c>
      <c r="M22" s="45">
        <f t="shared" si="14"/>
        <v>333200</v>
      </c>
      <c r="N22" s="45">
        <f t="shared" si="14"/>
        <v>9296</v>
      </c>
      <c r="O22" s="45">
        <f t="shared" si="14"/>
        <v>0</v>
      </c>
      <c r="P22" s="45">
        <f t="shared" si="14"/>
        <v>0</v>
      </c>
      <c r="Q22" s="45">
        <f t="shared" si="14"/>
        <v>0</v>
      </c>
      <c r="R22" s="45">
        <f t="shared" si="14"/>
        <v>0</v>
      </c>
      <c r="S22" s="45">
        <f t="shared" si="14"/>
        <v>0</v>
      </c>
      <c r="T22" s="43"/>
      <c r="U22" s="43"/>
      <c r="V22" s="45">
        <f t="shared" si="14"/>
        <v>0</v>
      </c>
      <c r="W22" s="36">
        <f t="shared" si="2"/>
        <v>4695376</v>
      </c>
      <c r="X22" s="42"/>
    </row>
    <row r="23" spans="1:24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340480</v>
      </c>
      <c r="F23" s="45">
        <f t="shared" ref="F23:V23" si="15">F16*4</f>
        <v>248480</v>
      </c>
      <c r="G23" s="45">
        <f t="shared" si="15"/>
        <v>444200</v>
      </c>
      <c r="H23" s="45">
        <f t="shared" si="15"/>
        <v>312480</v>
      </c>
      <c r="I23" s="45">
        <f t="shared" si="15"/>
        <v>260320</v>
      </c>
      <c r="J23" s="45">
        <f t="shared" si="15"/>
        <v>220080</v>
      </c>
      <c r="K23" s="45">
        <f t="shared" si="15"/>
        <v>216200</v>
      </c>
      <c r="L23" s="45">
        <f t="shared" si="15"/>
        <v>134200</v>
      </c>
      <c r="M23" s="45">
        <f t="shared" si="15"/>
        <v>166600</v>
      </c>
      <c r="N23" s="45">
        <f t="shared" si="15"/>
        <v>4648</v>
      </c>
      <c r="O23" s="45">
        <f t="shared" si="15"/>
        <v>0</v>
      </c>
      <c r="P23" s="45">
        <f t="shared" si="15"/>
        <v>0</v>
      </c>
      <c r="Q23" s="45">
        <f t="shared" si="15"/>
        <v>0</v>
      </c>
      <c r="R23" s="45">
        <f t="shared" si="15"/>
        <v>0</v>
      </c>
      <c r="S23" s="45">
        <f t="shared" si="15"/>
        <v>0</v>
      </c>
      <c r="T23" s="43"/>
      <c r="U23" s="43"/>
      <c r="V23" s="45">
        <f t="shared" si="15"/>
        <v>0</v>
      </c>
      <c r="W23" s="36">
        <f t="shared" si="2"/>
        <v>2347688</v>
      </c>
      <c r="X23" s="42"/>
    </row>
    <row r="24" spans="1:24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340480</v>
      </c>
      <c r="F24" s="45">
        <f t="shared" ref="F24:V24" si="16">F16*4</f>
        <v>248480</v>
      </c>
      <c r="G24" s="45">
        <f t="shared" si="16"/>
        <v>444200</v>
      </c>
      <c r="H24" s="45">
        <f t="shared" si="16"/>
        <v>312480</v>
      </c>
      <c r="I24" s="45">
        <f t="shared" si="16"/>
        <v>260320</v>
      </c>
      <c r="J24" s="45">
        <f t="shared" si="16"/>
        <v>220080</v>
      </c>
      <c r="K24" s="45">
        <f t="shared" si="16"/>
        <v>216200</v>
      </c>
      <c r="L24" s="45">
        <f t="shared" si="16"/>
        <v>134200</v>
      </c>
      <c r="M24" s="45">
        <f t="shared" si="16"/>
        <v>166600</v>
      </c>
      <c r="N24" s="45">
        <f t="shared" si="16"/>
        <v>4648</v>
      </c>
      <c r="O24" s="45">
        <f t="shared" si="16"/>
        <v>0</v>
      </c>
      <c r="P24" s="45">
        <f t="shared" si="16"/>
        <v>0</v>
      </c>
      <c r="Q24" s="45">
        <f t="shared" si="16"/>
        <v>0</v>
      </c>
      <c r="R24" s="45">
        <f t="shared" si="16"/>
        <v>0</v>
      </c>
      <c r="S24" s="45">
        <f t="shared" si="16"/>
        <v>0</v>
      </c>
      <c r="T24" s="43"/>
      <c r="U24" s="43"/>
      <c r="V24" s="45">
        <f t="shared" si="16"/>
        <v>0</v>
      </c>
      <c r="W24" s="36">
        <f t="shared" si="2"/>
        <v>2347688</v>
      </c>
      <c r="X24" s="42"/>
    </row>
    <row r="25" spans="1:24">
      <c r="A25" s="33" t="s">
        <v>233</v>
      </c>
      <c r="B25" s="34" t="s">
        <v>234</v>
      </c>
      <c r="C25" s="34"/>
      <c r="D25" s="35" t="s">
        <v>183</v>
      </c>
      <c r="E25" s="36">
        <f>E26</f>
        <v>2723840</v>
      </c>
      <c r="F25" s="36">
        <f t="shared" ref="F25:V25" si="17">F26</f>
        <v>1987840</v>
      </c>
      <c r="G25" s="36">
        <f t="shared" si="17"/>
        <v>3553600</v>
      </c>
      <c r="H25" s="36">
        <f t="shared" si="17"/>
        <v>2499840</v>
      </c>
      <c r="I25" s="36">
        <f t="shared" si="17"/>
        <v>2082560</v>
      </c>
      <c r="J25" s="36">
        <f t="shared" si="17"/>
        <v>1760640</v>
      </c>
      <c r="K25" s="36">
        <f t="shared" si="17"/>
        <v>1729600</v>
      </c>
      <c r="L25" s="36">
        <f t="shared" si="17"/>
        <v>1073600</v>
      </c>
      <c r="M25" s="36">
        <f t="shared" si="17"/>
        <v>1332800</v>
      </c>
      <c r="N25" s="36">
        <f t="shared" si="17"/>
        <v>37184</v>
      </c>
      <c r="O25" s="36">
        <f t="shared" si="17"/>
        <v>0</v>
      </c>
      <c r="P25" s="36">
        <f t="shared" si="17"/>
        <v>0</v>
      </c>
      <c r="Q25" s="36">
        <f t="shared" si="17"/>
        <v>0</v>
      </c>
      <c r="R25" s="36">
        <f t="shared" si="17"/>
        <v>0</v>
      </c>
      <c r="S25" s="36">
        <f t="shared" si="17"/>
        <v>0</v>
      </c>
      <c r="T25" s="37"/>
      <c r="U25" s="37"/>
      <c r="V25" s="36">
        <f t="shared" si="17"/>
        <v>0</v>
      </c>
      <c r="W25" s="36">
        <f t="shared" si="2"/>
        <v>18781504</v>
      </c>
      <c r="X25" s="39"/>
    </row>
    <row r="26" spans="1:24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2723840</v>
      </c>
      <c r="F26" s="36">
        <f t="shared" ref="F26:V26" si="18">F16*32</f>
        <v>1987840</v>
      </c>
      <c r="G26" s="36">
        <f t="shared" si="18"/>
        <v>3553600</v>
      </c>
      <c r="H26" s="36">
        <f t="shared" si="18"/>
        <v>2499840</v>
      </c>
      <c r="I26" s="36">
        <f t="shared" si="18"/>
        <v>2082560</v>
      </c>
      <c r="J26" s="36">
        <f t="shared" si="18"/>
        <v>1760640</v>
      </c>
      <c r="K26" s="36">
        <f t="shared" si="18"/>
        <v>1729600</v>
      </c>
      <c r="L26" s="36">
        <f t="shared" si="18"/>
        <v>1073600</v>
      </c>
      <c r="M26" s="36">
        <f t="shared" si="18"/>
        <v>1332800</v>
      </c>
      <c r="N26" s="36">
        <f t="shared" si="18"/>
        <v>37184</v>
      </c>
      <c r="O26" s="36">
        <f t="shared" si="18"/>
        <v>0</v>
      </c>
      <c r="P26" s="36">
        <f t="shared" si="18"/>
        <v>0</v>
      </c>
      <c r="Q26" s="36">
        <f t="shared" si="18"/>
        <v>0</v>
      </c>
      <c r="R26" s="36">
        <f t="shared" si="18"/>
        <v>0</v>
      </c>
      <c r="S26" s="36">
        <f t="shared" si="18"/>
        <v>0</v>
      </c>
      <c r="T26" s="37"/>
      <c r="U26" s="37"/>
      <c r="V26" s="36">
        <f t="shared" si="18"/>
        <v>0</v>
      </c>
      <c r="W26" s="36">
        <f t="shared" si="2"/>
        <v>18781504</v>
      </c>
      <c r="X26" s="39"/>
    </row>
    <row r="27" spans="1:24">
      <c r="A27" s="33" t="s">
        <v>238</v>
      </c>
      <c r="B27" s="34" t="s">
        <v>239</v>
      </c>
      <c r="C27" s="34"/>
      <c r="D27" s="35" t="s">
        <v>183</v>
      </c>
      <c r="E27" s="36">
        <f>E28</f>
        <v>1361920</v>
      </c>
      <c r="F27" s="36">
        <f t="shared" ref="F27:V27" si="19">F28</f>
        <v>993920</v>
      </c>
      <c r="G27" s="36">
        <f t="shared" si="19"/>
        <v>1776800</v>
      </c>
      <c r="H27" s="36">
        <f t="shared" si="19"/>
        <v>1249920</v>
      </c>
      <c r="I27" s="36">
        <f t="shared" si="19"/>
        <v>1041280</v>
      </c>
      <c r="J27" s="36">
        <f t="shared" si="19"/>
        <v>880320</v>
      </c>
      <c r="K27" s="36">
        <f t="shared" si="19"/>
        <v>864800</v>
      </c>
      <c r="L27" s="36">
        <f t="shared" si="19"/>
        <v>536800</v>
      </c>
      <c r="M27" s="36">
        <f t="shared" si="19"/>
        <v>666400</v>
      </c>
      <c r="N27" s="36">
        <f t="shared" si="19"/>
        <v>18592</v>
      </c>
      <c r="O27" s="36">
        <f t="shared" si="19"/>
        <v>0</v>
      </c>
      <c r="P27" s="36">
        <f t="shared" si="19"/>
        <v>0</v>
      </c>
      <c r="Q27" s="36">
        <f t="shared" si="19"/>
        <v>0</v>
      </c>
      <c r="R27" s="36">
        <f t="shared" si="19"/>
        <v>0</v>
      </c>
      <c r="S27" s="36">
        <f t="shared" si="19"/>
        <v>0</v>
      </c>
      <c r="T27" s="37"/>
      <c r="U27" s="37"/>
      <c r="V27" s="36">
        <f t="shared" si="19"/>
        <v>0</v>
      </c>
      <c r="W27" s="36">
        <f t="shared" si="2"/>
        <v>9390752</v>
      </c>
      <c r="X27" s="39"/>
    </row>
    <row r="28" spans="1:24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1361920</v>
      </c>
      <c r="F28" s="36">
        <f t="shared" ref="F28:V28" si="20">F16*16</f>
        <v>993920</v>
      </c>
      <c r="G28" s="36">
        <f t="shared" si="20"/>
        <v>1776800</v>
      </c>
      <c r="H28" s="36">
        <f t="shared" si="20"/>
        <v>1249920</v>
      </c>
      <c r="I28" s="36">
        <f t="shared" si="20"/>
        <v>1041280</v>
      </c>
      <c r="J28" s="36">
        <f t="shared" si="20"/>
        <v>880320</v>
      </c>
      <c r="K28" s="36">
        <f t="shared" si="20"/>
        <v>864800</v>
      </c>
      <c r="L28" s="36">
        <f t="shared" si="20"/>
        <v>536800</v>
      </c>
      <c r="M28" s="36">
        <f t="shared" si="20"/>
        <v>666400</v>
      </c>
      <c r="N28" s="36">
        <f t="shared" si="20"/>
        <v>18592</v>
      </c>
      <c r="O28" s="36">
        <f t="shared" si="20"/>
        <v>0</v>
      </c>
      <c r="P28" s="36">
        <f t="shared" si="20"/>
        <v>0</v>
      </c>
      <c r="Q28" s="36">
        <f t="shared" si="20"/>
        <v>0</v>
      </c>
      <c r="R28" s="36">
        <f t="shared" si="20"/>
        <v>0</v>
      </c>
      <c r="S28" s="36">
        <f t="shared" si="20"/>
        <v>0</v>
      </c>
      <c r="T28" s="37"/>
      <c r="U28" s="37"/>
      <c r="V28" s="36">
        <f t="shared" si="20"/>
        <v>0</v>
      </c>
      <c r="W28" s="36">
        <f t="shared" si="2"/>
        <v>9390752</v>
      </c>
      <c r="X28" s="39"/>
    </row>
    <row r="29" spans="1:24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816000</v>
      </c>
      <c r="F29" s="36">
        <f t="shared" ref="F29:V29" si="21">9600*F96</f>
        <v>614400</v>
      </c>
      <c r="G29" s="36">
        <f t="shared" si="21"/>
        <v>1132800</v>
      </c>
      <c r="H29" s="36">
        <f t="shared" si="21"/>
        <v>825600</v>
      </c>
      <c r="I29" s="36">
        <f t="shared" si="21"/>
        <v>624000</v>
      </c>
      <c r="J29" s="36">
        <f t="shared" si="21"/>
        <v>499200</v>
      </c>
      <c r="K29" s="36">
        <f t="shared" si="21"/>
        <v>460800</v>
      </c>
      <c r="L29" s="36">
        <f t="shared" si="21"/>
        <v>384000</v>
      </c>
      <c r="M29" s="36">
        <f t="shared" si="21"/>
        <v>451200</v>
      </c>
      <c r="N29" s="36">
        <f t="shared" si="21"/>
        <v>9600</v>
      </c>
      <c r="O29" s="36">
        <f t="shared" si="21"/>
        <v>0</v>
      </c>
      <c r="P29" s="36">
        <f t="shared" si="21"/>
        <v>0</v>
      </c>
      <c r="Q29" s="36">
        <f t="shared" si="21"/>
        <v>0</v>
      </c>
      <c r="R29" s="36">
        <f t="shared" si="21"/>
        <v>0</v>
      </c>
      <c r="S29" s="36">
        <f t="shared" si="21"/>
        <v>0</v>
      </c>
      <c r="T29" s="37"/>
      <c r="U29" s="37"/>
      <c r="V29" s="36">
        <f t="shared" si="21"/>
        <v>0</v>
      </c>
      <c r="W29" s="36">
        <f t="shared" si="2"/>
        <v>5817600</v>
      </c>
      <c r="X29" s="39"/>
    </row>
    <row r="30" spans="1:24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1191680</v>
      </c>
      <c r="F30" s="45">
        <f t="shared" ref="F30:V30" si="22">F16*14</f>
        <v>869680</v>
      </c>
      <c r="G30" s="45">
        <f t="shared" si="22"/>
        <v>1554700</v>
      </c>
      <c r="H30" s="45">
        <f t="shared" si="22"/>
        <v>1093680</v>
      </c>
      <c r="I30" s="45">
        <f t="shared" si="22"/>
        <v>911120</v>
      </c>
      <c r="J30" s="45">
        <f t="shared" si="22"/>
        <v>770280</v>
      </c>
      <c r="K30" s="45">
        <f t="shared" si="22"/>
        <v>756700</v>
      </c>
      <c r="L30" s="45">
        <f t="shared" si="22"/>
        <v>469700</v>
      </c>
      <c r="M30" s="45">
        <f t="shared" si="22"/>
        <v>583100</v>
      </c>
      <c r="N30" s="45">
        <f t="shared" si="22"/>
        <v>16268</v>
      </c>
      <c r="O30" s="45">
        <f t="shared" si="22"/>
        <v>0</v>
      </c>
      <c r="P30" s="45">
        <f t="shared" si="22"/>
        <v>0</v>
      </c>
      <c r="Q30" s="45">
        <f t="shared" si="22"/>
        <v>0</v>
      </c>
      <c r="R30" s="45">
        <f t="shared" si="22"/>
        <v>0</v>
      </c>
      <c r="S30" s="45">
        <f t="shared" si="22"/>
        <v>0</v>
      </c>
      <c r="T30" s="43"/>
      <c r="U30" s="43"/>
      <c r="V30" s="45">
        <f t="shared" si="22"/>
        <v>0</v>
      </c>
      <c r="W30" s="36">
        <f t="shared" si="2"/>
        <v>8216908</v>
      </c>
      <c r="X30" s="42"/>
    </row>
    <row r="31" spans="1:24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11070</v>
      </c>
      <c r="F31" s="36">
        <f t="shared" ref="F31:V31" si="23">F32+F40+F42+F45+F47</f>
        <v>9960</v>
      </c>
      <c r="G31" s="36">
        <f t="shared" si="23"/>
        <v>15200</v>
      </c>
      <c r="H31" s="36">
        <f t="shared" si="23"/>
        <v>9360</v>
      </c>
      <c r="I31" s="36">
        <f t="shared" si="23"/>
        <v>8640</v>
      </c>
      <c r="J31" s="36">
        <f t="shared" si="23"/>
        <v>3700</v>
      </c>
      <c r="K31" s="36">
        <f t="shared" si="23"/>
        <v>4010</v>
      </c>
      <c r="L31" s="36">
        <f t="shared" si="23"/>
        <v>5400</v>
      </c>
      <c r="M31" s="36">
        <f t="shared" si="23"/>
        <v>6720</v>
      </c>
      <c r="N31" s="36">
        <f t="shared" si="23"/>
        <v>960</v>
      </c>
      <c r="O31" s="36">
        <f t="shared" si="23"/>
        <v>0</v>
      </c>
      <c r="P31" s="36">
        <f t="shared" si="23"/>
        <v>0</v>
      </c>
      <c r="Q31" s="36">
        <f t="shared" si="23"/>
        <v>0</v>
      </c>
      <c r="R31" s="36">
        <f t="shared" si="23"/>
        <v>0</v>
      </c>
      <c r="S31" s="36">
        <f t="shared" si="23"/>
        <v>0</v>
      </c>
      <c r="T31" s="37"/>
      <c r="U31" s="37"/>
      <c r="V31" s="36">
        <f t="shared" si="23"/>
        <v>0</v>
      </c>
      <c r="W31" s="36">
        <f t="shared" si="2"/>
        <v>75020</v>
      </c>
      <c r="X31" s="39"/>
    </row>
    <row r="32" spans="1:24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  <c r="X32" s="39"/>
    </row>
    <row r="33" spans="1:24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  <c r="X33" s="42"/>
    </row>
    <row r="34" spans="1:24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  <c r="X34" s="42"/>
    </row>
    <row r="35" spans="1:24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  <c r="X35" s="42"/>
    </row>
    <row r="36" spans="1:24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  <c r="X36" s="42"/>
    </row>
    <row r="37" spans="1:24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  <c r="X37" s="42"/>
    </row>
    <row r="38" spans="1:24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  <c r="X38" s="42"/>
    </row>
    <row r="39" spans="1:24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  <c r="X39" s="42"/>
    </row>
    <row r="40" spans="1:24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  <c r="X40" s="39"/>
    </row>
    <row r="41" spans="1:24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  <c r="X41" s="39"/>
    </row>
    <row r="42" spans="1:24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  <c r="X42" s="39"/>
    </row>
    <row r="43" spans="1:24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  <c r="X43" s="39"/>
    </row>
    <row r="44" spans="1:24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  <c r="X44" s="39"/>
    </row>
    <row r="45" spans="1:24">
      <c r="A45" s="33" t="s">
        <v>280</v>
      </c>
      <c r="B45" s="34" t="s">
        <v>281</v>
      </c>
      <c r="C45" s="34"/>
      <c r="D45" s="35" t="s">
        <v>183</v>
      </c>
      <c r="E45" s="36">
        <f>E46</f>
        <v>6120</v>
      </c>
      <c r="F45" s="36">
        <f t="shared" ref="F45:V45" si="27">F46</f>
        <v>5760</v>
      </c>
      <c r="G45" s="36">
        <f t="shared" si="27"/>
        <v>7200</v>
      </c>
      <c r="H45" s="36">
        <f t="shared" si="27"/>
        <v>5760</v>
      </c>
      <c r="I45" s="36">
        <f t="shared" si="27"/>
        <v>5040</v>
      </c>
      <c r="J45" s="36">
        <f t="shared" si="27"/>
        <v>1200</v>
      </c>
      <c r="K45" s="36">
        <f t="shared" si="27"/>
        <v>2010</v>
      </c>
      <c r="L45" s="36">
        <f t="shared" si="27"/>
        <v>3600</v>
      </c>
      <c r="M45" s="36">
        <f t="shared" si="27"/>
        <v>4320</v>
      </c>
      <c r="N45" s="36">
        <f t="shared" si="27"/>
        <v>360</v>
      </c>
      <c r="O45" s="36">
        <f t="shared" si="27"/>
        <v>0</v>
      </c>
      <c r="P45" s="36">
        <f t="shared" si="27"/>
        <v>0</v>
      </c>
      <c r="Q45" s="36">
        <f t="shared" si="27"/>
        <v>0</v>
      </c>
      <c r="R45" s="36">
        <f t="shared" si="27"/>
        <v>0</v>
      </c>
      <c r="S45" s="36">
        <f t="shared" si="27"/>
        <v>0</v>
      </c>
      <c r="T45" s="37"/>
      <c r="U45" s="37"/>
      <c r="V45" s="36">
        <f t="shared" si="27"/>
        <v>0</v>
      </c>
      <c r="W45" s="36">
        <f t="shared" si="2"/>
        <v>41370</v>
      </c>
      <c r="X45" s="39"/>
    </row>
    <row r="46" spans="1:24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6120</v>
      </c>
      <c r="F46" s="37">
        <v>5760</v>
      </c>
      <c r="G46" s="37">
        <v>7200</v>
      </c>
      <c r="H46" s="37">
        <v>5760</v>
      </c>
      <c r="I46" s="37">
        <v>5040</v>
      </c>
      <c r="J46" s="37">
        <v>1200</v>
      </c>
      <c r="K46" s="37">
        <v>2010</v>
      </c>
      <c r="L46" s="37">
        <v>3600</v>
      </c>
      <c r="M46" s="37">
        <v>4320</v>
      </c>
      <c r="N46" s="37">
        <v>360</v>
      </c>
      <c r="O46" s="37"/>
      <c r="P46" s="37"/>
      <c r="Q46" s="37"/>
      <c r="R46" s="37"/>
      <c r="S46" s="37"/>
      <c r="T46" s="37"/>
      <c r="U46" s="37"/>
      <c r="V46" s="37"/>
      <c r="W46" s="36">
        <f t="shared" si="2"/>
        <v>41370</v>
      </c>
      <c r="X46" s="39"/>
    </row>
    <row r="47" spans="1:24">
      <c r="A47" s="33" t="s">
        <v>284</v>
      </c>
      <c r="B47" s="34" t="s">
        <v>285</v>
      </c>
      <c r="C47" s="34"/>
      <c r="D47" s="35" t="s">
        <v>183</v>
      </c>
      <c r="E47" s="36">
        <f>SUM(E48:E51)</f>
        <v>4950</v>
      </c>
      <c r="F47" s="36">
        <f t="shared" ref="F47:V47" si="28">SUM(F48:F51)</f>
        <v>4200</v>
      </c>
      <c r="G47" s="36">
        <f t="shared" si="28"/>
        <v>8000</v>
      </c>
      <c r="H47" s="36">
        <f t="shared" si="28"/>
        <v>3600</v>
      </c>
      <c r="I47" s="36">
        <f t="shared" si="28"/>
        <v>3600</v>
      </c>
      <c r="J47" s="36">
        <f t="shared" si="28"/>
        <v>2500</v>
      </c>
      <c r="K47" s="36">
        <f t="shared" si="28"/>
        <v>2000</v>
      </c>
      <c r="L47" s="36">
        <f t="shared" si="28"/>
        <v>1800</v>
      </c>
      <c r="M47" s="36">
        <f t="shared" si="28"/>
        <v>2400</v>
      </c>
      <c r="N47" s="36">
        <f t="shared" si="28"/>
        <v>600</v>
      </c>
      <c r="O47" s="36">
        <f t="shared" si="28"/>
        <v>0</v>
      </c>
      <c r="P47" s="36">
        <f t="shared" si="28"/>
        <v>0</v>
      </c>
      <c r="Q47" s="36">
        <f t="shared" si="28"/>
        <v>0</v>
      </c>
      <c r="R47" s="36">
        <f t="shared" si="28"/>
        <v>0</v>
      </c>
      <c r="S47" s="36">
        <f t="shared" si="28"/>
        <v>0</v>
      </c>
      <c r="T47" s="37"/>
      <c r="U47" s="37"/>
      <c r="V47" s="36">
        <f t="shared" si="28"/>
        <v>0</v>
      </c>
      <c r="W47" s="36">
        <f t="shared" si="2"/>
        <v>33650</v>
      </c>
      <c r="X47" s="39"/>
    </row>
    <row r="48" spans="1:24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4950</v>
      </c>
      <c r="F48" s="37">
        <v>4200</v>
      </c>
      <c r="G48" s="37">
        <v>8000</v>
      </c>
      <c r="H48" s="37">
        <v>3600</v>
      </c>
      <c r="I48" s="37">
        <v>3600</v>
      </c>
      <c r="J48" s="37">
        <v>2500</v>
      </c>
      <c r="K48" s="37">
        <v>2000</v>
      </c>
      <c r="L48" s="37">
        <v>1800</v>
      </c>
      <c r="M48" s="37">
        <v>2400</v>
      </c>
      <c r="N48" s="37">
        <v>600</v>
      </c>
      <c r="O48" s="37"/>
      <c r="P48" s="37"/>
      <c r="Q48" s="37"/>
      <c r="R48" s="37"/>
      <c r="S48" s="37"/>
      <c r="T48" s="37"/>
      <c r="U48" s="37"/>
      <c r="V48" s="37"/>
      <c r="W48" s="36">
        <f t="shared" si="2"/>
        <v>33650</v>
      </c>
      <c r="X48" s="39"/>
    </row>
    <row r="49" spans="1:24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  <c r="X49" s="39"/>
    </row>
    <row r="50" spans="1:24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  <c r="X50" s="39"/>
    </row>
    <row r="51" spans="1:24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0</v>
      </c>
      <c r="X51" s="42"/>
    </row>
    <row r="52" spans="1:24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3096979</v>
      </c>
      <c r="F52" s="36">
        <f t="shared" ref="F52:V52" si="29">F53+F71+F73+F75+F77+F79+F81+F83+F85+F93</f>
        <v>2673120</v>
      </c>
      <c r="G52" s="36">
        <f t="shared" si="29"/>
        <v>5460484.4000000004</v>
      </c>
      <c r="H52" s="36">
        <f t="shared" si="29"/>
        <v>4528922.4000000004</v>
      </c>
      <c r="I52" s="36">
        <f t="shared" si="29"/>
        <v>3477234.15</v>
      </c>
      <c r="J52" s="36">
        <f t="shared" si="29"/>
        <v>2476904.75</v>
      </c>
      <c r="K52" s="36">
        <f t="shared" si="29"/>
        <v>2137268.75</v>
      </c>
      <c r="L52" s="36">
        <f t="shared" si="29"/>
        <v>1662680.7</v>
      </c>
      <c r="M52" s="36">
        <f t="shared" si="29"/>
        <v>1834386.25</v>
      </c>
      <c r="N52" s="36">
        <f t="shared" si="29"/>
        <v>140213</v>
      </c>
      <c r="O52" s="36">
        <f t="shared" si="29"/>
        <v>0</v>
      </c>
      <c r="P52" s="36">
        <f t="shared" si="29"/>
        <v>0</v>
      </c>
      <c r="Q52" s="36">
        <f t="shared" si="29"/>
        <v>0</v>
      </c>
      <c r="R52" s="36">
        <f t="shared" si="29"/>
        <v>0</v>
      </c>
      <c r="S52" s="36">
        <f t="shared" si="29"/>
        <v>0</v>
      </c>
      <c r="T52" s="37"/>
      <c r="U52" s="37"/>
      <c r="V52" s="36">
        <f t="shared" si="29"/>
        <v>0</v>
      </c>
      <c r="W52" s="36">
        <f t="shared" si="2"/>
        <v>27488193.399999999</v>
      </c>
      <c r="X52" s="39"/>
    </row>
    <row r="53" spans="1:24">
      <c r="A53" s="33" t="s">
        <v>299</v>
      </c>
      <c r="B53" s="34" t="s">
        <v>300</v>
      </c>
      <c r="C53" s="34"/>
      <c r="D53" s="35" t="s">
        <v>301</v>
      </c>
      <c r="E53" s="36">
        <f>SUM(E54:E70)</f>
        <v>1808350</v>
      </c>
      <c r="F53" s="36">
        <f t="shared" ref="F53:V53" si="30">SUM(F54:F70)</f>
        <v>1698000</v>
      </c>
      <c r="G53" s="36">
        <f t="shared" si="30"/>
        <v>3954180</v>
      </c>
      <c r="H53" s="36">
        <f t="shared" si="30"/>
        <v>2959820</v>
      </c>
      <c r="I53" s="36">
        <f t="shared" si="30"/>
        <v>2520530</v>
      </c>
      <c r="J53" s="36">
        <f t="shared" si="30"/>
        <v>1662500</v>
      </c>
      <c r="K53" s="36">
        <f t="shared" si="30"/>
        <v>1532960</v>
      </c>
      <c r="L53" s="36">
        <f t="shared" si="30"/>
        <v>1212960</v>
      </c>
      <c r="M53" s="36">
        <f t="shared" si="30"/>
        <v>1260840</v>
      </c>
      <c r="N53" s="36">
        <f t="shared" si="30"/>
        <v>32000</v>
      </c>
      <c r="O53" s="36">
        <f t="shared" si="30"/>
        <v>0</v>
      </c>
      <c r="P53" s="36">
        <f t="shared" si="30"/>
        <v>0</v>
      </c>
      <c r="Q53" s="36">
        <f t="shared" si="30"/>
        <v>0</v>
      </c>
      <c r="R53" s="36">
        <f t="shared" si="30"/>
        <v>0</v>
      </c>
      <c r="S53" s="36">
        <f t="shared" si="30"/>
        <v>0</v>
      </c>
      <c r="T53" s="37"/>
      <c r="U53" s="37"/>
      <c r="V53" s="36">
        <f t="shared" si="30"/>
        <v>0</v>
      </c>
      <c r="W53" s="36">
        <f t="shared" si="2"/>
        <v>18642140</v>
      </c>
      <c r="X53" s="39"/>
    </row>
    <row r="54" spans="1:24">
      <c r="A54" s="33" t="s">
        <v>302</v>
      </c>
      <c r="B54" s="34" t="s">
        <v>303</v>
      </c>
      <c r="C54" s="34" t="s">
        <v>189</v>
      </c>
      <c r="D54" s="47"/>
      <c r="E54" s="37">
        <f>289197+10735.5</f>
        <v>299932.5</v>
      </c>
      <c r="F54" s="37">
        <v>378355</v>
      </c>
      <c r="G54" s="37">
        <f>855834+32092</f>
        <v>887926</v>
      </c>
      <c r="H54" s="37">
        <f>599512+11210</f>
        <v>610722</v>
      </c>
      <c r="I54" s="37">
        <v>512539</v>
      </c>
      <c r="J54" s="37">
        <v>389902</v>
      </c>
      <c r="K54" s="37">
        <v>305712</v>
      </c>
      <c r="L54" s="37">
        <v>283504</v>
      </c>
      <c r="M54" s="37">
        <v>312628</v>
      </c>
      <c r="N54" s="37">
        <v>12180</v>
      </c>
      <c r="O54" s="37"/>
      <c r="P54" s="37"/>
      <c r="Q54" s="37"/>
      <c r="R54" s="37"/>
      <c r="S54" s="37"/>
      <c r="T54" s="37"/>
      <c r="U54" s="37"/>
      <c r="V54" s="37"/>
      <c r="W54" s="36">
        <f t="shared" si="2"/>
        <v>3993400.5</v>
      </c>
      <c r="X54" s="39"/>
    </row>
    <row r="55" spans="1:24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/>
      <c r="H55" s="37">
        <v>0</v>
      </c>
      <c r="I55" s="37">
        <v>0</v>
      </c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  <c r="X55" s="39"/>
    </row>
    <row r="56" spans="1:24">
      <c r="A56" s="33" t="s">
        <v>306</v>
      </c>
      <c r="B56" s="34" t="s">
        <v>307</v>
      </c>
      <c r="C56" s="34" t="s">
        <v>189</v>
      </c>
      <c r="D56" s="47"/>
      <c r="E56" s="37"/>
      <c r="F56" s="37"/>
      <c r="G56" s="37"/>
      <c r="H56" s="37">
        <v>0</v>
      </c>
      <c r="I56" s="37">
        <v>0</v>
      </c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  <c r="X56" s="39"/>
    </row>
    <row r="57" spans="1:24">
      <c r="A57" s="33" t="s">
        <v>308</v>
      </c>
      <c r="B57" s="34" t="s">
        <v>309</v>
      </c>
      <c r="C57" s="34" t="s">
        <v>189</v>
      </c>
      <c r="D57" s="47"/>
      <c r="E57" s="37">
        <v>30000</v>
      </c>
      <c r="F57" s="37">
        <v>75000</v>
      </c>
      <c r="G57" s="37">
        <v>167000</v>
      </c>
      <c r="H57" s="37">
        <v>120560</v>
      </c>
      <c r="I57" s="37">
        <v>103070</v>
      </c>
      <c r="J57" s="37">
        <v>25000</v>
      </c>
      <c r="K57" s="37">
        <v>20000</v>
      </c>
      <c r="L57" s="37">
        <v>28100</v>
      </c>
      <c r="M57" s="37">
        <v>36000</v>
      </c>
      <c r="N57" s="37">
        <v>3000</v>
      </c>
      <c r="O57" s="37"/>
      <c r="P57" s="37"/>
      <c r="Q57" s="37"/>
      <c r="R57" s="37"/>
      <c r="S57" s="37"/>
      <c r="T57" s="37"/>
      <c r="U57" s="37"/>
      <c r="V57" s="37"/>
      <c r="W57" s="36">
        <f t="shared" si="2"/>
        <v>607730</v>
      </c>
      <c r="X57" s="39"/>
    </row>
    <row r="58" spans="1:24">
      <c r="A58" s="33" t="s">
        <v>310</v>
      </c>
      <c r="B58" s="34" t="s">
        <v>311</v>
      </c>
      <c r="C58" s="34" t="s">
        <v>189</v>
      </c>
      <c r="D58" s="47"/>
      <c r="E58" s="37">
        <v>100000</v>
      </c>
      <c r="F58" s="37">
        <v>108000</v>
      </c>
      <c r="G58" s="37">
        <v>242000</v>
      </c>
      <c r="H58" s="37">
        <v>175360</v>
      </c>
      <c r="I58" s="37">
        <v>149920</v>
      </c>
      <c r="J58" s="37">
        <v>147000</v>
      </c>
      <c r="K58" s="37">
        <v>120000</v>
      </c>
      <c r="L58" s="37">
        <v>72000</v>
      </c>
      <c r="M58" s="37">
        <v>81000</v>
      </c>
      <c r="N58" s="37">
        <v>13200</v>
      </c>
      <c r="O58" s="37"/>
      <c r="P58" s="37"/>
      <c r="Q58" s="37"/>
      <c r="R58" s="37"/>
      <c r="S58" s="37"/>
      <c r="T58" s="37"/>
      <c r="U58" s="37"/>
      <c r="V58" s="37"/>
      <c r="W58" s="36">
        <f t="shared" si="2"/>
        <v>1208480</v>
      </c>
      <c r="X58" s="39"/>
    </row>
    <row r="59" spans="1:24">
      <c r="A59" s="33" t="s">
        <v>312</v>
      </c>
      <c r="B59" s="34" t="s">
        <v>313</v>
      </c>
      <c r="C59" s="34" t="s">
        <v>189</v>
      </c>
      <c r="D59" s="47"/>
      <c r="E59" s="37">
        <v>12000</v>
      </c>
      <c r="F59" s="37">
        <v>36000</v>
      </c>
      <c r="G59" s="37">
        <v>78000</v>
      </c>
      <c r="H59" s="37">
        <v>54800</v>
      </c>
      <c r="I59" s="37">
        <v>46850</v>
      </c>
      <c r="J59" s="37">
        <v>10000</v>
      </c>
      <c r="K59" s="37">
        <v>10000</v>
      </c>
      <c r="L59" s="37">
        <v>8700</v>
      </c>
      <c r="M59" s="37">
        <v>9300</v>
      </c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265650</v>
      </c>
      <c r="X59" s="39"/>
    </row>
    <row r="60" spans="1:24">
      <c r="A60" s="33" t="s">
        <v>314</v>
      </c>
      <c r="B60" s="34" t="s">
        <v>315</v>
      </c>
      <c r="C60" s="34" t="s">
        <v>189</v>
      </c>
      <c r="D60" s="47"/>
      <c r="E60" s="37">
        <v>40000</v>
      </c>
      <c r="F60" s="37">
        <v>30000</v>
      </c>
      <c r="G60" s="37">
        <v>63000</v>
      </c>
      <c r="H60" s="37">
        <v>43840</v>
      </c>
      <c r="I60" s="37">
        <v>37480</v>
      </c>
      <c r="J60" s="37">
        <v>10000</v>
      </c>
      <c r="K60" s="37">
        <v>20000</v>
      </c>
      <c r="L60" s="37">
        <v>10800</v>
      </c>
      <c r="M60" s="37">
        <v>8500</v>
      </c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263620</v>
      </c>
      <c r="X60" s="39"/>
    </row>
    <row r="61" spans="1:24">
      <c r="A61" s="33" t="s">
        <v>316</v>
      </c>
      <c r="B61" s="34" t="s">
        <v>317</v>
      </c>
      <c r="C61" s="34" t="s">
        <v>189</v>
      </c>
      <c r="D61" s="47"/>
      <c r="E61" s="37">
        <v>240000</v>
      </c>
      <c r="F61" s="37">
        <v>144000</v>
      </c>
      <c r="G61" s="37">
        <v>258000</v>
      </c>
      <c r="H61" s="37">
        <v>219200</v>
      </c>
      <c r="I61" s="37">
        <v>187400</v>
      </c>
      <c r="J61" s="37">
        <v>180000</v>
      </c>
      <c r="K61" s="37">
        <v>350000</v>
      </c>
      <c r="L61" s="37">
        <v>169500</v>
      </c>
      <c r="M61" s="37">
        <v>197300</v>
      </c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1945400</v>
      </c>
      <c r="X61" s="39"/>
    </row>
    <row r="62" spans="1:24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>
        <v>0</v>
      </c>
      <c r="I62" s="37">
        <v>0</v>
      </c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  <c r="X62" s="39"/>
    </row>
    <row r="63" spans="1:24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90417.5</v>
      </c>
      <c r="F63" s="37">
        <v>60845</v>
      </c>
      <c r="G63" s="37">
        <v>164757.5</v>
      </c>
      <c r="H63" s="37">
        <v>147991</v>
      </c>
      <c r="I63" s="37">
        <v>126026.5</v>
      </c>
      <c r="J63" s="37">
        <v>80598</v>
      </c>
      <c r="K63" s="37">
        <v>76648</v>
      </c>
      <c r="L63" s="37">
        <v>50540</v>
      </c>
      <c r="M63" s="37">
        <v>54264</v>
      </c>
      <c r="N63" s="37">
        <v>1620</v>
      </c>
      <c r="O63" s="37"/>
      <c r="P63" s="37"/>
      <c r="Q63" s="37"/>
      <c r="R63" s="37"/>
      <c r="S63" s="37"/>
      <c r="T63" s="37"/>
      <c r="U63" s="37"/>
      <c r="V63" s="37"/>
      <c r="W63" s="36">
        <f t="shared" si="2"/>
        <v>853707.5</v>
      </c>
      <c r="X63" s="39"/>
    </row>
    <row r="64" spans="1:24">
      <c r="A64" s="33" t="s">
        <v>324</v>
      </c>
      <c r="B64" s="34" t="s">
        <v>325</v>
      </c>
      <c r="C64" s="34" t="s">
        <v>189</v>
      </c>
      <c r="D64" s="47"/>
      <c r="E64" s="37">
        <v>16000</v>
      </c>
      <c r="F64" s="37">
        <v>16800</v>
      </c>
      <c r="G64" s="37">
        <v>36700</v>
      </c>
      <c r="H64" s="37">
        <v>26304</v>
      </c>
      <c r="I64" s="37">
        <v>22488</v>
      </c>
      <c r="J64" s="37"/>
      <c r="K64" s="37"/>
      <c r="L64" s="37">
        <v>8616</v>
      </c>
      <c r="M64" s="37">
        <v>10848</v>
      </c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137756</v>
      </c>
      <c r="X64" s="39"/>
    </row>
    <row r="65" spans="1:24">
      <c r="A65" s="33" t="s">
        <v>326</v>
      </c>
      <c r="B65" s="34" t="s">
        <v>327</v>
      </c>
      <c r="C65" s="34" t="s">
        <v>189</v>
      </c>
      <c r="D65" s="47"/>
      <c r="E65" s="37">
        <v>230000</v>
      </c>
      <c r="F65" s="37">
        <v>90000</v>
      </c>
      <c r="G65" s="37">
        <v>217000</v>
      </c>
      <c r="H65" s="37">
        <v>164400</v>
      </c>
      <c r="I65" s="37">
        <v>140550</v>
      </c>
      <c r="J65" s="37">
        <v>250000</v>
      </c>
      <c r="K65" s="37">
        <v>120000</v>
      </c>
      <c r="L65" s="37">
        <v>57000</v>
      </c>
      <c r="M65" s="37">
        <v>40000</v>
      </c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1308950</v>
      </c>
      <c r="X65" s="39"/>
    </row>
    <row r="66" spans="1:24">
      <c r="A66" s="33" t="s">
        <v>328</v>
      </c>
      <c r="B66" s="34" t="s">
        <v>329</v>
      </c>
      <c r="C66" s="34" t="s">
        <v>189</v>
      </c>
      <c r="D66" s="47"/>
      <c r="E66" s="37">
        <v>60000</v>
      </c>
      <c r="F66" s="37">
        <v>30000</v>
      </c>
      <c r="G66" s="37">
        <v>73000</v>
      </c>
      <c r="H66" s="37">
        <v>54800</v>
      </c>
      <c r="I66" s="37">
        <v>46850</v>
      </c>
      <c r="J66" s="37">
        <v>20000</v>
      </c>
      <c r="K66" s="37">
        <v>20000</v>
      </c>
      <c r="L66" s="37">
        <v>43000</v>
      </c>
      <c r="M66" s="37">
        <v>58000</v>
      </c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405650</v>
      </c>
      <c r="X66" s="39"/>
    </row>
    <row r="67" spans="1:24">
      <c r="A67" s="33" t="s">
        <v>330</v>
      </c>
      <c r="B67" s="34" t="s">
        <v>331</v>
      </c>
      <c r="C67" s="34" t="s">
        <v>189</v>
      </c>
      <c r="D67" s="47"/>
      <c r="E67" s="37"/>
      <c r="F67" s="37"/>
      <c r="G67" s="37"/>
      <c r="H67" s="37">
        <v>0</v>
      </c>
      <c r="I67" s="37">
        <v>0</v>
      </c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  <c r="X67" s="39"/>
    </row>
    <row r="68" spans="1:24">
      <c r="A68" s="33" t="s">
        <v>332</v>
      </c>
      <c r="B68" s="34" t="s">
        <v>333</v>
      </c>
      <c r="C68" s="34" t="s">
        <v>189</v>
      </c>
      <c r="D68" s="47"/>
      <c r="E68" s="37">
        <v>530000</v>
      </c>
      <c r="F68" s="37">
        <v>561000</v>
      </c>
      <c r="G68" s="37">
        <f>1290000+98796.5</f>
        <v>1388796.5</v>
      </c>
      <c r="H68" s="37">
        <f>953520+114323</f>
        <v>1067843</v>
      </c>
      <c r="I68" s="37">
        <f>815190+97916.5</f>
        <v>913106.5</v>
      </c>
      <c r="J68" s="37">
        <v>350000</v>
      </c>
      <c r="K68" s="37">
        <v>317600</v>
      </c>
      <c r="L68" s="37">
        <v>361000</v>
      </c>
      <c r="M68" s="37">
        <v>324000</v>
      </c>
      <c r="N68" s="37">
        <v>2000</v>
      </c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5815346</v>
      </c>
      <c r="X68" s="39"/>
    </row>
    <row r="69" spans="1:24">
      <c r="A69" s="33" t="s">
        <v>334</v>
      </c>
      <c r="B69" s="34" t="s">
        <v>335</v>
      </c>
      <c r="C69" s="34" t="s">
        <v>189</v>
      </c>
      <c r="D69" s="47"/>
      <c r="E69" s="37">
        <v>80000</v>
      </c>
      <c r="F69" s="37">
        <v>60000</v>
      </c>
      <c r="G69" s="37">
        <v>145000</v>
      </c>
      <c r="H69" s="37">
        <v>109600</v>
      </c>
      <c r="I69" s="37">
        <v>93700</v>
      </c>
      <c r="J69" s="37">
        <v>80000</v>
      </c>
      <c r="K69" s="37">
        <v>95000</v>
      </c>
      <c r="L69" s="37">
        <v>84200</v>
      </c>
      <c r="M69" s="37">
        <v>77000</v>
      </c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824500</v>
      </c>
      <c r="X69" s="39"/>
    </row>
    <row r="70" spans="1:24">
      <c r="A70" s="33" t="s">
        <v>336</v>
      </c>
      <c r="B70" s="34" t="s">
        <v>337</v>
      </c>
      <c r="C70" s="34" t="s">
        <v>189</v>
      </c>
      <c r="D70" s="47"/>
      <c r="E70" s="37">
        <v>80000</v>
      </c>
      <c r="F70" s="37">
        <v>108000</v>
      </c>
      <c r="G70" s="37">
        <v>233000</v>
      </c>
      <c r="H70" s="37">
        <v>164400</v>
      </c>
      <c r="I70" s="37">
        <v>140550</v>
      </c>
      <c r="J70" s="37">
        <v>120000</v>
      </c>
      <c r="K70" s="37">
        <v>78000</v>
      </c>
      <c r="L70" s="37">
        <v>36000</v>
      </c>
      <c r="M70" s="37">
        <v>52000</v>
      </c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1011950</v>
      </c>
      <c r="X70" s="39"/>
    </row>
    <row r="71" spans="1:24">
      <c r="A71" s="33" t="s">
        <v>338</v>
      </c>
      <c r="B71" s="34" t="s">
        <v>339</v>
      </c>
      <c r="C71" s="34"/>
      <c r="D71" s="35"/>
      <c r="E71" s="36">
        <f>E72</f>
        <v>34000</v>
      </c>
      <c r="F71" s="36">
        <f t="shared" ref="F71:V71" si="32">F72</f>
        <v>25600</v>
      </c>
      <c r="G71" s="36">
        <f t="shared" si="32"/>
        <v>47200</v>
      </c>
      <c r="H71" s="36">
        <f t="shared" si="32"/>
        <v>34400</v>
      </c>
      <c r="I71" s="36">
        <f t="shared" si="32"/>
        <v>26000</v>
      </c>
      <c r="J71" s="36">
        <f t="shared" si="32"/>
        <v>20800</v>
      </c>
      <c r="K71" s="36">
        <f t="shared" si="32"/>
        <v>19200</v>
      </c>
      <c r="L71" s="36">
        <f t="shared" si="32"/>
        <v>16000</v>
      </c>
      <c r="M71" s="36">
        <f t="shared" si="32"/>
        <v>18800</v>
      </c>
      <c r="N71" s="36">
        <f t="shared" si="32"/>
        <v>400</v>
      </c>
      <c r="O71" s="36">
        <f t="shared" si="32"/>
        <v>0</v>
      </c>
      <c r="P71" s="36">
        <f t="shared" si="32"/>
        <v>0</v>
      </c>
      <c r="Q71" s="36">
        <f t="shared" si="32"/>
        <v>0</v>
      </c>
      <c r="R71" s="36">
        <f t="shared" si="32"/>
        <v>0</v>
      </c>
      <c r="S71" s="36">
        <f t="shared" si="32"/>
        <v>0</v>
      </c>
      <c r="T71" s="37"/>
      <c r="U71" s="37"/>
      <c r="V71" s="36">
        <f t="shared" si="32"/>
        <v>0</v>
      </c>
      <c r="W71" s="36">
        <f t="shared" si="31"/>
        <v>242400</v>
      </c>
      <c r="X71" s="39"/>
    </row>
    <row r="72" spans="1:24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34000</v>
      </c>
      <c r="F72" s="36">
        <f t="shared" ref="F72:V72" si="33">F96*400</f>
        <v>25600</v>
      </c>
      <c r="G72" s="36">
        <f t="shared" si="33"/>
        <v>47200</v>
      </c>
      <c r="H72" s="36">
        <f t="shared" si="33"/>
        <v>34400</v>
      </c>
      <c r="I72" s="36">
        <f t="shared" si="33"/>
        <v>26000</v>
      </c>
      <c r="J72" s="36">
        <f t="shared" si="33"/>
        <v>20800</v>
      </c>
      <c r="K72" s="36">
        <f t="shared" si="33"/>
        <v>19200</v>
      </c>
      <c r="L72" s="36">
        <f t="shared" si="33"/>
        <v>16000</v>
      </c>
      <c r="M72" s="36">
        <f t="shared" si="33"/>
        <v>18800</v>
      </c>
      <c r="N72" s="36">
        <f t="shared" si="33"/>
        <v>400</v>
      </c>
      <c r="O72" s="36">
        <f t="shared" si="33"/>
        <v>0</v>
      </c>
      <c r="P72" s="36">
        <f t="shared" si="33"/>
        <v>0</v>
      </c>
      <c r="Q72" s="36">
        <f t="shared" si="33"/>
        <v>0</v>
      </c>
      <c r="R72" s="36">
        <f t="shared" si="33"/>
        <v>0</v>
      </c>
      <c r="S72" s="36">
        <f t="shared" si="33"/>
        <v>0</v>
      </c>
      <c r="T72" s="37"/>
      <c r="U72" s="37"/>
      <c r="V72" s="36">
        <f t="shared" si="33"/>
        <v>0</v>
      </c>
      <c r="W72" s="36">
        <f t="shared" si="31"/>
        <v>242400</v>
      </c>
      <c r="X72" s="39"/>
    </row>
    <row r="73" spans="1:24">
      <c r="A73" s="33" t="s">
        <v>343</v>
      </c>
      <c r="B73" s="34" t="s">
        <v>344</v>
      </c>
      <c r="C73" s="34"/>
      <c r="D73" s="35" t="s">
        <v>183</v>
      </c>
      <c r="E73" s="36">
        <f>E74</f>
        <v>150573</v>
      </c>
      <c r="F73" s="36">
        <f t="shared" ref="F73:V73" si="34">F74</f>
        <v>181200</v>
      </c>
      <c r="G73" s="36">
        <f t="shared" si="34"/>
        <v>265050</v>
      </c>
      <c r="H73" s="36">
        <f t="shared" si="34"/>
        <v>202718.4</v>
      </c>
      <c r="I73" s="36">
        <f t="shared" si="34"/>
        <v>179640.15</v>
      </c>
      <c r="J73" s="36">
        <f t="shared" si="34"/>
        <v>187524.75</v>
      </c>
      <c r="K73" s="36">
        <f t="shared" si="34"/>
        <v>86520.75</v>
      </c>
      <c r="L73" s="36">
        <f t="shared" si="34"/>
        <v>41792.699999999997</v>
      </c>
      <c r="M73" s="36">
        <f t="shared" si="34"/>
        <v>98666.25</v>
      </c>
      <c r="N73" s="36">
        <f t="shared" si="34"/>
        <v>64605</v>
      </c>
      <c r="O73" s="36">
        <f t="shared" si="34"/>
        <v>0</v>
      </c>
      <c r="P73" s="36">
        <f t="shared" si="34"/>
        <v>0</v>
      </c>
      <c r="Q73" s="36">
        <f t="shared" si="34"/>
        <v>0</v>
      </c>
      <c r="R73" s="36">
        <f t="shared" si="34"/>
        <v>0</v>
      </c>
      <c r="S73" s="36">
        <f t="shared" si="34"/>
        <v>0</v>
      </c>
      <c r="T73" s="37"/>
      <c r="U73" s="37"/>
      <c r="V73" s="36">
        <f t="shared" si="34"/>
        <v>0</v>
      </c>
      <c r="W73" s="36">
        <f t="shared" si="31"/>
        <v>1458291</v>
      </c>
      <c r="X73" s="39"/>
    </row>
    <row r="74" spans="1:24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150573</v>
      </c>
      <c r="F74" s="36">
        <f t="shared" ref="F74:V74" si="35">F108*15</f>
        <v>181200</v>
      </c>
      <c r="G74" s="36">
        <f t="shared" si="35"/>
        <v>265050</v>
      </c>
      <c r="H74" s="36">
        <f t="shared" si="35"/>
        <v>202718.4</v>
      </c>
      <c r="I74" s="36">
        <f t="shared" si="35"/>
        <v>179640.15</v>
      </c>
      <c r="J74" s="36">
        <f t="shared" si="35"/>
        <v>187524.75</v>
      </c>
      <c r="K74" s="36">
        <f t="shared" si="35"/>
        <v>86520.75</v>
      </c>
      <c r="L74" s="36">
        <f t="shared" si="35"/>
        <v>41792.699999999997</v>
      </c>
      <c r="M74" s="36">
        <f t="shared" si="35"/>
        <v>98666.25</v>
      </c>
      <c r="N74" s="36">
        <f t="shared" si="35"/>
        <v>64605</v>
      </c>
      <c r="O74" s="36">
        <f t="shared" si="35"/>
        <v>0</v>
      </c>
      <c r="P74" s="36">
        <f t="shared" si="35"/>
        <v>0</v>
      </c>
      <c r="Q74" s="36">
        <f t="shared" si="35"/>
        <v>0</v>
      </c>
      <c r="R74" s="36">
        <f t="shared" si="35"/>
        <v>0</v>
      </c>
      <c r="S74" s="36">
        <f t="shared" si="35"/>
        <v>0</v>
      </c>
      <c r="T74" s="37"/>
      <c r="U74" s="37"/>
      <c r="V74" s="36">
        <f t="shared" si="35"/>
        <v>0</v>
      </c>
      <c r="W74" s="36">
        <f t="shared" si="31"/>
        <v>1458291</v>
      </c>
      <c r="X74" s="39"/>
    </row>
    <row r="75" spans="1:24">
      <c r="A75" s="33" t="s">
        <v>348</v>
      </c>
      <c r="B75" s="34" t="s">
        <v>349</v>
      </c>
      <c r="C75" s="34"/>
      <c r="D75" s="35" t="s">
        <v>183</v>
      </c>
      <c r="E75" s="36">
        <f>E76</f>
        <v>29256</v>
      </c>
      <c r="F75" s="36">
        <f t="shared" ref="F75:V75" si="36">F76</f>
        <v>50880</v>
      </c>
      <c r="G75" s="36">
        <f t="shared" si="36"/>
        <v>71214.399999999994</v>
      </c>
      <c r="H75" s="36">
        <f t="shared" si="36"/>
        <v>63744</v>
      </c>
      <c r="I75" s="36">
        <f t="shared" si="36"/>
        <v>26904</v>
      </c>
      <c r="J75" s="36">
        <f t="shared" si="36"/>
        <v>30240</v>
      </c>
      <c r="K75" s="36">
        <f t="shared" si="36"/>
        <v>23868</v>
      </c>
      <c r="L75" s="36">
        <f t="shared" si="36"/>
        <v>5728</v>
      </c>
      <c r="M75" s="36">
        <f t="shared" si="36"/>
        <v>21120</v>
      </c>
      <c r="N75" s="36">
        <f t="shared" si="36"/>
        <v>2240</v>
      </c>
      <c r="O75" s="36">
        <f t="shared" si="36"/>
        <v>0</v>
      </c>
      <c r="P75" s="36">
        <f t="shared" si="36"/>
        <v>0</v>
      </c>
      <c r="Q75" s="36">
        <f t="shared" si="36"/>
        <v>0</v>
      </c>
      <c r="R75" s="36">
        <f t="shared" si="36"/>
        <v>0</v>
      </c>
      <c r="S75" s="36">
        <f t="shared" si="36"/>
        <v>0</v>
      </c>
      <c r="T75" s="37"/>
      <c r="U75" s="37"/>
      <c r="V75" s="36">
        <f t="shared" si="36"/>
        <v>0</v>
      </c>
      <c r="W75" s="36">
        <f t="shared" si="31"/>
        <v>325194.40000000002</v>
      </c>
      <c r="X75" s="39"/>
    </row>
    <row r="76" spans="1:24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29256</v>
      </c>
      <c r="F76" s="36">
        <f t="shared" ref="F76:V76" si="37">F109*8</f>
        <v>50880</v>
      </c>
      <c r="G76" s="36">
        <f t="shared" si="37"/>
        <v>71214.399999999994</v>
      </c>
      <c r="H76" s="36">
        <f t="shared" si="37"/>
        <v>63744</v>
      </c>
      <c r="I76" s="36">
        <f t="shared" si="37"/>
        <v>26904</v>
      </c>
      <c r="J76" s="36">
        <f t="shared" si="37"/>
        <v>30240</v>
      </c>
      <c r="K76" s="36">
        <f t="shared" si="37"/>
        <v>23868</v>
      </c>
      <c r="L76" s="36">
        <f t="shared" si="37"/>
        <v>5728</v>
      </c>
      <c r="M76" s="36">
        <f t="shared" si="37"/>
        <v>21120</v>
      </c>
      <c r="N76" s="36">
        <f t="shared" si="37"/>
        <v>2240</v>
      </c>
      <c r="O76" s="36">
        <f t="shared" si="37"/>
        <v>0</v>
      </c>
      <c r="P76" s="36">
        <f t="shared" si="37"/>
        <v>0</v>
      </c>
      <c r="Q76" s="36">
        <f t="shared" si="37"/>
        <v>0</v>
      </c>
      <c r="R76" s="36">
        <f t="shared" si="37"/>
        <v>0</v>
      </c>
      <c r="S76" s="36">
        <f t="shared" si="37"/>
        <v>0</v>
      </c>
      <c r="T76" s="37"/>
      <c r="U76" s="37"/>
      <c r="V76" s="36">
        <f t="shared" si="37"/>
        <v>0</v>
      </c>
      <c r="W76" s="36">
        <f t="shared" si="31"/>
        <v>325194.40000000002</v>
      </c>
      <c r="X76" s="39"/>
    </row>
    <row r="77" spans="1:24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  <c r="X77" s="39"/>
    </row>
    <row r="78" spans="1:24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  <c r="X78" s="39"/>
    </row>
    <row r="79" spans="1:24">
      <c r="A79" s="33" t="s">
        <v>357</v>
      </c>
      <c r="B79" s="34" t="s">
        <v>358</v>
      </c>
      <c r="C79" s="34"/>
      <c r="D79" s="35" t="s">
        <v>183</v>
      </c>
      <c r="E79" s="36">
        <f>E80</f>
        <v>367200</v>
      </c>
      <c r="F79" s="36">
        <f t="shared" ref="F79:V79" si="39">F80</f>
        <v>276480</v>
      </c>
      <c r="G79" s="36">
        <f t="shared" si="39"/>
        <v>509760</v>
      </c>
      <c r="H79" s="36">
        <f t="shared" si="39"/>
        <v>371520</v>
      </c>
      <c r="I79" s="36">
        <f t="shared" si="39"/>
        <v>280800</v>
      </c>
      <c r="J79" s="36">
        <f t="shared" si="39"/>
        <v>224640</v>
      </c>
      <c r="K79" s="36">
        <f t="shared" si="39"/>
        <v>207360</v>
      </c>
      <c r="L79" s="36">
        <f t="shared" si="39"/>
        <v>172800</v>
      </c>
      <c r="M79" s="36">
        <f t="shared" si="39"/>
        <v>203040</v>
      </c>
      <c r="N79" s="36">
        <f t="shared" si="39"/>
        <v>4320</v>
      </c>
      <c r="O79" s="36">
        <f t="shared" si="39"/>
        <v>0</v>
      </c>
      <c r="P79" s="36">
        <f t="shared" si="39"/>
        <v>0</v>
      </c>
      <c r="Q79" s="36">
        <f t="shared" si="39"/>
        <v>0</v>
      </c>
      <c r="R79" s="36">
        <f t="shared" si="39"/>
        <v>0</v>
      </c>
      <c r="S79" s="36">
        <f t="shared" si="39"/>
        <v>0</v>
      </c>
      <c r="T79" s="37"/>
      <c r="U79" s="37"/>
      <c r="V79" s="36">
        <f t="shared" si="39"/>
        <v>0</v>
      </c>
      <c r="W79" s="36">
        <f t="shared" si="31"/>
        <v>2617920</v>
      </c>
      <c r="X79" s="39"/>
    </row>
    <row r="80" spans="1:24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367200</v>
      </c>
      <c r="F80" s="36">
        <f t="shared" ref="F80:V80" si="40">F96*4320</f>
        <v>276480</v>
      </c>
      <c r="G80" s="36">
        <f t="shared" si="40"/>
        <v>509760</v>
      </c>
      <c r="H80" s="36">
        <f t="shared" si="40"/>
        <v>371520</v>
      </c>
      <c r="I80" s="36">
        <f t="shared" si="40"/>
        <v>280800</v>
      </c>
      <c r="J80" s="36">
        <f t="shared" si="40"/>
        <v>224640</v>
      </c>
      <c r="K80" s="36">
        <f t="shared" si="40"/>
        <v>207360</v>
      </c>
      <c r="L80" s="36">
        <f t="shared" si="40"/>
        <v>172800</v>
      </c>
      <c r="M80" s="36">
        <f t="shared" si="40"/>
        <v>203040</v>
      </c>
      <c r="N80" s="36">
        <f t="shared" si="40"/>
        <v>4320</v>
      </c>
      <c r="O80" s="36">
        <f t="shared" si="40"/>
        <v>0</v>
      </c>
      <c r="P80" s="36">
        <f t="shared" si="40"/>
        <v>0</v>
      </c>
      <c r="Q80" s="36">
        <f t="shared" si="40"/>
        <v>0</v>
      </c>
      <c r="R80" s="36">
        <f t="shared" si="40"/>
        <v>0</v>
      </c>
      <c r="S80" s="36">
        <f t="shared" si="40"/>
        <v>0</v>
      </c>
      <c r="T80" s="37"/>
      <c r="U80" s="37"/>
      <c r="V80" s="36">
        <f t="shared" si="40"/>
        <v>0</v>
      </c>
      <c r="W80" s="36">
        <f t="shared" si="31"/>
        <v>2617920</v>
      </c>
      <c r="X80" s="39"/>
    </row>
    <row r="81" spans="1:24">
      <c r="A81" s="33" t="s">
        <v>362</v>
      </c>
      <c r="B81" s="34" t="s">
        <v>363</v>
      </c>
      <c r="C81" s="34"/>
      <c r="D81" s="35" t="s">
        <v>183</v>
      </c>
      <c r="E81" s="36">
        <f>E82</f>
        <v>340480</v>
      </c>
      <c r="F81" s="36">
        <f t="shared" ref="F81:V81" si="41">F82</f>
        <v>248480</v>
      </c>
      <c r="G81" s="36">
        <f t="shared" si="41"/>
        <v>444200</v>
      </c>
      <c r="H81" s="36">
        <f t="shared" si="41"/>
        <v>312480</v>
      </c>
      <c r="I81" s="36">
        <f t="shared" si="41"/>
        <v>260320</v>
      </c>
      <c r="J81" s="36">
        <f t="shared" si="41"/>
        <v>220080</v>
      </c>
      <c r="K81" s="36">
        <f t="shared" si="41"/>
        <v>216200</v>
      </c>
      <c r="L81" s="36">
        <f t="shared" si="41"/>
        <v>134200</v>
      </c>
      <c r="M81" s="36">
        <f t="shared" si="41"/>
        <v>166600</v>
      </c>
      <c r="N81" s="36">
        <f t="shared" si="41"/>
        <v>4648</v>
      </c>
      <c r="O81" s="36">
        <f t="shared" si="41"/>
        <v>0</v>
      </c>
      <c r="P81" s="36">
        <f t="shared" si="41"/>
        <v>0</v>
      </c>
      <c r="Q81" s="36">
        <f t="shared" si="41"/>
        <v>0</v>
      </c>
      <c r="R81" s="36">
        <f t="shared" si="41"/>
        <v>0</v>
      </c>
      <c r="S81" s="36">
        <f t="shared" si="41"/>
        <v>0</v>
      </c>
      <c r="T81" s="37"/>
      <c r="U81" s="37"/>
      <c r="V81" s="36">
        <f t="shared" si="41"/>
        <v>0</v>
      </c>
      <c r="W81" s="36">
        <f t="shared" si="31"/>
        <v>2347688</v>
      </c>
      <c r="X81" s="39"/>
    </row>
    <row r="82" spans="1:24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340480</v>
      </c>
      <c r="F82" s="36">
        <f t="shared" ref="F82:V82" si="42">F16*4</f>
        <v>248480</v>
      </c>
      <c r="G82" s="36">
        <f t="shared" si="42"/>
        <v>444200</v>
      </c>
      <c r="H82" s="36">
        <f t="shared" si="42"/>
        <v>312480</v>
      </c>
      <c r="I82" s="36">
        <f t="shared" si="42"/>
        <v>260320</v>
      </c>
      <c r="J82" s="36">
        <f t="shared" si="42"/>
        <v>220080</v>
      </c>
      <c r="K82" s="36">
        <f t="shared" si="42"/>
        <v>216200</v>
      </c>
      <c r="L82" s="36">
        <f t="shared" si="42"/>
        <v>134200</v>
      </c>
      <c r="M82" s="36">
        <f t="shared" si="42"/>
        <v>166600</v>
      </c>
      <c r="N82" s="36">
        <f t="shared" si="42"/>
        <v>4648</v>
      </c>
      <c r="O82" s="36">
        <f t="shared" si="42"/>
        <v>0</v>
      </c>
      <c r="P82" s="36">
        <f t="shared" si="42"/>
        <v>0</v>
      </c>
      <c r="Q82" s="36">
        <f t="shared" si="42"/>
        <v>0</v>
      </c>
      <c r="R82" s="36">
        <f t="shared" si="42"/>
        <v>0</v>
      </c>
      <c r="S82" s="36">
        <f t="shared" si="42"/>
        <v>0</v>
      </c>
      <c r="T82" s="37"/>
      <c r="U82" s="37"/>
      <c r="V82" s="36">
        <f t="shared" si="42"/>
        <v>0</v>
      </c>
      <c r="W82" s="36">
        <f t="shared" si="31"/>
        <v>2347688</v>
      </c>
      <c r="X82" s="39"/>
    </row>
    <row r="83" spans="1:24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0</v>
      </c>
      <c r="O83" s="36">
        <f t="shared" si="43"/>
        <v>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224000</v>
      </c>
      <c r="X83" s="39"/>
    </row>
    <row r="84" spans="1:24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/>
      <c r="K84" s="37">
        <v>32000</v>
      </c>
      <c r="L84" s="37"/>
      <c r="M84" s="37">
        <v>32000</v>
      </c>
      <c r="N84" s="37"/>
      <c r="O84" s="37"/>
      <c r="P84" s="37"/>
      <c r="Q84" s="37"/>
      <c r="R84" s="37"/>
      <c r="S84" s="37"/>
      <c r="T84" s="37"/>
      <c r="U84" s="37"/>
      <c r="V84" s="37"/>
      <c r="W84" s="36">
        <f t="shared" si="31"/>
        <v>224000</v>
      </c>
      <c r="X84" s="39"/>
    </row>
    <row r="85" spans="1:24">
      <c r="A85" s="33" t="s">
        <v>371</v>
      </c>
      <c r="B85" s="34" t="s">
        <v>372</v>
      </c>
      <c r="C85" s="34"/>
      <c r="D85" s="35" t="s">
        <v>183</v>
      </c>
      <c r="E85" s="36">
        <f>E86+E89+E92</f>
        <v>335120</v>
      </c>
      <c r="F85" s="36">
        <f t="shared" ref="F85:V85" si="44">F86+F89+F92</f>
        <v>160480</v>
      </c>
      <c r="G85" s="36">
        <f t="shared" si="44"/>
        <v>136880</v>
      </c>
      <c r="H85" s="36">
        <f t="shared" si="44"/>
        <v>552240</v>
      </c>
      <c r="I85" s="36">
        <f t="shared" si="44"/>
        <v>151040</v>
      </c>
      <c r="J85" s="36">
        <f t="shared" si="44"/>
        <v>99120</v>
      </c>
      <c r="K85" s="36">
        <f t="shared" si="44"/>
        <v>14160</v>
      </c>
      <c r="L85" s="36">
        <f t="shared" si="44"/>
        <v>47200</v>
      </c>
      <c r="M85" s="36">
        <f t="shared" si="44"/>
        <v>28320</v>
      </c>
      <c r="N85" s="36">
        <f t="shared" si="44"/>
        <v>0</v>
      </c>
      <c r="O85" s="36">
        <f t="shared" si="44"/>
        <v>0</v>
      </c>
      <c r="P85" s="36">
        <f t="shared" si="44"/>
        <v>0</v>
      </c>
      <c r="Q85" s="36">
        <f t="shared" si="44"/>
        <v>0</v>
      </c>
      <c r="R85" s="36">
        <f t="shared" si="44"/>
        <v>0</v>
      </c>
      <c r="S85" s="36">
        <f t="shared" si="44"/>
        <v>0</v>
      </c>
      <c r="T85" s="37"/>
      <c r="U85" s="37"/>
      <c r="V85" s="36">
        <f t="shared" si="44"/>
        <v>0</v>
      </c>
      <c r="W85" s="36">
        <f t="shared" si="31"/>
        <v>1524560</v>
      </c>
      <c r="X85" s="39"/>
    </row>
    <row r="86" spans="1:24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  <c r="X86" s="39"/>
    </row>
    <row r="87" spans="1:24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  <c r="X87" s="42"/>
    </row>
    <row r="88" spans="1:24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  <c r="X88" s="42"/>
    </row>
    <row r="89" spans="1:24">
      <c r="A89" s="33" t="s">
        <v>380</v>
      </c>
      <c r="B89" s="34" t="s">
        <v>381</v>
      </c>
      <c r="C89" s="34"/>
      <c r="D89" s="35" t="s">
        <v>183</v>
      </c>
      <c r="E89" s="36">
        <f>E90+E91</f>
        <v>335120</v>
      </c>
      <c r="F89" s="36">
        <f t="shared" ref="F89:V89" si="46">F90+F91</f>
        <v>160480</v>
      </c>
      <c r="G89" s="36">
        <f t="shared" si="46"/>
        <v>136880</v>
      </c>
      <c r="H89" s="36">
        <f t="shared" si="46"/>
        <v>552240</v>
      </c>
      <c r="I89" s="36">
        <f t="shared" si="46"/>
        <v>151040</v>
      </c>
      <c r="J89" s="36">
        <f t="shared" si="46"/>
        <v>99120</v>
      </c>
      <c r="K89" s="36">
        <f t="shared" si="46"/>
        <v>14160</v>
      </c>
      <c r="L89" s="36">
        <f t="shared" si="46"/>
        <v>47200</v>
      </c>
      <c r="M89" s="36">
        <f t="shared" si="46"/>
        <v>28320</v>
      </c>
      <c r="N89" s="36">
        <f t="shared" si="46"/>
        <v>0</v>
      </c>
      <c r="O89" s="36">
        <f t="shared" si="46"/>
        <v>0</v>
      </c>
      <c r="P89" s="36">
        <f t="shared" si="46"/>
        <v>0</v>
      </c>
      <c r="Q89" s="36">
        <f t="shared" si="46"/>
        <v>0</v>
      </c>
      <c r="R89" s="36">
        <f t="shared" si="46"/>
        <v>0</v>
      </c>
      <c r="S89" s="36">
        <f t="shared" si="46"/>
        <v>0</v>
      </c>
      <c r="T89" s="37"/>
      <c r="U89" s="37"/>
      <c r="V89" s="36">
        <f t="shared" si="46"/>
        <v>0</v>
      </c>
      <c r="W89" s="36">
        <f t="shared" si="31"/>
        <v>1524560</v>
      </c>
      <c r="X89" s="39"/>
    </row>
    <row r="90" spans="1:24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28400</v>
      </c>
      <c r="F90" s="36">
        <f t="shared" ref="F90:V90" si="47">F107*400</f>
        <v>13600</v>
      </c>
      <c r="G90" s="36">
        <f t="shared" si="47"/>
        <v>11600</v>
      </c>
      <c r="H90" s="36">
        <f t="shared" si="47"/>
        <v>46800</v>
      </c>
      <c r="I90" s="36">
        <f t="shared" si="47"/>
        <v>12800</v>
      </c>
      <c r="J90" s="36">
        <f t="shared" si="47"/>
        <v>8400</v>
      </c>
      <c r="K90" s="36">
        <f t="shared" si="47"/>
        <v>1200</v>
      </c>
      <c r="L90" s="36">
        <f t="shared" si="47"/>
        <v>4000</v>
      </c>
      <c r="M90" s="36">
        <f t="shared" si="47"/>
        <v>2400</v>
      </c>
      <c r="N90" s="36">
        <f t="shared" si="47"/>
        <v>0</v>
      </c>
      <c r="O90" s="36">
        <f t="shared" si="47"/>
        <v>0</v>
      </c>
      <c r="P90" s="36">
        <f t="shared" si="47"/>
        <v>0</v>
      </c>
      <c r="Q90" s="36">
        <f t="shared" si="47"/>
        <v>0</v>
      </c>
      <c r="R90" s="36">
        <f t="shared" si="47"/>
        <v>0</v>
      </c>
      <c r="S90" s="36">
        <f t="shared" si="47"/>
        <v>0</v>
      </c>
      <c r="T90" s="37"/>
      <c r="U90" s="37"/>
      <c r="V90" s="36">
        <f t="shared" si="47"/>
        <v>0</v>
      </c>
      <c r="W90" s="36">
        <f t="shared" si="31"/>
        <v>129200</v>
      </c>
      <c r="X90" s="39"/>
    </row>
    <row r="91" spans="1:24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306720</v>
      </c>
      <c r="F91" s="36">
        <f t="shared" ref="F91:V91" si="48">F107*4320</f>
        <v>146880</v>
      </c>
      <c r="G91" s="36">
        <f t="shared" si="48"/>
        <v>125280</v>
      </c>
      <c r="H91" s="36">
        <f t="shared" si="48"/>
        <v>505440</v>
      </c>
      <c r="I91" s="36">
        <f t="shared" si="48"/>
        <v>138240</v>
      </c>
      <c r="J91" s="36">
        <f t="shared" si="48"/>
        <v>90720</v>
      </c>
      <c r="K91" s="36">
        <f t="shared" si="48"/>
        <v>12960</v>
      </c>
      <c r="L91" s="36">
        <f t="shared" si="48"/>
        <v>43200</v>
      </c>
      <c r="M91" s="36">
        <f t="shared" si="48"/>
        <v>25920</v>
      </c>
      <c r="N91" s="36">
        <f t="shared" si="48"/>
        <v>0</v>
      </c>
      <c r="O91" s="36">
        <f t="shared" si="48"/>
        <v>0</v>
      </c>
      <c r="P91" s="36">
        <f t="shared" si="48"/>
        <v>0</v>
      </c>
      <c r="Q91" s="36">
        <f t="shared" si="48"/>
        <v>0</v>
      </c>
      <c r="R91" s="36">
        <f t="shared" si="48"/>
        <v>0</v>
      </c>
      <c r="S91" s="36">
        <f t="shared" si="48"/>
        <v>0</v>
      </c>
      <c r="T91" s="37"/>
      <c r="U91" s="37"/>
      <c r="V91" s="36">
        <f t="shared" si="48"/>
        <v>0</v>
      </c>
      <c r="W91" s="36">
        <f t="shared" si="31"/>
        <v>1395360</v>
      </c>
      <c r="X91" s="39"/>
    </row>
    <row r="92" spans="1:24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  <c r="X92" s="42"/>
    </row>
    <row r="93" spans="1:24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5000</v>
      </c>
      <c r="L93" s="36">
        <f t="shared" si="49"/>
        <v>32000</v>
      </c>
      <c r="M93" s="36">
        <f t="shared" si="49"/>
        <v>5000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0</v>
      </c>
      <c r="R93" s="36">
        <f t="shared" si="49"/>
        <v>0</v>
      </c>
      <c r="S93" s="36">
        <f t="shared" si="49"/>
        <v>0</v>
      </c>
      <c r="T93" s="37"/>
      <c r="U93" s="37"/>
      <c r="V93" s="36">
        <f t="shared" si="49"/>
        <v>0</v>
      </c>
      <c r="W93" s="36">
        <f t="shared" si="31"/>
        <v>106000</v>
      </c>
      <c r="X93" s="39"/>
    </row>
    <row r="94" spans="1:24" ht="68.25" thickBot="1">
      <c r="A94" s="33" t="s">
        <v>392</v>
      </c>
      <c r="B94" s="50" t="s">
        <v>393</v>
      </c>
      <c r="C94" s="34" t="s">
        <v>189</v>
      </c>
      <c r="D94" s="51" t="s">
        <v>571</v>
      </c>
      <c r="E94" s="52"/>
      <c r="F94" s="52"/>
      <c r="G94" s="52"/>
      <c r="H94" s="52"/>
      <c r="I94" s="52"/>
      <c r="J94" s="52">
        <v>32000</v>
      </c>
      <c r="K94" s="52">
        <v>5000</v>
      </c>
      <c r="L94" s="52">
        <v>32000</v>
      </c>
      <c r="M94" s="52">
        <v>5000</v>
      </c>
      <c r="N94" s="52">
        <v>32000</v>
      </c>
      <c r="O94" s="52"/>
      <c r="P94" s="52"/>
      <c r="Q94" s="52"/>
      <c r="R94" s="52"/>
      <c r="S94" s="52"/>
      <c r="T94" s="52"/>
      <c r="U94" s="52"/>
      <c r="V94" s="52"/>
      <c r="W94" s="36">
        <f t="shared" si="31"/>
        <v>106000</v>
      </c>
      <c r="X94" s="178"/>
    </row>
    <row r="95" spans="1:24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  <c r="X95" s="179"/>
    </row>
    <row r="96" spans="1:24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85</v>
      </c>
      <c r="F96" s="36">
        <f t="shared" ref="F96:V96" si="50">F97+F98+F99+F100</f>
        <v>64</v>
      </c>
      <c r="G96" s="36">
        <f t="shared" si="50"/>
        <v>118</v>
      </c>
      <c r="H96" s="36">
        <f t="shared" si="50"/>
        <v>86</v>
      </c>
      <c r="I96" s="36">
        <f t="shared" si="50"/>
        <v>65</v>
      </c>
      <c r="J96" s="36">
        <f t="shared" si="50"/>
        <v>52</v>
      </c>
      <c r="K96" s="36">
        <f t="shared" si="50"/>
        <v>48</v>
      </c>
      <c r="L96" s="36">
        <f t="shared" si="50"/>
        <v>40</v>
      </c>
      <c r="M96" s="36">
        <f t="shared" si="50"/>
        <v>47</v>
      </c>
      <c r="N96" s="36">
        <f t="shared" si="50"/>
        <v>1</v>
      </c>
      <c r="O96" s="36">
        <f t="shared" si="50"/>
        <v>0</v>
      </c>
      <c r="P96" s="36">
        <f t="shared" si="50"/>
        <v>0</v>
      </c>
      <c r="Q96" s="36">
        <f t="shared" si="50"/>
        <v>0</v>
      </c>
      <c r="R96" s="36">
        <f t="shared" si="50"/>
        <v>0</v>
      </c>
      <c r="S96" s="36">
        <f t="shared" si="50"/>
        <v>0</v>
      </c>
      <c r="T96" s="37"/>
      <c r="U96" s="37"/>
      <c r="V96" s="36">
        <f t="shared" si="50"/>
        <v>0</v>
      </c>
      <c r="W96" s="36">
        <f t="shared" si="31"/>
        <v>606</v>
      </c>
      <c r="X96" s="39"/>
    </row>
    <row r="97" spans="1:24">
      <c r="A97" s="33" t="s">
        <v>400</v>
      </c>
      <c r="B97" s="56" t="s">
        <v>401</v>
      </c>
      <c r="C97" s="56"/>
      <c r="D97" s="42"/>
      <c r="E97" s="43">
        <v>85</v>
      </c>
      <c r="F97" s="43">
        <v>64</v>
      </c>
      <c r="G97" s="43">
        <v>58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207</v>
      </c>
      <c r="X97" s="39"/>
    </row>
    <row r="98" spans="1:24">
      <c r="A98" s="33" t="s">
        <v>402</v>
      </c>
      <c r="B98" s="56" t="s">
        <v>403</v>
      </c>
      <c r="C98" s="56"/>
      <c r="D98" s="35"/>
      <c r="E98" s="37"/>
      <c r="F98" s="37"/>
      <c r="G98" s="37">
        <v>60</v>
      </c>
      <c r="H98" s="37">
        <v>86</v>
      </c>
      <c r="I98" s="37">
        <v>65</v>
      </c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211</v>
      </c>
      <c r="X98" s="39"/>
    </row>
    <row r="99" spans="1:24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>
        <v>52</v>
      </c>
      <c r="K99" s="43">
        <v>48</v>
      </c>
      <c r="L99" s="43">
        <v>40</v>
      </c>
      <c r="M99" s="43">
        <v>47</v>
      </c>
      <c r="N99" s="43"/>
      <c r="O99" s="43"/>
      <c r="P99" s="43"/>
      <c r="Q99" s="43"/>
      <c r="R99" s="43"/>
      <c r="S99" s="43"/>
      <c r="T99" s="43"/>
      <c r="U99" s="43"/>
      <c r="V99" s="43"/>
      <c r="W99" s="36">
        <f t="shared" si="31"/>
        <v>187</v>
      </c>
      <c r="X99" s="39"/>
    </row>
    <row r="100" spans="1:24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>
        <v>1</v>
      </c>
      <c r="O100" s="43"/>
      <c r="P100" s="43"/>
      <c r="Q100" s="43"/>
      <c r="R100" s="43"/>
      <c r="S100" s="43"/>
      <c r="T100" s="43"/>
      <c r="U100" s="43"/>
      <c r="V100" s="43"/>
      <c r="W100" s="36">
        <f t="shared" si="31"/>
        <v>1</v>
      </c>
      <c r="X100" s="39"/>
    </row>
    <row r="101" spans="1:24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635</v>
      </c>
      <c r="F101" s="36">
        <f t="shared" ref="F101:V101" si="51">F102+F103+F104+F105</f>
        <v>430</v>
      </c>
      <c r="G101" s="36">
        <f t="shared" si="51"/>
        <v>1203</v>
      </c>
      <c r="H101" s="36">
        <f t="shared" si="51"/>
        <v>1096</v>
      </c>
      <c r="I101" s="36">
        <f t="shared" si="51"/>
        <v>937</v>
      </c>
      <c r="J101" s="36">
        <f t="shared" si="51"/>
        <v>606</v>
      </c>
      <c r="K101" s="36">
        <f t="shared" si="51"/>
        <v>536</v>
      </c>
      <c r="L101" s="36">
        <f t="shared" si="51"/>
        <v>380</v>
      </c>
      <c r="M101" s="36">
        <f t="shared" si="51"/>
        <v>408</v>
      </c>
      <c r="N101" s="36">
        <f t="shared" si="51"/>
        <v>0</v>
      </c>
      <c r="O101" s="36">
        <f t="shared" si="51"/>
        <v>0</v>
      </c>
      <c r="P101" s="36">
        <f t="shared" si="51"/>
        <v>0</v>
      </c>
      <c r="Q101" s="36">
        <f t="shared" si="51"/>
        <v>0</v>
      </c>
      <c r="R101" s="36">
        <f t="shared" si="51"/>
        <v>0</v>
      </c>
      <c r="S101" s="36">
        <f t="shared" si="51"/>
        <v>0</v>
      </c>
      <c r="T101" s="37"/>
      <c r="U101" s="37"/>
      <c r="V101" s="36">
        <f t="shared" si="51"/>
        <v>0</v>
      </c>
      <c r="W101" s="36">
        <f t="shared" si="31"/>
        <v>6231</v>
      </c>
      <c r="X101" s="39"/>
    </row>
    <row r="102" spans="1:24">
      <c r="A102" s="33" t="s">
        <v>411</v>
      </c>
      <c r="B102" s="56" t="s">
        <v>401</v>
      </c>
      <c r="C102" s="56"/>
      <c r="D102" s="42"/>
      <c r="E102" s="43">
        <v>635</v>
      </c>
      <c r="F102" s="43">
        <v>430</v>
      </c>
      <c r="G102" s="43">
        <v>422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1487</v>
      </c>
      <c r="X102" s="39"/>
    </row>
    <row r="103" spans="1:24">
      <c r="A103" s="33" t="s">
        <v>412</v>
      </c>
      <c r="B103" s="56" t="s">
        <v>403</v>
      </c>
      <c r="C103" s="56"/>
      <c r="D103" s="35"/>
      <c r="E103" s="37"/>
      <c r="F103" s="37"/>
      <c r="G103" s="37">
        <v>781</v>
      </c>
      <c r="H103" s="37">
        <v>1096</v>
      </c>
      <c r="I103" s="37">
        <v>937</v>
      </c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2814</v>
      </c>
      <c r="X103" s="39"/>
    </row>
    <row r="104" spans="1:24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>
        <v>606</v>
      </c>
      <c r="K104" s="43">
        <v>536</v>
      </c>
      <c r="L104" s="43">
        <v>380</v>
      </c>
      <c r="M104" s="43">
        <v>408</v>
      </c>
      <c r="N104" s="43"/>
      <c r="O104" s="43"/>
      <c r="P104" s="43"/>
      <c r="Q104" s="43"/>
      <c r="R104" s="43"/>
      <c r="S104" s="43"/>
      <c r="T104" s="43"/>
      <c r="U104" s="43"/>
      <c r="V104" s="43"/>
      <c r="W104" s="36">
        <f t="shared" si="31"/>
        <v>1930</v>
      </c>
      <c r="X104" s="39"/>
    </row>
    <row r="105" spans="1:24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  <c r="X105" s="39"/>
    </row>
    <row r="106" spans="1:24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  <c r="X106" s="39"/>
    </row>
    <row r="107" spans="1:24">
      <c r="A107" s="33" t="s">
        <v>417</v>
      </c>
      <c r="B107" s="34" t="s">
        <v>418</v>
      </c>
      <c r="C107" s="34"/>
      <c r="D107" s="35"/>
      <c r="E107" s="37">
        <v>71</v>
      </c>
      <c r="F107" s="37">
        <v>34</v>
      </c>
      <c r="G107" s="37">
        <v>29</v>
      </c>
      <c r="H107" s="37">
        <v>117</v>
      </c>
      <c r="I107" s="37">
        <v>32</v>
      </c>
      <c r="J107" s="37">
        <v>21</v>
      </c>
      <c r="K107" s="37">
        <v>3</v>
      </c>
      <c r="L107" s="37">
        <v>10</v>
      </c>
      <c r="M107" s="37">
        <v>6</v>
      </c>
      <c r="N107" s="37"/>
      <c r="O107" s="37"/>
      <c r="P107" s="37"/>
      <c r="Q107" s="37"/>
      <c r="R107" s="37"/>
      <c r="S107" s="37"/>
      <c r="T107" s="37"/>
      <c r="U107" s="37"/>
      <c r="V107" s="37"/>
      <c r="W107" s="36">
        <f t="shared" si="31"/>
        <v>323</v>
      </c>
      <c r="X107" s="39"/>
    </row>
    <row r="108" spans="1:24">
      <c r="A108" s="33" t="s">
        <v>419</v>
      </c>
      <c r="B108" s="56" t="s">
        <v>420</v>
      </c>
      <c r="C108" s="56"/>
      <c r="D108" s="47"/>
      <c r="E108" s="37">
        <v>10038.200000000001</v>
      </c>
      <c r="F108" s="37">
        <v>12080</v>
      </c>
      <c r="G108" s="37">
        <v>17670</v>
      </c>
      <c r="H108" s="37">
        <v>13514.56</v>
      </c>
      <c r="I108" s="37">
        <v>11976.01</v>
      </c>
      <c r="J108" s="37">
        <v>12501.65</v>
      </c>
      <c r="K108" s="37">
        <v>5768.05</v>
      </c>
      <c r="L108" s="37">
        <v>2786.18</v>
      </c>
      <c r="M108" s="37">
        <v>6577.75</v>
      </c>
      <c r="N108" s="37">
        <v>4307</v>
      </c>
      <c r="O108" s="37"/>
      <c r="P108" s="37"/>
      <c r="Q108" s="37"/>
      <c r="R108" s="37"/>
      <c r="S108" s="37"/>
      <c r="T108" s="37"/>
      <c r="U108" s="37"/>
      <c r="V108" s="37"/>
      <c r="W108" s="36">
        <f t="shared" si="31"/>
        <v>97219.4</v>
      </c>
      <c r="X108" s="39"/>
    </row>
    <row r="109" spans="1:24">
      <c r="A109" s="33" t="s">
        <v>421</v>
      </c>
      <c r="B109" s="56" t="s">
        <v>422</v>
      </c>
      <c r="C109" s="56"/>
      <c r="D109" s="47"/>
      <c r="E109" s="37">
        <v>3657</v>
      </c>
      <c r="F109" s="37">
        <v>6360</v>
      </c>
      <c r="G109" s="37">
        <v>8901.7999999999993</v>
      </c>
      <c r="H109" s="37">
        <v>7968</v>
      </c>
      <c r="I109" s="37">
        <v>3363</v>
      </c>
      <c r="J109" s="37">
        <v>3780</v>
      </c>
      <c r="K109" s="37">
        <v>2983.5</v>
      </c>
      <c r="L109" s="37">
        <v>716</v>
      </c>
      <c r="M109" s="37">
        <v>2640</v>
      </c>
      <c r="N109" s="37">
        <v>280</v>
      </c>
      <c r="O109" s="37"/>
      <c r="P109" s="37"/>
      <c r="Q109" s="37"/>
      <c r="R109" s="37"/>
      <c r="S109" s="37"/>
      <c r="T109" s="37"/>
      <c r="U109" s="37"/>
      <c r="V109" s="37"/>
      <c r="W109" s="36">
        <f t="shared" si="31"/>
        <v>40649.300000000003</v>
      </c>
      <c r="X109" s="39"/>
    </row>
  </sheetData>
  <protectedRanges>
    <protectedRange password="E9C1" sqref="B31:D109 A4:D12 W4:X109 B13:D28 A13:A109 A2:X3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X1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F9" sqref="F9"/>
    </sheetView>
  </sheetViews>
  <sheetFormatPr defaultColWidth="9" defaultRowHeight="13.5"/>
  <cols>
    <col min="1" max="1" width="10.625" style="184" customWidth="1"/>
    <col min="2" max="2" width="35.625" style="185" customWidth="1"/>
    <col min="3" max="3" width="35.625" style="184" customWidth="1"/>
    <col min="4" max="4" width="20.5" style="184" bestFit="1" customWidth="1"/>
    <col min="5" max="5" width="18.625" style="184" hidden="1" customWidth="1"/>
    <col min="6" max="6" width="18.375" style="184" bestFit="1" customWidth="1"/>
    <col min="7" max="7" width="14.375" style="184" hidden="1" customWidth="1"/>
    <col min="8" max="8" width="14.25" style="184" hidden="1" customWidth="1"/>
    <col min="9" max="252" width="9" style="184"/>
    <col min="253" max="253" width="6.625" style="184" customWidth="1"/>
    <col min="254" max="255" width="21.625" style="184" customWidth="1"/>
    <col min="256" max="256" width="16.125" style="184" bestFit="1" customWidth="1"/>
    <col min="257" max="257" width="13.875" style="184" bestFit="1" customWidth="1"/>
    <col min="258" max="258" width="17.25" style="184" bestFit="1" customWidth="1"/>
    <col min="259" max="260" width="20.5" style="184" bestFit="1" customWidth="1"/>
    <col min="261" max="261" width="0" style="184" hidden="1" customWidth="1"/>
    <col min="262" max="262" width="18.375" style="184" bestFit="1" customWidth="1"/>
    <col min="263" max="264" width="0" style="184" hidden="1" customWidth="1"/>
    <col min="265" max="508" width="9" style="184"/>
    <col min="509" max="509" width="6.625" style="184" customWidth="1"/>
    <col min="510" max="511" width="21.625" style="184" customWidth="1"/>
    <col min="512" max="512" width="16.125" style="184" bestFit="1" customWidth="1"/>
    <col min="513" max="513" width="13.875" style="184" bestFit="1" customWidth="1"/>
    <col min="514" max="514" width="17.25" style="184" bestFit="1" customWidth="1"/>
    <col min="515" max="516" width="20.5" style="184" bestFit="1" customWidth="1"/>
    <col min="517" max="517" width="0" style="184" hidden="1" customWidth="1"/>
    <col min="518" max="518" width="18.375" style="184" bestFit="1" customWidth="1"/>
    <col min="519" max="520" width="0" style="184" hidden="1" customWidth="1"/>
    <col min="521" max="764" width="9" style="184"/>
    <col min="765" max="765" width="6.625" style="184" customWidth="1"/>
    <col min="766" max="767" width="21.625" style="184" customWidth="1"/>
    <col min="768" max="768" width="16.125" style="184" bestFit="1" customWidth="1"/>
    <col min="769" max="769" width="13.875" style="184" bestFit="1" customWidth="1"/>
    <col min="770" max="770" width="17.25" style="184" bestFit="1" customWidth="1"/>
    <col min="771" max="772" width="20.5" style="184" bestFit="1" customWidth="1"/>
    <col min="773" max="773" width="0" style="184" hidden="1" customWidth="1"/>
    <col min="774" max="774" width="18.375" style="184" bestFit="1" customWidth="1"/>
    <col min="775" max="776" width="0" style="184" hidden="1" customWidth="1"/>
    <col min="777" max="1020" width="9" style="184"/>
    <col min="1021" max="1021" width="6.625" style="184" customWidth="1"/>
    <col min="1022" max="1023" width="21.625" style="184" customWidth="1"/>
    <col min="1024" max="1024" width="16.125" style="184" bestFit="1" customWidth="1"/>
    <col min="1025" max="1025" width="13.875" style="184" bestFit="1" customWidth="1"/>
    <col min="1026" max="1026" width="17.25" style="184" bestFit="1" customWidth="1"/>
    <col min="1027" max="1028" width="20.5" style="184" bestFit="1" customWidth="1"/>
    <col min="1029" max="1029" width="0" style="184" hidden="1" customWidth="1"/>
    <col min="1030" max="1030" width="18.375" style="184" bestFit="1" customWidth="1"/>
    <col min="1031" max="1032" width="0" style="184" hidden="1" customWidth="1"/>
    <col min="1033" max="1276" width="9" style="184"/>
    <col min="1277" max="1277" width="6.625" style="184" customWidth="1"/>
    <col min="1278" max="1279" width="21.625" style="184" customWidth="1"/>
    <col min="1280" max="1280" width="16.125" style="184" bestFit="1" customWidth="1"/>
    <col min="1281" max="1281" width="13.875" style="184" bestFit="1" customWidth="1"/>
    <col min="1282" max="1282" width="17.25" style="184" bestFit="1" customWidth="1"/>
    <col min="1283" max="1284" width="20.5" style="184" bestFit="1" customWidth="1"/>
    <col min="1285" max="1285" width="0" style="184" hidden="1" customWidth="1"/>
    <col min="1286" max="1286" width="18.375" style="184" bestFit="1" customWidth="1"/>
    <col min="1287" max="1288" width="0" style="184" hidden="1" customWidth="1"/>
    <col min="1289" max="1532" width="9" style="184"/>
    <col min="1533" max="1533" width="6.625" style="184" customWidth="1"/>
    <col min="1534" max="1535" width="21.625" style="184" customWidth="1"/>
    <col min="1536" max="1536" width="16.125" style="184" bestFit="1" customWidth="1"/>
    <col min="1537" max="1537" width="13.875" style="184" bestFit="1" customWidth="1"/>
    <col min="1538" max="1538" width="17.25" style="184" bestFit="1" customWidth="1"/>
    <col min="1539" max="1540" width="20.5" style="184" bestFit="1" customWidth="1"/>
    <col min="1541" max="1541" width="0" style="184" hidden="1" customWidth="1"/>
    <col min="1542" max="1542" width="18.375" style="184" bestFit="1" customWidth="1"/>
    <col min="1543" max="1544" width="0" style="184" hidden="1" customWidth="1"/>
    <col min="1545" max="1788" width="9" style="184"/>
    <col min="1789" max="1789" width="6.625" style="184" customWidth="1"/>
    <col min="1790" max="1791" width="21.625" style="184" customWidth="1"/>
    <col min="1792" max="1792" width="16.125" style="184" bestFit="1" customWidth="1"/>
    <col min="1793" max="1793" width="13.875" style="184" bestFit="1" customWidth="1"/>
    <col min="1794" max="1794" width="17.25" style="184" bestFit="1" customWidth="1"/>
    <col min="1795" max="1796" width="20.5" style="184" bestFit="1" customWidth="1"/>
    <col min="1797" max="1797" width="0" style="184" hidden="1" customWidth="1"/>
    <col min="1798" max="1798" width="18.375" style="184" bestFit="1" customWidth="1"/>
    <col min="1799" max="1800" width="0" style="184" hidden="1" customWidth="1"/>
    <col min="1801" max="2044" width="9" style="184"/>
    <col min="2045" max="2045" width="6.625" style="184" customWidth="1"/>
    <col min="2046" max="2047" width="21.625" style="184" customWidth="1"/>
    <col min="2048" max="2048" width="16.125" style="184" bestFit="1" customWidth="1"/>
    <col min="2049" max="2049" width="13.875" style="184" bestFit="1" customWidth="1"/>
    <col min="2050" max="2050" width="17.25" style="184" bestFit="1" customWidth="1"/>
    <col min="2051" max="2052" width="20.5" style="184" bestFit="1" customWidth="1"/>
    <col min="2053" max="2053" width="0" style="184" hidden="1" customWidth="1"/>
    <col min="2054" max="2054" width="18.375" style="184" bestFit="1" customWidth="1"/>
    <col min="2055" max="2056" width="0" style="184" hidden="1" customWidth="1"/>
    <col min="2057" max="2300" width="9" style="184"/>
    <col min="2301" max="2301" width="6.625" style="184" customWidth="1"/>
    <col min="2302" max="2303" width="21.625" style="184" customWidth="1"/>
    <col min="2304" max="2304" width="16.125" style="184" bestFit="1" customWidth="1"/>
    <col min="2305" max="2305" width="13.875" style="184" bestFit="1" customWidth="1"/>
    <col min="2306" max="2306" width="17.25" style="184" bestFit="1" customWidth="1"/>
    <col min="2307" max="2308" width="20.5" style="184" bestFit="1" customWidth="1"/>
    <col min="2309" max="2309" width="0" style="184" hidden="1" customWidth="1"/>
    <col min="2310" max="2310" width="18.375" style="184" bestFit="1" customWidth="1"/>
    <col min="2311" max="2312" width="0" style="184" hidden="1" customWidth="1"/>
    <col min="2313" max="2556" width="9" style="184"/>
    <col min="2557" max="2557" width="6.625" style="184" customWidth="1"/>
    <col min="2558" max="2559" width="21.625" style="184" customWidth="1"/>
    <col min="2560" max="2560" width="16.125" style="184" bestFit="1" customWidth="1"/>
    <col min="2561" max="2561" width="13.875" style="184" bestFit="1" customWidth="1"/>
    <col min="2562" max="2562" width="17.25" style="184" bestFit="1" customWidth="1"/>
    <col min="2563" max="2564" width="20.5" style="184" bestFit="1" customWidth="1"/>
    <col min="2565" max="2565" width="0" style="184" hidden="1" customWidth="1"/>
    <col min="2566" max="2566" width="18.375" style="184" bestFit="1" customWidth="1"/>
    <col min="2567" max="2568" width="0" style="184" hidden="1" customWidth="1"/>
    <col min="2569" max="2812" width="9" style="184"/>
    <col min="2813" max="2813" width="6.625" style="184" customWidth="1"/>
    <col min="2814" max="2815" width="21.625" style="184" customWidth="1"/>
    <col min="2816" max="2816" width="16.125" style="184" bestFit="1" customWidth="1"/>
    <col min="2817" max="2817" width="13.875" style="184" bestFit="1" customWidth="1"/>
    <col min="2818" max="2818" width="17.25" style="184" bestFit="1" customWidth="1"/>
    <col min="2819" max="2820" width="20.5" style="184" bestFit="1" customWidth="1"/>
    <col min="2821" max="2821" width="0" style="184" hidden="1" customWidth="1"/>
    <col min="2822" max="2822" width="18.375" style="184" bestFit="1" customWidth="1"/>
    <col min="2823" max="2824" width="0" style="184" hidden="1" customWidth="1"/>
    <col min="2825" max="3068" width="9" style="184"/>
    <col min="3069" max="3069" width="6.625" style="184" customWidth="1"/>
    <col min="3070" max="3071" width="21.625" style="184" customWidth="1"/>
    <col min="3072" max="3072" width="16.125" style="184" bestFit="1" customWidth="1"/>
    <col min="3073" max="3073" width="13.875" style="184" bestFit="1" customWidth="1"/>
    <col min="3074" max="3074" width="17.25" style="184" bestFit="1" customWidth="1"/>
    <col min="3075" max="3076" width="20.5" style="184" bestFit="1" customWidth="1"/>
    <col min="3077" max="3077" width="0" style="184" hidden="1" customWidth="1"/>
    <col min="3078" max="3078" width="18.375" style="184" bestFit="1" customWidth="1"/>
    <col min="3079" max="3080" width="0" style="184" hidden="1" customWidth="1"/>
    <col min="3081" max="3324" width="9" style="184"/>
    <col min="3325" max="3325" width="6.625" style="184" customWidth="1"/>
    <col min="3326" max="3327" width="21.625" style="184" customWidth="1"/>
    <col min="3328" max="3328" width="16.125" style="184" bestFit="1" customWidth="1"/>
    <col min="3329" max="3329" width="13.875" style="184" bestFit="1" customWidth="1"/>
    <col min="3330" max="3330" width="17.25" style="184" bestFit="1" customWidth="1"/>
    <col min="3331" max="3332" width="20.5" style="184" bestFit="1" customWidth="1"/>
    <col min="3333" max="3333" width="0" style="184" hidden="1" customWidth="1"/>
    <col min="3334" max="3334" width="18.375" style="184" bestFit="1" customWidth="1"/>
    <col min="3335" max="3336" width="0" style="184" hidden="1" customWidth="1"/>
    <col min="3337" max="3580" width="9" style="184"/>
    <col min="3581" max="3581" width="6.625" style="184" customWidth="1"/>
    <col min="3582" max="3583" width="21.625" style="184" customWidth="1"/>
    <col min="3584" max="3584" width="16.125" style="184" bestFit="1" customWidth="1"/>
    <col min="3585" max="3585" width="13.875" style="184" bestFit="1" customWidth="1"/>
    <col min="3586" max="3586" width="17.25" style="184" bestFit="1" customWidth="1"/>
    <col min="3587" max="3588" width="20.5" style="184" bestFit="1" customWidth="1"/>
    <col min="3589" max="3589" width="0" style="184" hidden="1" customWidth="1"/>
    <col min="3590" max="3590" width="18.375" style="184" bestFit="1" customWidth="1"/>
    <col min="3591" max="3592" width="0" style="184" hidden="1" customWidth="1"/>
    <col min="3593" max="3836" width="9" style="184"/>
    <col min="3837" max="3837" width="6.625" style="184" customWidth="1"/>
    <col min="3838" max="3839" width="21.625" style="184" customWidth="1"/>
    <col min="3840" max="3840" width="16.125" style="184" bestFit="1" customWidth="1"/>
    <col min="3841" max="3841" width="13.875" style="184" bestFit="1" customWidth="1"/>
    <col min="3842" max="3842" width="17.25" style="184" bestFit="1" customWidth="1"/>
    <col min="3843" max="3844" width="20.5" style="184" bestFit="1" customWidth="1"/>
    <col min="3845" max="3845" width="0" style="184" hidden="1" customWidth="1"/>
    <col min="3846" max="3846" width="18.375" style="184" bestFit="1" customWidth="1"/>
    <col min="3847" max="3848" width="0" style="184" hidden="1" customWidth="1"/>
    <col min="3849" max="4092" width="9" style="184"/>
    <col min="4093" max="4093" width="6.625" style="184" customWidth="1"/>
    <col min="4094" max="4095" width="21.625" style="184" customWidth="1"/>
    <col min="4096" max="4096" width="16.125" style="184" bestFit="1" customWidth="1"/>
    <col min="4097" max="4097" width="13.875" style="184" bestFit="1" customWidth="1"/>
    <col min="4098" max="4098" width="17.25" style="184" bestFit="1" customWidth="1"/>
    <col min="4099" max="4100" width="20.5" style="184" bestFit="1" customWidth="1"/>
    <col min="4101" max="4101" width="0" style="184" hidden="1" customWidth="1"/>
    <col min="4102" max="4102" width="18.375" style="184" bestFit="1" customWidth="1"/>
    <col min="4103" max="4104" width="0" style="184" hidden="1" customWidth="1"/>
    <col min="4105" max="4348" width="9" style="184"/>
    <col min="4349" max="4349" width="6.625" style="184" customWidth="1"/>
    <col min="4350" max="4351" width="21.625" style="184" customWidth="1"/>
    <col min="4352" max="4352" width="16.125" style="184" bestFit="1" customWidth="1"/>
    <col min="4353" max="4353" width="13.875" style="184" bestFit="1" customWidth="1"/>
    <col min="4354" max="4354" width="17.25" style="184" bestFit="1" customWidth="1"/>
    <col min="4355" max="4356" width="20.5" style="184" bestFit="1" customWidth="1"/>
    <col min="4357" max="4357" width="0" style="184" hidden="1" customWidth="1"/>
    <col min="4358" max="4358" width="18.375" style="184" bestFit="1" customWidth="1"/>
    <col min="4359" max="4360" width="0" style="184" hidden="1" customWidth="1"/>
    <col min="4361" max="4604" width="9" style="184"/>
    <col min="4605" max="4605" width="6.625" style="184" customWidth="1"/>
    <col min="4606" max="4607" width="21.625" style="184" customWidth="1"/>
    <col min="4608" max="4608" width="16.125" style="184" bestFit="1" customWidth="1"/>
    <col min="4609" max="4609" width="13.875" style="184" bestFit="1" customWidth="1"/>
    <col min="4610" max="4610" width="17.25" style="184" bestFit="1" customWidth="1"/>
    <col min="4611" max="4612" width="20.5" style="184" bestFit="1" customWidth="1"/>
    <col min="4613" max="4613" width="0" style="184" hidden="1" customWidth="1"/>
    <col min="4614" max="4614" width="18.375" style="184" bestFit="1" customWidth="1"/>
    <col min="4615" max="4616" width="0" style="184" hidden="1" customWidth="1"/>
    <col min="4617" max="4860" width="9" style="184"/>
    <col min="4861" max="4861" width="6.625" style="184" customWidth="1"/>
    <col min="4862" max="4863" width="21.625" style="184" customWidth="1"/>
    <col min="4864" max="4864" width="16.125" style="184" bestFit="1" customWidth="1"/>
    <col min="4865" max="4865" width="13.875" style="184" bestFit="1" customWidth="1"/>
    <col min="4866" max="4866" width="17.25" style="184" bestFit="1" customWidth="1"/>
    <col min="4867" max="4868" width="20.5" style="184" bestFit="1" customWidth="1"/>
    <col min="4869" max="4869" width="0" style="184" hidden="1" customWidth="1"/>
    <col min="4870" max="4870" width="18.375" style="184" bestFit="1" customWidth="1"/>
    <col min="4871" max="4872" width="0" style="184" hidden="1" customWidth="1"/>
    <col min="4873" max="5116" width="9" style="184"/>
    <col min="5117" max="5117" width="6.625" style="184" customWidth="1"/>
    <col min="5118" max="5119" width="21.625" style="184" customWidth="1"/>
    <col min="5120" max="5120" width="16.125" style="184" bestFit="1" customWidth="1"/>
    <col min="5121" max="5121" width="13.875" style="184" bestFit="1" customWidth="1"/>
    <col min="5122" max="5122" width="17.25" style="184" bestFit="1" customWidth="1"/>
    <col min="5123" max="5124" width="20.5" style="184" bestFit="1" customWidth="1"/>
    <col min="5125" max="5125" width="0" style="184" hidden="1" customWidth="1"/>
    <col min="5126" max="5126" width="18.375" style="184" bestFit="1" customWidth="1"/>
    <col min="5127" max="5128" width="0" style="184" hidden="1" customWidth="1"/>
    <col min="5129" max="5372" width="9" style="184"/>
    <col min="5373" max="5373" width="6.625" style="184" customWidth="1"/>
    <col min="5374" max="5375" width="21.625" style="184" customWidth="1"/>
    <col min="5376" max="5376" width="16.125" style="184" bestFit="1" customWidth="1"/>
    <col min="5377" max="5377" width="13.875" style="184" bestFit="1" customWidth="1"/>
    <col min="5378" max="5378" width="17.25" style="184" bestFit="1" customWidth="1"/>
    <col min="5379" max="5380" width="20.5" style="184" bestFit="1" customWidth="1"/>
    <col min="5381" max="5381" width="0" style="184" hidden="1" customWidth="1"/>
    <col min="5382" max="5382" width="18.375" style="184" bestFit="1" customWidth="1"/>
    <col min="5383" max="5384" width="0" style="184" hidden="1" customWidth="1"/>
    <col min="5385" max="5628" width="9" style="184"/>
    <col min="5629" max="5629" width="6.625" style="184" customWidth="1"/>
    <col min="5630" max="5631" width="21.625" style="184" customWidth="1"/>
    <col min="5632" max="5632" width="16.125" style="184" bestFit="1" customWidth="1"/>
    <col min="5633" max="5633" width="13.875" style="184" bestFit="1" customWidth="1"/>
    <col min="5634" max="5634" width="17.25" style="184" bestFit="1" customWidth="1"/>
    <col min="5635" max="5636" width="20.5" style="184" bestFit="1" customWidth="1"/>
    <col min="5637" max="5637" width="0" style="184" hidden="1" customWidth="1"/>
    <col min="5638" max="5638" width="18.375" style="184" bestFit="1" customWidth="1"/>
    <col min="5639" max="5640" width="0" style="184" hidden="1" customWidth="1"/>
    <col min="5641" max="5884" width="9" style="184"/>
    <col min="5885" max="5885" width="6.625" style="184" customWidth="1"/>
    <col min="5886" max="5887" width="21.625" style="184" customWidth="1"/>
    <col min="5888" max="5888" width="16.125" style="184" bestFit="1" customWidth="1"/>
    <col min="5889" max="5889" width="13.875" style="184" bestFit="1" customWidth="1"/>
    <col min="5890" max="5890" width="17.25" style="184" bestFit="1" customWidth="1"/>
    <col min="5891" max="5892" width="20.5" style="184" bestFit="1" customWidth="1"/>
    <col min="5893" max="5893" width="0" style="184" hidden="1" customWidth="1"/>
    <col min="5894" max="5894" width="18.375" style="184" bestFit="1" customWidth="1"/>
    <col min="5895" max="5896" width="0" style="184" hidden="1" customWidth="1"/>
    <col min="5897" max="6140" width="9" style="184"/>
    <col min="6141" max="6141" width="6.625" style="184" customWidth="1"/>
    <col min="6142" max="6143" width="21.625" style="184" customWidth="1"/>
    <col min="6144" max="6144" width="16.125" style="184" bestFit="1" customWidth="1"/>
    <col min="6145" max="6145" width="13.875" style="184" bestFit="1" customWidth="1"/>
    <col min="6146" max="6146" width="17.25" style="184" bestFit="1" customWidth="1"/>
    <col min="6147" max="6148" width="20.5" style="184" bestFit="1" customWidth="1"/>
    <col min="6149" max="6149" width="0" style="184" hidden="1" customWidth="1"/>
    <col min="6150" max="6150" width="18.375" style="184" bestFit="1" customWidth="1"/>
    <col min="6151" max="6152" width="0" style="184" hidden="1" customWidth="1"/>
    <col min="6153" max="6396" width="9" style="184"/>
    <col min="6397" max="6397" width="6.625" style="184" customWidth="1"/>
    <col min="6398" max="6399" width="21.625" style="184" customWidth="1"/>
    <col min="6400" max="6400" width="16.125" style="184" bestFit="1" customWidth="1"/>
    <col min="6401" max="6401" width="13.875" style="184" bestFit="1" customWidth="1"/>
    <col min="6402" max="6402" width="17.25" style="184" bestFit="1" customWidth="1"/>
    <col min="6403" max="6404" width="20.5" style="184" bestFit="1" customWidth="1"/>
    <col min="6405" max="6405" width="0" style="184" hidden="1" customWidth="1"/>
    <col min="6406" max="6406" width="18.375" style="184" bestFit="1" customWidth="1"/>
    <col min="6407" max="6408" width="0" style="184" hidden="1" customWidth="1"/>
    <col min="6409" max="6652" width="9" style="184"/>
    <col min="6653" max="6653" width="6.625" style="184" customWidth="1"/>
    <col min="6654" max="6655" width="21.625" style="184" customWidth="1"/>
    <col min="6656" max="6656" width="16.125" style="184" bestFit="1" customWidth="1"/>
    <col min="6657" max="6657" width="13.875" style="184" bestFit="1" customWidth="1"/>
    <col min="6658" max="6658" width="17.25" style="184" bestFit="1" customWidth="1"/>
    <col min="6659" max="6660" width="20.5" style="184" bestFit="1" customWidth="1"/>
    <col min="6661" max="6661" width="0" style="184" hidden="1" customWidth="1"/>
    <col min="6662" max="6662" width="18.375" style="184" bestFit="1" customWidth="1"/>
    <col min="6663" max="6664" width="0" style="184" hidden="1" customWidth="1"/>
    <col min="6665" max="6908" width="9" style="184"/>
    <col min="6909" max="6909" width="6.625" style="184" customWidth="1"/>
    <col min="6910" max="6911" width="21.625" style="184" customWidth="1"/>
    <col min="6912" max="6912" width="16.125" style="184" bestFit="1" customWidth="1"/>
    <col min="6913" max="6913" width="13.875" style="184" bestFit="1" customWidth="1"/>
    <col min="6914" max="6914" width="17.25" style="184" bestFit="1" customWidth="1"/>
    <col min="6915" max="6916" width="20.5" style="184" bestFit="1" customWidth="1"/>
    <col min="6917" max="6917" width="0" style="184" hidden="1" customWidth="1"/>
    <col min="6918" max="6918" width="18.375" style="184" bestFit="1" customWidth="1"/>
    <col min="6919" max="6920" width="0" style="184" hidden="1" customWidth="1"/>
    <col min="6921" max="7164" width="9" style="184"/>
    <col min="7165" max="7165" width="6.625" style="184" customWidth="1"/>
    <col min="7166" max="7167" width="21.625" style="184" customWidth="1"/>
    <col min="7168" max="7168" width="16.125" style="184" bestFit="1" customWidth="1"/>
    <col min="7169" max="7169" width="13.875" style="184" bestFit="1" customWidth="1"/>
    <col min="7170" max="7170" width="17.25" style="184" bestFit="1" customWidth="1"/>
    <col min="7171" max="7172" width="20.5" style="184" bestFit="1" customWidth="1"/>
    <col min="7173" max="7173" width="0" style="184" hidden="1" customWidth="1"/>
    <col min="7174" max="7174" width="18.375" style="184" bestFit="1" customWidth="1"/>
    <col min="7175" max="7176" width="0" style="184" hidden="1" customWidth="1"/>
    <col min="7177" max="7420" width="9" style="184"/>
    <col min="7421" max="7421" width="6.625" style="184" customWidth="1"/>
    <col min="7422" max="7423" width="21.625" style="184" customWidth="1"/>
    <col min="7424" max="7424" width="16.125" style="184" bestFit="1" customWidth="1"/>
    <col min="7425" max="7425" width="13.875" style="184" bestFit="1" customWidth="1"/>
    <col min="7426" max="7426" width="17.25" style="184" bestFit="1" customWidth="1"/>
    <col min="7427" max="7428" width="20.5" style="184" bestFit="1" customWidth="1"/>
    <col min="7429" max="7429" width="0" style="184" hidden="1" customWidth="1"/>
    <col min="7430" max="7430" width="18.375" style="184" bestFit="1" customWidth="1"/>
    <col min="7431" max="7432" width="0" style="184" hidden="1" customWidth="1"/>
    <col min="7433" max="7676" width="9" style="184"/>
    <col min="7677" max="7677" width="6.625" style="184" customWidth="1"/>
    <col min="7678" max="7679" width="21.625" style="184" customWidth="1"/>
    <col min="7680" max="7680" width="16.125" style="184" bestFit="1" customWidth="1"/>
    <col min="7681" max="7681" width="13.875" style="184" bestFit="1" customWidth="1"/>
    <col min="7682" max="7682" width="17.25" style="184" bestFit="1" customWidth="1"/>
    <col min="7683" max="7684" width="20.5" style="184" bestFit="1" customWidth="1"/>
    <col min="7685" max="7685" width="0" style="184" hidden="1" customWidth="1"/>
    <col min="7686" max="7686" width="18.375" style="184" bestFit="1" customWidth="1"/>
    <col min="7687" max="7688" width="0" style="184" hidden="1" customWidth="1"/>
    <col min="7689" max="7932" width="9" style="184"/>
    <col min="7933" max="7933" width="6.625" style="184" customWidth="1"/>
    <col min="7934" max="7935" width="21.625" style="184" customWidth="1"/>
    <col min="7936" max="7936" width="16.125" style="184" bestFit="1" customWidth="1"/>
    <col min="7937" max="7937" width="13.875" style="184" bestFit="1" customWidth="1"/>
    <col min="7938" max="7938" width="17.25" style="184" bestFit="1" customWidth="1"/>
    <col min="7939" max="7940" width="20.5" style="184" bestFit="1" customWidth="1"/>
    <col min="7941" max="7941" width="0" style="184" hidden="1" customWidth="1"/>
    <col min="7942" max="7942" width="18.375" style="184" bestFit="1" customWidth="1"/>
    <col min="7943" max="7944" width="0" style="184" hidden="1" customWidth="1"/>
    <col min="7945" max="8188" width="9" style="184"/>
    <col min="8189" max="8189" width="6.625" style="184" customWidth="1"/>
    <col min="8190" max="8191" width="21.625" style="184" customWidth="1"/>
    <col min="8192" max="8192" width="16.125" style="184" bestFit="1" customWidth="1"/>
    <col min="8193" max="8193" width="13.875" style="184" bestFit="1" customWidth="1"/>
    <col min="8194" max="8194" width="17.25" style="184" bestFit="1" customWidth="1"/>
    <col min="8195" max="8196" width="20.5" style="184" bestFit="1" customWidth="1"/>
    <col min="8197" max="8197" width="0" style="184" hidden="1" customWidth="1"/>
    <col min="8198" max="8198" width="18.375" style="184" bestFit="1" customWidth="1"/>
    <col min="8199" max="8200" width="0" style="184" hidden="1" customWidth="1"/>
    <col min="8201" max="8444" width="9" style="184"/>
    <col min="8445" max="8445" width="6.625" style="184" customWidth="1"/>
    <col min="8446" max="8447" width="21.625" style="184" customWidth="1"/>
    <col min="8448" max="8448" width="16.125" style="184" bestFit="1" customWidth="1"/>
    <col min="8449" max="8449" width="13.875" style="184" bestFit="1" customWidth="1"/>
    <col min="8450" max="8450" width="17.25" style="184" bestFit="1" customWidth="1"/>
    <col min="8451" max="8452" width="20.5" style="184" bestFit="1" customWidth="1"/>
    <col min="8453" max="8453" width="0" style="184" hidden="1" customWidth="1"/>
    <col min="8454" max="8454" width="18.375" style="184" bestFit="1" customWidth="1"/>
    <col min="8455" max="8456" width="0" style="184" hidden="1" customWidth="1"/>
    <col min="8457" max="8700" width="9" style="184"/>
    <col min="8701" max="8701" width="6.625" style="184" customWidth="1"/>
    <col min="8702" max="8703" width="21.625" style="184" customWidth="1"/>
    <col min="8704" max="8704" width="16.125" style="184" bestFit="1" customWidth="1"/>
    <col min="8705" max="8705" width="13.875" style="184" bestFit="1" customWidth="1"/>
    <col min="8706" max="8706" width="17.25" style="184" bestFit="1" customWidth="1"/>
    <col min="8707" max="8708" width="20.5" style="184" bestFit="1" customWidth="1"/>
    <col min="8709" max="8709" width="0" style="184" hidden="1" customWidth="1"/>
    <col min="8710" max="8710" width="18.375" style="184" bestFit="1" customWidth="1"/>
    <col min="8711" max="8712" width="0" style="184" hidden="1" customWidth="1"/>
    <col min="8713" max="8956" width="9" style="184"/>
    <col min="8957" max="8957" width="6.625" style="184" customWidth="1"/>
    <col min="8958" max="8959" width="21.625" style="184" customWidth="1"/>
    <col min="8960" max="8960" width="16.125" style="184" bestFit="1" customWidth="1"/>
    <col min="8961" max="8961" width="13.875" style="184" bestFit="1" customWidth="1"/>
    <col min="8962" max="8962" width="17.25" style="184" bestFit="1" customWidth="1"/>
    <col min="8963" max="8964" width="20.5" style="184" bestFit="1" customWidth="1"/>
    <col min="8965" max="8965" width="0" style="184" hidden="1" customWidth="1"/>
    <col min="8966" max="8966" width="18.375" style="184" bestFit="1" customWidth="1"/>
    <col min="8967" max="8968" width="0" style="184" hidden="1" customWidth="1"/>
    <col min="8969" max="9212" width="9" style="184"/>
    <col min="9213" max="9213" width="6.625" style="184" customWidth="1"/>
    <col min="9214" max="9215" width="21.625" style="184" customWidth="1"/>
    <col min="9216" max="9216" width="16.125" style="184" bestFit="1" customWidth="1"/>
    <col min="9217" max="9217" width="13.875" style="184" bestFit="1" customWidth="1"/>
    <col min="9218" max="9218" width="17.25" style="184" bestFit="1" customWidth="1"/>
    <col min="9219" max="9220" width="20.5" style="184" bestFit="1" customWidth="1"/>
    <col min="9221" max="9221" width="0" style="184" hidden="1" customWidth="1"/>
    <col min="9222" max="9222" width="18.375" style="184" bestFit="1" customWidth="1"/>
    <col min="9223" max="9224" width="0" style="184" hidden="1" customWidth="1"/>
    <col min="9225" max="9468" width="9" style="184"/>
    <col min="9469" max="9469" width="6.625" style="184" customWidth="1"/>
    <col min="9470" max="9471" width="21.625" style="184" customWidth="1"/>
    <col min="9472" max="9472" width="16.125" style="184" bestFit="1" customWidth="1"/>
    <col min="9473" max="9473" width="13.875" style="184" bestFit="1" customWidth="1"/>
    <col min="9474" max="9474" width="17.25" style="184" bestFit="1" customWidth="1"/>
    <col min="9475" max="9476" width="20.5" style="184" bestFit="1" customWidth="1"/>
    <col min="9477" max="9477" width="0" style="184" hidden="1" customWidth="1"/>
    <col min="9478" max="9478" width="18.375" style="184" bestFit="1" customWidth="1"/>
    <col min="9479" max="9480" width="0" style="184" hidden="1" customWidth="1"/>
    <col min="9481" max="9724" width="9" style="184"/>
    <col min="9725" max="9725" width="6.625" style="184" customWidth="1"/>
    <col min="9726" max="9727" width="21.625" style="184" customWidth="1"/>
    <col min="9728" max="9728" width="16.125" style="184" bestFit="1" customWidth="1"/>
    <col min="9729" max="9729" width="13.875" style="184" bestFit="1" customWidth="1"/>
    <col min="9730" max="9730" width="17.25" style="184" bestFit="1" customWidth="1"/>
    <col min="9731" max="9732" width="20.5" style="184" bestFit="1" customWidth="1"/>
    <col min="9733" max="9733" width="0" style="184" hidden="1" customWidth="1"/>
    <col min="9734" max="9734" width="18.375" style="184" bestFit="1" customWidth="1"/>
    <col min="9735" max="9736" width="0" style="184" hidden="1" customWidth="1"/>
    <col min="9737" max="9980" width="9" style="184"/>
    <col min="9981" max="9981" width="6.625" style="184" customWidth="1"/>
    <col min="9982" max="9983" width="21.625" style="184" customWidth="1"/>
    <col min="9984" max="9984" width="16.125" style="184" bestFit="1" customWidth="1"/>
    <col min="9985" max="9985" width="13.875" style="184" bestFit="1" customWidth="1"/>
    <col min="9986" max="9986" width="17.25" style="184" bestFit="1" customWidth="1"/>
    <col min="9987" max="9988" width="20.5" style="184" bestFit="1" customWidth="1"/>
    <col min="9989" max="9989" width="0" style="184" hidden="1" customWidth="1"/>
    <col min="9990" max="9990" width="18.375" style="184" bestFit="1" customWidth="1"/>
    <col min="9991" max="9992" width="0" style="184" hidden="1" customWidth="1"/>
    <col min="9993" max="10236" width="9" style="184"/>
    <col min="10237" max="10237" width="6.625" style="184" customWidth="1"/>
    <col min="10238" max="10239" width="21.625" style="184" customWidth="1"/>
    <col min="10240" max="10240" width="16.125" style="184" bestFit="1" customWidth="1"/>
    <col min="10241" max="10241" width="13.875" style="184" bestFit="1" customWidth="1"/>
    <col min="10242" max="10242" width="17.25" style="184" bestFit="1" customWidth="1"/>
    <col min="10243" max="10244" width="20.5" style="184" bestFit="1" customWidth="1"/>
    <col min="10245" max="10245" width="0" style="184" hidden="1" customWidth="1"/>
    <col min="10246" max="10246" width="18.375" style="184" bestFit="1" customWidth="1"/>
    <col min="10247" max="10248" width="0" style="184" hidden="1" customWidth="1"/>
    <col min="10249" max="10492" width="9" style="184"/>
    <col min="10493" max="10493" width="6.625" style="184" customWidth="1"/>
    <col min="10494" max="10495" width="21.625" style="184" customWidth="1"/>
    <col min="10496" max="10496" width="16.125" style="184" bestFit="1" customWidth="1"/>
    <col min="10497" max="10497" width="13.875" style="184" bestFit="1" customWidth="1"/>
    <col min="10498" max="10498" width="17.25" style="184" bestFit="1" customWidth="1"/>
    <col min="10499" max="10500" width="20.5" style="184" bestFit="1" customWidth="1"/>
    <col min="10501" max="10501" width="0" style="184" hidden="1" customWidth="1"/>
    <col min="10502" max="10502" width="18.375" style="184" bestFit="1" customWidth="1"/>
    <col min="10503" max="10504" width="0" style="184" hidden="1" customWidth="1"/>
    <col min="10505" max="10748" width="9" style="184"/>
    <col min="10749" max="10749" width="6.625" style="184" customWidth="1"/>
    <col min="10750" max="10751" width="21.625" style="184" customWidth="1"/>
    <col min="10752" max="10752" width="16.125" style="184" bestFit="1" customWidth="1"/>
    <col min="10753" max="10753" width="13.875" style="184" bestFit="1" customWidth="1"/>
    <col min="10754" max="10754" width="17.25" style="184" bestFit="1" customWidth="1"/>
    <col min="10755" max="10756" width="20.5" style="184" bestFit="1" customWidth="1"/>
    <col min="10757" max="10757" width="0" style="184" hidden="1" customWidth="1"/>
    <col min="10758" max="10758" width="18.375" style="184" bestFit="1" customWidth="1"/>
    <col min="10759" max="10760" width="0" style="184" hidden="1" customWidth="1"/>
    <col min="10761" max="11004" width="9" style="184"/>
    <col min="11005" max="11005" width="6.625" style="184" customWidth="1"/>
    <col min="11006" max="11007" width="21.625" style="184" customWidth="1"/>
    <col min="11008" max="11008" width="16.125" style="184" bestFit="1" customWidth="1"/>
    <col min="11009" max="11009" width="13.875" style="184" bestFit="1" customWidth="1"/>
    <col min="11010" max="11010" width="17.25" style="184" bestFit="1" customWidth="1"/>
    <col min="11011" max="11012" width="20.5" style="184" bestFit="1" customWidth="1"/>
    <col min="11013" max="11013" width="0" style="184" hidden="1" customWidth="1"/>
    <col min="11014" max="11014" width="18.375" style="184" bestFit="1" customWidth="1"/>
    <col min="11015" max="11016" width="0" style="184" hidden="1" customWidth="1"/>
    <col min="11017" max="11260" width="9" style="184"/>
    <col min="11261" max="11261" width="6.625" style="184" customWidth="1"/>
    <col min="11262" max="11263" width="21.625" style="184" customWidth="1"/>
    <col min="11264" max="11264" width="16.125" style="184" bestFit="1" customWidth="1"/>
    <col min="11265" max="11265" width="13.875" style="184" bestFit="1" customWidth="1"/>
    <col min="11266" max="11266" width="17.25" style="184" bestFit="1" customWidth="1"/>
    <col min="11267" max="11268" width="20.5" style="184" bestFit="1" customWidth="1"/>
    <col min="11269" max="11269" width="0" style="184" hidden="1" customWidth="1"/>
    <col min="11270" max="11270" width="18.375" style="184" bestFit="1" customWidth="1"/>
    <col min="11271" max="11272" width="0" style="184" hidden="1" customWidth="1"/>
    <col min="11273" max="11516" width="9" style="184"/>
    <col min="11517" max="11517" width="6.625" style="184" customWidth="1"/>
    <col min="11518" max="11519" width="21.625" style="184" customWidth="1"/>
    <col min="11520" max="11520" width="16.125" style="184" bestFit="1" customWidth="1"/>
    <col min="11521" max="11521" width="13.875" style="184" bestFit="1" customWidth="1"/>
    <col min="11522" max="11522" width="17.25" style="184" bestFit="1" customWidth="1"/>
    <col min="11523" max="11524" width="20.5" style="184" bestFit="1" customWidth="1"/>
    <col min="11525" max="11525" width="0" style="184" hidden="1" customWidth="1"/>
    <col min="11526" max="11526" width="18.375" style="184" bestFit="1" customWidth="1"/>
    <col min="11527" max="11528" width="0" style="184" hidden="1" customWidth="1"/>
    <col min="11529" max="11772" width="9" style="184"/>
    <col min="11773" max="11773" width="6.625" style="184" customWidth="1"/>
    <col min="11774" max="11775" width="21.625" style="184" customWidth="1"/>
    <col min="11776" max="11776" width="16.125" style="184" bestFit="1" customWidth="1"/>
    <col min="11777" max="11777" width="13.875" style="184" bestFit="1" customWidth="1"/>
    <col min="11778" max="11778" width="17.25" style="184" bestFit="1" customWidth="1"/>
    <col min="11779" max="11780" width="20.5" style="184" bestFit="1" customWidth="1"/>
    <col min="11781" max="11781" width="0" style="184" hidden="1" customWidth="1"/>
    <col min="11782" max="11782" width="18.375" style="184" bestFit="1" customWidth="1"/>
    <col min="11783" max="11784" width="0" style="184" hidden="1" customWidth="1"/>
    <col min="11785" max="12028" width="9" style="184"/>
    <col min="12029" max="12029" width="6.625" style="184" customWidth="1"/>
    <col min="12030" max="12031" width="21.625" style="184" customWidth="1"/>
    <col min="12032" max="12032" width="16.125" style="184" bestFit="1" customWidth="1"/>
    <col min="12033" max="12033" width="13.875" style="184" bestFit="1" customWidth="1"/>
    <col min="12034" max="12034" width="17.25" style="184" bestFit="1" customWidth="1"/>
    <col min="12035" max="12036" width="20.5" style="184" bestFit="1" customWidth="1"/>
    <col min="12037" max="12037" width="0" style="184" hidden="1" customWidth="1"/>
    <col min="12038" max="12038" width="18.375" style="184" bestFit="1" customWidth="1"/>
    <col min="12039" max="12040" width="0" style="184" hidden="1" customWidth="1"/>
    <col min="12041" max="12284" width="9" style="184"/>
    <col min="12285" max="12285" width="6.625" style="184" customWidth="1"/>
    <col min="12286" max="12287" width="21.625" style="184" customWidth="1"/>
    <col min="12288" max="12288" width="16.125" style="184" bestFit="1" customWidth="1"/>
    <col min="12289" max="12289" width="13.875" style="184" bestFit="1" customWidth="1"/>
    <col min="12290" max="12290" width="17.25" style="184" bestFit="1" customWidth="1"/>
    <col min="12291" max="12292" width="20.5" style="184" bestFit="1" customWidth="1"/>
    <col min="12293" max="12293" width="0" style="184" hidden="1" customWidth="1"/>
    <col min="12294" max="12294" width="18.375" style="184" bestFit="1" customWidth="1"/>
    <col min="12295" max="12296" width="0" style="184" hidden="1" customWidth="1"/>
    <col min="12297" max="12540" width="9" style="184"/>
    <col min="12541" max="12541" width="6.625" style="184" customWidth="1"/>
    <col min="12542" max="12543" width="21.625" style="184" customWidth="1"/>
    <col min="12544" max="12544" width="16.125" style="184" bestFit="1" customWidth="1"/>
    <col min="12545" max="12545" width="13.875" style="184" bestFit="1" customWidth="1"/>
    <col min="12546" max="12546" width="17.25" style="184" bestFit="1" customWidth="1"/>
    <col min="12547" max="12548" width="20.5" style="184" bestFit="1" customWidth="1"/>
    <col min="12549" max="12549" width="0" style="184" hidden="1" customWidth="1"/>
    <col min="12550" max="12550" width="18.375" style="184" bestFit="1" customWidth="1"/>
    <col min="12551" max="12552" width="0" style="184" hidden="1" customWidth="1"/>
    <col min="12553" max="12796" width="9" style="184"/>
    <col min="12797" max="12797" width="6.625" style="184" customWidth="1"/>
    <col min="12798" max="12799" width="21.625" style="184" customWidth="1"/>
    <col min="12800" max="12800" width="16.125" style="184" bestFit="1" customWidth="1"/>
    <col min="12801" max="12801" width="13.875" style="184" bestFit="1" customWidth="1"/>
    <col min="12802" max="12802" width="17.25" style="184" bestFit="1" customWidth="1"/>
    <col min="12803" max="12804" width="20.5" style="184" bestFit="1" customWidth="1"/>
    <col min="12805" max="12805" width="0" style="184" hidden="1" customWidth="1"/>
    <col min="12806" max="12806" width="18.375" style="184" bestFit="1" customWidth="1"/>
    <col min="12807" max="12808" width="0" style="184" hidden="1" customWidth="1"/>
    <col min="12809" max="13052" width="9" style="184"/>
    <col min="13053" max="13053" width="6.625" style="184" customWidth="1"/>
    <col min="13054" max="13055" width="21.625" style="184" customWidth="1"/>
    <col min="13056" max="13056" width="16.125" style="184" bestFit="1" customWidth="1"/>
    <col min="13057" max="13057" width="13.875" style="184" bestFit="1" customWidth="1"/>
    <col min="13058" max="13058" width="17.25" style="184" bestFit="1" customWidth="1"/>
    <col min="13059" max="13060" width="20.5" style="184" bestFit="1" customWidth="1"/>
    <col min="13061" max="13061" width="0" style="184" hidden="1" customWidth="1"/>
    <col min="13062" max="13062" width="18.375" style="184" bestFit="1" customWidth="1"/>
    <col min="13063" max="13064" width="0" style="184" hidden="1" customWidth="1"/>
    <col min="13065" max="13308" width="9" style="184"/>
    <col min="13309" max="13309" width="6.625" style="184" customWidth="1"/>
    <col min="13310" max="13311" width="21.625" style="184" customWidth="1"/>
    <col min="13312" max="13312" width="16.125" style="184" bestFit="1" customWidth="1"/>
    <col min="13313" max="13313" width="13.875" style="184" bestFit="1" customWidth="1"/>
    <col min="13314" max="13314" width="17.25" style="184" bestFit="1" customWidth="1"/>
    <col min="13315" max="13316" width="20.5" style="184" bestFit="1" customWidth="1"/>
    <col min="13317" max="13317" width="0" style="184" hidden="1" customWidth="1"/>
    <col min="13318" max="13318" width="18.375" style="184" bestFit="1" customWidth="1"/>
    <col min="13319" max="13320" width="0" style="184" hidden="1" customWidth="1"/>
    <col min="13321" max="13564" width="9" style="184"/>
    <col min="13565" max="13565" width="6.625" style="184" customWidth="1"/>
    <col min="13566" max="13567" width="21.625" style="184" customWidth="1"/>
    <col min="13568" max="13568" width="16.125" style="184" bestFit="1" customWidth="1"/>
    <col min="13569" max="13569" width="13.875" style="184" bestFit="1" customWidth="1"/>
    <col min="13570" max="13570" width="17.25" style="184" bestFit="1" customWidth="1"/>
    <col min="13571" max="13572" width="20.5" style="184" bestFit="1" customWidth="1"/>
    <col min="13573" max="13573" width="0" style="184" hidden="1" customWidth="1"/>
    <col min="13574" max="13574" width="18.375" style="184" bestFit="1" customWidth="1"/>
    <col min="13575" max="13576" width="0" style="184" hidden="1" customWidth="1"/>
    <col min="13577" max="13820" width="9" style="184"/>
    <col min="13821" max="13821" width="6.625" style="184" customWidth="1"/>
    <col min="13822" max="13823" width="21.625" style="184" customWidth="1"/>
    <col min="13824" max="13824" width="16.125" style="184" bestFit="1" customWidth="1"/>
    <col min="13825" max="13825" width="13.875" style="184" bestFit="1" customWidth="1"/>
    <col min="13826" max="13826" width="17.25" style="184" bestFit="1" customWidth="1"/>
    <col min="13827" max="13828" width="20.5" style="184" bestFit="1" customWidth="1"/>
    <col min="13829" max="13829" width="0" style="184" hidden="1" customWidth="1"/>
    <col min="13830" max="13830" width="18.375" style="184" bestFit="1" customWidth="1"/>
    <col min="13831" max="13832" width="0" style="184" hidden="1" customWidth="1"/>
    <col min="13833" max="14076" width="9" style="184"/>
    <col min="14077" max="14077" width="6.625" style="184" customWidth="1"/>
    <col min="14078" max="14079" width="21.625" style="184" customWidth="1"/>
    <col min="14080" max="14080" width="16.125" style="184" bestFit="1" customWidth="1"/>
    <col min="14081" max="14081" width="13.875" style="184" bestFit="1" customWidth="1"/>
    <col min="14082" max="14082" width="17.25" style="184" bestFit="1" customWidth="1"/>
    <col min="14083" max="14084" width="20.5" style="184" bestFit="1" customWidth="1"/>
    <col min="14085" max="14085" width="0" style="184" hidden="1" customWidth="1"/>
    <col min="14086" max="14086" width="18.375" style="184" bestFit="1" customWidth="1"/>
    <col min="14087" max="14088" width="0" style="184" hidden="1" customWidth="1"/>
    <col min="14089" max="14332" width="9" style="184"/>
    <col min="14333" max="14333" width="6.625" style="184" customWidth="1"/>
    <col min="14334" max="14335" width="21.625" style="184" customWidth="1"/>
    <col min="14336" max="14336" width="16.125" style="184" bestFit="1" customWidth="1"/>
    <col min="14337" max="14337" width="13.875" style="184" bestFit="1" customWidth="1"/>
    <col min="14338" max="14338" width="17.25" style="184" bestFit="1" customWidth="1"/>
    <col min="14339" max="14340" width="20.5" style="184" bestFit="1" customWidth="1"/>
    <col min="14341" max="14341" width="0" style="184" hidden="1" customWidth="1"/>
    <col min="14342" max="14342" width="18.375" style="184" bestFit="1" customWidth="1"/>
    <col min="14343" max="14344" width="0" style="184" hidden="1" customWidth="1"/>
    <col min="14345" max="14588" width="9" style="184"/>
    <col min="14589" max="14589" width="6.625" style="184" customWidth="1"/>
    <col min="14590" max="14591" width="21.625" style="184" customWidth="1"/>
    <col min="14592" max="14592" width="16.125" style="184" bestFit="1" customWidth="1"/>
    <col min="14593" max="14593" width="13.875" style="184" bestFit="1" customWidth="1"/>
    <col min="14594" max="14594" width="17.25" style="184" bestFit="1" customWidth="1"/>
    <col min="14595" max="14596" width="20.5" style="184" bestFit="1" customWidth="1"/>
    <col min="14597" max="14597" width="0" style="184" hidden="1" customWidth="1"/>
    <col min="14598" max="14598" width="18.375" style="184" bestFit="1" customWidth="1"/>
    <col min="14599" max="14600" width="0" style="184" hidden="1" customWidth="1"/>
    <col min="14601" max="14844" width="9" style="184"/>
    <col min="14845" max="14845" width="6.625" style="184" customWidth="1"/>
    <col min="14846" max="14847" width="21.625" style="184" customWidth="1"/>
    <col min="14848" max="14848" width="16.125" style="184" bestFit="1" customWidth="1"/>
    <col min="14849" max="14849" width="13.875" style="184" bestFit="1" customWidth="1"/>
    <col min="14850" max="14850" width="17.25" style="184" bestFit="1" customWidth="1"/>
    <col min="14851" max="14852" width="20.5" style="184" bestFit="1" customWidth="1"/>
    <col min="14853" max="14853" width="0" style="184" hidden="1" customWidth="1"/>
    <col min="14854" max="14854" width="18.375" style="184" bestFit="1" customWidth="1"/>
    <col min="14855" max="14856" width="0" style="184" hidden="1" customWidth="1"/>
    <col min="14857" max="15100" width="9" style="184"/>
    <col min="15101" max="15101" width="6.625" style="184" customWidth="1"/>
    <col min="15102" max="15103" width="21.625" style="184" customWidth="1"/>
    <col min="15104" max="15104" width="16.125" style="184" bestFit="1" customWidth="1"/>
    <col min="15105" max="15105" width="13.875" style="184" bestFit="1" customWidth="1"/>
    <col min="15106" max="15106" width="17.25" style="184" bestFit="1" customWidth="1"/>
    <col min="15107" max="15108" width="20.5" style="184" bestFit="1" customWidth="1"/>
    <col min="15109" max="15109" width="0" style="184" hidden="1" customWidth="1"/>
    <col min="15110" max="15110" width="18.375" style="184" bestFit="1" customWidth="1"/>
    <col min="15111" max="15112" width="0" style="184" hidden="1" customWidth="1"/>
    <col min="15113" max="15356" width="9" style="184"/>
    <col min="15357" max="15357" width="6.625" style="184" customWidth="1"/>
    <col min="15358" max="15359" width="21.625" style="184" customWidth="1"/>
    <col min="15360" max="15360" width="16.125" style="184" bestFit="1" customWidth="1"/>
    <col min="15361" max="15361" width="13.875" style="184" bestFit="1" customWidth="1"/>
    <col min="15362" max="15362" width="17.25" style="184" bestFit="1" customWidth="1"/>
    <col min="15363" max="15364" width="20.5" style="184" bestFit="1" customWidth="1"/>
    <col min="15365" max="15365" width="0" style="184" hidden="1" customWidth="1"/>
    <col min="15366" max="15366" width="18.375" style="184" bestFit="1" customWidth="1"/>
    <col min="15367" max="15368" width="0" style="184" hidden="1" customWidth="1"/>
    <col min="15369" max="15612" width="9" style="184"/>
    <col min="15613" max="15613" width="6.625" style="184" customWidth="1"/>
    <col min="15614" max="15615" width="21.625" style="184" customWidth="1"/>
    <col min="15616" max="15616" width="16.125" style="184" bestFit="1" customWidth="1"/>
    <col min="15617" max="15617" width="13.875" style="184" bestFit="1" customWidth="1"/>
    <col min="15618" max="15618" width="17.25" style="184" bestFit="1" customWidth="1"/>
    <col min="15619" max="15620" width="20.5" style="184" bestFit="1" customWidth="1"/>
    <col min="15621" max="15621" width="0" style="184" hidden="1" customWidth="1"/>
    <col min="15622" max="15622" width="18.375" style="184" bestFit="1" customWidth="1"/>
    <col min="15623" max="15624" width="0" style="184" hidden="1" customWidth="1"/>
    <col min="15625" max="15868" width="9" style="184"/>
    <col min="15869" max="15869" width="6.625" style="184" customWidth="1"/>
    <col min="15870" max="15871" width="21.625" style="184" customWidth="1"/>
    <col min="15872" max="15872" width="16.125" style="184" bestFit="1" customWidth="1"/>
    <col min="15873" max="15873" width="13.875" style="184" bestFit="1" customWidth="1"/>
    <col min="15874" max="15874" width="17.25" style="184" bestFit="1" customWidth="1"/>
    <col min="15875" max="15876" width="20.5" style="184" bestFit="1" customWidth="1"/>
    <col min="15877" max="15877" width="0" style="184" hidden="1" customWidth="1"/>
    <col min="15878" max="15878" width="18.375" style="184" bestFit="1" customWidth="1"/>
    <col min="15879" max="15880" width="0" style="184" hidden="1" customWidth="1"/>
    <col min="15881" max="16124" width="9" style="184"/>
    <col min="16125" max="16125" width="6.625" style="184" customWidth="1"/>
    <col min="16126" max="16127" width="21.625" style="184" customWidth="1"/>
    <col min="16128" max="16128" width="16.125" style="184" bestFit="1" customWidth="1"/>
    <col min="16129" max="16129" width="13.875" style="184" bestFit="1" customWidth="1"/>
    <col min="16130" max="16130" width="17.25" style="184" bestFit="1" customWidth="1"/>
    <col min="16131" max="16132" width="20.5" style="184" bestFit="1" customWidth="1"/>
    <col min="16133" max="16133" width="0" style="184" hidden="1" customWidth="1"/>
    <col min="16134" max="16134" width="18.375" style="184" bestFit="1" customWidth="1"/>
    <col min="16135" max="16136" width="0" style="184" hidden="1" customWidth="1"/>
    <col min="16137" max="16384" width="9" style="184"/>
  </cols>
  <sheetData>
    <row r="1" spans="1:3" ht="35.1" customHeight="1">
      <c r="A1" s="316" t="s">
        <v>583</v>
      </c>
      <c r="B1" s="317"/>
      <c r="C1" s="317"/>
    </row>
    <row r="2" spans="1:3" ht="35.1" customHeight="1">
      <c r="A2" s="295" t="s">
        <v>579</v>
      </c>
      <c r="B2" s="296"/>
    </row>
    <row r="3" spans="1:3" ht="30" customHeight="1">
      <c r="A3" s="180" t="s">
        <v>573</v>
      </c>
      <c r="B3" s="180" t="s">
        <v>574</v>
      </c>
      <c r="C3" s="181" t="s">
        <v>584</v>
      </c>
    </row>
    <row r="4" spans="1:3" ht="30" customHeight="1">
      <c r="A4" s="180">
        <v>1</v>
      </c>
      <c r="B4" s="180" t="s">
        <v>575</v>
      </c>
      <c r="C4" s="182">
        <f>扩班设备!K33</f>
        <v>733800</v>
      </c>
    </row>
    <row r="5" spans="1:3" ht="30" customHeight="1">
      <c r="A5" s="186">
        <v>2</v>
      </c>
      <c r="B5" s="186" t="s">
        <v>714</v>
      </c>
      <c r="C5" s="187">
        <f>'2021年尾款清算'!K3+吴泾维修!L4</f>
        <v>1171367.67</v>
      </c>
    </row>
    <row r="6" spans="1:3" ht="30" customHeight="1">
      <c r="A6" s="180">
        <v>3</v>
      </c>
      <c r="B6" s="180" t="s">
        <v>727</v>
      </c>
      <c r="C6" s="182">
        <f>教育学院!G5</f>
        <v>30000</v>
      </c>
    </row>
    <row r="7" spans="1:3" ht="30" customHeight="1">
      <c r="A7" s="180"/>
      <c r="B7" s="180" t="s">
        <v>572</v>
      </c>
      <c r="C7" s="183">
        <f>SUM(C4:C6)</f>
        <v>1935167.67</v>
      </c>
    </row>
    <row r="8" spans="1:3" ht="30" customHeight="1"/>
    <row r="9" spans="1:3" ht="30" customHeight="1"/>
  </sheetData>
  <mergeCells count="2">
    <mergeCell ref="A1:C1"/>
    <mergeCell ref="A2:B2"/>
  </mergeCells>
  <phoneticPr fontId="1" type="noConversion"/>
  <printOptions horizontalCentered="1"/>
  <pageMargins left="0.70866141732283472" right="0.70866141732283472" top="1.3385826771653544" bottom="0.74803149606299213" header="0.31496062992125984" footer="0.31496062992125984"/>
  <pageSetup paperSize="9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opLeftCell="A17" workbookViewId="0">
      <selection activeCell="K3" sqref="K3:K32"/>
    </sheetView>
  </sheetViews>
  <sheetFormatPr defaultColWidth="9" defaultRowHeight="15" outlineLevelRow="2"/>
  <cols>
    <col min="1" max="1" width="3.5" style="226" customWidth="1"/>
    <col min="2" max="2" width="11" style="227" customWidth="1"/>
    <col min="3" max="3" width="10.375" style="227" customWidth="1"/>
    <col min="4" max="4" width="36.375" style="228" customWidth="1"/>
    <col min="5" max="5" width="18.5" style="227" customWidth="1"/>
    <col min="6" max="6" width="15.625" style="227" customWidth="1"/>
    <col min="7" max="7" width="18.125" style="229" customWidth="1"/>
    <col min="8" max="8" width="9.625" style="229" customWidth="1"/>
    <col min="9" max="9" width="10.375" style="230" customWidth="1"/>
    <col min="10" max="10" width="5.5" style="231" customWidth="1"/>
    <col min="11" max="11" width="12.125" style="230" customWidth="1"/>
    <col min="12" max="12" width="9.75" style="232" customWidth="1"/>
    <col min="13" max="13" width="11.5" style="188" customWidth="1"/>
    <col min="14" max="17" width="9" style="188"/>
    <col min="18" max="18" width="13.5" style="188" bestFit="1" customWidth="1"/>
    <col min="19" max="5148" width="9" style="188" customWidth="1"/>
    <col min="5149" max="16384" width="9" style="188"/>
  </cols>
  <sheetData>
    <row r="1" spans="1:12" ht="15.75">
      <c r="A1" s="297" t="s">
        <v>585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</row>
    <row r="2" spans="1:12" s="195" customFormat="1" ht="12.75">
      <c r="A2" s="189" t="s">
        <v>586</v>
      </c>
      <c r="B2" s="190" t="s">
        <v>587</v>
      </c>
      <c r="C2" s="191" t="s">
        <v>588</v>
      </c>
      <c r="D2" s="192" t="s">
        <v>589</v>
      </c>
      <c r="E2" s="190" t="s">
        <v>576</v>
      </c>
      <c r="F2" s="190" t="s">
        <v>577</v>
      </c>
      <c r="G2" s="190" t="s">
        <v>578</v>
      </c>
      <c r="H2" s="190" t="s">
        <v>590</v>
      </c>
      <c r="I2" s="193" t="s">
        <v>591</v>
      </c>
      <c r="J2" s="189" t="s">
        <v>592</v>
      </c>
      <c r="K2" s="193" t="s">
        <v>593</v>
      </c>
      <c r="L2" s="194" t="s">
        <v>594</v>
      </c>
    </row>
    <row r="3" spans="1:12" s="195" customFormat="1" ht="20.100000000000001" customHeight="1" outlineLevel="2">
      <c r="A3" s="213">
        <v>1</v>
      </c>
      <c r="B3" s="213" t="s">
        <v>645</v>
      </c>
      <c r="C3" s="214" t="s">
        <v>152</v>
      </c>
      <c r="D3" s="206" t="s">
        <v>646</v>
      </c>
      <c r="E3" s="199" t="s">
        <v>619</v>
      </c>
      <c r="F3" s="206" t="s">
        <v>631</v>
      </c>
      <c r="G3" s="206" t="s">
        <v>627</v>
      </c>
      <c r="H3" s="213"/>
      <c r="I3" s="216">
        <v>400</v>
      </c>
      <c r="J3" s="213">
        <v>200</v>
      </c>
      <c r="K3" s="205">
        <f t="shared" ref="K3:K32" si="0">I3*J3</f>
        <v>80000</v>
      </c>
      <c r="L3" s="213"/>
    </row>
    <row r="4" spans="1:12" s="195" customFormat="1" ht="12.75">
      <c r="A4" s="213">
        <v>1</v>
      </c>
      <c r="B4" s="213" t="s">
        <v>645</v>
      </c>
      <c r="C4" s="214" t="s">
        <v>152</v>
      </c>
      <c r="D4" s="206" t="s">
        <v>646</v>
      </c>
      <c r="E4" s="199" t="s">
        <v>619</v>
      </c>
      <c r="F4" s="206" t="s">
        <v>631</v>
      </c>
      <c r="G4" s="215" t="s">
        <v>628</v>
      </c>
      <c r="H4" s="213"/>
      <c r="I4" s="216">
        <v>2000</v>
      </c>
      <c r="J4" s="213">
        <v>5</v>
      </c>
      <c r="K4" s="205">
        <f t="shared" si="0"/>
        <v>10000</v>
      </c>
      <c r="L4" s="213"/>
    </row>
    <row r="5" spans="1:12" s="218" customFormat="1" ht="12.75">
      <c r="A5" s="213">
        <v>1</v>
      </c>
      <c r="B5" s="213" t="s">
        <v>645</v>
      </c>
      <c r="C5" s="214" t="s">
        <v>152</v>
      </c>
      <c r="D5" s="206" t="s">
        <v>646</v>
      </c>
      <c r="E5" s="199" t="s">
        <v>619</v>
      </c>
      <c r="F5" s="206" t="s">
        <v>631</v>
      </c>
      <c r="G5" s="215" t="s">
        <v>629</v>
      </c>
      <c r="H5" s="213"/>
      <c r="I5" s="216">
        <v>3500</v>
      </c>
      <c r="J5" s="213">
        <v>5</v>
      </c>
      <c r="K5" s="205">
        <f t="shared" si="0"/>
        <v>17500</v>
      </c>
      <c r="L5" s="213"/>
    </row>
    <row r="6" spans="1:12" s="195" customFormat="1" ht="12.75">
      <c r="A6" s="213">
        <v>1</v>
      </c>
      <c r="B6" s="213" t="s">
        <v>645</v>
      </c>
      <c r="C6" s="214" t="s">
        <v>152</v>
      </c>
      <c r="D6" s="206" t="s">
        <v>646</v>
      </c>
      <c r="E6" s="199" t="s">
        <v>619</v>
      </c>
      <c r="F6" s="206" t="s">
        <v>631</v>
      </c>
      <c r="G6" s="215" t="s">
        <v>636</v>
      </c>
      <c r="H6" s="213"/>
      <c r="I6" s="216">
        <v>1100</v>
      </c>
      <c r="J6" s="213">
        <v>5</v>
      </c>
      <c r="K6" s="205">
        <f t="shared" si="0"/>
        <v>5500</v>
      </c>
      <c r="L6" s="213"/>
    </row>
    <row r="7" spans="1:12" s="195" customFormat="1" ht="12.75">
      <c r="A7" s="213">
        <v>1</v>
      </c>
      <c r="B7" s="213" t="s">
        <v>645</v>
      </c>
      <c r="C7" s="214" t="s">
        <v>152</v>
      </c>
      <c r="D7" s="206" t="s">
        <v>646</v>
      </c>
      <c r="E7" s="199" t="s">
        <v>619</v>
      </c>
      <c r="F7" s="206" t="s">
        <v>631</v>
      </c>
      <c r="G7" s="215" t="s">
        <v>637</v>
      </c>
      <c r="H7" s="213"/>
      <c r="I7" s="216">
        <v>1600</v>
      </c>
      <c r="J7" s="213">
        <v>15</v>
      </c>
      <c r="K7" s="205">
        <f t="shared" si="0"/>
        <v>24000</v>
      </c>
      <c r="L7" s="213"/>
    </row>
    <row r="8" spans="1:12" s="195" customFormat="1" ht="12.75">
      <c r="A8" s="213">
        <v>1</v>
      </c>
      <c r="B8" s="213" t="s">
        <v>645</v>
      </c>
      <c r="C8" s="214" t="s">
        <v>152</v>
      </c>
      <c r="D8" s="206" t="s">
        <v>646</v>
      </c>
      <c r="E8" s="199" t="s">
        <v>619</v>
      </c>
      <c r="F8" s="206" t="s">
        <v>631</v>
      </c>
      <c r="G8" s="215" t="s">
        <v>630</v>
      </c>
      <c r="H8" s="213"/>
      <c r="I8" s="216">
        <v>700</v>
      </c>
      <c r="J8" s="213">
        <v>8</v>
      </c>
      <c r="K8" s="205">
        <f t="shared" si="0"/>
        <v>5600</v>
      </c>
      <c r="L8" s="213"/>
    </row>
    <row r="9" spans="1:12" s="195" customFormat="1" ht="12.75">
      <c r="A9" s="213">
        <v>1</v>
      </c>
      <c r="B9" s="213" t="s">
        <v>645</v>
      </c>
      <c r="C9" s="214" t="s">
        <v>152</v>
      </c>
      <c r="D9" s="206" t="s">
        <v>646</v>
      </c>
      <c r="E9" s="199" t="s">
        <v>619</v>
      </c>
      <c r="F9" s="206" t="s">
        <v>631</v>
      </c>
      <c r="G9" s="215" t="s">
        <v>632</v>
      </c>
      <c r="H9" s="213"/>
      <c r="I9" s="216">
        <v>2000</v>
      </c>
      <c r="J9" s="213">
        <v>5</v>
      </c>
      <c r="K9" s="205">
        <f t="shared" si="0"/>
        <v>10000</v>
      </c>
      <c r="L9" s="213"/>
    </row>
    <row r="10" spans="1:12" s="195" customFormat="1" ht="24.75">
      <c r="A10" s="213">
        <v>1</v>
      </c>
      <c r="B10" s="213" t="s">
        <v>645</v>
      </c>
      <c r="C10" s="214" t="s">
        <v>152</v>
      </c>
      <c r="D10" s="206" t="s">
        <v>646</v>
      </c>
      <c r="E10" s="199" t="s">
        <v>619</v>
      </c>
      <c r="F10" s="206" t="s">
        <v>633</v>
      </c>
      <c r="G10" s="215" t="s">
        <v>634</v>
      </c>
      <c r="H10" s="213"/>
      <c r="I10" s="216">
        <v>12000</v>
      </c>
      <c r="J10" s="213">
        <v>5</v>
      </c>
      <c r="K10" s="205">
        <f t="shared" si="0"/>
        <v>60000</v>
      </c>
      <c r="L10" s="213"/>
    </row>
    <row r="11" spans="1:12" s="195" customFormat="1" ht="12.75">
      <c r="A11" s="213">
        <v>1</v>
      </c>
      <c r="B11" s="213" t="s">
        <v>645</v>
      </c>
      <c r="C11" s="214" t="s">
        <v>152</v>
      </c>
      <c r="D11" s="206" t="s">
        <v>646</v>
      </c>
      <c r="E11" s="199" t="s">
        <v>619</v>
      </c>
      <c r="F11" s="200" t="s">
        <v>616</v>
      </c>
      <c r="G11" s="215" t="s">
        <v>635</v>
      </c>
      <c r="H11" s="213"/>
      <c r="I11" s="216">
        <v>5000</v>
      </c>
      <c r="J11" s="213">
        <v>15</v>
      </c>
      <c r="K11" s="205">
        <f t="shared" si="0"/>
        <v>75000</v>
      </c>
      <c r="L11" s="213"/>
    </row>
    <row r="12" spans="1:12" s="195" customFormat="1" ht="12.75">
      <c r="A12" s="213">
        <v>1</v>
      </c>
      <c r="B12" s="213" t="s">
        <v>645</v>
      </c>
      <c r="C12" s="214" t="s">
        <v>152</v>
      </c>
      <c r="D12" s="206" t="s">
        <v>646</v>
      </c>
      <c r="E12" s="199" t="s">
        <v>619</v>
      </c>
      <c r="F12" s="210" t="s">
        <v>620</v>
      </c>
      <c r="G12" s="215" t="s">
        <v>647</v>
      </c>
      <c r="H12" s="213"/>
      <c r="I12" s="216">
        <v>6000</v>
      </c>
      <c r="J12" s="213">
        <v>10</v>
      </c>
      <c r="K12" s="205">
        <f t="shared" si="0"/>
        <v>60000</v>
      </c>
      <c r="L12" s="213"/>
    </row>
    <row r="13" spans="1:12" s="195" customFormat="1" ht="24">
      <c r="A13" s="213">
        <v>1</v>
      </c>
      <c r="B13" s="213" t="s">
        <v>645</v>
      </c>
      <c r="C13" s="214" t="s">
        <v>152</v>
      </c>
      <c r="D13" s="206" t="s">
        <v>646</v>
      </c>
      <c r="E13" s="199" t="s">
        <v>619</v>
      </c>
      <c r="F13" s="206" t="s">
        <v>631</v>
      </c>
      <c r="G13" s="219" t="s">
        <v>641</v>
      </c>
      <c r="H13" s="220"/>
      <c r="I13" s="222">
        <v>50700</v>
      </c>
      <c r="J13" s="223">
        <v>1</v>
      </c>
      <c r="K13" s="205">
        <f t="shared" si="0"/>
        <v>50700</v>
      </c>
      <c r="L13" s="221" t="s">
        <v>640</v>
      </c>
    </row>
    <row r="14" spans="1:12" s="195" customFormat="1" ht="36">
      <c r="A14" s="213">
        <v>1</v>
      </c>
      <c r="B14" s="213" t="s">
        <v>645</v>
      </c>
      <c r="C14" s="214" t="s">
        <v>152</v>
      </c>
      <c r="D14" s="206" t="s">
        <v>646</v>
      </c>
      <c r="E14" s="199" t="s">
        <v>619</v>
      </c>
      <c r="F14" s="206" t="s">
        <v>633</v>
      </c>
      <c r="G14" s="215" t="s">
        <v>634</v>
      </c>
      <c r="H14" s="213"/>
      <c r="I14" s="216">
        <v>12000</v>
      </c>
      <c r="J14" s="223">
        <v>1</v>
      </c>
      <c r="K14" s="205">
        <f t="shared" si="0"/>
        <v>12000</v>
      </c>
      <c r="L14" s="223" t="s">
        <v>642</v>
      </c>
    </row>
    <row r="15" spans="1:12" s="195" customFormat="1" ht="36">
      <c r="A15" s="213">
        <v>1</v>
      </c>
      <c r="B15" s="213" t="s">
        <v>645</v>
      </c>
      <c r="C15" s="214" t="s">
        <v>152</v>
      </c>
      <c r="D15" s="206" t="s">
        <v>646</v>
      </c>
      <c r="E15" s="199" t="s">
        <v>619</v>
      </c>
      <c r="F15" s="224" t="s">
        <v>643</v>
      </c>
      <c r="G15" s="224" t="s">
        <v>644</v>
      </c>
      <c r="H15" s="220"/>
      <c r="I15" s="222">
        <v>22000</v>
      </c>
      <c r="J15" s="223">
        <v>1</v>
      </c>
      <c r="K15" s="205">
        <f t="shared" si="0"/>
        <v>22000</v>
      </c>
      <c r="L15" s="223" t="s">
        <v>642</v>
      </c>
    </row>
    <row r="16" spans="1:12" s="195" customFormat="1" ht="36">
      <c r="A16" s="213">
        <v>1</v>
      </c>
      <c r="B16" s="213" t="s">
        <v>645</v>
      </c>
      <c r="C16" s="214" t="s">
        <v>152</v>
      </c>
      <c r="D16" s="206" t="s">
        <v>646</v>
      </c>
      <c r="E16" s="199" t="s">
        <v>619</v>
      </c>
      <c r="F16" s="210" t="s">
        <v>620</v>
      </c>
      <c r="G16" s="215" t="s">
        <v>648</v>
      </c>
      <c r="H16" s="213"/>
      <c r="I16" s="216">
        <v>6000</v>
      </c>
      <c r="J16" s="225">
        <v>2</v>
      </c>
      <c r="K16" s="205">
        <f t="shared" si="0"/>
        <v>12000</v>
      </c>
      <c r="L16" s="223" t="s">
        <v>642</v>
      </c>
    </row>
    <row r="17" spans="1:13" s="208" customFormat="1" ht="24">
      <c r="A17" s="196">
        <v>2</v>
      </c>
      <c r="B17" s="196" t="s">
        <v>645</v>
      </c>
      <c r="C17" s="197" t="s">
        <v>148</v>
      </c>
      <c r="D17" s="198" t="s">
        <v>649</v>
      </c>
      <c r="E17" s="199" t="s">
        <v>595</v>
      </c>
      <c r="F17" s="200" t="s">
        <v>596</v>
      </c>
      <c r="G17" s="201" t="s">
        <v>597</v>
      </c>
      <c r="H17" s="202" t="s">
        <v>598</v>
      </c>
      <c r="I17" s="203">
        <v>650</v>
      </c>
      <c r="J17" s="204">
        <v>15</v>
      </c>
      <c r="K17" s="205">
        <f t="shared" si="0"/>
        <v>9750</v>
      </c>
      <c r="L17" s="206"/>
      <c r="M17" s="207"/>
    </row>
    <row r="18" spans="1:13" s="208" customFormat="1" ht="24">
      <c r="A18" s="196">
        <v>2</v>
      </c>
      <c r="B18" s="196" t="s">
        <v>645</v>
      </c>
      <c r="C18" s="197" t="s">
        <v>148</v>
      </c>
      <c r="D18" s="198" t="s">
        <v>649</v>
      </c>
      <c r="E18" s="199" t="s">
        <v>595</v>
      </c>
      <c r="F18" s="200" t="s">
        <v>596</v>
      </c>
      <c r="G18" s="201" t="s">
        <v>599</v>
      </c>
      <c r="H18" s="202" t="s">
        <v>598</v>
      </c>
      <c r="I18" s="203">
        <v>650</v>
      </c>
      <c r="J18" s="204">
        <v>15</v>
      </c>
      <c r="K18" s="205">
        <f t="shared" si="0"/>
        <v>9750</v>
      </c>
      <c r="L18" s="206"/>
      <c r="M18" s="207"/>
    </row>
    <row r="19" spans="1:13" s="208" customFormat="1" ht="36">
      <c r="A19" s="196">
        <v>2</v>
      </c>
      <c r="B19" s="196" t="s">
        <v>645</v>
      </c>
      <c r="C19" s="197" t="s">
        <v>148</v>
      </c>
      <c r="D19" s="198" t="s">
        <v>649</v>
      </c>
      <c r="E19" s="199" t="s">
        <v>595</v>
      </c>
      <c r="F19" s="200" t="s">
        <v>596</v>
      </c>
      <c r="G19" s="201" t="s">
        <v>600</v>
      </c>
      <c r="H19" s="201" t="s">
        <v>601</v>
      </c>
      <c r="I19" s="203">
        <v>380</v>
      </c>
      <c r="J19" s="204">
        <v>90</v>
      </c>
      <c r="K19" s="205">
        <f t="shared" si="0"/>
        <v>34200</v>
      </c>
      <c r="L19" s="206"/>
      <c r="M19" s="207"/>
    </row>
    <row r="20" spans="1:13" s="208" customFormat="1" ht="12.75">
      <c r="A20" s="196">
        <v>2</v>
      </c>
      <c r="B20" s="196" t="s">
        <v>645</v>
      </c>
      <c r="C20" s="197" t="s">
        <v>148</v>
      </c>
      <c r="D20" s="198" t="s">
        <v>649</v>
      </c>
      <c r="E20" s="199" t="s">
        <v>595</v>
      </c>
      <c r="F20" s="200" t="s">
        <v>596</v>
      </c>
      <c r="G20" s="201" t="s">
        <v>602</v>
      </c>
      <c r="H20" s="201" t="s">
        <v>603</v>
      </c>
      <c r="I20" s="209">
        <v>2400</v>
      </c>
      <c r="J20" s="204">
        <v>3</v>
      </c>
      <c r="K20" s="205">
        <f t="shared" si="0"/>
        <v>7200</v>
      </c>
      <c r="L20" s="206"/>
      <c r="M20" s="207"/>
    </row>
    <row r="21" spans="1:13" s="208" customFormat="1" ht="48">
      <c r="A21" s="196">
        <v>2</v>
      </c>
      <c r="B21" s="196" t="s">
        <v>645</v>
      </c>
      <c r="C21" s="197" t="s">
        <v>148</v>
      </c>
      <c r="D21" s="198" t="s">
        <v>649</v>
      </c>
      <c r="E21" s="199" t="s">
        <v>595</v>
      </c>
      <c r="F21" s="200" t="s">
        <v>596</v>
      </c>
      <c r="G21" s="201" t="s">
        <v>604</v>
      </c>
      <c r="H21" s="201" t="s">
        <v>605</v>
      </c>
      <c r="I21" s="203">
        <v>700</v>
      </c>
      <c r="J21" s="204">
        <v>3</v>
      </c>
      <c r="K21" s="205">
        <f t="shared" si="0"/>
        <v>2100</v>
      </c>
      <c r="L21" s="206"/>
      <c r="M21" s="207"/>
    </row>
    <row r="22" spans="1:13" s="208" customFormat="1" ht="60">
      <c r="A22" s="196">
        <v>2</v>
      </c>
      <c r="B22" s="196" t="s">
        <v>645</v>
      </c>
      <c r="C22" s="197" t="s">
        <v>148</v>
      </c>
      <c r="D22" s="198" t="s">
        <v>649</v>
      </c>
      <c r="E22" s="199" t="s">
        <v>595</v>
      </c>
      <c r="F22" s="200" t="s">
        <v>596</v>
      </c>
      <c r="G22" s="201" t="s">
        <v>606</v>
      </c>
      <c r="H22" s="210" t="s">
        <v>607</v>
      </c>
      <c r="I22" s="203">
        <v>6000</v>
      </c>
      <c r="J22" s="204">
        <v>3</v>
      </c>
      <c r="K22" s="205">
        <f t="shared" si="0"/>
        <v>18000</v>
      </c>
      <c r="L22" s="206"/>
      <c r="M22" s="207"/>
    </row>
    <row r="23" spans="1:13" s="208" customFormat="1" ht="12.75">
      <c r="A23" s="196">
        <v>2</v>
      </c>
      <c r="B23" s="196" t="s">
        <v>645</v>
      </c>
      <c r="C23" s="197" t="s">
        <v>148</v>
      </c>
      <c r="D23" s="198" t="s">
        <v>649</v>
      </c>
      <c r="E23" s="199" t="s">
        <v>595</v>
      </c>
      <c r="F23" s="200" t="s">
        <v>596</v>
      </c>
      <c r="G23" s="201" t="s">
        <v>608</v>
      </c>
      <c r="H23" s="201"/>
      <c r="I23" s="203">
        <v>1600</v>
      </c>
      <c r="J23" s="204">
        <v>6</v>
      </c>
      <c r="K23" s="205">
        <f t="shared" si="0"/>
        <v>9600</v>
      </c>
      <c r="L23" s="206"/>
      <c r="M23" s="207"/>
    </row>
    <row r="24" spans="1:13" s="208" customFormat="1" ht="12.75">
      <c r="A24" s="196">
        <v>2</v>
      </c>
      <c r="B24" s="196" t="s">
        <v>645</v>
      </c>
      <c r="C24" s="197" t="s">
        <v>148</v>
      </c>
      <c r="D24" s="198" t="s">
        <v>649</v>
      </c>
      <c r="E24" s="199" t="s">
        <v>595</v>
      </c>
      <c r="F24" s="200" t="s">
        <v>596</v>
      </c>
      <c r="G24" s="201" t="s">
        <v>609</v>
      </c>
      <c r="H24" s="201"/>
      <c r="I24" s="203">
        <v>700</v>
      </c>
      <c r="J24" s="204">
        <v>3</v>
      </c>
      <c r="K24" s="205">
        <f t="shared" si="0"/>
        <v>2100</v>
      </c>
      <c r="L24" s="206"/>
      <c r="M24" s="207"/>
    </row>
    <row r="25" spans="1:13" s="208" customFormat="1" ht="24">
      <c r="A25" s="196">
        <v>2</v>
      </c>
      <c r="B25" s="196" t="s">
        <v>645</v>
      </c>
      <c r="C25" s="197" t="s">
        <v>148</v>
      </c>
      <c r="D25" s="198" t="s">
        <v>649</v>
      </c>
      <c r="E25" s="199" t="s">
        <v>595</v>
      </c>
      <c r="F25" s="200" t="s">
        <v>610</v>
      </c>
      <c r="G25" s="201" t="s">
        <v>611</v>
      </c>
      <c r="H25" s="201" t="s">
        <v>612</v>
      </c>
      <c r="I25" s="203">
        <v>13000</v>
      </c>
      <c r="J25" s="204">
        <v>3</v>
      </c>
      <c r="K25" s="205">
        <f t="shared" si="0"/>
        <v>39000</v>
      </c>
      <c r="L25" s="206"/>
      <c r="M25" s="207"/>
    </row>
    <row r="26" spans="1:13" s="208" customFormat="1" ht="12.75">
      <c r="A26" s="196">
        <v>2</v>
      </c>
      <c r="B26" s="196" t="s">
        <v>645</v>
      </c>
      <c r="C26" s="197" t="s">
        <v>148</v>
      </c>
      <c r="D26" s="198" t="s">
        <v>649</v>
      </c>
      <c r="E26" s="199" t="s">
        <v>595</v>
      </c>
      <c r="F26" s="200" t="s">
        <v>613</v>
      </c>
      <c r="G26" s="201" t="s">
        <v>614</v>
      </c>
      <c r="H26" s="211" t="s">
        <v>615</v>
      </c>
      <c r="I26" s="209">
        <v>9000</v>
      </c>
      <c r="J26" s="204">
        <v>3</v>
      </c>
      <c r="K26" s="205">
        <f t="shared" si="0"/>
        <v>27000</v>
      </c>
      <c r="L26" s="206"/>
      <c r="M26" s="207"/>
    </row>
    <row r="27" spans="1:13" s="208" customFormat="1" ht="12.75">
      <c r="A27" s="196">
        <v>2</v>
      </c>
      <c r="B27" s="196" t="s">
        <v>645</v>
      </c>
      <c r="C27" s="197" t="s">
        <v>148</v>
      </c>
      <c r="D27" s="198" t="s">
        <v>649</v>
      </c>
      <c r="E27" s="199" t="s">
        <v>595</v>
      </c>
      <c r="F27" s="200" t="s">
        <v>616</v>
      </c>
      <c r="G27" s="210" t="s">
        <v>617</v>
      </c>
      <c r="H27" s="210" t="s">
        <v>618</v>
      </c>
      <c r="I27" s="203">
        <v>5000</v>
      </c>
      <c r="J27" s="204">
        <v>6</v>
      </c>
      <c r="K27" s="205">
        <f t="shared" si="0"/>
        <v>30000</v>
      </c>
      <c r="L27" s="206"/>
      <c r="M27" s="207"/>
    </row>
    <row r="28" spans="1:13" s="208" customFormat="1" ht="12.75">
      <c r="A28" s="196">
        <v>2</v>
      </c>
      <c r="B28" s="196" t="s">
        <v>645</v>
      </c>
      <c r="C28" s="197" t="s">
        <v>148</v>
      </c>
      <c r="D28" s="198" t="s">
        <v>649</v>
      </c>
      <c r="E28" s="199" t="s">
        <v>595</v>
      </c>
      <c r="F28" s="210" t="s">
        <v>620</v>
      </c>
      <c r="G28" s="201" t="s">
        <v>639</v>
      </c>
      <c r="H28" s="201"/>
      <c r="I28" s="203">
        <v>8000</v>
      </c>
      <c r="J28" s="204">
        <v>3</v>
      </c>
      <c r="K28" s="205">
        <f t="shared" si="0"/>
        <v>24000</v>
      </c>
      <c r="L28" s="206"/>
      <c r="M28" s="207"/>
    </row>
    <row r="29" spans="1:13" s="208" customFormat="1" ht="12.75">
      <c r="A29" s="196">
        <v>2</v>
      </c>
      <c r="B29" s="196" t="s">
        <v>645</v>
      </c>
      <c r="C29" s="197" t="s">
        <v>148</v>
      </c>
      <c r="D29" s="198" t="s">
        <v>649</v>
      </c>
      <c r="E29" s="199" t="s">
        <v>595</v>
      </c>
      <c r="F29" s="210" t="s">
        <v>620</v>
      </c>
      <c r="G29" s="201" t="s">
        <v>638</v>
      </c>
      <c r="H29" s="201"/>
      <c r="I29" s="203">
        <v>13000</v>
      </c>
      <c r="J29" s="204">
        <v>3</v>
      </c>
      <c r="K29" s="205">
        <f t="shared" si="0"/>
        <v>39000</v>
      </c>
      <c r="L29" s="206"/>
      <c r="M29" s="207"/>
    </row>
    <row r="30" spans="1:13" s="208" customFormat="1" ht="24.75">
      <c r="A30" s="196">
        <v>2</v>
      </c>
      <c r="B30" s="196" t="s">
        <v>645</v>
      </c>
      <c r="C30" s="197" t="s">
        <v>148</v>
      </c>
      <c r="D30" s="198" t="s">
        <v>649</v>
      </c>
      <c r="E30" s="199" t="s">
        <v>595</v>
      </c>
      <c r="F30" s="212" t="s">
        <v>621</v>
      </c>
      <c r="G30" s="201" t="s">
        <v>622</v>
      </c>
      <c r="H30" s="201"/>
      <c r="I30" s="209">
        <v>10000</v>
      </c>
      <c r="J30" s="204">
        <v>3</v>
      </c>
      <c r="K30" s="205">
        <f t="shared" si="0"/>
        <v>30000</v>
      </c>
      <c r="L30" s="206"/>
      <c r="M30" s="207"/>
    </row>
    <row r="31" spans="1:13" s="208" customFormat="1" ht="12.75">
      <c r="A31" s="196">
        <v>2</v>
      </c>
      <c r="B31" s="196" t="s">
        <v>645</v>
      </c>
      <c r="C31" s="197" t="s">
        <v>148</v>
      </c>
      <c r="D31" s="198" t="s">
        <v>649</v>
      </c>
      <c r="E31" s="199" t="s">
        <v>595</v>
      </c>
      <c r="F31" s="201" t="s">
        <v>623</v>
      </c>
      <c r="G31" s="201" t="s">
        <v>624</v>
      </c>
      <c r="H31" s="201"/>
      <c r="I31" s="209">
        <v>1200</v>
      </c>
      <c r="J31" s="204">
        <v>3</v>
      </c>
      <c r="K31" s="205">
        <f t="shared" si="0"/>
        <v>3600</v>
      </c>
      <c r="L31" s="206"/>
      <c r="M31" s="207"/>
    </row>
    <row r="32" spans="1:13" s="208" customFormat="1" ht="12.75">
      <c r="A32" s="196">
        <v>2</v>
      </c>
      <c r="B32" s="196" t="s">
        <v>645</v>
      </c>
      <c r="C32" s="197" t="s">
        <v>148</v>
      </c>
      <c r="D32" s="198" t="s">
        <v>649</v>
      </c>
      <c r="E32" s="199" t="s">
        <v>595</v>
      </c>
      <c r="F32" s="201" t="s">
        <v>625</v>
      </c>
      <c r="G32" s="201" t="s">
        <v>626</v>
      </c>
      <c r="H32" s="201"/>
      <c r="I32" s="209">
        <v>1400</v>
      </c>
      <c r="J32" s="204">
        <v>3</v>
      </c>
      <c r="K32" s="205">
        <f t="shared" si="0"/>
        <v>4200</v>
      </c>
      <c r="L32" s="206"/>
      <c r="M32" s="207"/>
    </row>
    <row r="33" spans="1:13" s="208" customFormat="1" ht="12.75">
      <c r="A33" s="196"/>
      <c r="B33" s="217" t="s">
        <v>650</v>
      </c>
      <c r="C33" s="197"/>
      <c r="D33" s="198"/>
      <c r="E33" s="199"/>
      <c r="F33" s="201"/>
      <c r="G33" s="201"/>
      <c r="H33" s="201"/>
      <c r="I33" s="209"/>
      <c r="J33" s="204"/>
      <c r="K33" s="205">
        <f>SUBTOTAL(9,K3:K32)</f>
        <v>733800</v>
      </c>
      <c r="L33" s="206"/>
      <c r="M33" s="207"/>
    </row>
  </sheetData>
  <mergeCells count="1">
    <mergeCell ref="A1:L1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A4" sqref="A4:XFD45"/>
    </sheetView>
  </sheetViews>
  <sheetFormatPr defaultRowHeight="14.25"/>
  <cols>
    <col min="1" max="1" width="6" style="233" customWidth="1"/>
    <col min="2" max="2" width="4.875" style="233" customWidth="1"/>
    <col min="3" max="3" width="19.25" style="233" customWidth="1"/>
    <col min="4" max="4" width="22.625" style="233" customWidth="1"/>
    <col min="5" max="5" width="11.625" style="233" customWidth="1"/>
    <col min="6" max="6" width="13.25" style="233" customWidth="1"/>
    <col min="7" max="7" width="14.25" style="233" customWidth="1"/>
    <col min="8" max="8" width="12" style="233" customWidth="1"/>
    <col min="9" max="9" width="14.25" style="233" customWidth="1"/>
    <col min="10" max="10" width="14.625" style="233" customWidth="1"/>
    <col min="11" max="11" width="17.25" style="241" customWidth="1"/>
    <col min="12" max="12" width="21.875" style="233" customWidth="1"/>
    <col min="13" max="16384" width="9" style="233"/>
  </cols>
  <sheetData>
    <row r="1" spans="1:12" ht="24.75" customHeight="1">
      <c r="A1" s="298" t="s">
        <v>651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</row>
    <row r="2" spans="1:12" ht="29.25" customHeight="1">
      <c r="A2" s="234" t="s">
        <v>4</v>
      </c>
      <c r="B2" s="235" t="s">
        <v>652</v>
      </c>
      <c r="C2" s="235" t="s">
        <v>144</v>
      </c>
      <c r="D2" s="235" t="s">
        <v>653</v>
      </c>
      <c r="E2" s="236" t="s">
        <v>654</v>
      </c>
      <c r="F2" s="237" t="s">
        <v>655</v>
      </c>
      <c r="G2" s="236" t="s">
        <v>656</v>
      </c>
      <c r="H2" s="236" t="s">
        <v>657</v>
      </c>
      <c r="I2" s="236" t="s">
        <v>658</v>
      </c>
      <c r="J2" s="236" t="s">
        <v>659</v>
      </c>
      <c r="K2" s="236" t="s">
        <v>660</v>
      </c>
      <c r="L2" s="235" t="s">
        <v>661</v>
      </c>
    </row>
    <row r="3" spans="1:12" ht="75" customHeight="1">
      <c r="A3" s="235" t="s">
        <v>150</v>
      </c>
      <c r="B3" s="235">
        <v>1</v>
      </c>
      <c r="C3" s="238" t="s">
        <v>662</v>
      </c>
      <c r="D3" s="238" t="s">
        <v>663</v>
      </c>
      <c r="E3" s="239">
        <v>4178915</v>
      </c>
      <c r="F3" s="240">
        <v>3547644.87</v>
      </c>
      <c r="G3" s="240">
        <v>3422627.04</v>
      </c>
      <c r="H3" s="240">
        <v>416616</v>
      </c>
      <c r="I3" s="240">
        <f>G3+H3</f>
        <v>3839243.04</v>
      </c>
      <c r="J3" s="239">
        <v>3969969</v>
      </c>
      <c r="K3" s="239">
        <f>I3-J3</f>
        <v>-130725.95999999996</v>
      </c>
      <c r="L3" s="235"/>
    </row>
  </sheetData>
  <mergeCells count="1">
    <mergeCell ref="A1:L1"/>
  </mergeCells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A31"/>
  <sheetViews>
    <sheetView workbookViewId="0">
      <selection sqref="A1:XFD1048576"/>
    </sheetView>
  </sheetViews>
  <sheetFormatPr defaultColWidth="9.625" defaultRowHeight="18.600000000000001" customHeight="1"/>
  <cols>
    <col min="1" max="1" width="4.125" style="267" customWidth="1"/>
    <col min="2" max="2" width="8.875" style="267" customWidth="1"/>
    <col min="3" max="3" width="7.5" style="267" customWidth="1"/>
    <col min="4" max="4" width="12.125" style="267" customWidth="1"/>
    <col min="5" max="5" width="31" style="267" customWidth="1"/>
    <col min="6" max="6" width="8.375" style="267" hidden="1" customWidth="1"/>
    <col min="7" max="7" width="7.75" style="267" hidden="1" customWidth="1"/>
    <col min="8" max="8" width="9.75" style="267" hidden="1" customWidth="1"/>
    <col min="9" max="9" width="14.25" style="268" hidden="1" customWidth="1"/>
    <col min="10" max="10" width="9.125" style="267" customWidth="1"/>
    <col min="11" max="11" width="9.25" style="267" customWidth="1"/>
    <col min="12" max="12" width="12.25" style="267" customWidth="1"/>
    <col min="13" max="16347" width="9.625" style="245"/>
    <col min="16348" max="16355" width="9.625" style="246"/>
    <col min="16356" max="16384" width="9.625" style="269"/>
  </cols>
  <sheetData>
    <row r="1" spans="1:16355" s="244" customFormat="1" ht="30" customHeight="1">
      <c r="A1" s="300" t="s">
        <v>664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  <c r="AD1" s="242"/>
      <c r="AE1" s="242"/>
      <c r="AF1" s="242"/>
      <c r="AG1" s="242"/>
      <c r="AH1" s="242"/>
      <c r="AI1" s="242"/>
      <c r="AJ1" s="242"/>
      <c r="AK1" s="242"/>
      <c r="AL1" s="242"/>
      <c r="AM1" s="242"/>
      <c r="AN1" s="242"/>
      <c r="AO1" s="242"/>
      <c r="AP1" s="242"/>
      <c r="AQ1" s="242"/>
      <c r="AR1" s="242"/>
      <c r="AS1" s="242"/>
      <c r="AT1" s="242"/>
      <c r="AU1" s="242"/>
      <c r="AV1" s="242"/>
      <c r="AW1" s="242"/>
      <c r="AX1" s="242"/>
      <c r="AY1" s="242"/>
      <c r="AZ1" s="242"/>
      <c r="BA1" s="242"/>
      <c r="BB1" s="242"/>
      <c r="BC1" s="242"/>
      <c r="BD1" s="242"/>
      <c r="BE1" s="242"/>
      <c r="BF1" s="242"/>
      <c r="BG1" s="242"/>
      <c r="BH1" s="242"/>
      <c r="BI1" s="242"/>
      <c r="BJ1" s="242"/>
      <c r="BK1" s="242"/>
      <c r="BL1" s="242"/>
      <c r="BM1" s="242"/>
      <c r="BN1" s="242"/>
      <c r="BO1" s="242"/>
      <c r="BP1" s="242"/>
      <c r="BQ1" s="242"/>
      <c r="BR1" s="242"/>
      <c r="BS1" s="242"/>
      <c r="BT1" s="242"/>
      <c r="BU1" s="242"/>
      <c r="BV1" s="242"/>
      <c r="BW1" s="242"/>
      <c r="BX1" s="242"/>
      <c r="BY1" s="242"/>
      <c r="BZ1" s="242"/>
      <c r="CA1" s="242"/>
      <c r="CB1" s="242"/>
      <c r="CC1" s="242"/>
      <c r="CD1" s="242"/>
      <c r="CE1" s="242"/>
      <c r="CF1" s="242"/>
      <c r="CG1" s="242"/>
      <c r="CH1" s="242"/>
      <c r="CI1" s="242"/>
      <c r="CJ1" s="242"/>
      <c r="CK1" s="242"/>
      <c r="CL1" s="242"/>
      <c r="CM1" s="242"/>
      <c r="CN1" s="242"/>
      <c r="CO1" s="242"/>
      <c r="CP1" s="242"/>
      <c r="CQ1" s="242"/>
      <c r="CR1" s="242"/>
      <c r="CS1" s="242"/>
      <c r="CT1" s="242"/>
      <c r="CU1" s="242"/>
      <c r="CV1" s="242"/>
      <c r="CW1" s="242"/>
      <c r="CX1" s="242"/>
      <c r="CY1" s="242"/>
      <c r="CZ1" s="242"/>
      <c r="DA1" s="242"/>
      <c r="DB1" s="242"/>
      <c r="DC1" s="242"/>
      <c r="DD1" s="242"/>
      <c r="DE1" s="242"/>
      <c r="DF1" s="242"/>
      <c r="DG1" s="242"/>
      <c r="DH1" s="242"/>
      <c r="DI1" s="242"/>
      <c r="DJ1" s="242"/>
      <c r="DK1" s="242"/>
      <c r="DL1" s="242"/>
      <c r="DM1" s="242"/>
      <c r="DN1" s="242"/>
      <c r="DO1" s="242"/>
      <c r="DP1" s="242"/>
      <c r="DQ1" s="242"/>
      <c r="DR1" s="242"/>
      <c r="DS1" s="242"/>
      <c r="DT1" s="242"/>
      <c r="DU1" s="242"/>
      <c r="DV1" s="242"/>
      <c r="DW1" s="242"/>
      <c r="DX1" s="242"/>
      <c r="DY1" s="242"/>
      <c r="DZ1" s="242"/>
      <c r="EA1" s="242"/>
      <c r="EB1" s="242"/>
      <c r="EC1" s="242"/>
      <c r="ED1" s="242"/>
      <c r="EE1" s="242"/>
      <c r="EF1" s="242"/>
      <c r="EG1" s="242"/>
      <c r="EH1" s="242"/>
      <c r="EI1" s="242"/>
      <c r="EJ1" s="242"/>
      <c r="EK1" s="242"/>
      <c r="EL1" s="242"/>
      <c r="EM1" s="242"/>
      <c r="EN1" s="242"/>
      <c r="EO1" s="242"/>
      <c r="EP1" s="242"/>
      <c r="EQ1" s="242"/>
      <c r="ER1" s="242"/>
      <c r="ES1" s="242"/>
      <c r="ET1" s="242"/>
      <c r="EU1" s="242"/>
      <c r="EV1" s="242"/>
      <c r="EW1" s="242"/>
      <c r="EX1" s="242"/>
      <c r="EY1" s="242"/>
      <c r="EZ1" s="242"/>
      <c r="FA1" s="242"/>
      <c r="FB1" s="242"/>
      <c r="FC1" s="242"/>
      <c r="FD1" s="242"/>
      <c r="FE1" s="242"/>
      <c r="FF1" s="242"/>
      <c r="FG1" s="242"/>
      <c r="FH1" s="242"/>
      <c r="FI1" s="242"/>
      <c r="FJ1" s="242"/>
      <c r="FK1" s="242"/>
      <c r="FL1" s="242"/>
      <c r="FM1" s="242"/>
      <c r="FN1" s="242"/>
      <c r="FO1" s="242"/>
      <c r="FP1" s="242"/>
      <c r="FQ1" s="242"/>
      <c r="FR1" s="242"/>
      <c r="FS1" s="242"/>
      <c r="FT1" s="242"/>
      <c r="FU1" s="242"/>
      <c r="FV1" s="242"/>
      <c r="FW1" s="242"/>
      <c r="FX1" s="242"/>
      <c r="FY1" s="242"/>
      <c r="FZ1" s="242"/>
      <c r="GA1" s="242"/>
      <c r="GB1" s="242"/>
      <c r="GC1" s="242"/>
      <c r="GD1" s="242"/>
      <c r="GE1" s="242"/>
      <c r="GF1" s="242"/>
      <c r="GG1" s="242"/>
      <c r="GH1" s="242"/>
      <c r="GI1" s="242"/>
      <c r="GJ1" s="242"/>
      <c r="GK1" s="242"/>
      <c r="GL1" s="242"/>
      <c r="GM1" s="242"/>
      <c r="GN1" s="242"/>
      <c r="GO1" s="242"/>
      <c r="GP1" s="242"/>
      <c r="GQ1" s="242"/>
      <c r="GR1" s="242"/>
      <c r="GS1" s="242"/>
      <c r="GT1" s="242"/>
      <c r="GU1" s="242"/>
      <c r="GV1" s="242"/>
      <c r="GW1" s="242"/>
      <c r="GX1" s="242"/>
      <c r="GY1" s="242"/>
      <c r="GZ1" s="242"/>
      <c r="HA1" s="242"/>
      <c r="HB1" s="242"/>
      <c r="HC1" s="242"/>
      <c r="HD1" s="242"/>
      <c r="HE1" s="242"/>
      <c r="HF1" s="242"/>
      <c r="HG1" s="242"/>
      <c r="HH1" s="242"/>
      <c r="HI1" s="242"/>
      <c r="HJ1" s="242"/>
      <c r="HK1" s="242"/>
      <c r="HL1" s="242"/>
      <c r="HM1" s="242"/>
      <c r="HN1" s="242"/>
      <c r="HO1" s="242"/>
      <c r="HP1" s="242"/>
      <c r="HQ1" s="242"/>
      <c r="HR1" s="242"/>
      <c r="HS1" s="242"/>
      <c r="HT1" s="242"/>
      <c r="HU1" s="242"/>
      <c r="HV1" s="242"/>
      <c r="HW1" s="242"/>
      <c r="HX1" s="242"/>
      <c r="HY1" s="242"/>
      <c r="HZ1" s="242"/>
      <c r="IA1" s="242"/>
      <c r="IB1" s="242"/>
      <c r="IC1" s="242"/>
      <c r="ID1" s="242"/>
      <c r="IE1" s="242"/>
      <c r="IF1" s="242"/>
      <c r="IG1" s="242"/>
      <c r="IH1" s="242"/>
      <c r="II1" s="242"/>
      <c r="IJ1" s="242"/>
      <c r="IK1" s="242"/>
      <c r="IL1" s="242"/>
      <c r="IM1" s="242"/>
      <c r="IN1" s="242"/>
      <c r="IO1" s="242"/>
      <c r="IP1" s="242"/>
      <c r="IQ1" s="242"/>
      <c r="IR1" s="242"/>
      <c r="IS1" s="242"/>
      <c r="IT1" s="242"/>
      <c r="IU1" s="242"/>
      <c r="IV1" s="242"/>
      <c r="IW1" s="242"/>
      <c r="IX1" s="242"/>
      <c r="IY1" s="242"/>
      <c r="IZ1" s="242"/>
      <c r="JA1" s="242"/>
      <c r="JB1" s="242"/>
      <c r="JC1" s="242"/>
      <c r="JD1" s="242"/>
      <c r="JE1" s="242"/>
      <c r="JF1" s="242"/>
      <c r="JG1" s="242"/>
      <c r="JH1" s="242"/>
      <c r="JI1" s="242"/>
      <c r="JJ1" s="242"/>
      <c r="JK1" s="242"/>
      <c r="JL1" s="242"/>
      <c r="JM1" s="242"/>
      <c r="JN1" s="242"/>
      <c r="JO1" s="242"/>
      <c r="JP1" s="242"/>
      <c r="JQ1" s="242"/>
      <c r="JR1" s="242"/>
      <c r="JS1" s="242"/>
      <c r="JT1" s="242"/>
      <c r="JU1" s="242"/>
      <c r="JV1" s="242"/>
      <c r="JW1" s="242"/>
      <c r="JX1" s="242"/>
      <c r="JY1" s="242"/>
      <c r="JZ1" s="242"/>
      <c r="KA1" s="242"/>
      <c r="KB1" s="242"/>
      <c r="KC1" s="242"/>
      <c r="KD1" s="242"/>
      <c r="KE1" s="242"/>
      <c r="KF1" s="242"/>
      <c r="KG1" s="242"/>
      <c r="KH1" s="242"/>
      <c r="KI1" s="242"/>
      <c r="KJ1" s="242"/>
      <c r="KK1" s="242"/>
      <c r="KL1" s="242"/>
      <c r="KM1" s="242"/>
      <c r="KN1" s="242"/>
      <c r="KO1" s="242"/>
      <c r="KP1" s="242"/>
      <c r="KQ1" s="242"/>
      <c r="KR1" s="242"/>
      <c r="KS1" s="242"/>
      <c r="KT1" s="242"/>
      <c r="KU1" s="242"/>
      <c r="KV1" s="242"/>
      <c r="KW1" s="242"/>
      <c r="KX1" s="242"/>
      <c r="KY1" s="242"/>
      <c r="KZ1" s="242"/>
      <c r="LA1" s="242"/>
      <c r="LB1" s="242"/>
      <c r="LC1" s="242"/>
      <c r="LD1" s="242"/>
      <c r="LE1" s="242"/>
      <c r="LF1" s="242"/>
      <c r="LG1" s="242"/>
      <c r="LH1" s="242"/>
      <c r="LI1" s="242"/>
      <c r="LJ1" s="242"/>
      <c r="LK1" s="242"/>
      <c r="LL1" s="242"/>
      <c r="LM1" s="242"/>
      <c r="LN1" s="242"/>
      <c r="LO1" s="242"/>
      <c r="LP1" s="242"/>
      <c r="LQ1" s="242"/>
      <c r="LR1" s="242"/>
      <c r="LS1" s="242"/>
      <c r="LT1" s="242"/>
      <c r="LU1" s="242"/>
      <c r="LV1" s="242"/>
      <c r="LW1" s="242"/>
      <c r="LX1" s="242"/>
      <c r="LY1" s="242"/>
      <c r="LZ1" s="242"/>
      <c r="MA1" s="242"/>
      <c r="MB1" s="242"/>
      <c r="MC1" s="242"/>
      <c r="MD1" s="242"/>
      <c r="ME1" s="242"/>
      <c r="MF1" s="242"/>
      <c r="MG1" s="242"/>
      <c r="MH1" s="242"/>
      <c r="MI1" s="242"/>
      <c r="MJ1" s="242"/>
      <c r="MK1" s="242"/>
      <c r="ML1" s="242"/>
      <c r="MM1" s="242"/>
      <c r="MN1" s="242"/>
      <c r="MO1" s="242"/>
      <c r="MP1" s="242"/>
      <c r="MQ1" s="242"/>
      <c r="MR1" s="242"/>
      <c r="MS1" s="242"/>
      <c r="MT1" s="242"/>
      <c r="MU1" s="242"/>
      <c r="MV1" s="242"/>
      <c r="MW1" s="242"/>
      <c r="MX1" s="242"/>
      <c r="MY1" s="242"/>
      <c r="MZ1" s="242"/>
      <c r="NA1" s="242"/>
      <c r="NB1" s="242"/>
      <c r="NC1" s="242"/>
      <c r="ND1" s="242"/>
      <c r="NE1" s="242"/>
      <c r="NF1" s="242"/>
      <c r="NG1" s="242"/>
      <c r="NH1" s="242"/>
      <c r="NI1" s="242"/>
      <c r="NJ1" s="242"/>
      <c r="NK1" s="242"/>
      <c r="NL1" s="242"/>
      <c r="NM1" s="242"/>
      <c r="NN1" s="242"/>
      <c r="NO1" s="242"/>
      <c r="NP1" s="242"/>
      <c r="NQ1" s="242"/>
      <c r="NR1" s="242"/>
      <c r="NS1" s="242"/>
      <c r="NT1" s="242"/>
      <c r="NU1" s="242"/>
      <c r="NV1" s="242"/>
      <c r="NW1" s="242"/>
      <c r="NX1" s="242"/>
      <c r="NY1" s="242"/>
      <c r="NZ1" s="242"/>
      <c r="OA1" s="242"/>
      <c r="OB1" s="242"/>
      <c r="OC1" s="242"/>
      <c r="OD1" s="242"/>
      <c r="OE1" s="242"/>
      <c r="OF1" s="242"/>
      <c r="OG1" s="242"/>
      <c r="OH1" s="242"/>
      <c r="OI1" s="242"/>
      <c r="OJ1" s="242"/>
      <c r="OK1" s="242"/>
      <c r="OL1" s="242"/>
      <c r="OM1" s="242"/>
      <c r="ON1" s="242"/>
      <c r="OO1" s="242"/>
      <c r="OP1" s="242"/>
      <c r="OQ1" s="242"/>
      <c r="OR1" s="242"/>
      <c r="OS1" s="242"/>
      <c r="OT1" s="242"/>
      <c r="OU1" s="242"/>
      <c r="OV1" s="242"/>
      <c r="OW1" s="242"/>
      <c r="OX1" s="242"/>
      <c r="OY1" s="242"/>
      <c r="OZ1" s="242"/>
      <c r="PA1" s="242"/>
      <c r="PB1" s="242"/>
      <c r="PC1" s="242"/>
      <c r="PD1" s="242"/>
      <c r="PE1" s="242"/>
      <c r="PF1" s="242"/>
      <c r="PG1" s="242"/>
      <c r="PH1" s="242"/>
      <c r="PI1" s="242"/>
      <c r="PJ1" s="242"/>
      <c r="PK1" s="242"/>
      <c r="PL1" s="242"/>
      <c r="PM1" s="242"/>
      <c r="PN1" s="242"/>
      <c r="PO1" s="242"/>
      <c r="PP1" s="242"/>
      <c r="PQ1" s="242"/>
      <c r="PR1" s="242"/>
      <c r="PS1" s="242"/>
      <c r="PT1" s="242"/>
      <c r="PU1" s="242"/>
      <c r="PV1" s="242"/>
      <c r="PW1" s="242"/>
      <c r="PX1" s="242"/>
      <c r="PY1" s="242"/>
      <c r="PZ1" s="242"/>
      <c r="QA1" s="242"/>
      <c r="QB1" s="242"/>
      <c r="QC1" s="242"/>
      <c r="QD1" s="242"/>
      <c r="QE1" s="242"/>
      <c r="QF1" s="242"/>
      <c r="QG1" s="242"/>
      <c r="QH1" s="242"/>
      <c r="QI1" s="242"/>
      <c r="QJ1" s="242"/>
      <c r="QK1" s="242"/>
      <c r="QL1" s="242"/>
      <c r="QM1" s="242"/>
      <c r="QN1" s="242"/>
      <c r="QO1" s="242"/>
      <c r="QP1" s="242"/>
      <c r="QQ1" s="242"/>
      <c r="QR1" s="242"/>
      <c r="QS1" s="242"/>
      <c r="QT1" s="242"/>
      <c r="QU1" s="242"/>
      <c r="QV1" s="242"/>
      <c r="QW1" s="242"/>
      <c r="QX1" s="242"/>
      <c r="QY1" s="242"/>
      <c r="QZ1" s="242"/>
      <c r="RA1" s="242"/>
      <c r="RB1" s="242"/>
      <c r="RC1" s="242"/>
      <c r="RD1" s="242"/>
      <c r="RE1" s="242"/>
      <c r="RF1" s="242"/>
      <c r="RG1" s="242"/>
      <c r="RH1" s="242"/>
      <c r="RI1" s="242"/>
      <c r="RJ1" s="242"/>
      <c r="RK1" s="242"/>
      <c r="RL1" s="242"/>
      <c r="RM1" s="242"/>
      <c r="RN1" s="242"/>
      <c r="RO1" s="242"/>
      <c r="RP1" s="242"/>
      <c r="RQ1" s="242"/>
      <c r="RR1" s="242"/>
      <c r="RS1" s="242"/>
      <c r="RT1" s="242"/>
      <c r="RU1" s="242"/>
      <c r="RV1" s="242"/>
      <c r="RW1" s="242"/>
      <c r="RX1" s="242"/>
      <c r="RY1" s="242"/>
      <c r="RZ1" s="242"/>
      <c r="SA1" s="242"/>
      <c r="SB1" s="242"/>
      <c r="SC1" s="242"/>
      <c r="SD1" s="242"/>
      <c r="SE1" s="242"/>
      <c r="SF1" s="242"/>
      <c r="SG1" s="242"/>
      <c r="SH1" s="242"/>
      <c r="SI1" s="242"/>
      <c r="SJ1" s="242"/>
      <c r="SK1" s="242"/>
      <c r="SL1" s="242"/>
      <c r="SM1" s="242"/>
      <c r="SN1" s="242"/>
      <c r="SO1" s="242"/>
      <c r="SP1" s="242"/>
      <c r="SQ1" s="242"/>
      <c r="SR1" s="242"/>
      <c r="SS1" s="242"/>
      <c r="ST1" s="242"/>
      <c r="SU1" s="242"/>
      <c r="SV1" s="242"/>
      <c r="SW1" s="242"/>
      <c r="SX1" s="242"/>
      <c r="SY1" s="242"/>
      <c r="SZ1" s="242"/>
      <c r="TA1" s="242"/>
      <c r="TB1" s="242"/>
      <c r="TC1" s="242"/>
      <c r="TD1" s="242"/>
      <c r="TE1" s="242"/>
      <c r="TF1" s="242"/>
      <c r="TG1" s="242"/>
      <c r="TH1" s="242"/>
      <c r="TI1" s="242"/>
      <c r="TJ1" s="242"/>
      <c r="TK1" s="242"/>
      <c r="TL1" s="242"/>
      <c r="TM1" s="242"/>
      <c r="TN1" s="242"/>
      <c r="TO1" s="242"/>
      <c r="TP1" s="242"/>
      <c r="TQ1" s="242"/>
      <c r="TR1" s="242"/>
      <c r="TS1" s="242"/>
      <c r="TT1" s="242"/>
      <c r="TU1" s="242"/>
      <c r="TV1" s="242"/>
      <c r="TW1" s="242"/>
      <c r="TX1" s="242"/>
      <c r="TY1" s="242"/>
      <c r="TZ1" s="242"/>
      <c r="UA1" s="242"/>
      <c r="UB1" s="242"/>
      <c r="UC1" s="242"/>
      <c r="UD1" s="242"/>
      <c r="UE1" s="242"/>
      <c r="UF1" s="242"/>
      <c r="UG1" s="242"/>
      <c r="UH1" s="242"/>
      <c r="UI1" s="242"/>
      <c r="UJ1" s="242"/>
      <c r="UK1" s="242"/>
      <c r="UL1" s="242"/>
      <c r="UM1" s="242"/>
      <c r="UN1" s="242"/>
      <c r="UO1" s="242"/>
      <c r="UP1" s="242"/>
      <c r="UQ1" s="242"/>
      <c r="UR1" s="242"/>
      <c r="US1" s="242"/>
      <c r="UT1" s="242"/>
      <c r="UU1" s="242"/>
      <c r="UV1" s="242"/>
      <c r="UW1" s="242"/>
      <c r="UX1" s="242"/>
      <c r="UY1" s="242"/>
      <c r="UZ1" s="242"/>
      <c r="VA1" s="242"/>
      <c r="VB1" s="242"/>
      <c r="VC1" s="242"/>
      <c r="VD1" s="242"/>
      <c r="VE1" s="242"/>
      <c r="VF1" s="242"/>
      <c r="VG1" s="242"/>
      <c r="VH1" s="242"/>
      <c r="VI1" s="242"/>
      <c r="VJ1" s="242"/>
      <c r="VK1" s="242"/>
      <c r="VL1" s="242"/>
      <c r="VM1" s="242"/>
      <c r="VN1" s="242"/>
      <c r="VO1" s="242"/>
      <c r="VP1" s="242"/>
      <c r="VQ1" s="242"/>
      <c r="VR1" s="242"/>
      <c r="VS1" s="242"/>
      <c r="VT1" s="242"/>
      <c r="VU1" s="242"/>
      <c r="VV1" s="242"/>
      <c r="VW1" s="242"/>
      <c r="VX1" s="242"/>
      <c r="VY1" s="242"/>
      <c r="VZ1" s="242"/>
      <c r="WA1" s="242"/>
      <c r="WB1" s="242"/>
      <c r="WC1" s="242"/>
      <c r="WD1" s="242"/>
      <c r="WE1" s="242"/>
      <c r="WF1" s="242"/>
      <c r="WG1" s="242"/>
      <c r="WH1" s="242"/>
      <c r="WI1" s="242"/>
      <c r="WJ1" s="242"/>
      <c r="WK1" s="242"/>
      <c r="WL1" s="242"/>
      <c r="WM1" s="242"/>
      <c r="WN1" s="242"/>
      <c r="WO1" s="242"/>
      <c r="WP1" s="242"/>
      <c r="WQ1" s="242"/>
      <c r="WR1" s="242"/>
      <c r="WS1" s="242"/>
      <c r="WT1" s="242"/>
      <c r="WU1" s="242"/>
      <c r="WV1" s="242"/>
      <c r="WW1" s="242"/>
      <c r="WX1" s="242"/>
      <c r="WY1" s="242"/>
      <c r="WZ1" s="242"/>
      <c r="XA1" s="242"/>
      <c r="XB1" s="242"/>
      <c r="XC1" s="242"/>
      <c r="XD1" s="242"/>
      <c r="XE1" s="242"/>
      <c r="XF1" s="242"/>
      <c r="XG1" s="242"/>
      <c r="XH1" s="242"/>
      <c r="XI1" s="242"/>
      <c r="XJ1" s="242"/>
      <c r="XK1" s="242"/>
      <c r="XL1" s="242"/>
      <c r="XM1" s="242"/>
      <c r="XN1" s="242"/>
      <c r="XO1" s="242"/>
      <c r="XP1" s="242"/>
      <c r="XQ1" s="242"/>
      <c r="XR1" s="242"/>
      <c r="XS1" s="242"/>
      <c r="XT1" s="242"/>
      <c r="XU1" s="242"/>
      <c r="XV1" s="242"/>
      <c r="XW1" s="242"/>
      <c r="XX1" s="242"/>
      <c r="XY1" s="242"/>
      <c r="XZ1" s="242"/>
      <c r="YA1" s="242"/>
      <c r="YB1" s="242"/>
      <c r="YC1" s="242"/>
      <c r="YD1" s="242"/>
      <c r="YE1" s="242"/>
      <c r="YF1" s="242"/>
      <c r="YG1" s="242"/>
      <c r="YH1" s="242"/>
      <c r="YI1" s="242"/>
      <c r="YJ1" s="242"/>
      <c r="YK1" s="242"/>
      <c r="YL1" s="242"/>
      <c r="YM1" s="242"/>
      <c r="YN1" s="242"/>
      <c r="YO1" s="242"/>
      <c r="YP1" s="242"/>
      <c r="YQ1" s="242"/>
      <c r="YR1" s="242"/>
      <c r="YS1" s="242"/>
      <c r="YT1" s="242"/>
      <c r="YU1" s="242"/>
      <c r="YV1" s="242"/>
      <c r="YW1" s="242"/>
      <c r="YX1" s="242"/>
      <c r="YY1" s="242"/>
      <c r="YZ1" s="242"/>
      <c r="ZA1" s="242"/>
      <c r="ZB1" s="242"/>
      <c r="ZC1" s="242"/>
      <c r="ZD1" s="242"/>
      <c r="ZE1" s="242"/>
      <c r="ZF1" s="242"/>
      <c r="ZG1" s="242"/>
      <c r="ZH1" s="242"/>
      <c r="ZI1" s="242"/>
      <c r="ZJ1" s="242"/>
      <c r="ZK1" s="242"/>
      <c r="ZL1" s="242"/>
      <c r="ZM1" s="242"/>
      <c r="ZN1" s="242"/>
      <c r="ZO1" s="242"/>
      <c r="ZP1" s="242"/>
      <c r="ZQ1" s="242"/>
      <c r="ZR1" s="242"/>
      <c r="ZS1" s="242"/>
      <c r="ZT1" s="242"/>
      <c r="ZU1" s="242"/>
      <c r="ZV1" s="242"/>
      <c r="ZW1" s="242"/>
      <c r="ZX1" s="242"/>
      <c r="ZY1" s="242"/>
      <c r="ZZ1" s="242"/>
      <c r="AAA1" s="242"/>
      <c r="AAB1" s="242"/>
      <c r="AAC1" s="242"/>
      <c r="AAD1" s="242"/>
      <c r="AAE1" s="242"/>
      <c r="AAF1" s="242"/>
      <c r="AAG1" s="242"/>
      <c r="AAH1" s="242"/>
      <c r="AAI1" s="242"/>
      <c r="AAJ1" s="242"/>
      <c r="AAK1" s="242"/>
      <c r="AAL1" s="242"/>
      <c r="AAM1" s="242"/>
      <c r="AAN1" s="242"/>
      <c r="AAO1" s="242"/>
      <c r="AAP1" s="242"/>
      <c r="AAQ1" s="242"/>
      <c r="AAR1" s="242"/>
      <c r="AAS1" s="242"/>
      <c r="AAT1" s="242"/>
      <c r="AAU1" s="242"/>
      <c r="AAV1" s="242"/>
      <c r="AAW1" s="242"/>
      <c r="AAX1" s="242"/>
      <c r="AAY1" s="242"/>
      <c r="AAZ1" s="242"/>
      <c r="ABA1" s="242"/>
      <c r="ABB1" s="242"/>
      <c r="ABC1" s="242"/>
      <c r="ABD1" s="242"/>
      <c r="ABE1" s="242"/>
      <c r="ABF1" s="242"/>
      <c r="ABG1" s="242"/>
      <c r="ABH1" s="242"/>
      <c r="ABI1" s="242"/>
      <c r="ABJ1" s="242"/>
      <c r="ABK1" s="242"/>
      <c r="ABL1" s="242"/>
      <c r="ABM1" s="242"/>
      <c r="ABN1" s="242"/>
      <c r="ABO1" s="242"/>
      <c r="ABP1" s="242"/>
      <c r="ABQ1" s="242"/>
      <c r="ABR1" s="242"/>
      <c r="ABS1" s="242"/>
      <c r="ABT1" s="242"/>
      <c r="ABU1" s="242"/>
      <c r="ABV1" s="242"/>
      <c r="ABW1" s="242"/>
      <c r="ABX1" s="242"/>
      <c r="ABY1" s="242"/>
      <c r="ABZ1" s="242"/>
      <c r="ACA1" s="242"/>
      <c r="ACB1" s="242"/>
      <c r="ACC1" s="242"/>
      <c r="ACD1" s="242"/>
      <c r="ACE1" s="242"/>
      <c r="ACF1" s="242"/>
      <c r="ACG1" s="242"/>
      <c r="ACH1" s="242"/>
      <c r="ACI1" s="242"/>
      <c r="ACJ1" s="242"/>
      <c r="ACK1" s="242"/>
      <c r="ACL1" s="242"/>
      <c r="ACM1" s="242"/>
      <c r="ACN1" s="242"/>
      <c r="ACO1" s="242"/>
      <c r="ACP1" s="242"/>
      <c r="ACQ1" s="242"/>
      <c r="ACR1" s="242"/>
      <c r="ACS1" s="242"/>
      <c r="ACT1" s="242"/>
      <c r="ACU1" s="242"/>
      <c r="ACV1" s="242"/>
      <c r="ACW1" s="242"/>
      <c r="ACX1" s="242"/>
      <c r="ACY1" s="242"/>
      <c r="ACZ1" s="242"/>
      <c r="ADA1" s="242"/>
      <c r="ADB1" s="242"/>
      <c r="ADC1" s="242"/>
      <c r="ADD1" s="242"/>
      <c r="ADE1" s="242"/>
      <c r="ADF1" s="242"/>
      <c r="ADG1" s="242"/>
      <c r="ADH1" s="242"/>
      <c r="ADI1" s="242"/>
      <c r="ADJ1" s="242"/>
      <c r="ADK1" s="242"/>
      <c r="ADL1" s="242"/>
      <c r="ADM1" s="242"/>
      <c r="ADN1" s="242"/>
      <c r="ADO1" s="242"/>
      <c r="ADP1" s="242"/>
      <c r="ADQ1" s="242"/>
      <c r="ADR1" s="242"/>
      <c r="ADS1" s="242"/>
      <c r="ADT1" s="242"/>
      <c r="ADU1" s="242"/>
      <c r="ADV1" s="242"/>
      <c r="ADW1" s="242"/>
      <c r="ADX1" s="242"/>
      <c r="ADY1" s="242"/>
      <c r="ADZ1" s="242"/>
      <c r="AEA1" s="242"/>
      <c r="AEB1" s="242"/>
      <c r="AEC1" s="242"/>
      <c r="AED1" s="242"/>
      <c r="AEE1" s="242"/>
      <c r="AEF1" s="242"/>
      <c r="AEG1" s="242"/>
      <c r="AEH1" s="242"/>
      <c r="AEI1" s="242"/>
      <c r="AEJ1" s="242"/>
      <c r="AEK1" s="242"/>
      <c r="AEL1" s="242"/>
      <c r="AEM1" s="242"/>
      <c r="AEN1" s="242"/>
      <c r="AEO1" s="242"/>
      <c r="AEP1" s="242"/>
      <c r="AEQ1" s="242"/>
      <c r="AER1" s="242"/>
      <c r="AES1" s="242"/>
      <c r="AET1" s="242"/>
      <c r="AEU1" s="242"/>
      <c r="AEV1" s="242"/>
      <c r="AEW1" s="242"/>
      <c r="AEX1" s="242"/>
      <c r="AEY1" s="242"/>
      <c r="AEZ1" s="242"/>
      <c r="AFA1" s="242"/>
      <c r="AFB1" s="242"/>
      <c r="AFC1" s="242"/>
      <c r="AFD1" s="242"/>
      <c r="AFE1" s="242"/>
      <c r="AFF1" s="242"/>
      <c r="AFG1" s="242"/>
      <c r="AFH1" s="242"/>
      <c r="AFI1" s="242"/>
      <c r="AFJ1" s="242"/>
      <c r="AFK1" s="242"/>
      <c r="AFL1" s="242"/>
      <c r="AFM1" s="242"/>
      <c r="AFN1" s="242"/>
      <c r="AFO1" s="242"/>
      <c r="AFP1" s="242"/>
      <c r="AFQ1" s="242"/>
      <c r="AFR1" s="242"/>
      <c r="AFS1" s="242"/>
      <c r="AFT1" s="242"/>
      <c r="AFU1" s="242"/>
      <c r="AFV1" s="242"/>
      <c r="AFW1" s="242"/>
      <c r="AFX1" s="242"/>
      <c r="AFY1" s="242"/>
      <c r="AFZ1" s="242"/>
      <c r="AGA1" s="242"/>
      <c r="AGB1" s="242"/>
      <c r="AGC1" s="242"/>
      <c r="AGD1" s="242"/>
      <c r="AGE1" s="242"/>
      <c r="AGF1" s="242"/>
      <c r="AGG1" s="242"/>
      <c r="AGH1" s="242"/>
      <c r="AGI1" s="242"/>
      <c r="AGJ1" s="242"/>
      <c r="AGK1" s="242"/>
      <c r="AGL1" s="242"/>
      <c r="AGM1" s="242"/>
      <c r="AGN1" s="242"/>
      <c r="AGO1" s="242"/>
      <c r="AGP1" s="242"/>
      <c r="AGQ1" s="242"/>
      <c r="AGR1" s="242"/>
      <c r="AGS1" s="242"/>
      <c r="AGT1" s="242"/>
      <c r="AGU1" s="242"/>
      <c r="AGV1" s="242"/>
      <c r="AGW1" s="242"/>
      <c r="AGX1" s="242"/>
      <c r="AGY1" s="242"/>
      <c r="AGZ1" s="242"/>
      <c r="AHA1" s="242"/>
      <c r="AHB1" s="242"/>
      <c r="AHC1" s="242"/>
      <c r="AHD1" s="242"/>
      <c r="AHE1" s="242"/>
      <c r="AHF1" s="242"/>
      <c r="AHG1" s="242"/>
      <c r="AHH1" s="242"/>
      <c r="AHI1" s="242"/>
      <c r="AHJ1" s="242"/>
      <c r="AHK1" s="242"/>
      <c r="AHL1" s="242"/>
      <c r="AHM1" s="242"/>
      <c r="AHN1" s="242"/>
      <c r="AHO1" s="242"/>
      <c r="AHP1" s="242"/>
      <c r="AHQ1" s="242"/>
      <c r="AHR1" s="242"/>
      <c r="AHS1" s="242"/>
      <c r="AHT1" s="242"/>
      <c r="AHU1" s="242"/>
      <c r="AHV1" s="242"/>
      <c r="AHW1" s="242"/>
      <c r="AHX1" s="242"/>
      <c r="AHY1" s="242"/>
      <c r="AHZ1" s="242"/>
      <c r="AIA1" s="242"/>
      <c r="AIB1" s="242"/>
      <c r="AIC1" s="242"/>
      <c r="AID1" s="242"/>
      <c r="AIE1" s="242"/>
      <c r="AIF1" s="242"/>
      <c r="AIG1" s="242"/>
      <c r="AIH1" s="242"/>
      <c r="AII1" s="242"/>
      <c r="AIJ1" s="242"/>
      <c r="AIK1" s="242"/>
      <c r="AIL1" s="242"/>
      <c r="AIM1" s="242"/>
      <c r="AIN1" s="242"/>
      <c r="AIO1" s="242"/>
      <c r="AIP1" s="242"/>
      <c r="AIQ1" s="242"/>
      <c r="AIR1" s="242"/>
      <c r="AIS1" s="242"/>
      <c r="AIT1" s="242"/>
      <c r="AIU1" s="242"/>
      <c r="AIV1" s="242"/>
      <c r="AIW1" s="242"/>
      <c r="AIX1" s="242"/>
      <c r="AIY1" s="242"/>
      <c r="AIZ1" s="242"/>
      <c r="AJA1" s="242"/>
      <c r="AJB1" s="242"/>
      <c r="AJC1" s="242"/>
      <c r="AJD1" s="242"/>
      <c r="AJE1" s="242"/>
      <c r="AJF1" s="242"/>
      <c r="AJG1" s="242"/>
      <c r="AJH1" s="242"/>
      <c r="AJI1" s="242"/>
      <c r="AJJ1" s="242"/>
      <c r="AJK1" s="242"/>
      <c r="AJL1" s="242"/>
      <c r="AJM1" s="242"/>
      <c r="AJN1" s="242"/>
      <c r="AJO1" s="242"/>
      <c r="AJP1" s="242"/>
      <c r="AJQ1" s="242"/>
      <c r="AJR1" s="242"/>
      <c r="AJS1" s="242"/>
      <c r="AJT1" s="242"/>
      <c r="AJU1" s="242"/>
      <c r="AJV1" s="242"/>
      <c r="AJW1" s="242"/>
      <c r="AJX1" s="242"/>
      <c r="AJY1" s="242"/>
      <c r="AJZ1" s="242"/>
      <c r="AKA1" s="242"/>
      <c r="AKB1" s="242"/>
      <c r="AKC1" s="242"/>
      <c r="AKD1" s="242"/>
      <c r="AKE1" s="242"/>
      <c r="AKF1" s="242"/>
      <c r="AKG1" s="242"/>
      <c r="AKH1" s="242"/>
      <c r="AKI1" s="242"/>
      <c r="AKJ1" s="242"/>
      <c r="AKK1" s="242"/>
      <c r="AKL1" s="242"/>
      <c r="AKM1" s="242"/>
      <c r="AKN1" s="242"/>
      <c r="AKO1" s="242"/>
      <c r="AKP1" s="242"/>
      <c r="AKQ1" s="242"/>
      <c r="AKR1" s="242"/>
      <c r="AKS1" s="242"/>
      <c r="AKT1" s="242"/>
      <c r="AKU1" s="242"/>
      <c r="AKV1" s="242"/>
      <c r="AKW1" s="242"/>
      <c r="AKX1" s="242"/>
      <c r="AKY1" s="242"/>
      <c r="AKZ1" s="242"/>
      <c r="ALA1" s="242"/>
      <c r="ALB1" s="242"/>
      <c r="ALC1" s="242"/>
      <c r="ALD1" s="242"/>
      <c r="ALE1" s="242"/>
      <c r="ALF1" s="242"/>
      <c r="ALG1" s="242"/>
      <c r="ALH1" s="242"/>
      <c r="ALI1" s="242"/>
      <c r="ALJ1" s="242"/>
      <c r="ALK1" s="242"/>
      <c r="ALL1" s="242"/>
      <c r="ALM1" s="242"/>
      <c r="ALN1" s="242"/>
      <c r="ALO1" s="242"/>
      <c r="ALP1" s="242"/>
      <c r="ALQ1" s="242"/>
      <c r="ALR1" s="242"/>
      <c r="ALS1" s="242"/>
      <c r="ALT1" s="242"/>
      <c r="ALU1" s="242"/>
      <c r="ALV1" s="242"/>
      <c r="ALW1" s="242"/>
      <c r="ALX1" s="242"/>
      <c r="ALY1" s="242"/>
      <c r="ALZ1" s="242"/>
      <c r="AMA1" s="242"/>
      <c r="AMB1" s="242"/>
      <c r="AMC1" s="242"/>
      <c r="AMD1" s="242"/>
      <c r="AME1" s="242"/>
      <c r="AMF1" s="242"/>
      <c r="AMG1" s="242"/>
      <c r="AMH1" s="242"/>
      <c r="AMI1" s="242"/>
      <c r="AMJ1" s="242"/>
      <c r="AMK1" s="242"/>
      <c r="AML1" s="242"/>
      <c r="AMM1" s="242"/>
      <c r="AMN1" s="242"/>
      <c r="AMO1" s="242"/>
      <c r="AMP1" s="242"/>
      <c r="AMQ1" s="242"/>
      <c r="AMR1" s="242"/>
      <c r="AMS1" s="242"/>
      <c r="AMT1" s="242"/>
      <c r="AMU1" s="242"/>
      <c r="AMV1" s="242"/>
      <c r="AMW1" s="242"/>
      <c r="AMX1" s="242"/>
      <c r="AMY1" s="242"/>
      <c r="AMZ1" s="242"/>
      <c r="ANA1" s="242"/>
      <c r="ANB1" s="242"/>
      <c r="ANC1" s="242"/>
      <c r="AND1" s="242"/>
      <c r="ANE1" s="242"/>
      <c r="ANF1" s="242"/>
      <c r="ANG1" s="242"/>
      <c r="ANH1" s="242"/>
      <c r="ANI1" s="242"/>
      <c r="ANJ1" s="242"/>
      <c r="ANK1" s="242"/>
      <c r="ANL1" s="242"/>
      <c r="ANM1" s="242"/>
      <c r="ANN1" s="242"/>
      <c r="ANO1" s="242"/>
      <c r="ANP1" s="242"/>
      <c r="ANQ1" s="242"/>
      <c r="ANR1" s="242"/>
      <c r="ANS1" s="242"/>
      <c r="ANT1" s="242"/>
      <c r="ANU1" s="242"/>
      <c r="ANV1" s="242"/>
      <c r="ANW1" s="242"/>
      <c r="ANX1" s="242"/>
      <c r="ANY1" s="242"/>
      <c r="ANZ1" s="242"/>
      <c r="AOA1" s="242"/>
      <c r="AOB1" s="242"/>
      <c r="AOC1" s="242"/>
      <c r="AOD1" s="242"/>
      <c r="AOE1" s="242"/>
      <c r="AOF1" s="242"/>
      <c r="AOG1" s="242"/>
      <c r="AOH1" s="242"/>
      <c r="AOI1" s="242"/>
      <c r="AOJ1" s="242"/>
      <c r="AOK1" s="242"/>
      <c r="AOL1" s="242"/>
      <c r="AOM1" s="242"/>
      <c r="AON1" s="242"/>
      <c r="AOO1" s="242"/>
      <c r="AOP1" s="242"/>
      <c r="AOQ1" s="242"/>
      <c r="AOR1" s="242"/>
      <c r="AOS1" s="242"/>
      <c r="AOT1" s="242"/>
      <c r="AOU1" s="242"/>
      <c r="AOV1" s="242"/>
      <c r="AOW1" s="242"/>
      <c r="AOX1" s="242"/>
      <c r="AOY1" s="242"/>
      <c r="AOZ1" s="242"/>
      <c r="APA1" s="242"/>
      <c r="APB1" s="242"/>
      <c r="APC1" s="242"/>
      <c r="APD1" s="242"/>
      <c r="APE1" s="242"/>
      <c r="APF1" s="242"/>
      <c r="APG1" s="242"/>
      <c r="APH1" s="242"/>
      <c r="API1" s="242"/>
      <c r="APJ1" s="242"/>
      <c r="APK1" s="242"/>
      <c r="APL1" s="242"/>
      <c r="APM1" s="242"/>
      <c r="APN1" s="242"/>
      <c r="APO1" s="242"/>
      <c r="APP1" s="242"/>
      <c r="APQ1" s="242"/>
      <c r="APR1" s="242"/>
      <c r="APS1" s="242"/>
      <c r="APT1" s="242"/>
      <c r="APU1" s="242"/>
      <c r="APV1" s="242"/>
      <c r="APW1" s="242"/>
      <c r="APX1" s="242"/>
      <c r="APY1" s="242"/>
      <c r="APZ1" s="242"/>
      <c r="AQA1" s="242"/>
      <c r="AQB1" s="242"/>
      <c r="AQC1" s="242"/>
      <c r="AQD1" s="242"/>
      <c r="AQE1" s="242"/>
      <c r="AQF1" s="242"/>
      <c r="AQG1" s="242"/>
      <c r="AQH1" s="242"/>
      <c r="AQI1" s="242"/>
      <c r="AQJ1" s="242"/>
      <c r="AQK1" s="242"/>
      <c r="AQL1" s="242"/>
      <c r="AQM1" s="242"/>
      <c r="AQN1" s="242"/>
      <c r="AQO1" s="242"/>
      <c r="AQP1" s="242"/>
      <c r="AQQ1" s="242"/>
      <c r="AQR1" s="242"/>
      <c r="AQS1" s="242"/>
      <c r="AQT1" s="242"/>
      <c r="AQU1" s="242"/>
      <c r="AQV1" s="242"/>
      <c r="AQW1" s="242"/>
      <c r="AQX1" s="242"/>
      <c r="AQY1" s="242"/>
      <c r="AQZ1" s="242"/>
      <c r="ARA1" s="242"/>
      <c r="ARB1" s="242"/>
      <c r="ARC1" s="242"/>
      <c r="ARD1" s="242"/>
      <c r="ARE1" s="242"/>
      <c r="ARF1" s="242"/>
      <c r="ARG1" s="242"/>
      <c r="ARH1" s="242"/>
      <c r="ARI1" s="242"/>
      <c r="ARJ1" s="242"/>
      <c r="ARK1" s="242"/>
      <c r="ARL1" s="242"/>
      <c r="ARM1" s="242"/>
      <c r="ARN1" s="242"/>
      <c r="ARO1" s="242"/>
      <c r="ARP1" s="242"/>
      <c r="ARQ1" s="242"/>
      <c r="ARR1" s="242"/>
      <c r="ARS1" s="242"/>
      <c r="ART1" s="242"/>
      <c r="ARU1" s="242"/>
      <c r="ARV1" s="242"/>
      <c r="ARW1" s="242"/>
      <c r="ARX1" s="242"/>
      <c r="ARY1" s="242"/>
      <c r="ARZ1" s="242"/>
      <c r="ASA1" s="242"/>
      <c r="ASB1" s="242"/>
      <c r="ASC1" s="242"/>
      <c r="ASD1" s="242"/>
      <c r="ASE1" s="242"/>
      <c r="ASF1" s="242"/>
      <c r="ASG1" s="242"/>
      <c r="ASH1" s="242"/>
      <c r="ASI1" s="242"/>
      <c r="ASJ1" s="242"/>
      <c r="ASK1" s="242"/>
      <c r="ASL1" s="242"/>
      <c r="ASM1" s="242"/>
      <c r="ASN1" s="242"/>
      <c r="ASO1" s="242"/>
      <c r="ASP1" s="242"/>
      <c r="ASQ1" s="242"/>
      <c r="ASR1" s="242"/>
      <c r="ASS1" s="242"/>
      <c r="AST1" s="242"/>
      <c r="ASU1" s="242"/>
      <c r="ASV1" s="242"/>
      <c r="ASW1" s="242"/>
      <c r="ASX1" s="242"/>
      <c r="ASY1" s="242"/>
      <c r="ASZ1" s="242"/>
      <c r="ATA1" s="242"/>
      <c r="ATB1" s="242"/>
      <c r="ATC1" s="242"/>
      <c r="ATD1" s="242"/>
      <c r="ATE1" s="242"/>
      <c r="ATF1" s="242"/>
      <c r="ATG1" s="242"/>
      <c r="ATH1" s="242"/>
      <c r="ATI1" s="242"/>
      <c r="ATJ1" s="242"/>
      <c r="ATK1" s="242"/>
      <c r="ATL1" s="242"/>
      <c r="ATM1" s="242"/>
      <c r="ATN1" s="242"/>
      <c r="ATO1" s="242"/>
      <c r="ATP1" s="242"/>
      <c r="ATQ1" s="242"/>
      <c r="ATR1" s="242"/>
      <c r="ATS1" s="242"/>
      <c r="ATT1" s="242"/>
      <c r="ATU1" s="242"/>
      <c r="ATV1" s="242"/>
      <c r="ATW1" s="242"/>
      <c r="ATX1" s="242"/>
      <c r="ATY1" s="242"/>
      <c r="ATZ1" s="242"/>
      <c r="AUA1" s="242"/>
      <c r="AUB1" s="242"/>
      <c r="AUC1" s="242"/>
      <c r="AUD1" s="242"/>
      <c r="AUE1" s="242"/>
      <c r="AUF1" s="242"/>
      <c r="AUG1" s="242"/>
      <c r="AUH1" s="242"/>
      <c r="AUI1" s="242"/>
      <c r="AUJ1" s="242"/>
      <c r="AUK1" s="242"/>
      <c r="AUL1" s="242"/>
      <c r="AUM1" s="242"/>
      <c r="AUN1" s="242"/>
      <c r="AUO1" s="242"/>
      <c r="AUP1" s="242"/>
      <c r="AUQ1" s="242"/>
      <c r="AUR1" s="242"/>
      <c r="AUS1" s="242"/>
      <c r="AUT1" s="242"/>
      <c r="AUU1" s="242"/>
      <c r="AUV1" s="242"/>
      <c r="AUW1" s="242"/>
      <c r="AUX1" s="242"/>
      <c r="AUY1" s="242"/>
      <c r="AUZ1" s="242"/>
      <c r="AVA1" s="242"/>
      <c r="AVB1" s="242"/>
      <c r="AVC1" s="242"/>
      <c r="AVD1" s="242"/>
      <c r="AVE1" s="242"/>
      <c r="AVF1" s="242"/>
      <c r="AVG1" s="242"/>
      <c r="AVH1" s="242"/>
      <c r="AVI1" s="242"/>
      <c r="AVJ1" s="242"/>
      <c r="AVK1" s="242"/>
      <c r="AVL1" s="242"/>
      <c r="AVM1" s="242"/>
      <c r="AVN1" s="242"/>
      <c r="AVO1" s="242"/>
      <c r="AVP1" s="242"/>
      <c r="AVQ1" s="242"/>
      <c r="AVR1" s="242"/>
      <c r="AVS1" s="242"/>
      <c r="AVT1" s="242"/>
      <c r="AVU1" s="242"/>
      <c r="AVV1" s="242"/>
      <c r="AVW1" s="242"/>
      <c r="AVX1" s="242"/>
      <c r="AVY1" s="242"/>
      <c r="AVZ1" s="242"/>
      <c r="AWA1" s="242"/>
      <c r="AWB1" s="242"/>
      <c r="AWC1" s="242"/>
      <c r="AWD1" s="242"/>
      <c r="AWE1" s="242"/>
      <c r="AWF1" s="242"/>
      <c r="AWG1" s="242"/>
      <c r="AWH1" s="242"/>
      <c r="AWI1" s="242"/>
      <c r="AWJ1" s="242"/>
      <c r="AWK1" s="242"/>
      <c r="AWL1" s="242"/>
      <c r="AWM1" s="242"/>
      <c r="AWN1" s="242"/>
      <c r="AWO1" s="242"/>
      <c r="AWP1" s="242"/>
      <c r="AWQ1" s="242"/>
      <c r="AWR1" s="242"/>
      <c r="AWS1" s="242"/>
      <c r="AWT1" s="242"/>
      <c r="AWU1" s="242"/>
      <c r="AWV1" s="242"/>
      <c r="AWW1" s="242"/>
      <c r="AWX1" s="242"/>
      <c r="AWY1" s="242"/>
      <c r="AWZ1" s="242"/>
      <c r="AXA1" s="242"/>
      <c r="AXB1" s="242"/>
      <c r="AXC1" s="242"/>
      <c r="AXD1" s="242"/>
      <c r="AXE1" s="242"/>
      <c r="AXF1" s="242"/>
      <c r="AXG1" s="242"/>
      <c r="AXH1" s="242"/>
      <c r="AXI1" s="242"/>
      <c r="AXJ1" s="242"/>
      <c r="AXK1" s="242"/>
      <c r="AXL1" s="242"/>
      <c r="AXM1" s="242"/>
      <c r="AXN1" s="242"/>
      <c r="AXO1" s="242"/>
      <c r="AXP1" s="242"/>
      <c r="AXQ1" s="242"/>
      <c r="AXR1" s="242"/>
      <c r="AXS1" s="242"/>
      <c r="AXT1" s="242"/>
      <c r="AXU1" s="242"/>
      <c r="AXV1" s="242"/>
      <c r="AXW1" s="242"/>
      <c r="AXX1" s="242"/>
      <c r="AXY1" s="242"/>
      <c r="AXZ1" s="242"/>
      <c r="AYA1" s="242"/>
      <c r="AYB1" s="242"/>
      <c r="AYC1" s="242"/>
      <c r="AYD1" s="242"/>
      <c r="AYE1" s="242"/>
      <c r="AYF1" s="242"/>
      <c r="AYG1" s="242"/>
      <c r="AYH1" s="242"/>
      <c r="AYI1" s="242"/>
      <c r="AYJ1" s="242"/>
      <c r="AYK1" s="242"/>
      <c r="AYL1" s="242"/>
      <c r="AYM1" s="242"/>
      <c r="AYN1" s="242"/>
      <c r="AYO1" s="242"/>
      <c r="AYP1" s="242"/>
      <c r="AYQ1" s="242"/>
      <c r="AYR1" s="242"/>
      <c r="AYS1" s="242"/>
      <c r="AYT1" s="242"/>
      <c r="AYU1" s="242"/>
      <c r="AYV1" s="242"/>
      <c r="AYW1" s="242"/>
      <c r="AYX1" s="242"/>
      <c r="AYY1" s="242"/>
      <c r="AYZ1" s="242"/>
      <c r="AZA1" s="242"/>
      <c r="AZB1" s="242"/>
      <c r="AZC1" s="242"/>
      <c r="AZD1" s="242"/>
      <c r="AZE1" s="242"/>
      <c r="AZF1" s="242"/>
      <c r="AZG1" s="242"/>
      <c r="AZH1" s="242"/>
      <c r="AZI1" s="242"/>
      <c r="AZJ1" s="242"/>
      <c r="AZK1" s="242"/>
      <c r="AZL1" s="242"/>
      <c r="AZM1" s="242"/>
      <c r="AZN1" s="242"/>
      <c r="AZO1" s="242"/>
      <c r="AZP1" s="242"/>
      <c r="AZQ1" s="242"/>
      <c r="AZR1" s="242"/>
      <c r="AZS1" s="242"/>
      <c r="AZT1" s="242"/>
      <c r="AZU1" s="242"/>
      <c r="AZV1" s="242"/>
      <c r="AZW1" s="242"/>
      <c r="AZX1" s="242"/>
      <c r="AZY1" s="242"/>
      <c r="AZZ1" s="242"/>
      <c r="BAA1" s="242"/>
      <c r="BAB1" s="242"/>
      <c r="BAC1" s="242"/>
      <c r="BAD1" s="242"/>
      <c r="BAE1" s="242"/>
      <c r="BAF1" s="242"/>
      <c r="BAG1" s="242"/>
      <c r="BAH1" s="242"/>
      <c r="BAI1" s="242"/>
      <c r="BAJ1" s="242"/>
      <c r="BAK1" s="242"/>
      <c r="BAL1" s="242"/>
      <c r="BAM1" s="242"/>
      <c r="BAN1" s="242"/>
      <c r="BAO1" s="242"/>
      <c r="BAP1" s="242"/>
      <c r="BAQ1" s="242"/>
      <c r="BAR1" s="242"/>
      <c r="BAS1" s="242"/>
      <c r="BAT1" s="242"/>
      <c r="BAU1" s="242"/>
      <c r="BAV1" s="242"/>
      <c r="BAW1" s="242"/>
      <c r="BAX1" s="242"/>
      <c r="BAY1" s="242"/>
      <c r="BAZ1" s="242"/>
      <c r="BBA1" s="242"/>
      <c r="BBB1" s="242"/>
      <c r="BBC1" s="242"/>
      <c r="BBD1" s="242"/>
      <c r="BBE1" s="242"/>
      <c r="BBF1" s="242"/>
      <c r="BBG1" s="242"/>
      <c r="BBH1" s="242"/>
      <c r="BBI1" s="242"/>
      <c r="BBJ1" s="242"/>
      <c r="BBK1" s="242"/>
      <c r="BBL1" s="242"/>
      <c r="BBM1" s="242"/>
      <c r="BBN1" s="242"/>
      <c r="BBO1" s="242"/>
      <c r="BBP1" s="242"/>
      <c r="BBQ1" s="242"/>
      <c r="BBR1" s="242"/>
      <c r="BBS1" s="242"/>
      <c r="BBT1" s="242"/>
      <c r="BBU1" s="242"/>
      <c r="BBV1" s="242"/>
      <c r="BBW1" s="242"/>
      <c r="BBX1" s="242"/>
      <c r="BBY1" s="242"/>
      <c r="BBZ1" s="242"/>
      <c r="BCA1" s="242"/>
      <c r="BCB1" s="242"/>
      <c r="BCC1" s="242"/>
      <c r="BCD1" s="242"/>
      <c r="BCE1" s="242"/>
      <c r="BCF1" s="242"/>
      <c r="BCG1" s="242"/>
      <c r="BCH1" s="242"/>
      <c r="BCI1" s="242"/>
      <c r="BCJ1" s="242"/>
      <c r="BCK1" s="242"/>
      <c r="BCL1" s="242"/>
      <c r="BCM1" s="242"/>
      <c r="BCN1" s="242"/>
      <c r="BCO1" s="242"/>
      <c r="BCP1" s="242"/>
      <c r="BCQ1" s="242"/>
      <c r="BCR1" s="242"/>
      <c r="BCS1" s="242"/>
      <c r="BCT1" s="242"/>
      <c r="BCU1" s="242"/>
      <c r="BCV1" s="242"/>
      <c r="BCW1" s="242"/>
      <c r="BCX1" s="242"/>
      <c r="BCY1" s="242"/>
      <c r="BCZ1" s="242"/>
      <c r="BDA1" s="242"/>
      <c r="BDB1" s="242"/>
      <c r="BDC1" s="242"/>
      <c r="BDD1" s="242"/>
      <c r="BDE1" s="242"/>
      <c r="BDF1" s="242"/>
      <c r="BDG1" s="242"/>
      <c r="BDH1" s="242"/>
      <c r="BDI1" s="242"/>
      <c r="BDJ1" s="242"/>
      <c r="BDK1" s="242"/>
      <c r="BDL1" s="242"/>
      <c r="BDM1" s="242"/>
      <c r="BDN1" s="242"/>
      <c r="BDO1" s="242"/>
      <c r="BDP1" s="242"/>
      <c r="BDQ1" s="242"/>
      <c r="BDR1" s="242"/>
      <c r="BDS1" s="242"/>
      <c r="BDT1" s="242"/>
      <c r="BDU1" s="242"/>
      <c r="BDV1" s="242"/>
      <c r="BDW1" s="242"/>
      <c r="BDX1" s="242"/>
      <c r="BDY1" s="242"/>
      <c r="BDZ1" s="242"/>
      <c r="BEA1" s="242"/>
      <c r="BEB1" s="242"/>
      <c r="BEC1" s="242"/>
      <c r="BED1" s="242"/>
      <c r="BEE1" s="242"/>
      <c r="BEF1" s="242"/>
      <c r="BEG1" s="242"/>
      <c r="BEH1" s="242"/>
      <c r="BEI1" s="242"/>
      <c r="BEJ1" s="242"/>
      <c r="BEK1" s="242"/>
      <c r="BEL1" s="242"/>
      <c r="BEM1" s="242"/>
      <c r="BEN1" s="242"/>
      <c r="BEO1" s="242"/>
      <c r="BEP1" s="242"/>
      <c r="BEQ1" s="242"/>
      <c r="BER1" s="242"/>
      <c r="BES1" s="242"/>
      <c r="BET1" s="242"/>
      <c r="BEU1" s="242"/>
      <c r="BEV1" s="242"/>
      <c r="BEW1" s="242"/>
      <c r="BEX1" s="242"/>
      <c r="BEY1" s="242"/>
      <c r="BEZ1" s="242"/>
      <c r="BFA1" s="242"/>
      <c r="BFB1" s="242"/>
      <c r="BFC1" s="242"/>
      <c r="BFD1" s="242"/>
      <c r="BFE1" s="242"/>
      <c r="BFF1" s="242"/>
      <c r="BFG1" s="242"/>
      <c r="BFH1" s="242"/>
      <c r="BFI1" s="242"/>
      <c r="BFJ1" s="242"/>
      <c r="BFK1" s="242"/>
      <c r="BFL1" s="242"/>
      <c r="BFM1" s="242"/>
      <c r="BFN1" s="242"/>
      <c r="BFO1" s="242"/>
      <c r="BFP1" s="242"/>
      <c r="BFQ1" s="242"/>
      <c r="BFR1" s="242"/>
      <c r="BFS1" s="242"/>
      <c r="BFT1" s="242"/>
      <c r="BFU1" s="242"/>
      <c r="BFV1" s="242"/>
      <c r="BFW1" s="242"/>
      <c r="BFX1" s="242"/>
      <c r="BFY1" s="242"/>
      <c r="BFZ1" s="242"/>
      <c r="BGA1" s="242"/>
      <c r="BGB1" s="242"/>
      <c r="BGC1" s="242"/>
      <c r="BGD1" s="242"/>
      <c r="BGE1" s="242"/>
      <c r="BGF1" s="242"/>
      <c r="BGG1" s="242"/>
      <c r="BGH1" s="242"/>
      <c r="BGI1" s="242"/>
      <c r="BGJ1" s="242"/>
      <c r="BGK1" s="242"/>
      <c r="BGL1" s="242"/>
      <c r="BGM1" s="242"/>
      <c r="BGN1" s="242"/>
      <c r="BGO1" s="242"/>
      <c r="BGP1" s="242"/>
      <c r="BGQ1" s="242"/>
      <c r="BGR1" s="242"/>
      <c r="BGS1" s="242"/>
      <c r="BGT1" s="242"/>
      <c r="BGU1" s="242"/>
      <c r="BGV1" s="242"/>
      <c r="BGW1" s="242"/>
      <c r="BGX1" s="242"/>
      <c r="BGY1" s="242"/>
      <c r="BGZ1" s="242"/>
      <c r="BHA1" s="242"/>
      <c r="BHB1" s="242"/>
      <c r="BHC1" s="242"/>
      <c r="BHD1" s="242"/>
      <c r="BHE1" s="242"/>
      <c r="BHF1" s="242"/>
      <c r="BHG1" s="242"/>
      <c r="BHH1" s="242"/>
      <c r="BHI1" s="242"/>
      <c r="BHJ1" s="242"/>
      <c r="BHK1" s="242"/>
      <c r="BHL1" s="242"/>
      <c r="BHM1" s="242"/>
      <c r="BHN1" s="242"/>
      <c r="BHO1" s="242"/>
      <c r="BHP1" s="242"/>
      <c r="BHQ1" s="242"/>
      <c r="BHR1" s="242"/>
      <c r="BHS1" s="242"/>
      <c r="BHT1" s="242"/>
      <c r="BHU1" s="242"/>
      <c r="BHV1" s="242"/>
      <c r="BHW1" s="242"/>
      <c r="BHX1" s="242"/>
      <c r="BHY1" s="242"/>
      <c r="BHZ1" s="242"/>
      <c r="BIA1" s="242"/>
      <c r="BIB1" s="242"/>
      <c r="BIC1" s="242"/>
      <c r="BID1" s="242"/>
      <c r="BIE1" s="242"/>
      <c r="BIF1" s="242"/>
      <c r="BIG1" s="242"/>
      <c r="BIH1" s="242"/>
      <c r="BII1" s="242"/>
      <c r="BIJ1" s="242"/>
      <c r="BIK1" s="242"/>
      <c r="BIL1" s="242"/>
      <c r="BIM1" s="242"/>
      <c r="BIN1" s="242"/>
      <c r="BIO1" s="242"/>
      <c r="BIP1" s="242"/>
      <c r="BIQ1" s="242"/>
      <c r="BIR1" s="242"/>
      <c r="BIS1" s="242"/>
      <c r="BIT1" s="242"/>
      <c r="BIU1" s="242"/>
      <c r="BIV1" s="242"/>
      <c r="BIW1" s="242"/>
      <c r="BIX1" s="242"/>
      <c r="BIY1" s="242"/>
      <c r="BIZ1" s="242"/>
      <c r="BJA1" s="242"/>
      <c r="BJB1" s="242"/>
      <c r="BJC1" s="242"/>
      <c r="BJD1" s="242"/>
      <c r="BJE1" s="242"/>
      <c r="BJF1" s="242"/>
      <c r="BJG1" s="242"/>
      <c r="BJH1" s="242"/>
      <c r="BJI1" s="242"/>
      <c r="BJJ1" s="242"/>
      <c r="BJK1" s="242"/>
      <c r="BJL1" s="242"/>
      <c r="BJM1" s="242"/>
      <c r="BJN1" s="242"/>
      <c r="BJO1" s="242"/>
      <c r="BJP1" s="242"/>
      <c r="BJQ1" s="242"/>
      <c r="BJR1" s="242"/>
      <c r="BJS1" s="242"/>
      <c r="BJT1" s="242"/>
      <c r="BJU1" s="242"/>
      <c r="BJV1" s="242"/>
      <c r="BJW1" s="242"/>
      <c r="BJX1" s="242"/>
      <c r="BJY1" s="242"/>
      <c r="BJZ1" s="242"/>
      <c r="BKA1" s="242"/>
      <c r="BKB1" s="242"/>
      <c r="BKC1" s="242"/>
      <c r="BKD1" s="242"/>
      <c r="BKE1" s="242"/>
      <c r="BKF1" s="242"/>
      <c r="BKG1" s="242"/>
      <c r="BKH1" s="242"/>
      <c r="BKI1" s="242"/>
      <c r="BKJ1" s="242"/>
      <c r="BKK1" s="242"/>
      <c r="BKL1" s="242"/>
      <c r="BKM1" s="242"/>
      <c r="BKN1" s="242"/>
      <c r="BKO1" s="242"/>
      <c r="BKP1" s="242"/>
      <c r="BKQ1" s="242"/>
      <c r="BKR1" s="242"/>
      <c r="BKS1" s="242"/>
      <c r="BKT1" s="242"/>
      <c r="BKU1" s="242"/>
      <c r="BKV1" s="242"/>
      <c r="BKW1" s="242"/>
      <c r="BKX1" s="242"/>
      <c r="BKY1" s="242"/>
      <c r="BKZ1" s="242"/>
      <c r="BLA1" s="242"/>
      <c r="BLB1" s="242"/>
      <c r="BLC1" s="242"/>
      <c r="BLD1" s="242"/>
      <c r="BLE1" s="242"/>
      <c r="BLF1" s="242"/>
      <c r="BLG1" s="242"/>
      <c r="BLH1" s="242"/>
      <c r="BLI1" s="242"/>
      <c r="BLJ1" s="242"/>
      <c r="BLK1" s="242"/>
      <c r="BLL1" s="242"/>
      <c r="BLM1" s="242"/>
      <c r="BLN1" s="242"/>
      <c r="BLO1" s="242"/>
      <c r="BLP1" s="242"/>
      <c r="BLQ1" s="242"/>
      <c r="BLR1" s="242"/>
      <c r="BLS1" s="242"/>
      <c r="BLT1" s="242"/>
      <c r="BLU1" s="242"/>
      <c r="BLV1" s="242"/>
      <c r="BLW1" s="242"/>
      <c r="BLX1" s="242"/>
      <c r="BLY1" s="242"/>
      <c r="BLZ1" s="242"/>
      <c r="BMA1" s="242"/>
      <c r="BMB1" s="242"/>
      <c r="BMC1" s="242"/>
      <c r="BMD1" s="242"/>
      <c r="BME1" s="242"/>
      <c r="BMF1" s="242"/>
      <c r="BMG1" s="242"/>
      <c r="BMH1" s="242"/>
      <c r="BMI1" s="242"/>
      <c r="BMJ1" s="242"/>
      <c r="BMK1" s="242"/>
      <c r="BML1" s="242"/>
      <c r="BMM1" s="242"/>
      <c r="BMN1" s="242"/>
      <c r="BMO1" s="242"/>
      <c r="BMP1" s="242"/>
      <c r="BMQ1" s="242"/>
      <c r="BMR1" s="242"/>
      <c r="BMS1" s="242"/>
      <c r="BMT1" s="242"/>
      <c r="BMU1" s="242"/>
      <c r="BMV1" s="242"/>
      <c r="BMW1" s="242"/>
      <c r="BMX1" s="242"/>
      <c r="BMY1" s="242"/>
      <c r="BMZ1" s="242"/>
      <c r="BNA1" s="242"/>
      <c r="BNB1" s="242"/>
      <c r="BNC1" s="242"/>
      <c r="BND1" s="242"/>
      <c r="BNE1" s="242"/>
      <c r="BNF1" s="242"/>
      <c r="BNG1" s="242"/>
      <c r="BNH1" s="242"/>
      <c r="BNI1" s="242"/>
      <c r="BNJ1" s="242"/>
      <c r="BNK1" s="242"/>
      <c r="BNL1" s="242"/>
      <c r="BNM1" s="242"/>
      <c r="BNN1" s="242"/>
      <c r="BNO1" s="242"/>
      <c r="BNP1" s="242"/>
      <c r="BNQ1" s="242"/>
      <c r="BNR1" s="242"/>
      <c r="BNS1" s="242"/>
      <c r="BNT1" s="242"/>
      <c r="BNU1" s="242"/>
      <c r="BNV1" s="242"/>
      <c r="BNW1" s="242"/>
      <c r="BNX1" s="242"/>
      <c r="BNY1" s="242"/>
      <c r="BNZ1" s="242"/>
      <c r="BOA1" s="242"/>
      <c r="BOB1" s="242"/>
      <c r="BOC1" s="242"/>
      <c r="BOD1" s="242"/>
      <c r="BOE1" s="242"/>
      <c r="BOF1" s="242"/>
      <c r="BOG1" s="242"/>
      <c r="BOH1" s="242"/>
      <c r="BOI1" s="242"/>
      <c r="BOJ1" s="242"/>
      <c r="BOK1" s="242"/>
      <c r="BOL1" s="242"/>
      <c r="BOM1" s="242"/>
      <c r="BON1" s="242"/>
      <c r="BOO1" s="242"/>
      <c r="BOP1" s="242"/>
      <c r="BOQ1" s="242"/>
      <c r="BOR1" s="242"/>
      <c r="BOS1" s="242"/>
      <c r="BOT1" s="242"/>
      <c r="BOU1" s="242"/>
      <c r="BOV1" s="242"/>
      <c r="BOW1" s="242"/>
      <c r="BOX1" s="242"/>
      <c r="BOY1" s="242"/>
      <c r="BOZ1" s="242"/>
      <c r="BPA1" s="242"/>
      <c r="BPB1" s="242"/>
      <c r="BPC1" s="242"/>
      <c r="BPD1" s="242"/>
      <c r="BPE1" s="242"/>
      <c r="BPF1" s="242"/>
      <c r="BPG1" s="242"/>
      <c r="BPH1" s="242"/>
      <c r="BPI1" s="242"/>
      <c r="BPJ1" s="242"/>
      <c r="BPK1" s="242"/>
      <c r="BPL1" s="242"/>
      <c r="BPM1" s="242"/>
      <c r="BPN1" s="242"/>
      <c r="BPO1" s="242"/>
      <c r="BPP1" s="242"/>
      <c r="BPQ1" s="242"/>
      <c r="BPR1" s="242"/>
      <c r="BPS1" s="242"/>
      <c r="BPT1" s="242"/>
      <c r="BPU1" s="242"/>
      <c r="BPV1" s="242"/>
      <c r="BPW1" s="242"/>
      <c r="BPX1" s="242"/>
      <c r="BPY1" s="242"/>
      <c r="BPZ1" s="242"/>
      <c r="BQA1" s="242"/>
      <c r="BQB1" s="242"/>
      <c r="BQC1" s="242"/>
      <c r="BQD1" s="242"/>
      <c r="BQE1" s="242"/>
      <c r="BQF1" s="242"/>
      <c r="BQG1" s="242"/>
      <c r="BQH1" s="242"/>
      <c r="BQI1" s="242"/>
      <c r="BQJ1" s="242"/>
      <c r="BQK1" s="242"/>
      <c r="BQL1" s="242"/>
      <c r="BQM1" s="242"/>
      <c r="BQN1" s="242"/>
      <c r="BQO1" s="242"/>
      <c r="BQP1" s="242"/>
      <c r="BQQ1" s="242"/>
      <c r="BQR1" s="242"/>
      <c r="BQS1" s="242"/>
      <c r="BQT1" s="242"/>
      <c r="BQU1" s="242"/>
      <c r="BQV1" s="242"/>
      <c r="BQW1" s="242"/>
      <c r="BQX1" s="242"/>
      <c r="BQY1" s="242"/>
      <c r="BQZ1" s="242"/>
      <c r="BRA1" s="242"/>
      <c r="BRB1" s="242"/>
      <c r="BRC1" s="242"/>
      <c r="BRD1" s="242"/>
      <c r="BRE1" s="242"/>
      <c r="BRF1" s="242"/>
      <c r="BRG1" s="242"/>
      <c r="BRH1" s="242"/>
      <c r="BRI1" s="242"/>
      <c r="BRJ1" s="242"/>
      <c r="BRK1" s="242"/>
      <c r="BRL1" s="242"/>
      <c r="BRM1" s="242"/>
      <c r="BRN1" s="242"/>
      <c r="BRO1" s="242"/>
      <c r="BRP1" s="242"/>
      <c r="BRQ1" s="242"/>
      <c r="BRR1" s="242"/>
      <c r="BRS1" s="242"/>
      <c r="BRT1" s="242"/>
      <c r="BRU1" s="242"/>
      <c r="BRV1" s="242"/>
      <c r="BRW1" s="242"/>
      <c r="BRX1" s="242"/>
      <c r="BRY1" s="242"/>
      <c r="BRZ1" s="242"/>
      <c r="BSA1" s="242"/>
      <c r="BSB1" s="242"/>
      <c r="BSC1" s="242"/>
      <c r="BSD1" s="242"/>
      <c r="BSE1" s="242"/>
      <c r="BSF1" s="242"/>
      <c r="BSG1" s="242"/>
      <c r="BSH1" s="242"/>
      <c r="BSI1" s="242"/>
      <c r="BSJ1" s="242"/>
      <c r="BSK1" s="242"/>
      <c r="BSL1" s="242"/>
      <c r="BSM1" s="242"/>
      <c r="BSN1" s="242"/>
      <c r="BSO1" s="242"/>
      <c r="BSP1" s="242"/>
      <c r="BSQ1" s="242"/>
      <c r="BSR1" s="242"/>
      <c r="BSS1" s="242"/>
      <c r="BST1" s="242"/>
      <c r="BSU1" s="242"/>
      <c r="BSV1" s="242"/>
      <c r="BSW1" s="242"/>
      <c r="BSX1" s="242"/>
      <c r="BSY1" s="242"/>
      <c r="BSZ1" s="242"/>
      <c r="BTA1" s="242"/>
      <c r="BTB1" s="242"/>
      <c r="BTC1" s="242"/>
      <c r="BTD1" s="242"/>
      <c r="BTE1" s="242"/>
      <c r="BTF1" s="242"/>
      <c r="BTG1" s="242"/>
      <c r="BTH1" s="242"/>
      <c r="BTI1" s="242"/>
      <c r="BTJ1" s="242"/>
      <c r="BTK1" s="242"/>
      <c r="BTL1" s="242"/>
      <c r="BTM1" s="242"/>
      <c r="BTN1" s="242"/>
      <c r="BTO1" s="242"/>
      <c r="BTP1" s="242"/>
      <c r="BTQ1" s="242"/>
      <c r="BTR1" s="242"/>
      <c r="BTS1" s="242"/>
      <c r="BTT1" s="242"/>
      <c r="BTU1" s="242"/>
      <c r="BTV1" s="242"/>
      <c r="BTW1" s="242"/>
      <c r="BTX1" s="242"/>
      <c r="BTY1" s="242"/>
      <c r="BTZ1" s="242"/>
      <c r="BUA1" s="242"/>
      <c r="BUB1" s="242"/>
      <c r="BUC1" s="242"/>
      <c r="BUD1" s="242"/>
      <c r="BUE1" s="242"/>
      <c r="BUF1" s="242"/>
      <c r="BUG1" s="242"/>
      <c r="BUH1" s="242"/>
      <c r="BUI1" s="242"/>
      <c r="BUJ1" s="242"/>
      <c r="BUK1" s="242"/>
      <c r="BUL1" s="242"/>
      <c r="BUM1" s="242"/>
      <c r="BUN1" s="242"/>
      <c r="BUO1" s="242"/>
      <c r="BUP1" s="242"/>
      <c r="BUQ1" s="242"/>
      <c r="BUR1" s="242"/>
      <c r="BUS1" s="242"/>
      <c r="BUT1" s="242"/>
      <c r="BUU1" s="242"/>
      <c r="BUV1" s="242"/>
      <c r="BUW1" s="242"/>
      <c r="BUX1" s="242"/>
      <c r="BUY1" s="242"/>
      <c r="BUZ1" s="242"/>
      <c r="BVA1" s="242"/>
      <c r="BVB1" s="242"/>
      <c r="BVC1" s="242"/>
      <c r="BVD1" s="242"/>
      <c r="BVE1" s="242"/>
      <c r="BVF1" s="242"/>
      <c r="BVG1" s="242"/>
      <c r="BVH1" s="242"/>
      <c r="BVI1" s="242"/>
      <c r="BVJ1" s="242"/>
      <c r="BVK1" s="242"/>
      <c r="BVL1" s="242"/>
      <c r="BVM1" s="242"/>
      <c r="BVN1" s="242"/>
      <c r="BVO1" s="242"/>
      <c r="BVP1" s="242"/>
      <c r="BVQ1" s="242"/>
      <c r="BVR1" s="242"/>
      <c r="BVS1" s="242"/>
      <c r="BVT1" s="242"/>
      <c r="BVU1" s="242"/>
      <c r="BVV1" s="242"/>
      <c r="BVW1" s="242"/>
      <c r="BVX1" s="242"/>
      <c r="BVY1" s="242"/>
      <c r="BVZ1" s="242"/>
      <c r="BWA1" s="242"/>
      <c r="BWB1" s="242"/>
      <c r="BWC1" s="242"/>
      <c r="BWD1" s="242"/>
      <c r="BWE1" s="242"/>
      <c r="BWF1" s="242"/>
      <c r="BWG1" s="242"/>
      <c r="BWH1" s="242"/>
      <c r="BWI1" s="242"/>
      <c r="BWJ1" s="242"/>
      <c r="BWK1" s="242"/>
      <c r="BWL1" s="242"/>
      <c r="BWM1" s="242"/>
      <c r="BWN1" s="242"/>
      <c r="BWO1" s="242"/>
      <c r="BWP1" s="242"/>
      <c r="BWQ1" s="242"/>
      <c r="BWR1" s="242"/>
      <c r="BWS1" s="242"/>
      <c r="BWT1" s="242"/>
      <c r="BWU1" s="242"/>
      <c r="BWV1" s="242"/>
      <c r="BWW1" s="242"/>
      <c r="BWX1" s="242"/>
      <c r="BWY1" s="242"/>
      <c r="BWZ1" s="242"/>
      <c r="BXA1" s="242"/>
      <c r="BXB1" s="242"/>
      <c r="BXC1" s="242"/>
      <c r="BXD1" s="242"/>
      <c r="BXE1" s="242"/>
      <c r="BXF1" s="242"/>
      <c r="BXG1" s="242"/>
      <c r="BXH1" s="242"/>
      <c r="BXI1" s="242"/>
      <c r="BXJ1" s="242"/>
      <c r="BXK1" s="242"/>
      <c r="BXL1" s="242"/>
      <c r="BXM1" s="242"/>
      <c r="BXN1" s="242"/>
      <c r="BXO1" s="242"/>
      <c r="BXP1" s="242"/>
      <c r="BXQ1" s="242"/>
      <c r="BXR1" s="242"/>
      <c r="BXS1" s="242"/>
      <c r="BXT1" s="242"/>
      <c r="BXU1" s="242"/>
      <c r="BXV1" s="242"/>
      <c r="BXW1" s="242"/>
      <c r="BXX1" s="242"/>
      <c r="BXY1" s="242"/>
      <c r="BXZ1" s="242"/>
      <c r="BYA1" s="242"/>
      <c r="BYB1" s="242"/>
      <c r="BYC1" s="242"/>
      <c r="BYD1" s="242"/>
      <c r="BYE1" s="242"/>
      <c r="BYF1" s="242"/>
      <c r="BYG1" s="242"/>
      <c r="BYH1" s="242"/>
      <c r="BYI1" s="242"/>
      <c r="BYJ1" s="242"/>
      <c r="BYK1" s="242"/>
      <c r="BYL1" s="242"/>
      <c r="BYM1" s="242"/>
      <c r="BYN1" s="242"/>
      <c r="BYO1" s="242"/>
      <c r="BYP1" s="242"/>
      <c r="BYQ1" s="242"/>
      <c r="BYR1" s="242"/>
      <c r="BYS1" s="242"/>
      <c r="BYT1" s="242"/>
      <c r="BYU1" s="242"/>
      <c r="BYV1" s="242"/>
      <c r="BYW1" s="242"/>
      <c r="BYX1" s="242"/>
      <c r="BYY1" s="242"/>
      <c r="BYZ1" s="242"/>
      <c r="BZA1" s="242"/>
      <c r="BZB1" s="242"/>
      <c r="BZC1" s="242"/>
      <c r="BZD1" s="242"/>
      <c r="BZE1" s="242"/>
      <c r="BZF1" s="242"/>
      <c r="BZG1" s="242"/>
      <c r="BZH1" s="242"/>
      <c r="BZI1" s="242"/>
      <c r="BZJ1" s="242"/>
      <c r="BZK1" s="242"/>
      <c r="BZL1" s="242"/>
      <c r="BZM1" s="242"/>
      <c r="BZN1" s="242"/>
      <c r="BZO1" s="242"/>
      <c r="BZP1" s="242"/>
      <c r="BZQ1" s="242"/>
      <c r="BZR1" s="242"/>
      <c r="BZS1" s="242"/>
      <c r="BZT1" s="242"/>
      <c r="BZU1" s="242"/>
      <c r="BZV1" s="242"/>
      <c r="BZW1" s="242"/>
      <c r="BZX1" s="242"/>
      <c r="BZY1" s="242"/>
      <c r="BZZ1" s="242"/>
      <c r="CAA1" s="242"/>
      <c r="CAB1" s="242"/>
      <c r="CAC1" s="242"/>
      <c r="CAD1" s="242"/>
      <c r="CAE1" s="242"/>
      <c r="CAF1" s="242"/>
      <c r="CAG1" s="242"/>
      <c r="CAH1" s="242"/>
      <c r="CAI1" s="242"/>
      <c r="CAJ1" s="242"/>
      <c r="CAK1" s="242"/>
      <c r="CAL1" s="242"/>
      <c r="CAM1" s="242"/>
      <c r="CAN1" s="242"/>
      <c r="CAO1" s="242"/>
      <c r="CAP1" s="242"/>
      <c r="CAQ1" s="242"/>
      <c r="CAR1" s="242"/>
      <c r="CAS1" s="242"/>
      <c r="CAT1" s="242"/>
      <c r="CAU1" s="242"/>
      <c r="CAV1" s="242"/>
      <c r="CAW1" s="242"/>
      <c r="CAX1" s="242"/>
      <c r="CAY1" s="242"/>
      <c r="CAZ1" s="242"/>
      <c r="CBA1" s="242"/>
      <c r="CBB1" s="242"/>
      <c r="CBC1" s="242"/>
      <c r="CBD1" s="242"/>
      <c r="CBE1" s="242"/>
      <c r="CBF1" s="242"/>
      <c r="CBG1" s="242"/>
      <c r="CBH1" s="242"/>
      <c r="CBI1" s="242"/>
      <c r="CBJ1" s="242"/>
      <c r="CBK1" s="242"/>
      <c r="CBL1" s="242"/>
      <c r="CBM1" s="242"/>
      <c r="CBN1" s="242"/>
      <c r="CBO1" s="242"/>
      <c r="CBP1" s="242"/>
      <c r="CBQ1" s="242"/>
      <c r="CBR1" s="242"/>
      <c r="CBS1" s="242"/>
      <c r="CBT1" s="242"/>
      <c r="CBU1" s="242"/>
      <c r="CBV1" s="242"/>
      <c r="CBW1" s="242"/>
      <c r="CBX1" s="242"/>
      <c r="CBY1" s="242"/>
      <c r="CBZ1" s="242"/>
      <c r="CCA1" s="242"/>
      <c r="CCB1" s="242"/>
      <c r="CCC1" s="242"/>
      <c r="CCD1" s="242"/>
      <c r="CCE1" s="242"/>
      <c r="CCF1" s="242"/>
      <c r="CCG1" s="242"/>
      <c r="CCH1" s="242"/>
      <c r="CCI1" s="242"/>
      <c r="CCJ1" s="242"/>
      <c r="CCK1" s="242"/>
      <c r="CCL1" s="242"/>
      <c r="CCM1" s="242"/>
      <c r="CCN1" s="242"/>
      <c r="CCO1" s="242"/>
      <c r="CCP1" s="242"/>
      <c r="CCQ1" s="242"/>
      <c r="CCR1" s="242"/>
      <c r="CCS1" s="242"/>
      <c r="CCT1" s="242"/>
      <c r="CCU1" s="242"/>
      <c r="CCV1" s="242"/>
      <c r="CCW1" s="242"/>
      <c r="CCX1" s="242"/>
      <c r="CCY1" s="242"/>
      <c r="CCZ1" s="242"/>
      <c r="CDA1" s="242"/>
      <c r="CDB1" s="242"/>
      <c r="CDC1" s="242"/>
      <c r="CDD1" s="242"/>
      <c r="CDE1" s="242"/>
      <c r="CDF1" s="242"/>
      <c r="CDG1" s="242"/>
      <c r="CDH1" s="242"/>
      <c r="CDI1" s="242"/>
      <c r="CDJ1" s="242"/>
      <c r="CDK1" s="242"/>
      <c r="CDL1" s="242"/>
      <c r="CDM1" s="242"/>
      <c r="CDN1" s="242"/>
      <c r="CDO1" s="242"/>
      <c r="CDP1" s="242"/>
      <c r="CDQ1" s="242"/>
      <c r="CDR1" s="242"/>
      <c r="CDS1" s="242"/>
      <c r="CDT1" s="242"/>
      <c r="CDU1" s="242"/>
      <c r="CDV1" s="242"/>
      <c r="CDW1" s="242"/>
      <c r="CDX1" s="242"/>
      <c r="CDY1" s="242"/>
      <c r="CDZ1" s="242"/>
      <c r="CEA1" s="242"/>
      <c r="CEB1" s="242"/>
      <c r="CEC1" s="242"/>
      <c r="CED1" s="242"/>
      <c r="CEE1" s="242"/>
      <c r="CEF1" s="242"/>
      <c r="CEG1" s="242"/>
      <c r="CEH1" s="242"/>
      <c r="CEI1" s="242"/>
      <c r="CEJ1" s="242"/>
      <c r="CEK1" s="242"/>
      <c r="CEL1" s="242"/>
      <c r="CEM1" s="242"/>
      <c r="CEN1" s="242"/>
      <c r="CEO1" s="242"/>
      <c r="CEP1" s="242"/>
      <c r="CEQ1" s="242"/>
      <c r="CER1" s="242"/>
      <c r="CES1" s="242"/>
      <c r="CET1" s="242"/>
      <c r="CEU1" s="242"/>
      <c r="CEV1" s="242"/>
      <c r="CEW1" s="242"/>
      <c r="CEX1" s="242"/>
      <c r="CEY1" s="242"/>
      <c r="CEZ1" s="242"/>
      <c r="CFA1" s="242"/>
      <c r="CFB1" s="242"/>
      <c r="CFC1" s="242"/>
      <c r="CFD1" s="242"/>
      <c r="CFE1" s="242"/>
      <c r="CFF1" s="242"/>
      <c r="CFG1" s="242"/>
      <c r="CFH1" s="242"/>
      <c r="CFI1" s="242"/>
      <c r="CFJ1" s="242"/>
      <c r="CFK1" s="242"/>
      <c r="CFL1" s="242"/>
      <c r="CFM1" s="242"/>
      <c r="CFN1" s="242"/>
      <c r="CFO1" s="242"/>
      <c r="CFP1" s="242"/>
      <c r="CFQ1" s="242"/>
      <c r="CFR1" s="242"/>
      <c r="CFS1" s="242"/>
      <c r="CFT1" s="242"/>
      <c r="CFU1" s="242"/>
      <c r="CFV1" s="242"/>
      <c r="CFW1" s="242"/>
      <c r="CFX1" s="242"/>
      <c r="CFY1" s="242"/>
      <c r="CFZ1" s="242"/>
      <c r="CGA1" s="242"/>
      <c r="CGB1" s="242"/>
      <c r="CGC1" s="242"/>
      <c r="CGD1" s="242"/>
      <c r="CGE1" s="242"/>
      <c r="CGF1" s="242"/>
      <c r="CGG1" s="242"/>
      <c r="CGH1" s="242"/>
      <c r="CGI1" s="242"/>
      <c r="CGJ1" s="242"/>
      <c r="CGK1" s="242"/>
      <c r="CGL1" s="242"/>
      <c r="CGM1" s="242"/>
      <c r="CGN1" s="242"/>
      <c r="CGO1" s="242"/>
      <c r="CGP1" s="242"/>
      <c r="CGQ1" s="242"/>
      <c r="CGR1" s="242"/>
      <c r="CGS1" s="242"/>
      <c r="CGT1" s="242"/>
      <c r="CGU1" s="242"/>
      <c r="CGV1" s="242"/>
      <c r="CGW1" s="242"/>
      <c r="CGX1" s="242"/>
      <c r="CGY1" s="242"/>
      <c r="CGZ1" s="242"/>
      <c r="CHA1" s="242"/>
      <c r="CHB1" s="242"/>
      <c r="CHC1" s="242"/>
      <c r="CHD1" s="242"/>
      <c r="CHE1" s="242"/>
      <c r="CHF1" s="242"/>
      <c r="CHG1" s="242"/>
      <c r="CHH1" s="242"/>
      <c r="CHI1" s="242"/>
      <c r="CHJ1" s="242"/>
      <c r="CHK1" s="242"/>
      <c r="CHL1" s="242"/>
      <c r="CHM1" s="242"/>
      <c r="CHN1" s="242"/>
      <c r="CHO1" s="242"/>
      <c r="CHP1" s="242"/>
      <c r="CHQ1" s="242"/>
      <c r="CHR1" s="242"/>
      <c r="CHS1" s="242"/>
      <c r="CHT1" s="242"/>
      <c r="CHU1" s="242"/>
      <c r="CHV1" s="242"/>
      <c r="CHW1" s="242"/>
      <c r="CHX1" s="242"/>
      <c r="CHY1" s="242"/>
      <c r="CHZ1" s="242"/>
      <c r="CIA1" s="242"/>
      <c r="CIB1" s="242"/>
      <c r="CIC1" s="242"/>
      <c r="CID1" s="242"/>
      <c r="CIE1" s="242"/>
      <c r="CIF1" s="242"/>
      <c r="CIG1" s="242"/>
      <c r="CIH1" s="242"/>
      <c r="CII1" s="242"/>
      <c r="CIJ1" s="242"/>
      <c r="CIK1" s="242"/>
      <c r="CIL1" s="242"/>
      <c r="CIM1" s="242"/>
      <c r="CIN1" s="242"/>
      <c r="CIO1" s="242"/>
      <c r="CIP1" s="242"/>
      <c r="CIQ1" s="242"/>
      <c r="CIR1" s="242"/>
      <c r="CIS1" s="242"/>
      <c r="CIT1" s="242"/>
      <c r="CIU1" s="242"/>
      <c r="CIV1" s="242"/>
      <c r="CIW1" s="242"/>
      <c r="CIX1" s="242"/>
      <c r="CIY1" s="242"/>
      <c r="CIZ1" s="242"/>
      <c r="CJA1" s="242"/>
      <c r="CJB1" s="242"/>
      <c r="CJC1" s="242"/>
      <c r="CJD1" s="242"/>
      <c r="CJE1" s="242"/>
      <c r="CJF1" s="242"/>
      <c r="CJG1" s="242"/>
      <c r="CJH1" s="242"/>
      <c r="CJI1" s="242"/>
      <c r="CJJ1" s="242"/>
      <c r="CJK1" s="242"/>
      <c r="CJL1" s="242"/>
      <c r="CJM1" s="242"/>
      <c r="CJN1" s="242"/>
      <c r="CJO1" s="242"/>
      <c r="CJP1" s="242"/>
      <c r="CJQ1" s="242"/>
      <c r="CJR1" s="242"/>
      <c r="CJS1" s="242"/>
      <c r="CJT1" s="242"/>
      <c r="CJU1" s="242"/>
      <c r="CJV1" s="242"/>
      <c r="CJW1" s="242"/>
      <c r="CJX1" s="242"/>
      <c r="CJY1" s="242"/>
      <c r="CJZ1" s="242"/>
      <c r="CKA1" s="242"/>
      <c r="CKB1" s="242"/>
      <c r="CKC1" s="242"/>
      <c r="CKD1" s="242"/>
      <c r="CKE1" s="242"/>
      <c r="CKF1" s="242"/>
      <c r="CKG1" s="242"/>
      <c r="CKH1" s="242"/>
      <c r="CKI1" s="242"/>
      <c r="CKJ1" s="242"/>
      <c r="CKK1" s="242"/>
      <c r="CKL1" s="242"/>
      <c r="CKM1" s="242"/>
      <c r="CKN1" s="242"/>
      <c r="CKO1" s="242"/>
      <c r="CKP1" s="242"/>
      <c r="CKQ1" s="242"/>
      <c r="CKR1" s="242"/>
      <c r="CKS1" s="242"/>
      <c r="CKT1" s="242"/>
      <c r="CKU1" s="242"/>
      <c r="CKV1" s="242"/>
      <c r="CKW1" s="242"/>
      <c r="CKX1" s="242"/>
      <c r="CKY1" s="242"/>
      <c r="CKZ1" s="242"/>
      <c r="CLA1" s="242"/>
      <c r="CLB1" s="242"/>
      <c r="CLC1" s="242"/>
      <c r="CLD1" s="242"/>
      <c r="CLE1" s="242"/>
      <c r="CLF1" s="242"/>
      <c r="CLG1" s="242"/>
      <c r="CLH1" s="242"/>
      <c r="CLI1" s="242"/>
      <c r="CLJ1" s="242"/>
      <c r="CLK1" s="242"/>
      <c r="CLL1" s="242"/>
      <c r="CLM1" s="242"/>
      <c r="CLN1" s="242"/>
      <c r="CLO1" s="242"/>
      <c r="CLP1" s="242"/>
      <c r="CLQ1" s="242"/>
      <c r="CLR1" s="242"/>
      <c r="CLS1" s="242"/>
      <c r="CLT1" s="242"/>
      <c r="CLU1" s="242"/>
      <c r="CLV1" s="242"/>
      <c r="CLW1" s="242"/>
      <c r="CLX1" s="242"/>
      <c r="CLY1" s="242"/>
      <c r="CLZ1" s="242"/>
      <c r="CMA1" s="242"/>
      <c r="CMB1" s="242"/>
      <c r="CMC1" s="242"/>
      <c r="CMD1" s="242"/>
      <c r="CME1" s="242"/>
      <c r="CMF1" s="242"/>
      <c r="CMG1" s="242"/>
      <c r="CMH1" s="242"/>
      <c r="CMI1" s="242"/>
      <c r="CMJ1" s="242"/>
      <c r="CMK1" s="242"/>
      <c r="CML1" s="242"/>
      <c r="CMM1" s="242"/>
      <c r="CMN1" s="242"/>
      <c r="CMO1" s="242"/>
      <c r="CMP1" s="242"/>
      <c r="CMQ1" s="242"/>
      <c r="CMR1" s="242"/>
      <c r="CMS1" s="242"/>
      <c r="CMT1" s="242"/>
      <c r="CMU1" s="242"/>
      <c r="CMV1" s="242"/>
      <c r="CMW1" s="242"/>
      <c r="CMX1" s="242"/>
      <c r="CMY1" s="242"/>
      <c r="CMZ1" s="242"/>
      <c r="CNA1" s="242"/>
      <c r="CNB1" s="242"/>
      <c r="CNC1" s="242"/>
      <c r="CND1" s="242"/>
      <c r="CNE1" s="242"/>
      <c r="CNF1" s="242"/>
      <c r="CNG1" s="242"/>
      <c r="CNH1" s="242"/>
      <c r="CNI1" s="242"/>
      <c r="CNJ1" s="242"/>
      <c r="CNK1" s="242"/>
      <c r="CNL1" s="242"/>
      <c r="CNM1" s="242"/>
      <c r="CNN1" s="242"/>
      <c r="CNO1" s="242"/>
      <c r="CNP1" s="242"/>
      <c r="CNQ1" s="242"/>
      <c r="CNR1" s="242"/>
      <c r="CNS1" s="242"/>
      <c r="CNT1" s="242"/>
      <c r="CNU1" s="242"/>
      <c r="CNV1" s="242"/>
      <c r="CNW1" s="242"/>
      <c r="CNX1" s="242"/>
      <c r="CNY1" s="242"/>
      <c r="CNZ1" s="242"/>
      <c r="COA1" s="242"/>
      <c r="COB1" s="242"/>
      <c r="COC1" s="242"/>
      <c r="COD1" s="242"/>
      <c r="COE1" s="242"/>
      <c r="COF1" s="242"/>
      <c r="COG1" s="242"/>
      <c r="COH1" s="242"/>
      <c r="COI1" s="242"/>
      <c r="COJ1" s="242"/>
      <c r="COK1" s="242"/>
      <c r="COL1" s="242"/>
      <c r="COM1" s="242"/>
      <c r="CON1" s="242"/>
      <c r="COO1" s="242"/>
      <c r="COP1" s="242"/>
      <c r="COQ1" s="242"/>
      <c r="COR1" s="242"/>
      <c r="COS1" s="242"/>
      <c r="COT1" s="242"/>
      <c r="COU1" s="242"/>
      <c r="COV1" s="242"/>
      <c r="COW1" s="242"/>
      <c r="COX1" s="242"/>
      <c r="COY1" s="242"/>
      <c r="COZ1" s="242"/>
      <c r="CPA1" s="242"/>
      <c r="CPB1" s="242"/>
      <c r="CPC1" s="242"/>
      <c r="CPD1" s="242"/>
      <c r="CPE1" s="242"/>
      <c r="CPF1" s="242"/>
      <c r="CPG1" s="242"/>
      <c r="CPH1" s="242"/>
      <c r="CPI1" s="242"/>
      <c r="CPJ1" s="242"/>
      <c r="CPK1" s="242"/>
      <c r="CPL1" s="242"/>
      <c r="CPM1" s="242"/>
      <c r="CPN1" s="242"/>
      <c r="CPO1" s="242"/>
      <c r="CPP1" s="242"/>
      <c r="CPQ1" s="242"/>
      <c r="CPR1" s="242"/>
      <c r="CPS1" s="242"/>
      <c r="CPT1" s="242"/>
      <c r="CPU1" s="242"/>
      <c r="CPV1" s="242"/>
      <c r="CPW1" s="242"/>
      <c r="CPX1" s="242"/>
      <c r="CPY1" s="242"/>
      <c r="CPZ1" s="242"/>
      <c r="CQA1" s="242"/>
      <c r="CQB1" s="242"/>
      <c r="CQC1" s="242"/>
      <c r="CQD1" s="242"/>
      <c r="CQE1" s="242"/>
      <c r="CQF1" s="242"/>
      <c r="CQG1" s="242"/>
      <c r="CQH1" s="242"/>
      <c r="CQI1" s="242"/>
      <c r="CQJ1" s="242"/>
      <c r="CQK1" s="242"/>
      <c r="CQL1" s="242"/>
      <c r="CQM1" s="242"/>
      <c r="CQN1" s="242"/>
      <c r="CQO1" s="242"/>
      <c r="CQP1" s="242"/>
      <c r="CQQ1" s="242"/>
      <c r="CQR1" s="242"/>
      <c r="CQS1" s="242"/>
      <c r="CQT1" s="242"/>
      <c r="CQU1" s="242"/>
      <c r="CQV1" s="242"/>
      <c r="CQW1" s="242"/>
      <c r="CQX1" s="242"/>
      <c r="CQY1" s="242"/>
      <c r="CQZ1" s="242"/>
      <c r="CRA1" s="242"/>
      <c r="CRB1" s="242"/>
      <c r="CRC1" s="242"/>
      <c r="CRD1" s="242"/>
      <c r="CRE1" s="242"/>
      <c r="CRF1" s="242"/>
      <c r="CRG1" s="242"/>
      <c r="CRH1" s="242"/>
      <c r="CRI1" s="242"/>
      <c r="CRJ1" s="242"/>
      <c r="CRK1" s="242"/>
      <c r="CRL1" s="242"/>
      <c r="CRM1" s="242"/>
      <c r="CRN1" s="242"/>
      <c r="CRO1" s="242"/>
      <c r="CRP1" s="242"/>
      <c r="CRQ1" s="242"/>
      <c r="CRR1" s="242"/>
      <c r="CRS1" s="242"/>
      <c r="CRT1" s="242"/>
      <c r="CRU1" s="242"/>
      <c r="CRV1" s="242"/>
      <c r="CRW1" s="242"/>
      <c r="CRX1" s="242"/>
      <c r="CRY1" s="242"/>
      <c r="CRZ1" s="242"/>
      <c r="CSA1" s="242"/>
      <c r="CSB1" s="242"/>
      <c r="CSC1" s="242"/>
      <c r="CSD1" s="242"/>
      <c r="CSE1" s="242"/>
      <c r="CSF1" s="242"/>
      <c r="CSG1" s="242"/>
      <c r="CSH1" s="242"/>
      <c r="CSI1" s="242"/>
      <c r="CSJ1" s="242"/>
      <c r="CSK1" s="242"/>
      <c r="CSL1" s="242"/>
      <c r="CSM1" s="242"/>
      <c r="CSN1" s="242"/>
      <c r="CSO1" s="242"/>
      <c r="CSP1" s="242"/>
      <c r="CSQ1" s="242"/>
      <c r="CSR1" s="242"/>
      <c r="CSS1" s="242"/>
      <c r="CST1" s="242"/>
      <c r="CSU1" s="242"/>
      <c r="CSV1" s="242"/>
      <c r="CSW1" s="242"/>
      <c r="CSX1" s="242"/>
      <c r="CSY1" s="242"/>
      <c r="CSZ1" s="242"/>
      <c r="CTA1" s="242"/>
      <c r="CTB1" s="242"/>
      <c r="CTC1" s="242"/>
      <c r="CTD1" s="242"/>
      <c r="CTE1" s="242"/>
      <c r="CTF1" s="242"/>
      <c r="CTG1" s="242"/>
      <c r="CTH1" s="242"/>
      <c r="CTI1" s="242"/>
      <c r="CTJ1" s="242"/>
      <c r="CTK1" s="242"/>
      <c r="CTL1" s="242"/>
      <c r="CTM1" s="242"/>
      <c r="CTN1" s="242"/>
      <c r="CTO1" s="242"/>
      <c r="CTP1" s="242"/>
      <c r="CTQ1" s="242"/>
      <c r="CTR1" s="242"/>
      <c r="CTS1" s="242"/>
      <c r="CTT1" s="242"/>
      <c r="CTU1" s="242"/>
      <c r="CTV1" s="242"/>
      <c r="CTW1" s="242"/>
      <c r="CTX1" s="242"/>
      <c r="CTY1" s="242"/>
      <c r="CTZ1" s="242"/>
      <c r="CUA1" s="242"/>
      <c r="CUB1" s="242"/>
      <c r="CUC1" s="242"/>
      <c r="CUD1" s="242"/>
      <c r="CUE1" s="242"/>
      <c r="CUF1" s="242"/>
      <c r="CUG1" s="242"/>
      <c r="CUH1" s="242"/>
      <c r="CUI1" s="242"/>
      <c r="CUJ1" s="242"/>
      <c r="CUK1" s="242"/>
      <c r="CUL1" s="242"/>
      <c r="CUM1" s="242"/>
      <c r="CUN1" s="242"/>
      <c r="CUO1" s="242"/>
      <c r="CUP1" s="242"/>
      <c r="CUQ1" s="242"/>
      <c r="CUR1" s="242"/>
      <c r="CUS1" s="242"/>
      <c r="CUT1" s="242"/>
      <c r="CUU1" s="242"/>
      <c r="CUV1" s="242"/>
      <c r="CUW1" s="242"/>
      <c r="CUX1" s="242"/>
      <c r="CUY1" s="242"/>
      <c r="CUZ1" s="242"/>
      <c r="CVA1" s="242"/>
      <c r="CVB1" s="242"/>
      <c r="CVC1" s="242"/>
      <c r="CVD1" s="242"/>
      <c r="CVE1" s="242"/>
      <c r="CVF1" s="242"/>
      <c r="CVG1" s="242"/>
      <c r="CVH1" s="242"/>
      <c r="CVI1" s="242"/>
      <c r="CVJ1" s="242"/>
      <c r="CVK1" s="242"/>
      <c r="CVL1" s="242"/>
      <c r="CVM1" s="242"/>
      <c r="CVN1" s="242"/>
      <c r="CVO1" s="242"/>
      <c r="CVP1" s="242"/>
      <c r="CVQ1" s="242"/>
      <c r="CVR1" s="242"/>
      <c r="CVS1" s="242"/>
      <c r="CVT1" s="242"/>
      <c r="CVU1" s="242"/>
      <c r="CVV1" s="242"/>
      <c r="CVW1" s="242"/>
      <c r="CVX1" s="242"/>
      <c r="CVY1" s="242"/>
      <c r="CVZ1" s="242"/>
      <c r="CWA1" s="242"/>
      <c r="CWB1" s="242"/>
      <c r="CWC1" s="242"/>
      <c r="CWD1" s="242"/>
      <c r="CWE1" s="242"/>
      <c r="CWF1" s="242"/>
      <c r="CWG1" s="242"/>
      <c r="CWH1" s="242"/>
      <c r="CWI1" s="242"/>
      <c r="CWJ1" s="242"/>
      <c r="CWK1" s="242"/>
      <c r="CWL1" s="242"/>
      <c r="CWM1" s="242"/>
      <c r="CWN1" s="242"/>
      <c r="CWO1" s="242"/>
      <c r="CWP1" s="242"/>
      <c r="CWQ1" s="242"/>
      <c r="CWR1" s="242"/>
      <c r="CWS1" s="242"/>
      <c r="CWT1" s="242"/>
      <c r="CWU1" s="242"/>
      <c r="CWV1" s="242"/>
      <c r="CWW1" s="242"/>
      <c r="CWX1" s="242"/>
      <c r="CWY1" s="242"/>
      <c r="CWZ1" s="242"/>
      <c r="CXA1" s="242"/>
      <c r="CXB1" s="242"/>
      <c r="CXC1" s="242"/>
      <c r="CXD1" s="242"/>
      <c r="CXE1" s="242"/>
      <c r="CXF1" s="242"/>
      <c r="CXG1" s="242"/>
      <c r="CXH1" s="242"/>
      <c r="CXI1" s="242"/>
      <c r="CXJ1" s="242"/>
      <c r="CXK1" s="242"/>
      <c r="CXL1" s="242"/>
      <c r="CXM1" s="242"/>
      <c r="CXN1" s="242"/>
      <c r="CXO1" s="242"/>
      <c r="CXP1" s="242"/>
      <c r="CXQ1" s="242"/>
      <c r="CXR1" s="242"/>
      <c r="CXS1" s="242"/>
      <c r="CXT1" s="242"/>
      <c r="CXU1" s="242"/>
      <c r="CXV1" s="242"/>
      <c r="CXW1" s="242"/>
      <c r="CXX1" s="242"/>
      <c r="CXY1" s="242"/>
      <c r="CXZ1" s="242"/>
      <c r="CYA1" s="242"/>
      <c r="CYB1" s="242"/>
      <c r="CYC1" s="242"/>
      <c r="CYD1" s="242"/>
      <c r="CYE1" s="242"/>
      <c r="CYF1" s="242"/>
      <c r="CYG1" s="242"/>
      <c r="CYH1" s="242"/>
      <c r="CYI1" s="242"/>
      <c r="CYJ1" s="242"/>
      <c r="CYK1" s="242"/>
      <c r="CYL1" s="242"/>
      <c r="CYM1" s="242"/>
      <c r="CYN1" s="242"/>
      <c r="CYO1" s="242"/>
      <c r="CYP1" s="242"/>
      <c r="CYQ1" s="242"/>
      <c r="CYR1" s="242"/>
      <c r="CYS1" s="242"/>
      <c r="CYT1" s="242"/>
      <c r="CYU1" s="242"/>
      <c r="CYV1" s="242"/>
      <c r="CYW1" s="242"/>
      <c r="CYX1" s="242"/>
      <c r="CYY1" s="242"/>
      <c r="CYZ1" s="242"/>
      <c r="CZA1" s="242"/>
      <c r="CZB1" s="242"/>
      <c r="CZC1" s="242"/>
      <c r="CZD1" s="242"/>
      <c r="CZE1" s="242"/>
      <c r="CZF1" s="242"/>
      <c r="CZG1" s="242"/>
      <c r="CZH1" s="242"/>
      <c r="CZI1" s="242"/>
      <c r="CZJ1" s="242"/>
      <c r="CZK1" s="242"/>
      <c r="CZL1" s="242"/>
      <c r="CZM1" s="242"/>
      <c r="CZN1" s="242"/>
      <c r="CZO1" s="242"/>
      <c r="CZP1" s="242"/>
      <c r="CZQ1" s="242"/>
      <c r="CZR1" s="242"/>
      <c r="CZS1" s="242"/>
      <c r="CZT1" s="242"/>
      <c r="CZU1" s="242"/>
      <c r="CZV1" s="242"/>
      <c r="CZW1" s="242"/>
      <c r="CZX1" s="242"/>
      <c r="CZY1" s="242"/>
      <c r="CZZ1" s="242"/>
      <c r="DAA1" s="242"/>
      <c r="DAB1" s="242"/>
      <c r="DAC1" s="242"/>
      <c r="DAD1" s="242"/>
      <c r="DAE1" s="242"/>
      <c r="DAF1" s="242"/>
      <c r="DAG1" s="242"/>
      <c r="DAH1" s="242"/>
      <c r="DAI1" s="242"/>
      <c r="DAJ1" s="242"/>
      <c r="DAK1" s="242"/>
      <c r="DAL1" s="242"/>
      <c r="DAM1" s="242"/>
      <c r="DAN1" s="242"/>
      <c r="DAO1" s="242"/>
      <c r="DAP1" s="242"/>
      <c r="DAQ1" s="242"/>
      <c r="DAR1" s="242"/>
      <c r="DAS1" s="242"/>
      <c r="DAT1" s="242"/>
      <c r="DAU1" s="242"/>
      <c r="DAV1" s="242"/>
      <c r="DAW1" s="242"/>
      <c r="DAX1" s="242"/>
      <c r="DAY1" s="242"/>
      <c r="DAZ1" s="242"/>
      <c r="DBA1" s="242"/>
      <c r="DBB1" s="242"/>
      <c r="DBC1" s="242"/>
      <c r="DBD1" s="242"/>
      <c r="DBE1" s="242"/>
      <c r="DBF1" s="242"/>
      <c r="DBG1" s="242"/>
      <c r="DBH1" s="242"/>
      <c r="DBI1" s="242"/>
      <c r="DBJ1" s="242"/>
      <c r="DBK1" s="242"/>
      <c r="DBL1" s="242"/>
      <c r="DBM1" s="242"/>
      <c r="DBN1" s="242"/>
      <c r="DBO1" s="242"/>
      <c r="DBP1" s="242"/>
      <c r="DBQ1" s="242"/>
      <c r="DBR1" s="242"/>
      <c r="DBS1" s="242"/>
      <c r="DBT1" s="242"/>
      <c r="DBU1" s="242"/>
      <c r="DBV1" s="242"/>
      <c r="DBW1" s="242"/>
      <c r="DBX1" s="242"/>
      <c r="DBY1" s="242"/>
      <c r="DBZ1" s="242"/>
      <c r="DCA1" s="242"/>
      <c r="DCB1" s="242"/>
      <c r="DCC1" s="242"/>
      <c r="DCD1" s="242"/>
      <c r="DCE1" s="242"/>
      <c r="DCF1" s="242"/>
      <c r="DCG1" s="242"/>
      <c r="DCH1" s="242"/>
      <c r="DCI1" s="242"/>
      <c r="DCJ1" s="242"/>
      <c r="DCK1" s="242"/>
      <c r="DCL1" s="242"/>
      <c r="DCM1" s="242"/>
      <c r="DCN1" s="242"/>
      <c r="DCO1" s="242"/>
      <c r="DCP1" s="242"/>
      <c r="DCQ1" s="242"/>
      <c r="DCR1" s="242"/>
      <c r="DCS1" s="242"/>
      <c r="DCT1" s="242"/>
      <c r="DCU1" s="242"/>
      <c r="DCV1" s="242"/>
      <c r="DCW1" s="242"/>
      <c r="DCX1" s="242"/>
      <c r="DCY1" s="242"/>
      <c r="DCZ1" s="242"/>
      <c r="DDA1" s="242"/>
      <c r="DDB1" s="242"/>
      <c r="DDC1" s="242"/>
      <c r="DDD1" s="242"/>
      <c r="DDE1" s="242"/>
      <c r="DDF1" s="242"/>
      <c r="DDG1" s="242"/>
      <c r="DDH1" s="242"/>
      <c r="DDI1" s="242"/>
      <c r="DDJ1" s="242"/>
      <c r="DDK1" s="242"/>
      <c r="DDL1" s="242"/>
      <c r="DDM1" s="242"/>
      <c r="DDN1" s="242"/>
      <c r="DDO1" s="242"/>
      <c r="DDP1" s="242"/>
      <c r="DDQ1" s="242"/>
      <c r="DDR1" s="242"/>
      <c r="DDS1" s="242"/>
      <c r="DDT1" s="242"/>
      <c r="DDU1" s="242"/>
      <c r="DDV1" s="242"/>
      <c r="DDW1" s="242"/>
      <c r="DDX1" s="242"/>
      <c r="DDY1" s="242"/>
      <c r="DDZ1" s="242"/>
      <c r="DEA1" s="242"/>
      <c r="DEB1" s="242"/>
      <c r="DEC1" s="242"/>
      <c r="DED1" s="242"/>
      <c r="DEE1" s="242"/>
      <c r="DEF1" s="242"/>
      <c r="DEG1" s="242"/>
      <c r="DEH1" s="242"/>
      <c r="DEI1" s="242"/>
      <c r="DEJ1" s="242"/>
      <c r="DEK1" s="242"/>
      <c r="DEL1" s="242"/>
      <c r="DEM1" s="242"/>
      <c r="DEN1" s="242"/>
      <c r="DEO1" s="242"/>
      <c r="DEP1" s="242"/>
      <c r="DEQ1" s="242"/>
      <c r="DER1" s="242"/>
      <c r="DES1" s="242"/>
      <c r="DET1" s="242"/>
      <c r="DEU1" s="242"/>
      <c r="DEV1" s="242"/>
      <c r="DEW1" s="242"/>
      <c r="DEX1" s="242"/>
      <c r="DEY1" s="242"/>
      <c r="DEZ1" s="242"/>
      <c r="DFA1" s="242"/>
      <c r="DFB1" s="242"/>
      <c r="DFC1" s="242"/>
      <c r="DFD1" s="242"/>
      <c r="DFE1" s="242"/>
      <c r="DFF1" s="242"/>
      <c r="DFG1" s="242"/>
      <c r="DFH1" s="242"/>
      <c r="DFI1" s="242"/>
      <c r="DFJ1" s="242"/>
      <c r="DFK1" s="242"/>
      <c r="DFL1" s="242"/>
      <c r="DFM1" s="242"/>
      <c r="DFN1" s="242"/>
      <c r="DFO1" s="242"/>
      <c r="DFP1" s="242"/>
      <c r="DFQ1" s="242"/>
      <c r="DFR1" s="242"/>
      <c r="DFS1" s="242"/>
      <c r="DFT1" s="242"/>
      <c r="DFU1" s="242"/>
      <c r="DFV1" s="242"/>
      <c r="DFW1" s="242"/>
      <c r="DFX1" s="242"/>
      <c r="DFY1" s="242"/>
      <c r="DFZ1" s="242"/>
      <c r="DGA1" s="242"/>
      <c r="DGB1" s="242"/>
      <c r="DGC1" s="242"/>
      <c r="DGD1" s="242"/>
      <c r="DGE1" s="242"/>
      <c r="DGF1" s="242"/>
      <c r="DGG1" s="242"/>
      <c r="DGH1" s="242"/>
      <c r="DGI1" s="242"/>
      <c r="DGJ1" s="242"/>
      <c r="DGK1" s="242"/>
      <c r="DGL1" s="242"/>
      <c r="DGM1" s="242"/>
      <c r="DGN1" s="242"/>
      <c r="DGO1" s="242"/>
      <c r="DGP1" s="242"/>
      <c r="DGQ1" s="242"/>
      <c r="DGR1" s="242"/>
      <c r="DGS1" s="242"/>
      <c r="DGT1" s="242"/>
      <c r="DGU1" s="242"/>
      <c r="DGV1" s="242"/>
      <c r="DGW1" s="242"/>
      <c r="DGX1" s="242"/>
      <c r="DGY1" s="242"/>
      <c r="DGZ1" s="242"/>
      <c r="DHA1" s="242"/>
      <c r="DHB1" s="242"/>
      <c r="DHC1" s="242"/>
      <c r="DHD1" s="242"/>
      <c r="DHE1" s="242"/>
      <c r="DHF1" s="242"/>
      <c r="DHG1" s="242"/>
      <c r="DHH1" s="242"/>
      <c r="DHI1" s="242"/>
      <c r="DHJ1" s="242"/>
      <c r="DHK1" s="242"/>
      <c r="DHL1" s="242"/>
      <c r="DHM1" s="242"/>
      <c r="DHN1" s="242"/>
      <c r="DHO1" s="242"/>
      <c r="DHP1" s="242"/>
      <c r="DHQ1" s="242"/>
      <c r="DHR1" s="242"/>
      <c r="DHS1" s="242"/>
      <c r="DHT1" s="242"/>
      <c r="DHU1" s="242"/>
      <c r="DHV1" s="242"/>
      <c r="DHW1" s="242"/>
      <c r="DHX1" s="242"/>
      <c r="DHY1" s="242"/>
      <c r="DHZ1" s="242"/>
      <c r="DIA1" s="242"/>
      <c r="DIB1" s="242"/>
      <c r="DIC1" s="242"/>
      <c r="DID1" s="242"/>
      <c r="DIE1" s="242"/>
      <c r="DIF1" s="242"/>
      <c r="DIG1" s="242"/>
      <c r="DIH1" s="242"/>
      <c r="DII1" s="242"/>
      <c r="DIJ1" s="242"/>
      <c r="DIK1" s="242"/>
      <c r="DIL1" s="242"/>
      <c r="DIM1" s="242"/>
      <c r="DIN1" s="242"/>
      <c r="DIO1" s="242"/>
      <c r="DIP1" s="242"/>
      <c r="DIQ1" s="242"/>
      <c r="DIR1" s="242"/>
      <c r="DIS1" s="242"/>
      <c r="DIT1" s="242"/>
      <c r="DIU1" s="242"/>
      <c r="DIV1" s="242"/>
      <c r="DIW1" s="242"/>
      <c r="DIX1" s="242"/>
      <c r="DIY1" s="242"/>
      <c r="DIZ1" s="242"/>
      <c r="DJA1" s="242"/>
      <c r="DJB1" s="242"/>
      <c r="DJC1" s="242"/>
      <c r="DJD1" s="242"/>
      <c r="DJE1" s="242"/>
      <c r="DJF1" s="242"/>
      <c r="DJG1" s="242"/>
      <c r="DJH1" s="242"/>
      <c r="DJI1" s="242"/>
      <c r="DJJ1" s="242"/>
      <c r="DJK1" s="242"/>
      <c r="DJL1" s="242"/>
      <c r="DJM1" s="242"/>
      <c r="DJN1" s="242"/>
      <c r="DJO1" s="242"/>
      <c r="DJP1" s="242"/>
      <c r="DJQ1" s="242"/>
      <c r="DJR1" s="242"/>
      <c r="DJS1" s="242"/>
      <c r="DJT1" s="242"/>
      <c r="DJU1" s="242"/>
      <c r="DJV1" s="242"/>
      <c r="DJW1" s="242"/>
      <c r="DJX1" s="242"/>
      <c r="DJY1" s="242"/>
      <c r="DJZ1" s="242"/>
      <c r="DKA1" s="242"/>
      <c r="DKB1" s="242"/>
      <c r="DKC1" s="242"/>
      <c r="DKD1" s="242"/>
      <c r="DKE1" s="242"/>
      <c r="DKF1" s="242"/>
      <c r="DKG1" s="242"/>
      <c r="DKH1" s="242"/>
      <c r="DKI1" s="242"/>
      <c r="DKJ1" s="242"/>
      <c r="DKK1" s="242"/>
      <c r="DKL1" s="242"/>
      <c r="DKM1" s="242"/>
      <c r="DKN1" s="242"/>
      <c r="DKO1" s="242"/>
      <c r="DKP1" s="242"/>
      <c r="DKQ1" s="242"/>
      <c r="DKR1" s="242"/>
      <c r="DKS1" s="242"/>
      <c r="DKT1" s="242"/>
      <c r="DKU1" s="242"/>
      <c r="DKV1" s="242"/>
      <c r="DKW1" s="242"/>
      <c r="DKX1" s="242"/>
      <c r="DKY1" s="242"/>
      <c r="DKZ1" s="242"/>
      <c r="DLA1" s="242"/>
      <c r="DLB1" s="242"/>
      <c r="DLC1" s="242"/>
      <c r="DLD1" s="242"/>
      <c r="DLE1" s="242"/>
      <c r="DLF1" s="242"/>
      <c r="DLG1" s="242"/>
      <c r="DLH1" s="242"/>
      <c r="DLI1" s="242"/>
      <c r="DLJ1" s="242"/>
      <c r="DLK1" s="242"/>
      <c r="DLL1" s="242"/>
      <c r="DLM1" s="242"/>
      <c r="DLN1" s="242"/>
      <c r="DLO1" s="242"/>
      <c r="DLP1" s="242"/>
      <c r="DLQ1" s="242"/>
      <c r="DLR1" s="242"/>
      <c r="DLS1" s="242"/>
      <c r="DLT1" s="242"/>
      <c r="DLU1" s="242"/>
      <c r="DLV1" s="242"/>
      <c r="DLW1" s="242"/>
      <c r="DLX1" s="242"/>
      <c r="DLY1" s="242"/>
      <c r="DLZ1" s="242"/>
      <c r="DMA1" s="242"/>
      <c r="DMB1" s="242"/>
      <c r="DMC1" s="242"/>
      <c r="DMD1" s="242"/>
      <c r="DME1" s="242"/>
      <c r="DMF1" s="242"/>
      <c r="DMG1" s="242"/>
      <c r="DMH1" s="242"/>
      <c r="DMI1" s="242"/>
      <c r="DMJ1" s="242"/>
      <c r="DMK1" s="242"/>
      <c r="DML1" s="242"/>
      <c r="DMM1" s="242"/>
      <c r="DMN1" s="242"/>
      <c r="DMO1" s="242"/>
      <c r="DMP1" s="242"/>
      <c r="DMQ1" s="242"/>
      <c r="DMR1" s="242"/>
      <c r="DMS1" s="242"/>
      <c r="DMT1" s="242"/>
      <c r="DMU1" s="242"/>
      <c r="DMV1" s="242"/>
      <c r="DMW1" s="242"/>
      <c r="DMX1" s="242"/>
      <c r="DMY1" s="242"/>
      <c r="DMZ1" s="242"/>
      <c r="DNA1" s="242"/>
      <c r="DNB1" s="242"/>
      <c r="DNC1" s="242"/>
      <c r="DND1" s="242"/>
      <c r="DNE1" s="242"/>
      <c r="DNF1" s="242"/>
      <c r="DNG1" s="242"/>
      <c r="DNH1" s="242"/>
      <c r="DNI1" s="242"/>
      <c r="DNJ1" s="242"/>
      <c r="DNK1" s="242"/>
      <c r="DNL1" s="242"/>
      <c r="DNM1" s="242"/>
      <c r="DNN1" s="242"/>
      <c r="DNO1" s="242"/>
      <c r="DNP1" s="242"/>
      <c r="DNQ1" s="242"/>
      <c r="DNR1" s="242"/>
      <c r="DNS1" s="242"/>
      <c r="DNT1" s="242"/>
      <c r="DNU1" s="242"/>
      <c r="DNV1" s="242"/>
      <c r="DNW1" s="242"/>
      <c r="DNX1" s="242"/>
      <c r="DNY1" s="242"/>
      <c r="DNZ1" s="242"/>
      <c r="DOA1" s="242"/>
      <c r="DOB1" s="242"/>
      <c r="DOC1" s="242"/>
      <c r="DOD1" s="242"/>
      <c r="DOE1" s="242"/>
      <c r="DOF1" s="242"/>
      <c r="DOG1" s="242"/>
      <c r="DOH1" s="242"/>
      <c r="DOI1" s="242"/>
      <c r="DOJ1" s="242"/>
      <c r="DOK1" s="242"/>
      <c r="DOL1" s="242"/>
      <c r="DOM1" s="242"/>
      <c r="DON1" s="242"/>
      <c r="DOO1" s="242"/>
      <c r="DOP1" s="242"/>
      <c r="DOQ1" s="242"/>
      <c r="DOR1" s="242"/>
      <c r="DOS1" s="242"/>
      <c r="DOT1" s="242"/>
      <c r="DOU1" s="242"/>
      <c r="DOV1" s="242"/>
      <c r="DOW1" s="242"/>
      <c r="DOX1" s="242"/>
      <c r="DOY1" s="242"/>
      <c r="DOZ1" s="242"/>
      <c r="DPA1" s="242"/>
      <c r="DPB1" s="242"/>
      <c r="DPC1" s="242"/>
      <c r="DPD1" s="242"/>
      <c r="DPE1" s="242"/>
      <c r="DPF1" s="242"/>
      <c r="DPG1" s="242"/>
      <c r="DPH1" s="242"/>
      <c r="DPI1" s="242"/>
      <c r="DPJ1" s="242"/>
      <c r="DPK1" s="242"/>
      <c r="DPL1" s="242"/>
      <c r="DPM1" s="242"/>
      <c r="DPN1" s="242"/>
      <c r="DPO1" s="242"/>
      <c r="DPP1" s="242"/>
      <c r="DPQ1" s="242"/>
      <c r="DPR1" s="242"/>
      <c r="DPS1" s="242"/>
      <c r="DPT1" s="242"/>
      <c r="DPU1" s="242"/>
      <c r="DPV1" s="242"/>
      <c r="DPW1" s="242"/>
      <c r="DPX1" s="242"/>
      <c r="DPY1" s="242"/>
      <c r="DPZ1" s="242"/>
      <c r="DQA1" s="242"/>
      <c r="DQB1" s="242"/>
      <c r="DQC1" s="242"/>
      <c r="DQD1" s="242"/>
      <c r="DQE1" s="242"/>
      <c r="DQF1" s="242"/>
      <c r="DQG1" s="242"/>
      <c r="DQH1" s="242"/>
      <c r="DQI1" s="242"/>
      <c r="DQJ1" s="242"/>
      <c r="DQK1" s="242"/>
      <c r="DQL1" s="242"/>
      <c r="DQM1" s="242"/>
      <c r="DQN1" s="242"/>
      <c r="DQO1" s="242"/>
      <c r="DQP1" s="242"/>
      <c r="DQQ1" s="242"/>
      <c r="DQR1" s="242"/>
      <c r="DQS1" s="242"/>
      <c r="DQT1" s="242"/>
      <c r="DQU1" s="242"/>
      <c r="DQV1" s="242"/>
      <c r="DQW1" s="242"/>
      <c r="DQX1" s="242"/>
      <c r="DQY1" s="242"/>
      <c r="DQZ1" s="242"/>
      <c r="DRA1" s="242"/>
      <c r="DRB1" s="242"/>
      <c r="DRC1" s="242"/>
      <c r="DRD1" s="242"/>
      <c r="DRE1" s="242"/>
      <c r="DRF1" s="242"/>
      <c r="DRG1" s="242"/>
      <c r="DRH1" s="242"/>
      <c r="DRI1" s="242"/>
      <c r="DRJ1" s="242"/>
      <c r="DRK1" s="242"/>
      <c r="DRL1" s="242"/>
      <c r="DRM1" s="242"/>
      <c r="DRN1" s="242"/>
      <c r="DRO1" s="242"/>
      <c r="DRP1" s="242"/>
      <c r="DRQ1" s="242"/>
      <c r="DRR1" s="242"/>
      <c r="DRS1" s="242"/>
      <c r="DRT1" s="242"/>
      <c r="DRU1" s="242"/>
      <c r="DRV1" s="242"/>
      <c r="DRW1" s="242"/>
      <c r="DRX1" s="242"/>
      <c r="DRY1" s="242"/>
      <c r="DRZ1" s="242"/>
      <c r="DSA1" s="242"/>
      <c r="DSB1" s="242"/>
      <c r="DSC1" s="242"/>
      <c r="DSD1" s="242"/>
      <c r="DSE1" s="242"/>
      <c r="DSF1" s="242"/>
      <c r="DSG1" s="242"/>
      <c r="DSH1" s="242"/>
      <c r="DSI1" s="242"/>
      <c r="DSJ1" s="242"/>
      <c r="DSK1" s="242"/>
      <c r="DSL1" s="242"/>
      <c r="DSM1" s="242"/>
      <c r="DSN1" s="242"/>
      <c r="DSO1" s="242"/>
      <c r="DSP1" s="242"/>
      <c r="DSQ1" s="242"/>
      <c r="DSR1" s="242"/>
      <c r="DSS1" s="242"/>
      <c r="DST1" s="242"/>
      <c r="DSU1" s="242"/>
      <c r="DSV1" s="242"/>
      <c r="DSW1" s="242"/>
      <c r="DSX1" s="242"/>
      <c r="DSY1" s="242"/>
      <c r="DSZ1" s="242"/>
      <c r="DTA1" s="242"/>
      <c r="DTB1" s="242"/>
      <c r="DTC1" s="242"/>
      <c r="DTD1" s="242"/>
      <c r="DTE1" s="242"/>
      <c r="DTF1" s="242"/>
      <c r="DTG1" s="242"/>
      <c r="DTH1" s="242"/>
      <c r="DTI1" s="242"/>
      <c r="DTJ1" s="242"/>
      <c r="DTK1" s="242"/>
      <c r="DTL1" s="242"/>
      <c r="DTM1" s="242"/>
      <c r="DTN1" s="242"/>
      <c r="DTO1" s="242"/>
      <c r="DTP1" s="242"/>
      <c r="DTQ1" s="242"/>
      <c r="DTR1" s="242"/>
      <c r="DTS1" s="242"/>
      <c r="DTT1" s="242"/>
      <c r="DTU1" s="242"/>
      <c r="DTV1" s="242"/>
      <c r="DTW1" s="242"/>
      <c r="DTX1" s="242"/>
      <c r="DTY1" s="242"/>
      <c r="DTZ1" s="242"/>
      <c r="DUA1" s="242"/>
      <c r="DUB1" s="242"/>
      <c r="DUC1" s="242"/>
      <c r="DUD1" s="242"/>
      <c r="DUE1" s="242"/>
      <c r="DUF1" s="242"/>
      <c r="DUG1" s="242"/>
      <c r="DUH1" s="242"/>
      <c r="DUI1" s="242"/>
      <c r="DUJ1" s="242"/>
      <c r="DUK1" s="242"/>
      <c r="DUL1" s="242"/>
      <c r="DUM1" s="242"/>
      <c r="DUN1" s="242"/>
      <c r="DUO1" s="242"/>
      <c r="DUP1" s="242"/>
      <c r="DUQ1" s="242"/>
      <c r="DUR1" s="242"/>
      <c r="DUS1" s="242"/>
      <c r="DUT1" s="242"/>
      <c r="DUU1" s="242"/>
      <c r="DUV1" s="242"/>
      <c r="DUW1" s="242"/>
      <c r="DUX1" s="242"/>
      <c r="DUY1" s="242"/>
      <c r="DUZ1" s="242"/>
      <c r="DVA1" s="242"/>
      <c r="DVB1" s="242"/>
      <c r="DVC1" s="242"/>
      <c r="DVD1" s="242"/>
      <c r="DVE1" s="242"/>
      <c r="DVF1" s="242"/>
      <c r="DVG1" s="242"/>
      <c r="DVH1" s="242"/>
      <c r="DVI1" s="242"/>
      <c r="DVJ1" s="242"/>
      <c r="DVK1" s="242"/>
      <c r="DVL1" s="242"/>
      <c r="DVM1" s="242"/>
      <c r="DVN1" s="242"/>
      <c r="DVO1" s="242"/>
      <c r="DVP1" s="242"/>
      <c r="DVQ1" s="242"/>
      <c r="DVR1" s="242"/>
      <c r="DVS1" s="242"/>
      <c r="DVT1" s="242"/>
      <c r="DVU1" s="242"/>
      <c r="DVV1" s="242"/>
      <c r="DVW1" s="242"/>
      <c r="DVX1" s="242"/>
      <c r="DVY1" s="242"/>
      <c r="DVZ1" s="242"/>
      <c r="DWA1" s="242"/>
      <c r="DWB1" s="242"/>
      <c r="DWC1" s="242"/>
      <c r="DWD1" s="242"/>
      <c r="DWE1" s="242"/>
      <c r="DWF1" s="242"/>
      <c r="DWG1" s="242"/>
      <c r="DWH1" s="242"/>
      <c r="DWI1" s="242"/>
      <c r="DWJ1" s="242"/>
      <c r="DWK1" s="242"/>
      <c r="DWL1" s="242"/>
      <c r="DWM1" s="242"/>
      <c r="DWN1" s="242"/>
      <c r="DWO1" s="242"/>
      <c r="DWP1" s="242"/>
      <c r="DWQ1" s="242"/>
      <c r="DWR1" s="242"/>
      <c r="DWS1" s="242"/>
      <c r="DWT1" s="242"/>
      <c r="DWU1" s="242"/>
      <c r="DWV1" s="242"/>
      <c r="DWW1" s="242"/>
      <c r="DWX1" s="242"/>
      <c r="DWY1" s="242"/>
      <c r="DWZ1" s="242"/>
      <c r="DXA1" s="242"/>
      <c r="DXB1" s="242"/>
      <c r="DXC1" s="242"/>
      <c r="DXD1" s="242"/>
      <c r="DXE1" s="242"/>
      <c r="DXF1" s="242"/>
      <c r="DXG1" s="242"/>
      <c r="DXH1" s="242"/>
      <c r="DXI1" s="242"/>
      <c r="DXJ1" s="242"/>
      <c r="DXK1" s="242"/>
      <c r="DXL1" s="242"/>
      <c r="DXM1" s="242"/>
      <c r="DXN1" s="242"/>
      <c r="DXO1" s="242"/>
      <c r="DXP1" s="242"/>
      <c r="DXQ1" s="242"/>
      <c r="DXR1" s="242"/>
      <c r="DXS1" s="242"/>
      <c r="DXT1" s="242"/>
      <c r="DXU1" s="242"/>
      <c r="DXV1" s="242"/>
      <c r="DXW1" s="242"/>
      <c r="DXX1" s="242"/>
      <c r="DXY1" s="242"/>
      <c r="DXZ1" s="242"/>
      <c r="DYA1" s="242"/>
      <c r="DYB1" s="242"/>
      <c r="DYC1" s="242"/>
      <c r="DYD1" s="242"/>
      <c r="DYE1" s="242"/>
      <c r="DYF1" s="242"/>
      <c r="DYG1" s="242"/>
      <c r="DYH1" s="242"/>
      <c r="DYI1" s="242"/>
      <c r="DYJ1" s="242"/>
      <c r="DYK1" s="242"/>
      <c r="DYL1" s="242"/>
      <c r="DYM1" s="242"/>
      <c r="DYN1" s="242"/>
      <c r="DYO1" s="242"/>
      <c r="DYP1" s="242"/>
      <c r="DYQ1" s="242"/>
      <c r="DYR1" s="242"/>
      <c r="DYS1" s="242"/>
      <c r="DYT1" s="242"/>
      <c r="DYU1" s="242"/>
      <c r="DYV1" s="242"/>
      <c r="DYW1" s="242"/>
      <c r="DYX1" s="242"/>
      <c r="DYY1" s="242"/>
      <c r="DYZ1" s="242"/>
      <c r="DZA1" s="242"/>
      <c r="DZB1" s="242"/>
      <c r="DZC1" s="242"/>
      <c r="DZD1" s="242"/>
      <c r="DZE1" s="242"/>
      <c r="DZF1" s="242"/>
      <c r="DZG1" s="242"/>
      <c r="DZH1" s="242"/>
      <c r="DZI1" s="242"/>
      <c r="DZJ1" s="242"/>
      <c r="DZK1" s="242"/>
      <c r="DZL1" s="242"/>
      <c r="DZM1" s="242"/>
      <c r="DZN1" s="242"/>
      <c r="DZO1" s="242"/>
      <c r="DZP1" s="242"/>
      <c r="DZQ1" s="242"/>
      <c r="DZR1" s="242"/>
      <c r="DZS1" s="242"/>
      <c r="DZT1" s="242"/>
      <c r="DZU1" s="242"/>
      <c r="DZV1" s="242"/>
      <c r="DZW1" s="242"/>
      <c r="DZX1" s="242"/>
      <c r="DZY1" s="242"/>
      <c r="DZZ1" s="242"/>
      <c r="EAA1" s="242"/>
      <c r="EAB1" s="242"/>
      <c r="EAC1" s="242"/>
      <c r="EAD1" s="242"/>
      <c r="EAE1" s="242"/>
      <c r="EAF1" s="242"/>
      <c r="EAG1" s="242"/>
      <c r="EAH1" s="242"/>
      <c r="EAI1" s="242"/>
      <c r="EAJ1" s="242"/>
      <c r="EAK1" s="242"/>
      <c r="EAL1" s="242"/>
      <c r="EAM1" s="242"/>
      <c r="EAN1" s="242"/>
      <c r="EAO1" s="242"/>
      <c r="EAP1" s="242"/>
      <c r="EAQ1" s="242"/>
      <c r="EAR1" s="242"/>
      <c r="EAS1" s="242"/>
      <c r="EAT1" s="242"/>
      <c r="EAU1" s="242"/>
      <c r="EAV1" s="242"/>
      <c r="EAW1" s="242"/>
      <c r="EAX1" s="242"/>
      <c r="EAY1" s="242"/>
      <c r="EAZ1" s="242"/>
      <c r="EBA1" s="242"/>
      <c r="EBB1" s="242"/>
      <c r="EBC1" s="242"/>
      <c r="EBD1" s="242"/>
      <c r="EBE1" s="242"/>
      <c r="EBF1" s="242"/>
      <c r="EBG1" s="242"/>
      <c r="EBH1" s="242"/>
      <c r="EBI1" s="242"/>
      <c r="EBJ1" s="242"/>
      <c r="EBK1" s="242"/>
      <c r="EBL1" s="242"/>
      <c r="EBM1" s="242"/>
      <c r="EBN1" s="242"/>
      <c r="EBO1" s="242"/>
      <c r="EBP1" s="242"/>
      <c r="EBQ1" s="242"/>
      <c r="EBR1" s="242"/>
      <c r="EBS1" s="242"/>
      <c r="EBT1" s="242"/>
      <c r="EBU1" s="242"/>
      <c r="EBV1" s="242"/>
      <c r="EBW1" s="242"/>
      <c r="EBX1" s="242"/>
      <c r="EBY1" s="242"/>
      <c r="EBZ1" s="242"/>
      <c r="ECA1" s="242"/>
      <c r="ECB1" s="242"/>
      <c r="ECC1" s="242"/>
      <c r="ECD1" s="242"/>
      <c r="ECE1" s="242"/>
      <c r="ECF1" s="242"/>
      <c r="ECG1" s="242"/>
      <c r="ECH1" s="242"/>
      <c r="ECI1" s="242"/>
      <c r="ECJ1" s="242"/>
      <c r="ECK1" s="242"/>
      <c r="ECL1" s="242"/>
      <c r="ECM1" s="242"/>
      <c r="ECN1" s="242"/>
      <c r="ECO1" s="242"/>
      <c r="ECP1" s="242"/>
      <c r="ECQ1" s="242"/>
      <c r="ECR1" s="242"/>
      <c r="ECS1" s="242"/>
      <c r="ECT1" s="242"/>
      <c r="ECU1" s="242"/>
      <c r="ECV1" s="242"/>
      <c r="ECW1" s="242"/>
      <c r="ECX1" s="242"/>
      <c r="ECY1" s="242"/>
      <c r="ECZ1" s="242"/>
      <c r="EDA1" s="242"/>
      <c r="EDB1" s="242"/>
      <c r="EDC1" s="242"/>
      <c r="EDD1" s="242"/>
      <c r="EDE1" s="242"/>
      <c r="EDF1" s="242"/>
      <c r="EDG1" s="242"/>
      <c r="EDH1" s="242"/>
      <c r="EDI1" s="242"/>
      <c r="EDJ1" s="242"/>
      <c r="EDK1" s="242"/>
      <c r="EDL1" s="242"/>
      <c r="EDM1" s="242"/>
      <c r="EDN1" s="242"/>
      <c r="EDO1" s="242"/>
      <c r="EDP1" s="242"/>
      <c r="EDQ1" s="242"/>
      <c r="EDR1" s="242"/>
      <c r="EDS1" s="242"/>
      <c r="EDT1" s="242"/>
      <c r="EDU1" s="242"/>
      <c r="EDV1" s="242"/>
      <c r="EDW1" s="242"/>
      <c r="EDX1" s="242"/>
      <c r="EDY1" s="242"/>
      <c r="EDZ1" s="242"/>
      <c r="EEA1" s="242"/>
      <c r="EEB1" s="242"/>
      <c r="EEC1" s="242"/>
      <c r="EED1" s="242"/>
      <c r="EEE1" s="242"/>
      <c r="EEF1" s="242"/>
      <c r="EEG1" s="242"/>
      <c r="EEH1" s="242"/>
      <c r="EEI1" s="242"/>
      <c r="EEJ1" s="242"/>
      <c r="EEK1" s="242"/>
      <c r="EEL1" s="242"/>
      <c r="EEM1" s="242"/>
      <c r="EEN1" s="242"/>
      <c r="EEO1" s="242"/>
      <c r="EEP1" s="242"/>
      <c r="EEQ1" s="242"/>
      <c r="EER1" s="242"/>
      <c r="EES1" s="242"/>
      <c r="EET1" s="242"/>
      <c r="EEU1" s="242"/>
      <c r="EEV1" s="242"/>
      <c r="EEW1" s="242"/>
      <c r="EEX1" s="242"/>
      <c r="EEY1" s="242"/>
      <c r="EEZ1" s="242"/>
      <c r="EFA1" s="242"/>
      <c r="EFB1" s="242"/>
      <c r="EFC1" s="242"/>
      <c r="EFD1" s="242"/>
      <c r="EFE1" s="242"/>
      <c r="EFF1" s="242"/>
      <c r="EFG1" s="242"/>
      <c r="EFH1" s="242"/>
      <c r="EFI1" s="242"/>
      <c r="EFJ1" s="242"/>
      <c r="EFK1" s="242"/>
      <c r="EFL1" s="242"/>
      <c r="EFM1" s="242"/>
      <c r="EFN1" s="242"/>
      <c r="EFO1" s="242"/>
      <c r="EFP1" s="242"/>
      <c r="EFQ1" s="242"/>
      <c r="EFR1" s="242"/>
      <c r="EFS1" s="242"/>
      <c r="EFT1" s="242"/>
      <c r="EFU1" s="242"/>
      <c r="EFV1" s="242"/>
      <c r="EFW1" s="242"/>
      <c r="EFX1" s="242"/>
      <c r="EFY1" s="242"/>
      <c r="EFZ1" s="242"/>
      <c r="EGA1" s="242"/>
      <c r="EGB1" s="242"/>
      <c r="EGC1" s="242"/>
      <c r="EGD1" s="242"/>
      <c r="EGE1" s="242"/>
      <c r="EGF1" s="242"/>
      <c r="EGG1" s="242"/>
      <c r="EGH1" s="242"/>
      <c r="EGI1" s="242"/>
      <c r="EGJ1" s="242"/>
      <c r="EGK1" s="242"/>
      <c r="EGL1" s="242"/>
      <c r="EGM1" s="242"/>
      <c r="EGN1" s="242"/>
      <c r="EGO1" s="242"/>
      <c r="EGP1" s="242"/>
      <c r="EGQ1" s="242"/>
      <c r="EGR1" s="242"/>
      <c r="EGS1" s="242"/>
      <c r="EGT1" s="242"/>
      <c r="EGU1" s="242"/>
      <c r="EGV1" s="242"/>
      <c r="EGW1" s="242"/>
      <c r="EGX1" s="242"/>
      <c r="EGY1" s="242"/>
      <c r="EGZ1" s="242"/>
      <c r="EHA1" s="242"/>
      <c r="EHB1" s="242"/>
      <c r="EHC1" s="242"/>
      <c r="EHD1" s="242"/>
      <c r="EHE1" s="242"/>
      <c r="EHF1" s="242"/>
      <c r="EHG1" s="242"/>
      <c r="EHH1" s="242"/>
      <c r="EHI1" s="242"/>
      <c r="EHJ1" s="242"/>
      <c r="EHK1" s="242"/>
      <c r="EHL1" s="242"/>
      <c r="EHM1" s="242"/>
      <c r="EHN1" s="242"/>
      <c r="EHO1" s="242"/>
      <c r="EHP1" s="242"/>
      <c r="EHQ1" s="242"/>
      <c r="EHR1" s="242"/>
      <c r="EHS1" s="242"/>
      <c r="EHT1" s="242"/>
      <c r="EHU1" s="242"/>
      <c r="EHV1" s="242"/>
      <c r="EHW1" s="242"/>
      <c r="EHX1" s="242"/>
      <c r="EHY1" s="242"/>
      <c r="EHZ1" s="242"/>
      <c r="EIA1" s="242"/>
      <c r="EIB1" s="242"/>
      <c r="EIC1" s="242"/>
      <c r="EID1" s="242"/>
      <c r="EIE1" s="242"/>
      <c r="EIF1" s="242"/>
      <c r="EIG1" s="242"/>
      <c r="EIH1" s="242"/>
      <c r="EII1" s="242"/>
      <c r="EIJ1" s="242"/>
      <c r="EIK1" s="242"/>
      <c r="EIL1" s="242"/>
      <c r="EIM1" s="242"/>
      <c r="EIN1" s="242"/>
      <c r="EIO1" s="242"/>
      <c r="EIP1" s="242"/>
      <c r="EIQ1" s="242"/>
      <c r="EIR1" s="242"/>
      <c r="EIS1" s="242"/>
      <c r="EIT1" s="242"/>
      <c r="EIU1" s="242"/>
      <c r="EIV1" s="242"/>
      <c r="EIW1" s="242"/>
      <c r="EIX1" s="242"/>
      <c r="EIY1" s="242"/>
      <c r="EIZ1" s="242"/>
      <c r="EJA1" s="242"/>
      <c r="EJB1" s="242"/>
      <c r="EJC1" s="242"/>
      <c r="EJD1" s="242"/>
      <c r="EJE1" s="242"/>
      <c r="EJF1" s="242"/>
      <c r="EJG1" s="242"/>
      <c r="EJH1" s="242"/>
      <c r="EJI1" s="242"/>
      <c r="EJJ1" s="242"/>
      <c r="EJK1" s="242"/>
      <c r="EJL1" s="242"/>
      <c r="EJM1" s="242"/>
      <c r="EJN1" s="242"/>
      <c r="EJO1" s="242"/>
      <c r="EJP1" s="242"/>
      <c r="EJQ1" s="242"/>
      <c r="EJR1" s="242"/>
      <c r="EJS1" s="242"/>
      <c r="EJT1" s="242"/>
      <c r="EJU1" s="242"/>
      <c r="EJV1" s="242"/>
      <c r="EJW1" s="242"/>
      <c r="EJX1" s="242"/>
      <c r="EJY1" s="242"/>
      <c r="EJZ1" s="242"/>
      <c r="EKA1" s="242"/>
      <c r="EKB1" s="242"/>
      <c r="EKC1" s="242"/>
      <c r="EKD1" s="242"/>
      <c r="EKE1" s="242"/>
      <c r="EKF1" s="242"/>
      <c r="EKG1" s="242"/>
      <c r="EKH1" s="242"/>
      <c r="EKI1" s="242"/>
      <c r="EKJ1" s="242"/>
      <c r="EKK1" s="242"/>
      <c r="EKL1" s="242"/>
      <c r="EKM1" s="242"/>
      <c r="EKN1" s="242"/>
      <c r="EKO1" s="242"/>
      <c r="EKP1" s="242"/>
      <c r="EKQ1" s="242"/>
      <c r="EKR1" s="242"/>
      <c r="EKS1" s="242"/>
      <c r="EKT1" s="242"/>
      <c r="EKU1" s="242"/>
      <c r="EKV1" s="242"/>
      <c r="EKW1" s="242"/>
      <c r="EKX1" s="242"/>
      <c r="EKY1" s="242"/>
      <c r="EKZ1" s="242"/>
      <c r="ELA1" s="242"/>
      <c r="ELB1" s="242"/>
      <c r="ELC1" s="242"/>
      <c r="ELD1" s="242"/>
      <c r="ELE1" s="242"/>
      <c r="ELF1" s="242"/>
      <c r="ELG1" s="242"/>
      <c r="ELH1" s="242"/>
      <c r="ELI1" s="242"/>
      <c r="ELJ1" s="242"/>
      <c r="ELK1" s="242"/>
      <c r="ELL1" s="242"/>
      <c r="ELM1" s="242"/>
      <c r="ELN1" s="242"/>
      <c r="ELO1" s="242"/>
      <c r="ELP1" s="242"/>
      <c r="ELQ1" s="242"/>
      <c r="ELR1" s="242"/>
      <c r="ELS1" s="242"/>
      <c r="ELT1" s="242"/>
      <c r="ELU1" s="242"/>
      <c r="ELV1" s="242"/>
      <c r="ELW1" s="242"/>
      <c r="ELX1" s="242"/>
      <c r="ELY1" s="242"/>
      <c r="ELZ1" s="242"/>
      <c r="EMA1" s="242"/>
      <c r="EMB1" s="242"/>
      <c r="EMC1" s="242"/>
      <c r="EMD1" s="242"/>
      <c r="EME1" s="242"/>
      <c r="EMF1" s="242"/>
      <c r="EMG1" s="242"/>
      <c r="EMH1" s="242"/>
      <c r="EMI1" s="242"/>
      <c r="EMJ1" s="242"/>
      <c r="EMK1" s="242"/>
      <c r="EML1" s="242"/>
      <c r="EMM1" s="242"/>
      <c r="EMN1" s="242"/>
      <c r="EMO1" s="242"/>
      <c r="EMP1" s="242"/>
      <c r="EMQ1" s="242"/>
      <c r="EMR1" s="242"/>
      <c r="EMS1" s="242"/>
      <c r="EMT1" s="242"/>
      <c r="EMU1" s="242"/>
      <c r="EMV1" s="242"/>
      <c r="EMW1" s="242"/>
      <c r="EMX1" s="242"/>
      <c r="EMY1" s="242"/>
      <c r="EMZ1" s="242"/>
      <c r="ENA1" s="242"/>
      <c r="ENB1" s="242"/>
      <c r="ENC1" s="242"/>
      <c r="END1" s="242"/>
      <c r="ENE1" s="242"/>
      <c r="ENF1" s="242"/>
      <c r="ENG1" s="242"/>
      <c r="ENH1" s="242"/>
      <c r="ENI1" s="242"/>
      <c r="ENJ1" s="242"/>
      <c r="ENK1" s="242"/>
      <c r="ENL1" s="242"/>
      <c r="ENM1" s="242"/>
      <c r="ENN1" s="242"/>
      <c r="ENO1" s="242"/>
      <c r="ENP1" s="242"/>
      <c r="ENQ1" s="242"/>
      <c r="ENR1" s="242"/>
      <c r="ENS1" s="242"/>
      <c r="ENT1" s="242"/>
      <c r="ENU1" s="242"/>
      <c r="ENV1" s="242"/>
      <c r="ENW1" s="242"/>
      <c r="ENX1" s="242"/>
      <c r="ENY1" s="242"/>
      <c r="ENZ1" s="242"/>
      <c r="EOA1" s="242"/>
      <c r="EOB1" s="242"/>
      <c r="EOC1" s="242"/>
      <c r="EOD1" s="242"/>
      <c r="EOE1" s="242"/>
      <c r="EOF1" s="242"/>
      <c r="EOG1" s="242"/>
      <c r="EOH1" s="242"/>
      <c r="EOI1" s="242"/>
      <c r="EOJ1" s="242"/>
      <c r="EOK1" s="242"/>
      <c r="EOL1" s="242"/>
      <c r="EOM1" s="242"/>
      <c r="EON1" s="242"/>
      <c r="EOO1" s="242"/>
      <c r="EOP1" s="242"/>
      <c r="EOQ1" s="242"/>
      <c r="EOR1" s="242"/>
      <c r="EOS1" s="242"/>
      <c r="EOT1" s="242"/>
      <c r="EOU1" s="242"/>
      <c r="EOV1" s="242"/>
      <c r="EOW1" s="242"/>
      <c r="EOX1" s="242"/>
      <c r="EOY1" s="242"/>
      <c r="EOZ1" s="242"/>
      <c r="EPA1" s="242"/>
      <c r="EPB1" s="242"/>
      <c r="EPC1" s="242"/>
      <c r="EPD1" s="242"/>
      <c r="EPE1" s="242"/>
      <c r="EPF1" s="242"/>
      <c r="EPG1" s="242"/>
      <c r="EPH1" s="242"/>
      <c r="EPI1" s="242"/>
      <c r="EPJ1" s="242"/>
      <c r="EPK1" s="242"/>
      <c r="EPL1" s="242"/>
      <c r="EPM1" s="242"/>
      <c r="EPN1" s="242"/>
      <c r="EPO1" s="242"/>
      <c r="EPP1" s="242"/>
      <c r="EPQ1" s="242"/>
      <c r="EPR1" s="242"/>
      <c r="EPS1" s="242"/>
      <c r="EPT1" s="242"/>
      <c r="EPU1" s="242"/>
      <c r="EPV1" s="242"/>
      <c r="EPW1" s="242"/>
      <c r="EPX1" s="242"/>
      <c r="EPY1" s="242"/>
      <c r="EPZ1" s="242"/>
      <c r="EQA1" s="242"/>
      <c r="EQB1" s="242"/>
      <c r="EQC1" s="242"/>
      <c r="EQD1" s="242"/>
      <c r="EQE1" s="242"/>
      <c r="EQF1" s="242"/>
      <c r="EQG1" s="242"/>
      <c r="EQH1" s="242"/>
      <c r="EQI1" s="242"/>
      <c r="EQJ1" s="242"/>
      <c r="EQK1" s="242"/>
      <c r="EQL1" s="242"/>
      <c r="EQM1" s="242"/>
      <c r="EQN1" s="242"/>
      <c r="EQO1" s="242"/>
      <c r="EQP1" s="242"/>
      <c r="EQQ1" s="242"/>
      <c r="EQR1" s="242"/>
      <c r="EQS1" s="242"/>
      <c r="EQT1" s="242"/>
      <c r="EQU1" s="242"/>
      <c r="EQV1" s="242"/>
      <c r="EQW1" s="242"/>
      <c r="EQX1" s="242"/>
      <c r="EQY1" s="242"/>
      <c r="EQZ1" s="242"/>
      <c r="ERA1" s="242"/>
      <c r="ERB1" s="242"/>
      <c r="ERC1" s="242"/>
      <c r="ERD1" s="242"/>
      <c r="ERE1" s="242"/>
      <c r="ERF1" s="242"/>
      <c r="ERG1" s="242"/>
      <c r="ERH1" s="242"/>
      <c r="ERI1" s="242"/>
      <c r="ERJ1" s="242"/>
      <c r="ERK1" s="242"/>
      <c r="ERL1" s="242"/>
      <c r="ERM1" s="242"/>
      <c r="ERN1" s="242"/>
      <c r="ERO1" s="242"/>
      <c r="ERP1" s="242"/>
      <c r="ERQ1" s="242"/>
      <c r="ERR1" s="242"/>
      <c r="ERS1" s="242"/>
      <c r="ERT1" s="242"/>
      <c r="ERU1" s="242"/>
      <c r="ERV1" s="242"/>
      <c r="ERW1" s="242"/>
      <c r="ERX1" s="242"/>
      <c r="ERY1" s="242"/>
      <c r="ERZ1" s="242"/>
      <c r="ESA1" s="242"/>
      <c r="ESB1" s="242"/>
      <c r="ESC1" s="242"/>
      <c r="ESD1" s="242"/>
      <c r="ESE1" s="242"/>
      <c r="ESF1" s="242"/>
      <c r="ESG1" s="242"/>
      <c r="ESH1" s="242"/>
      <c r="ESI1" s="242"/>
      <c r="ESJ1" s="242"/>
      <c r="ESK1" s="242"/>
      <c r="ESL1" s="242"/>
      <c r="ESM1" s="242"/>
      <c r="ESN1" s="242"/>
      <c r="ESO1" s="242"/>
      <c r="ESP1" s="242"/>
      <c r="ESQ1" s="242"/>
      <c r="ESR1" s="242"/>
      <c r="ESS1" s="242"/>
      <c r="EST1" s="242"/>
      <c r="ESU1" s="242"/>
      <c r="ESV1" s="242"/>
      <c r="ESW1" s="242"/>
      <c r="ESX1" s="242"/>
      <c r="ESY1" s="242"/>
      <c r="ESZ1" s="242"/>
      <c r="ETA1" s="242"/>
      <c r="ETB1" s="242"/>
      <c r="ETC1" s="242"/>
      <c r="ETD1" s="242"/>
      <c r="ETE1" s="242"/>
      <c r="ETF1" s="242"/>
      <c r="ETG1" s="242"/>
      <c r="ETH1" s="242"/>
      <c r="ETI1" s="242"/>
      <c r="ETJ1" s="242"/>
      <c r="ETK1" s="242"/>
      <c r="ETL1" s="242"/>
      <c r="ETM1" s="242"/>
      <c r="ETN1" s="242"/>
      <c r="ETO1" s="242"/>
      <c r="ETP1" s="242"/>
      <c r="ETQ1" s="242"/>
      <c r="ETR1" s="242"/>
      <c r="ETS1" s="242"/>
      <c r="ETT1" s="242"/>
      <c r="ETU1" s="242"/>
      <c r="ETV1" s="242"/>
      <c r="ETW1" s="242"/>
      <c r="ETX1" s="242"/>
      <c r="ETY1" s="242"/>
      <c r="ETZ1" s="242"/>
      <c r="EUA1" s="242"/>
      <c r="EUB1" s="242"/>
      <c r="EUC1" s="242"/>
      <c r="EUD1" s="242"/>
      <c r="EUE1" s="242"/>
      <c r="EUF1" s="242"/>
      <c r="EUG1" s="242"/>
      <c r="EUH1" s="242"/>
      <c r="EUI1" s="242"/>
      <c r="EUJ1" s="242"/>
      <c r="EUK1" s="242"/>
      <c r="EUL1" s="242"/>
      <c r="EUM1" s="242"/>
      <c r="EUN1" s="242"/>
      <c r="EUO1" s="242"/>
      <c r="EUP1" s="242"/>
      <c r="EUQ1" s="242"/>
      <c r="EUR1" s="242"/>
      <c r="EUS1" s="242"/>
      <c r="EUT1" s="242"/>
      <c r="EUU1" s="242"/>
      <c r="EUV1" s="242"/>
      <c r="EUW1" s="242"/>
      <c r="EUX1" s="242"/>
      <c r="EUY1" s="242"/>
      <c r="EUZ1" s="242"/>
      <c r="EVA1" s="242"/>
      <c r="EVB1" s="242"/>
      <c r="EVC1" s="242"/>
      <c r="EVD1" s="242"/>
      <c r="EVE1" s="242"/>
      <c r="EVF1" s="242"/>
      <c r="EVG1" s="242"/>
      <c r="EVH1" s="242"/>
      <c r="EVI1" s="242"/>
      <c r="EVJ1" s="242"/>
      <c r="EVK1" s="242"/>
      <c r="EVL1" s="242"/>
      <c r="EVM1" s="242"/>
      <c r="EVN1" s="242"/>
      <c r="EVO1" s="242"/>
      <c r="EVP1" s="242"/>
      <c r="EVQ1" s="242"/>
      <c r="EVR1" s="242"/>
      <c r="EVS1" s="242"/>
      <c r="EVT1" s="242"/>
      <c r="EVU1" s="242"/>
      <c r="EVV1" s="242"/>
      <c r="EVW1" s="242"/>
      <c r="EVX1" s="242"/>
      <c r="EVY1" s="242"/>
      <c r="EVZ1" s="242"/>
      <c r="EWA1" s="242"/>
      <c r="EWB1" s="242"/>
      <c r="EWC1" s="242"/>
      <c r="EWD1" s="242"/>
      <c r="EWE1" s="242"/>
      <c r="EWF1" s="242"/>
      <c r="EWG1" s="242"/>
      <c r="EWH1" s="242"/>
      <c r="EWI1" s="242"/>
      <c r="EWJ1" s="242"/>
      <c r="EWK1" s="242"/>
      <c r="EWL1" s="242"/>
      <c r="EWM1" s="242"/>
      <c r="EWN1" s="242"/>
      <c r="EWO1" s="242"/>
      <c r="EWP1" s="242"/>
      <c r="EWQ1" s="242"/>
      <c r="EWR1" s="242"/>
      <c r="EWS1" s="242"/>
      <c r="EWT1" s="242"/>
      <c r="EWU1" s="242"/>
      <c r="EWV1" s="242"/>
      <c r="EWW1" s="242"/>
      <c r="EWX1" s="242"/>
      <c r="EWY1" s="242"/>
      <c r="EWZ1" s="242"/>
      <c r="EXA1" s="242"/>
      <c r="EXB1" s="242"/>
      <c r="EXC1" s="242"/>
      <c r="EXD1" s="242"/>
      <c r="EXE1" s="242"/>
      <c r="EXF1" s="242"/>
      <c r="EXG1" s="242"/>
      <c r="EXH1" s="242"/>
      <c r="EXI1" s="242"/>
      <c r="EXJ1" s="242"/>
      <c r="EXK1" s="242"/>
      <c r="EXL1" s="242"/>
      <c r="EXM1" s="242"/>
      <c r="EXN1" s="242"/>
      <c r="EXO1" s="242"/>
      <c r="EXP1" s="242"/>
      <c r="EXQ1" s="242"/>
      <c r="EXR1" s="242"/>
      <c r="EXS1" s="242"/>
      <c r="EXT1" s="242"/>
      <c r="EXU1" s="242"/>
      <c r="EXV1" s="242"/>
      <c r="EXW1" s="242"/>
      <c r="EXX1" s="242"/>
      <c r="EXY1" s="242"/>
      <c r="EXZ1" s="242"/>
      <c r="EYA1" s="242"/>
      <c r="EYB1" s="242"/>
      <c r="EYC1" s="242"/>
      <c r="EYD1" s="242"/>
      <c r="EYE1" s="242"/>
      <c r="EYF1" s="242"/>
      <c r="EYG1" s="242"/>
      <c r="EYH1" s="242"/>
      <c r="EYI1" s="242"/>
      <c r="EYJ1" s="242"/>
      <c r="EYK1" s="242"/>
      <c r="EYL1" s="242"/>
      <c r="EYM1" s="242"/>
      <c r="EYN1" s="242"/>
      <c r="EYO1" s="242"/>
      <c r="EYP1" s="242"/>
      <c r="EYQ1" s="242"/>
      <c r="EYR1" s="242"/>
      <c r="EYS1" s="242"/>
      <c r="EYT1" s="242"/>
      <c r="EYU1" s="242"/>
      <c r="EYV1" s="242"/>
      <c r="EYW1" s="242"/>
      <c r="EYX1" s="242"/>
      <c r="EYY1" s="242"/>
      <c r="EYZ1" s="242"/>
      <c r="EZA1" s="242"/>
      <c r="EZB1" s="242"/>
      <c r="EZC1" s="242"/>
      <c r="EZD1" s="242"/>
      <c r="EZE1" s="242"/>
      <c r="EZF1" s="242"/>
      <c r="EZG1" s="242"/>
      <c r="EZH1" s="242"/>
      <c r="EZI1" s="242"/>
      <c r="EZJ1" s="242"/>
      <c r="EZK1" s="242"/>
      <c r="EZL1" s="242"/>
      <c r="EZM1" s="242"/>
      <c r="EZN1" s="242"/>
      <c r="EZO1" s="242"/>
      <c r="EZP1" s="242"/>
      <c r="EZQ1" s="242"/>
      <c r="EZR1" s="242"/>
      <c r="EZS1" s="242"/>
      <c r="EZT1" s="242"/>
      <c r="EZU1" s="242"/>
      <c r="EZV1" s="242"/>
      <c r="EZW1" s="242"/>
      <c r="EZX1" s="242"/>
      <c r="EZY1" s="242"/>
      <c r="EZZ1" s="242"/>
      <c r="FAA1" s="242"/>
      <c r="FAB1" s="242"/>
      <c r="FAC1" s="242"/>
      <c r="FAD1" s="242"/>
      <c r="FAE1" s="242"/>
      <c r="FAF1" s="242"/>
      <c r="FAG1" s="242"/>
      <c r="FAH1" s="242"/>
      <c r="FAI1" s="242"/>
      <c r="FAJ1" s="242"/>
      <c r="FAK1" s="242"/>
      <c r="FAL1" s="242"/>
      <c r="FAM1" s="242"/>
      <c r="FAN1" s="242"/>
      <c r="FAO1" s="242"/>
      <c r="FAP1" s="242"/>
      <c r="FAQ1" s="242"/>
      <c r="FAR1" s="242"/>
      <c r="FAS1" s="242"/>
      <c r="FAT1" s="242"/>
      <c r="FAU1" s="242"/>
      <c r="FAV1" s="242"/>
      <c r="FAW1" s="242"/>
      <c r="FAX1" s="242"/>
      <c r="FAY1" s="242"/>
      <c r="FAZ1" s="242"/>
      <c r="FBA1" s="242"/>
      <c r="FBB1" s="242"/>
      <c r="FBC1" s="242"/>
      <c r="FBD1" s="242"/>
      <c r="FBE1" s="242"/>
      <c r="FBF1" s="242"/>
      <c r="FBG1" s="242"/>
      <c r="FBH1" s="242"/>
      <c r="FBI1" s="242"/>
      <c r="FBJ1" s="242"/>
      <c r="FBK1" s="242"/>
      <c r="FBL1" s="242"/>
      <c r="FBM1" s="242"/>
      <c r="FBN1" s="242"/>
      <c r="FBO1" s="242"/>
      <c r="FBP1" s="242"/>
      <c r="FBQ1" s="242"/>
      <c r="FBR1" s="242"/>
      <c r="FBS1" s="242"/>
      <c r="FBT1" s="242"/>
      <c r="FBU1" s="242"/>
      <c r="FBV1" s="242"/>
      <c r="FBW1" s="242"/>
      <c r="FBX1" s="242"/>
      <c r="FBY1" s="242"/>
      <c r="FBZ1" s="242"/>
      <c r="FCA1" s="242"/>
      <c r="FCB1" s="242"/>
      <c r="FCC1" s="242"/>
      <c r="FCD1" s="242"/>
      <c r="FCE1" s="242"/>
      <c r="FCF1" s="242"/>
      <c r="FCG1" s="242"/>
      <c r="FCH1" s="242"/>
      <c r="FCI1" s="242"/>
      <c r="FCJ1" s="242"/>
      <c r="FCK1" s="242"/>
      <c r="FCL1" s="242"/>
      <c r="FCM1" s="242"/>
      <c r="FCN1" s="242"/>
      <c r="FCO1" s="242"/>
      <c r="FCP1" s="242"/>
      <c r="FCQ1" s="242"/>
      <c r="FCR1" s="242"/>
      <c r="FCS1" s="242"/>
      <c r="FCT1" s="242"/>
      <c r="FCU1" s="242"/>
      <c r="FCV1" s="242"/>
      <c r="FCW1" s="242"/>
      <c r="FCX1" s="242"/>
      <c r="FCY1" s="242"/>
      <c r="FCZ1" s="242"/>
      <c r="FDA1" s="242"/>
      <c r="FDB1" s="242"/>
      <c r="FDC1" s="242"/>
      <c r="FDD1" s="242"/>
      <c r="FDE1" s="242"/>
      <c r="FDF1" s="242"/>
      <c r="FDG1" s="242"/>
      <c r="FDH1" s="242"/>
      <c r="FDI1" s="242"/>
      <c r="FDJ1" s="242"/>
      <c r="FDK1" s="242"/>
      <c r="FDL1" s="242"/>
      <c r="FDM1" s="242"/>
      <c r="FDN1" s="242"/>
      <c r="FDO1" s="242"/>
      <c r="FDP1" s="242"/>
      <c r="FDQ1" s="242"/>
      <c r="FDR1" s="242"/>
      <c r="FDS1" s="242"/>
      <c r="FDT1" s="242"/>
      <c r="FDU1" s="242"/>
      <c r="FDV1" s="242"/>
      <c r="FDW1" s="242"/>
      <c r="FDX1" s="242"/>
      <c r="FDY1" s="242"/>
      <c r="FDZ1" s="242"/>
      <c r="FEA1" s="242"/>
      <c r="FEB1" s="242"/>
      <c r="FEC1" s="242"/>
      <c r="FED1" s="242"/>
      <c r="FEE1" s="242"/>
      <c r="FEF1" s="242"/>
      <c r="FEG1" s="242"/>
      <c r="FEH1" s="242"/>
      <c r="FEI1" s="242"/>
      <c r="FEJ1" s="242"/>
      <c r="FEK1" s="242"/>
      <c r="FEL1" s="242"/>
      <c r="FEM1" s="242"/>
      <c r="FEN1" s="242"/>
      <c r="FEO1" s="242"/>
      <c r="FEP1" s="242"/>
      <c r="FEQ1" s="242"/>
      <c r="FER1" s="242"/>
      <c r="FES1" s="242"/>
      <c r="FET1" s="242"/>
      <c r="FEU1" s="242"/>
      <c r="FEV1" s="242"/>
      <c r="FEW1" s="242"/>
      <c r="FEX1" s="242"/>
      <c r="FEY1" s="242"/>
      <c r="FEZ1" s="242"/>
      <c r="FFA1" s="242"/>
      <c r="FFB1" s="242"/>
      <c r="FFC1" s="242"/>
      <c r="FFD1" s="242"/>
      <c r="FFE1" s="242"/>
      <c r="FFF1" s="242"/>
      <c r="FFG1" s="242"/>
      <c r="FFH1" s="242"/>
      <c r="FFI1" s="242"/>
      <c r="FFJ1" s="242"/>
      <c r="FFK1" s="242"/>
      <c r="FFL1" s="242"/>
      <c r="FFM1" s="242"/>
      <c r="FFN1" s="242"/>
      <c r="FFO1" s="242"/>
      <c r="FFP1" s="242"/>
      <c r="FFQ1" s="242"/>
      <c r="FFR1" s="242"/>
      <c r="FFS1" s="242"/>
      <c r="FFT1" s="242"/>
      <c r="FFU1" s="242"/>
      <c r="FFV1" s="242"/>
      <c r="FFW1" s="242"/>
      <c r="FFX1" s="242"/>
      <c r="FFY1" s="242"/>
      <c r="FFZ1" s="242"/>
      <c r="FGA1" s="242"/>
      <c r="FGB1" s="242"/>
      <c r="FGC1" s="242"/>
      <c r="FGD1" s="242"/>
      <c r="FGE1" s="242"/>
      <c r="FGF1" s="242"/>
      <c r="FGG1" s="242"/>
      <c r="FGH1" s="242"/>
      <c r="FGI1" s="242"/>
      <c r="FGJ1" s="242"/>
      <c r="FGK1" s="242"/>
      <c r="FGL1" s="242"/>
      <c r="FGM1" s="242"/>
      <c r="FGN1" s="242"/>
      <c r="FGO1" s="242"/>
      <c r="FGP1" s="242"/>
      <c r="FGQ1" s="242"/>
      <c r="FGR1" s="242"/>
      <c r="FGS1" s="242"/>
      <c r="FGT1" s="242"/>
      <c r="FGU1" s="242"/>
      <c r="FGV1" s="242"/>
      <c r="FGW1" s="242"/>
      <c r="FGX1" s="242"/>
      <c r="FGY1" s="242"/>
      <c r="FGZ1" s="242"/>
      <c r="FHA1" s="242"/>
      <c r="FHB1" s="242"/>
      <c r="FHC1" s="242"/>
      <c r="FHD1" s="242"/>
      <c r="FHE1" s="242"/>
      <c r="FHF1" s="242"/>
      <c r="FHG1" s="242"/>
      <c r="FHH1" s="242"/>
      <c r="FHI1" s="242"/>
      <c r="FHJ1" s="242"/>
      <c r="FHK1" s="242"/>
      <c r="FHL1" s="242"/>
      <c r="FHM1" s="242"/>
      <c r="FHN1" s="242"/>
      <c r="FHO1" s="242"/>
      <c r="FHP1" s="242"/>
      <c r="FHQ1" s="242"/>
      <c r="FHR1" s="242"/>
      <c r="FHS1" s="242"/>
      <c r="FHT1" s="242"/>
      <c r="FHU1" s="242"/>
      <c r="FHV1" s="242"/>
      <c r="FHW1" s="242"/>
      <c r="FHX1" s="242"/>
      <c r="FHY1" s="242"/>
      <c r="FHZ1" s="242"/>
      <c r="FIA1" s="242"/>
      <c r="FIB1" s="242"/>
      <c r="FIC1" s="242"/>
      <c r="FID1" s="242"/>
      <c r="FIE1" s="242"/>
      <c r="FIF1" s="242"/>
      <c r="FIG1" s="242"/>
      <c r="FIH1" s="242"/>
      <c r="FII1" s="242"/>
      <c r="FIJ1" s="242"/>
      <c r="FIK1" s="242"/>
      <c r="FIL1" s="242"/>
      <c r="FIM1" s="242"/>
      <c r="FIN1" s="242"/>
      <c r="FIO1" s="242"/>
      <c r="FIP1" s="242"/>
      <c r="FIQ1" s="242"/>
      <c r="FIR1" s="242"/>
      <c r="FIS1" s="242"/>
      <c r="FIT1" s="242"/>
      <c r="FIU1" s="242"/>
      <c r="FIV1" s="242"/>
      <c r="FIW1" s="242"/>
      <c r="FIX1" s="242"/>
      <c r="FIY1" s="242"/>
      <c r="FIZ1" s="242"/>
      <c r="FJA1" s="242"/>
      <c r="FJB1" s="242"/>
      <c r="FJC1" s="242"/>
      <c r="FJD1" s="242"/>
      <c r="FJE1" s="242"/>
      <c r="FJF1" s="242"/>
      <c r="FJG1" s="242"/>
      <c r="FJH1" s="242"/>
      <c r="FJI1" s="242"/>
      <c r="FJJ1" s="242"/>
      <c r="FJK1" s="242"/>
      <c r="FJL1" s="242"/>
      <c r="FJM1" s="242"/>
      <c r="FJN1" s="242"/>
      <c r="FJO1" s="242"/>
      <c r="FJP1" s="242"/>
      <c r="FJQ1" s="242"/>
      <c r="FJR1" s="242"/>
      <c r="FJS1" s="242"/>
      <c r="FJT1" s="242"/>
      <c r="FJU1" s="242"/>
      <c r="FJV1" s="242"/>
      <c r="FJW1" s="242"/>
      <c r="FJX1" s="242"/>
      <c r="FJY1" s="242"/>
      <c r="FJZ1" s="242"/>
      <c r="FKA1" s="242"/>
      <c r="FKB1" s="242"/>
      <c r="FKC1" s="242"/>
      <c r="FKD1" s="242"/>
      <c r="FKE1" s="242"/>
      <c r="FKF1" s="242"/>
      <c r="FKG1" s="242"/>
      <c r="FKH1" s="242"/>
      <c r="FKI1" s="242"/>
      <c r="FKJ1" s="242"/>
      <c r="FKK1" s="242"/>
      <c r="FKL1" s="242"/>
      <c r="FKM1" s="242"/>
      <c r="FKN1" s="242"/>
      <c r="FKO1" s="242"/>
      <c r="FKP1" s="242"/>
      <c r="FKQ1" s="242"/>
      <c r="FKR1" s="242"/>
      <c r="FKS1" s="242"/>
      <c r="FKT1" s="242"/>
      <c r="FKU1" s="242"/>
      <c r="FKV1" s="242"/>
      <c r="FKW1" s="242"/>
      <c r="FKX1" s="242"/>
      <c r="FKY1" s="242"/>
      <c r="FKZ1" s="242"/>
      <c r="FLA1" s="242"/>
      <c r="FLB1" s="242"/>
      <c r="FLC1" s="242"/>
      <c r="FLD1" s="242"/>
      <c r="FLE1" s="242"/>
      <c r="FLF1" s="242"/>
      <c r="FLG1" s="242"/>
      <c r="FLH1" s="242"/>
      <c r="FLI1" s="242"/>
      <c r="FLJ1" s="242"/>
      <c r="FLK1" s="242"/>
      <c r="FLL1" s="242"/>
      <c r="FLM1" s="242"/>
      <c r="FLN1" s="242"/>
      <c r="FLO1" s="242"/>
      <c r="FLP1" s="242"/>
      <c r="FLQ1" s="242"/>
      <c r="FLR1" s="242"/>
      <c r="FLS1" s="242"/>
      <c r="FLT1" s="242"/>
      <c r="FLU1" s="242"/>
      <c r="FLV1" s="242"/>
      <c r="FLW1" s="242"/>
      <c r="FLX1" s="242"/>
      <c r="FLY1" s="242"/>
      <c r="FLZ1" s="242"/>
      <c r="FMA1" s="242"/>
      <c r="FMB1" s="242"/>
      <c r="FMC1" s="242"/>
      <c r="FMD1" s="242"/>
      <c r="FME1" s="242"/>
      <c r="FMF1" s="242"/>
      <c r="FMG1" s="242"/>
      <c r="FMH1" s="242"/>
      <c r="FMI1" s="242"/>
      <c r="FMJ1" s="242"/>
      <c r="FMK1" s="242"/>
      <c r="FML1" s="242"/>
      <c r="FMM1" s="242"/>
      <c r="FMN1" s="242"/>
      <c r="FMO1" s="242"/>
      <c r="FMP1" s="242"/>
      <c r="FMQ1" s="242"/>
      <c r="FMR1" s="242"/>
      <c r="FMS1" s="242"/>
      <c r="FMT1" s="242"/>
      <c r="FMU1" s="242"/>
      <c r="FMV1" s="242"/>
      <c r="FMW1" s="242"/>
      <c r="FMX1" s="242"/>
      <c r="FMY1" s="242"/>
      <c r="FMZ1" s="242"/>
      <c r="FNA1" s="242"/>
      <c r="FNB1" s="242"/>
      <c r="FNC1" s="242"/>
      <c r="FND1" s="242"/>
      <c r="FNE1" s="242"/>
      <c r="FNF1" s="242"/>
      <c r="FNG1" s="242"/>
      <c r="FNH1" s="242"/>
      <c r="FNI1" s="242"/>
      <c r="FNJ1" s="242"/>
      <c r="FNK1" s="242"/>
      <c r="FNL1" s="242"/>
      <c r="FNM1" s="242"/>
      <c r="FNN1" s="242"/>
      <c r="FNO1" s="242"/>
      <c r="FNP1" s="242"/>
      <c r="FNQ1" s="242"/>
      <c r="FNR1" s="242"/>
      <c r="FNS1" s="242"/>
      <c r="FNT1" s="242"/>
      <c r="FNU1" s="242"/>
      <c r="FNV1" s="242"/>
      <c r="FNW1" s="242"/>
      <c r="FNX1" s="242"/>
      <c r="FNY1" s="242"/>
      <c r="FNZ1" s="242"/>
      <c r="FOA1" s="242"/>
      <c r="FOB1" s="242"/>
      <c r="FOC1" s="242"/>
      <c r="FOD1" s="242"/>
      <c r="FOE1" s="242"/>
      <c r="FOF1" s="242"/>
      <c r="FOG1" s="242"/>
      <c r="FOH1" s="242"/>
      <c r="FOI1" s="242"/>
      <c r="FOJ1" s="242"/>
      <c r="FOK1" s="242"/>
      <c r="FOL1" s="242"/>
      <c r="FOM1" s="242"/>
      <c r="FON1" s="242"/>
      <c r="FOO1" s="242"/>
      <c r="FOP1" s="242"/>
      <c r="FOQ1" s="242"/>
      <c r="FOR1" s="242"/>
      <c r="FOS1" s="242"/>
      <c r="FOT1" s="242"/>
      <c r="FOU1" s="242"/>
      <c r="FOV1" s="242"/>
      <c r="FOW1" s="242"/>
      <c r="FOX1" s="242"/>
      <c r="FOY1" s="242"/>
      <c r="FOZ1" s="242"/>
      <c r="FPA1" s="242"/>
      <c r="FPB1" s="242"/>
      <c r="FPC1" s="242"/>
      <c r="FPD1" s="242"/>
      <c r="FPE1" s="242"/>
      <c r="FPF1" s="242"/>
      <c r="FPG1" s="242"/>
      <c r="FPH1" s="242"/>
      <c r="FPI1" s="242"/>
      <c r="FPJ1" s="242"/>
      <c r="FPK1" s="242"/>
      <c r="FPL1" s="242"/>
      <c r="FPM1" s="242"/>
      <c r="FPN1" s="242"/>
      <c r="FPO1" s="242"/>
      <c r="FPP1" s="242"/>
      <c r="FPQ1" s="242"/>
      <c r="FPR1" s="242"/>
      <c r="FPS1" s="242"/>
      <c r="FPT1" s="242"/>
      <c r="FPU1" s="242"/>
      <c r="FPV1" s="242"/>
      <c r="FPW1" s="242"/>
      <c r="FPX1" s="242"/>
      <c r="FPY1" s="242"/>
      <c r="FPZ1" s="242"/>
      <c r="FQA1" s="242"/>
      <c r="FQB1" s="242"/>
      <c r="FQC1" s="242"/>
      <c r="FQD1" s="242"/>
      <c r="FQE1" s="242"/>
      <c r="FQF1" s="242"/>
      <c r="FQG1" s="242"/>
      <c r="FQH1" s="242"/>
      <c r="FQI1" s="242"/>
      <c r="FQJ1" s="242"/>
      <c r="FQK1" s="242"/>
      <c r="FQL1" s="242"/>
      <c r="FQM1" s="242"/>
      <c r="FQN1" s="242"/>
      <c r="FQO1" s="242"/>
      <c r="FQP1" s="242"/>
      <c r="FQQ1" s="242"/>
      <c r="FQR1" s="242"/>
      <c r="FQS1" s="242"/>
      <c r="FQT1" s="242"/>
      <c r="FQU1" s="242"/>
      <c r="FQV1" s="242"/>
      <c r="FQW1" s="242"/>
      <c r="FQX1" s="242"/>
      <c r="FQY1" s="242"/>
      <c r="FQZ1" s="242"/>
      <c r="FRA1" s="242"/>
      <c r="FRB1" s="242"/>
      <c r="FRC1" s="242"/>
      <c r="FRD1" s="242"/>
      <c r="FRE1" s="242"/>
      <c r="FRF1" s="242"/>
      <c r="FRG1" s="242"/>
      <c r="FRH1" s="242"/>
      <c r="FRI1" s="242"/>
      <c r="FRJ1" s="242"/>
      <c r="FRK1" s="242"/>
      <c r="FRL1" s="242"/>
      <c r="FRM1" s="242"/>
      <c r="FRN1" s="242"/>
      <c r="FRO1" s="242"/>
      <c r="FRP1" s="242"/>
      <c r="FRQ1" s="242"/>
      <c r="FRR1" s="242"/>
      <c r="FRS1" s="242"/>
      <c r="FRT1" s="242"/>
      <c r="FRU1" s="242"/>
      <c r="FRV1" s="242"/>
      <c r="FRW1" s="242"/>
      <c r="FRX1" s="242"/>
      <c r="FRY1" s="242"/>
      <c r="FRZ1" s="242"/>
      <c r="FSA1" s="242"/>
      <c r="FSB1" s="242"/>
      <c r="FSC1" s="242"/>
      <c r="FSD1" s="242"/>
      <c r="FSE1" s="242"/>
      <c r="FSF1" s="242"/>
      <c r="FSG1" s="242"/>
      <c r="FSH1" s="242"/>
      <c r="FSI1" s="242"/>
      <c r="FSJ1" s="242"/>
      <c r="FSK1" s="242"/>
      <c r="FSL1" s="242"/>
      <c r="FSM1" s="242"/>
      <c r="FSN1" s="242"/>
      <c r="FSO1" s="242"/>
      <c r="FSP1" s="242"/>
      <c r="FSQ1" s="242"/>
      <c r="FSR1" s="242"/>
      <c r="FSS1" s="242"/>
      <c r="FST1" s="242"/>
      <c r="FSU1" s="242"/>
      <c r="FSV1" s="242"/>
      <c r="FSW1" s="242"/>
      <c r="FSX1" s="242"/>
      <c r="FSY1" s="242"/>
      <c r="FSZ1" s="242"/>
      <c r="FTA1" s="242"/>
      <c r="FTB1" s="242"/>
      <c r="FTC1" s="242"/>
      <c r="FTD1" s="242"/>
      <c r="FTE1" s="242"/>
      <c r="FTF1" s="242"/>
      <c r="FTG1" s="242"/>
      <c r="FTH1" s="242"/>
      <c r="FTI1" s="242"/>
      <c r="FTJ1" s="242"/>
      <c r="FTK1" s="242"/>
      <c r="FTL1" s="242"/>
      <c r="FTM1" s="242"/>
      <c r="FTN1" s="242"/>
      <c r="FTO1" s="242"/>
      <c r="FTP1" s="242"/>
      <c r="FTQ1" s="242"/>
      <c r="FTR1" s="242"/>
      <c r="FTS1" s="242"/>
      <c r="FTT1" s="242"/>
      <c r="FTU1" s="242"/>
      <c r="FTV1" s="242"/>
      <c r="FTW1" s="242"/>
      <c r="FTX1" s="242"/>
      <c r="FTY1" s="242"/>
      <c r="FTZ1" s="242"/>
      <c r="FUA1" s="242"/>
      <c r="FUB1" s="242"/>
      <c r="FUC1" s="242"/>
      <c r="FUD1" s="242"/>
      <c r="FUE1" s="242"/>
      <c r="FUF1" s="242"/>
      <c r="FUG1" s="242"/>
      <c r="FUH1" s="242"/>
      <c r="FUI1" s="242"/>
      <c r="FUJ1" s="242"/>
      <c r="FUK1" s="242"/>
      <c r="FUL1" s="242"/>
      <c r="FUM1" s="242"/>
      <c r="FUN1" s="242"/>
      <c r="FUO1" s="242"/>
      <c r="FUP1" s="242"/>
      <c r="FUQ1" s="242"/>
      <c r="FUR1" s="242"/>
      <c r="FUS1" s="242"/>
      <c r="FUT1" s="242"/>
      <c r="FUU1" s="242"/>
      <c r="FUV1" s="242"/>
      <c r="FUW1" s="242"/>
      <c r="FUX1" s="242"/>
      <c r="FUY1" s="242"/>
      <c r="FUZ1" s="242"/>
      <c r="FVA1" s="242"/>
      <c r="FVB1" s="242"/>
      <c r="FVC1" s="242"/>
      <c r="FVD1" s="242"/>
      <c r="FVE1" s="242"/>
      <c r="FVF1" s="242"/>
      <c r="FVG1" s="242"/>
      <c r="FVH1" s="242"/>
      <c r="FVI1" s="242"/>
      <c r="FVJ1" s="242"/>
      <c r="FVK1" s="242"/>
      <c r="FVL1" s="242"/>
      <c r="FVM1" s="242"/>
      <c r="FVN1" s="242"/>
      <c r="FVO1" s="242"/>
      <c r="FVP1" s="242"/>
      <c r="FVQ1" s="242"/>
      <c r="FVR1" s="242"/>
      <c r="FVS1" s="242"/>
      <c r="FVT1" s="242"/>
      <c r="FVU1" s="242"/>
      <c r="FVV1" s="242"/>
      <c r="FVW1" s="242"/>
      <c r="FVX1" s="242"/>
      <c r="FVY1" s="242"/>
      <c r="FVZ1" s="242"/>
      <c r="FWA1" s="242"/>
      <c r="FWB1" s="242"/>
      <c r="FWC1" s="242"/>
      <c r="FWD1" s="242"/>
      <c r="FWE1" s="242"/>
      <c r="FWF1" s="242"/>
      <c r="FWG1" s="242"/>
      <c r="FWH1" s="242"/>
      <c r="FWI1" s="242"/>
      <c r="FWJ1" s="242"/>
      <c r="FWK1" s="242"/>
      <c r="FWL1" s="242"/>
      <c r="FWM1" s="242"/>
      <c r="FWN1" s="242"/>
      <c r="FWO1" s="242"/>
      <c r="FWP1" s="242"/>
      <c r="FWQ1" s="242"/>
      <c r="FWR1" s="242"/>
      <c r="FWS1" s="242"/>
      <c r="FWT1" s="242"/>
      <c r="FWU1" s="242"/>
      <c r="FWV1" s="242"/>
      <c r="FWW1" s="242"/>
      <c r="FWX1" s="242"/>
      <c r="FWY1" s="242"/>
      <c r="FWZ1" s="242"/>
      <c r="FXA1" s="242"/>
      <c r="FXB1" s="242"/>
      <c r="FXC1" s="242"/>
      <c r="FXD1" s="242"/>
      <c r="FXE1" s="242"/>
      <c r="FXF1" s="242"/>
      <c r="FXG1" s="242"/>
      <c r="FXH1" s="242"/>
      <c r="FXI1" s="242"/>
      <c r="FXJ1" s="242"/>
      <c r="FXK1" s="242"/>
      <c r="FXL1" s="242"/>
      <c r="FXM1" s="242"/>
      <c r="FXN1" s="242"/>
      <c r="FXO1" s="242"/>
      <c r="FXP1" s="242"/>
      <c r="FXQ1" s="242"/>
      <c r="FXR1" s="242"/>
      <c r="FXS1" s="242"/>
      <c r="FXT1" s="242"/>
      <c r="FXU1" s="242"/>
      <c r="FXV1" s="242"/>
      <c r="FXW1" s="242"/>
      <c r="FXX1" s="242"/>
      <c r="FXY1" s="242"/>
      <c r="FXZ1" s="242"/>
      <c r="FYA1" s="242"/>
      <c r="FYB1" s="242"/>
      <c r="FYC1" s="242"/>
      <c r="FYD1" s="242"/>
      <c r="FYE1" s="242"/>
      <c r="FYF1" s="242"/>
      <c r="FYG1" s="242"/>
      <c r="FYH1" s="242"/>
      <c r="FYI1" s="242"/>
      <c r="FYJ1" s="242"/>
      <c r="FYK1" s="242"/>
      <c r="FYL1" s="242"/>
      <c r="FYM1" s="242"/>
      <c r="FYN1" s="242"/>
      <c r="FYO1" s="242"/>
      <c r="FYP1" s="242"/>
      <c r="FYQ1" s="242"/>
      <c r="FYR1" s="242"/>
      <c r="FYS1" s="242"/>
      <c r="FYT1" s="242"/>
      <c r="FYU1" s="242"/>
      <c r="FYV1" s="242"/>
      <c r="FYW1" s="242"/>
      <c r="FYX1" s="242"/>
      <c r="FYY1" s="242"/>
      <c r="FYZ1" s="242"/>
      <c r="FZA1" s="242"/>
      <c r="FZB1" s="242"/>
      <c r="FZC1" s="242"/>
      <c r="FZD1" s="242"/>
      <c r="FZE1" s="242"/>
      <c r="FZF1" s="242"/>
      <c r="FZG1" s="242"/>
      <c r="FZH1" s="242"/>
      <c r="FZI1" s="242"/>
      <c r="FZJ1" s="242"/>
      <c r="FZK1" s="242"/>
      <c r="FZL1" s="242"/>
      <c r="FZM1" s="242"/>
      <c r="FZN1" s="242"/>
      <c r="FZO1" s="242"/>
      <c r="FZP1" s="242"/>
      <c r="FZQ1" s="242"/>
      <c r="FZR1" s="242"/>
      <c r="FZS1" s="242"/>
      <c r="FZT1" s="242"/>
      <c r="FZU1" s="242"/>
      <c r="FZV1" s="242"/>
      <c r="FZW1" s="242"/>
      <c r="FZX1" s="242"/>
      <c r="FZY1" s="242"/>
      <c r="FZZ1" s="242"/>
      <c r="GAA1" s="242"/>
      <c r="GAB1" s="242"/>
      <c r="GAC1" s="242"/>
      <c r="GAD1" s="242"/>
      <c r="GAE1" s="242"/>
      <c r="GAF1" s="242"/>
      <c r="GAG1" s="242"/>
      <c r="GAH1" s="242"/>
      <c r="GAI1" s="242"/>
      <c r="GAJ1" s="242"/>
      <c r="GAK1" s="242"/>
      <c r="GAL1" s="242"/>
      <c r="GAM1" s="242"/>
      <c r="GAN1" s="242"/>
      <c r="GAO1" s="242"/>
      <c r="GAP1" s="242"/>
      <c r="GAQ1" s="242"/>
      <c r="GAR1" s="242"/>
      <c r="GAS1" s="242"/>
      <c r="GAT1" s="242"/>
      <c r="GAU1" s="242"/>
      <c r="GAV1" s="242"/>
      <c r="GAW1" s="242"/>
      <c r="GAX1" s="242"/>
      <c r="GAY1" s="242"/>
      <c r="GAZ1" s="242"/>
      <c r="GBA1" s="242"/>
      <c r="GBB1" s="242"/>
      <c r="GBC1" s="242"/>
      <c r="GBD1" s="242"/>
      <c r="GBE1" s="242"/>
      <c r="GBF1" s="242"/>
      <c r="GBG1" s="242"/>
      <c r="GBH1" s="242"/>
      <c r="GBI1" s="242"/>
      <c r="GBJ1" s="242"/>
      <c r="GBK1" s="242"/>
      <c r="GBL1" s="242"/>
      <c r="GBM1" s="242"/>
      <c r="GBN1" s="242"/>
      <c r="GBO1" s="242"/>
      <c r="GBP1" s="242"/>
      <c r="GBQ1" s="242"/>
      <c r="GBR1" s="242"/>
      <c r="GBS1" s="242"/>
      <c r="GBT1" s="242"/>
      <c r="GBU1" s="242"/>
      <c r="GBV1" s="242"/>
      <c r="GBW1" s="242"/>
      <c r="GBX1" s="242"/>
      <c r="GBY1" s="242"/>
      <c r="GBZ1" s="242"/>
      <c r="GCA1" s="242"/>
      <c r="GCB1" s="242"/>
      <c r="GCC1" s="242"/>
      <c r="GCD1" s="242"/>
      <c r="GCE1" s="242"/>
      <c r="GCF1" s="242"/>
      <c r="GCG1" s="242"/>
      <c r="GCH1" s="242"/>
      <c r="GCI1" s="242"/>
      <c r="GCJ1" s="242"/>
      <c r="GCK1" s="242"/>
      <c r="GCL1" s="242"/>
      <c r="GCM1" s="242"/>
      <c r="GCN1" s="242"/>
      <c r="GCO1" s="242"/>
      <c r="GCP1" s="242"/>
      <c r="GCQ1" s="242"/>
      <c r="GCR1" s="242"/>
      <c r="GCS1" s="242"/>
      <c r="GCT1" s="242"/>
      <c r="GCU1" s="242"/>
      <c r="GCV1" s="242"/>
      <c r="GCW1" s="242"/>
      <c r="GCX1" s="242"/>
      <c r="GCY1" s="242"/>
      <c r="GCZ1" s="242"/>
      <c r="GDA1" s="242"/>
      <c r="GDB1" s="242"/>
      <c r="GDC1" s="242"/>
      <c r="GDD1" s="242"/>
      <c r="GDE1" s="242"/>
      <c r="GDF1" s="242"/>
      <c r="GDG1" s="242"/>
      <c r="GDH1" s="242"/>
      <c r="GDI1" s="242"/>
      <c r="GDJ1" s="242"/>
      <c r="GDK1" s="242"/>
      <c r="GDL1" s="242"/>
      <c r="GDM1" s="242"/>
      <c r="GDN1" s="242"/>
      <c r="GDO1" s="242"/>
      <c r="GDP1" s="242"/>
      <c r="GDQ1" s="242"/>
      <c r="GDR1" s="242"/>
      <c r="GDS1" s="242"/>
      <c r="GDT1" s="242"/>
      <c r="GDU1" s="242"/>
      <c r="GDV1" s="242"/>
      <c r="GDW1" s="242"/>
      <c r="GDX1" s="242"/>
      <c r="GDY1" s="242"/>
      <c r="GDZ1" s="242"/>
      <c r="GEA1" s="242"/>
      <c r="GEB1" s="242"/>
      <c r="GEC1" s="242"/>
      <c r="GED1" s="242"/>
      <c r="GEE1" s="242"/>
      <c r="GEF1" s="242"/>
      <c r="GEG1" s="242"/>
      <c r="GEH1" s="242"/>
      <c r="GEI1" s="242"/>
      <c r="GEJ1" s="242"/>
      <c r="GEK1" s="242"/>
      <c r="GEL1" s="242"/>
      <c r="GEM1" s="242"/>
      <c r="GEN1" s="242"/>
      <c r="GEO1" s="242"/>
      <c r="GEP1" s="242"/>
      <c r="GEQ1" s="242"/>
      <c r="GER1" s="242"/>
      <c r="GES1" s="242"/>
      <c r="GET1" s="242"/>
      <c r="GEU1" s="242"/>
      <c r="GEV1" s="242"/>
      <c r="GEW1" s="242"/>
      <c r="GEX1" s="242"/>
      <c r="GEY1" s="242"/>
      <c r="GEZ1" s="242"/>
      <c r="GFA1" s="242"/>
      <c r="GFB1" s="242"/>
      <c r="GFC1" s="242"/>
      <c r="GFD1" s="242"/>
      <c r="GFE1" s="242"/>
      <c r="GFF1" s="242"/>
      <c r="GFG1" s="242"/>
      <c r="GFH1" s="242"/>
      <c r="GFI1" s="242"/>
      <c r="GFJ1" s="242"/>
      <c r="GFK1" s="242"/>
      <c r="GFL1" s="242"/>
      <c r="GFM1" s="242"/>
      <c r="GFN1" s="242"/>
      <c r="GFO1" s="242"/>
      <c r="GFP1" s="242"/>
      <c r="GFQ1" s="242"/>
      <c r="GFR1" s="242"/>
      <c r="GFS1" s="242"/>
      <c r="GFT1" s="242"/>
      <c r="GFU1" s="242"/>
      <c r="GFV1" s="242"/>
      <c r="GFW1" s="242"/>
      <c r="GFX1" s="242"/>
      <c r="GFY1" s="242"/>
      <c r="GFZ1" s="242"/>
      <c r="GGA1" s="242"/>
      <c r="GGB1" s="242"/>
      <c r="GGC1" s="242"/>
      <c r="GGD1" s="242"/>
      <c r="GGE1" s="242"/>
      <c r="GGF1" s="242"/>
      <c r="GGG1" s="242"/>
      <c r="GGH1" s="242"/>
      <c r="GGI1" s="242"/>
      <c r="GGJ1" s="242"/>
      <c r="GGK1" s="242"/>
      <c r="GGL1" s="242"/>
      <c r="GGM1" s="242"/>
      <c r="GGN1" s="242"/>
      <c r="GGO1" s="242"/>
      <c r="GGP1" s="242"/>
      <c r="GGQ1" s="242"/>
      <c r="GGR1" s="242"/>
      <c r="GGS1" s="242"/>
      <c r="GGT1" s="242"/>
      <c r="GGU1" s="242"/>
      <c r="GGV1" s="242"/>
      <c r="GGW1" s="242"/>
      <c r="GGX1" s="242"/>
      <c r="GGY1" s="242"/>
      <c r="GGZ1" s="242"/>
      <c r="GHA1" s="242"/>
      <c r="GHB1" s="242"/>
      <c r="GHC1" s="242"/>
      <c r="GHD1" s="242"/>
      <c r="GHE1" s="242"/>
      <c r="GHF1" s="242"/>
      <c r="GHG1" s="242"/>
      <c r="GHH1" s="242"/>
      <c r="GHI1" s="242"/>
      <c r="GHJ1" s="242"/>
      <c r="GHK1" s="242"/>
      <c r="GHL1" s="242"/>
      <c r="GHM1" s="242"/>
      <c r="GHN1" s="242"/>
      <c r="GHO1" s="242"/>
      <c r="GHP1" s="242"/>
      <c r="GHQ1" s="242"/>
      <c r="GHR1" s="242"/>
      <c r="GHS1" s="242"/>
      <c r="GHT1" s="242"/>
      <c r="GHU1" s="242"/>
      <c r="GHV1" s="242"/>
      <c r="GHW1" s="242"/>
      <c r="GHX1" s="242"/>
      <c r="GHY1" s="242"/>
      <c r="GHZ1" s="242"/>
      <c r="GIA1" s="242"/>
      <c r="GIB1" s="242"/>
      <c r="GIC1" s="242"/>
      <c r="GID1" s="242"/>
      <c r="GIE1" s="242"/>
      <c r="GIF1" s="242"/>
      <c r="GIG1" s="242"/>
      <c r="GIH1" s="242"/>
      <c r="GII1" s="242"/>
      <c r="GIJ1" s="242"/>
      <c r="GIK1" s="242"/>
      <c r="GIL1" s="242"/>
      <c r="GIM1" s="242"/>
      <c r="GIN1" s="242"/>
      <c r="GIO1" s="242"/>
      <c r="GIP1" s="242"/>
      <c r="GIQ1" s="242"/>
      <c r="GIR1" s="242"/>
      <c r="GIS1" s="242"/>
      <c r="GIT1" s="242"/>
      <c r="GIU1" s="242"/>
      <c r="GIV1" s="242"/>
      <c r="GIW1" s="242"/>
      <c r="GIX1" s="242"/>
      <c r="GIY1" s="242"/>
      <c r="GIZ1" s="242"/>
      <c r="GJA1" s="242"/>
      <c r="GJB1" s="242"/>
      <c r="GJC1" s="242"/>
      <c r="GJD1" s="242"/>
      <c r="GJE1" s="242"/>
      <c r="GJF1" s="242"/>
      <c r="GJG1" s="242"/>
      <c r="GJH1" s="242"/>
      <c r="GJI1" s="242"/>
      <c r="GJJ1" s="242"/>
      <c r="GJK1" s="242"/>
      <c r="GJL1" s="242"/>
      <c r="GJM1" s="242"/>
      <c r="GJN1" s="242"/>
      <c r="GJO1" s="242"/>
      <c r="GJP1" s="242"/>
      <c r="GJQ1" s="242"/>
      <c r="GJR1" s="242"/>
      <c r="GJS1" s="242"/>
      <c r="GJT1" s="242"/>
      <c r="GJU1" s="242"/>
      <c r="GJV1" s="242"/>
      <c r="GJW1" s="242"/>
      <c r="GJX1" s="242"/>
      <c r="GJY1" s="242"/>
      <c r="GJZ1" s="242"/>
      <c r="GKA1" s="242"/>
      <c r="GKB1" s="242"/>
      <c r="GKC1" s="242"/>
      <c r="GKD1" s="242"/>
      <c r="GKE1" s="242"/>
      <c r="GKF1" s="242"/>
      <c r="GKG1" s="242"/>
      <c r="GKH1" s="242"/>
      <c r="GKI1" s="242"/>
      <c r="GKJ1" s="242"/>
      <c r="GKK1" s="242"/>
      <c r="GKL1" s="242"/>
      <c r="GKM1" s="242"/>
      <c r="GKN1" s="242"/>
      <c r="GKO1" s="242"/>
      <c r="GKP1" s="242"/>
      <c r="GKQ1" s="242"/>
      <c r="GKR1" s="242"/>
      <c r="GKS1" s="242"/>
      <c r="GKT1" s="242"/>
      <c r="GKU1" s="242"/>
      <c r="GKV1" s="242"/>
      <c r="GKW1" s="242"/>
      <c r="GKX1" s="242"/>
      <c r="GKY1" s="242"/>
      <c r="GKZ1" s="242"/>
      <c r="GLA1" s="242"/>
      <c r="GLB1" s="242"/>
      <c r="GLC1" s="242"/>
      <c r="GLD1" s="242"/>
      <c r="GLE1" s="242"/>
      <c r="GLF1" s="242"/>
      <c r="GLG1" s="242"/>
      <c r="GLH1" s="242"/>
      <c r="GLI1" s="242"/>
      <c r="GLJ1" s="242"/>
      <c r="GLK1" s="242"/>
      <c r="GLL1" s="242"/>
      <c r="GLM1" s="242"/>
      <c r="GLN1" s="242"/>
      <c r="GLO1" s="242"/>
      <c r="GLP1" s="242"/>
      <c r="GLQ1" s="242"/>
      <c r="GLR1" s="242"/>
      <c r="GLS1" s="242"/>
      <c r="GLT1" s="242"/>
      <c r="GLU1" s="242"/>
      <c r="GLV1" s="242"/>
      <c r="GLW1" s="242"/>
      <c r="GLX1" s="242"/>
      <c r="GLY1" s="242"/>
      <c r="GLZ1" s="242"/>
      <c r="GMA1" s="242"/>
      <c r="GMB1" s="242"/>
      <c r="GMC1" s="242"/>
      <c r="GMD1" s="242"/>
      <c r="GME1" s="242"/>
      <c r="GMF1" s="242"/>
      <c r="GMG1" s="242"/>
      <c r="GMH1" s="242"/>
      <c r="GMI1" s="242"/>
      <c r="GMJ1" s="242"/>
      <c r="GMK1" s="242"/>
      <c r="GML1" s="242"/>
      <c r="GMM1" s="242"/>
      <c r="GMN1" s="242"/>
      <c r="GMO1" s="242"/>
      <c r="GMP1" s="242"/>
      <c r="GMQ1" s="242"/>
      <c r="GMR1" s="242"/>
      <c r="GMS1" s="242"/>
      <c r="GMT1" s="242"/>
      <c r="GMU1" s="242"/>
      <c r="GMV1" s="242"/>
      <c r="GMW1" s="242"/>
      <c r="GMX1" s="242"/>
      <c r="GMY1" s="242"/>
      <c r="GMZ1" s="242"/>
      <c r="GNA1" s="242"/>
      <c r="GNB1" s="242"/>
      <c r="GNC1" s="242"/>
      <c r="GND1" s="242"/>
      <c r="GNE1" s="242"/>
      <c r="GNF1" s="242"/>
      <c r="GNG1" s="242"/>
      <c r="GNH1" s="242"/>
      <c r="GNI1" s="242"/>
      <c r="GNJ1" s="242"/>
      <c r="GNK1" s="242"/>
      <c r="GNL1" s="242"/>
      <c r="GNM1" s="242"/>
      <c r="GNN1" s="242"/>
      <c r="GNO1" s="242"/>
      <c r="GNP1" s="242"/>
      <c r="GNQ1" s="242"/>
      <c r="GNR1" s="242"/>
      <c r="GNS1" s="242"/>
      <c r="GNT1" s="242"/>
      <c r="GNU1" s="242"/>
      <c r="GNV1" s="242"/>
      <c r="GNW1" s="242"/>
      <c r="GNX1" s="242"/>
      <c r="GNY1" s="242"/>
      <c r="GNZ1" s="242"/>
      <c r="GOA1" s="242"/>
      <c r="GOB1" s="242"/>
      <c r="GOC1" s="242"/>
      <c r="GOD1" s="242"/>
      <c r="GOE1" s="242"/>
      <c r="GOF1" s="242"/>
      <c r="GOG1" s="242"/>
      <c r="GOH1" s="242"/>
      <c r="GOI1" s="242"/>
      <c r="GOJ1" s="242"/>
      <c r="GOK1" s="242"/>
      <c r="GOL1" s="242"/>
      <c r="GOM1" s="242"/>
      <c r="GON1" s="242"/>
      <c r="GOO1" s="242"/>
      <c r="GOP1" s="242"/>
      <c r="GOQ1" s="242"/>
      <c r="GOR1" s="242"/>
      <c r="GOS1" s="242"/>
      <c r="GOT1" s="242"/>
      <c r="GOU1" s="242"/>
      <c r="GOV1" s="242"/>
      <c r="GOW1" s="242"/>
      <c r="GOX1" s="242"/>
      <c r="GOY1" s="242"/>
      <c r="GOZ1" s="242"/>
      <c r="GPA1" s="242"/>
      <c r="GPB1" s="242"/>
      <c r="GPC1" s="242"/>
      <c r="GPD1" s="242"/>
      <c r="GPE1" s="242"/>
      <c r="GPF1" s="242"/>
      <c r="GPG1" s="242"/>
      <c r="GPH1" s="242"/>
      <c r="GPI1" s="242"/>
      <c r="GPJ1" s="242"/>
      <c r="GPK1" s="242"/>
      <c r="GPL1" s="242"/>
      <c r="GPM1" s="242"/>
      <c r="GPN1" s="242"/>
      <c r="GPO1" s="242"/>
      <c r="GPP1" s="242"/>
      <c r="GPQ1" s="242"/>
      <c r="GPR1" s="242"/>
      <c r="GPS1" s="242"/>
      <c r="GPT1" s="242"/>
      <c r="GPU1" s="242"/>
      <c r="GPV1" s="242"/>
      <c r="GPW1" s="242"/>
      <c r="GPX1" s="242"/>
      <c r="GPY1" s="242"/>
      <c r="GPZ1" s="242"/>
      <c r="GQA1" s="242"/>
      <c r="GQB1" s="242"/>
      <c r="GQC1" s="242"/>
      <c r="GQD1" s="242"/>
      <c r="GQE1" s="242"/>
      <c r="GQF1" s="242"/>
      <c r="GQG1" s="242"/>
      <c r="GQH1" s="242"/>
      <c r="GQI1" s="242"/>
      <c r="GQJ1" s="242"/>
      <c r="GQK1" s="242"/>
      <c r="GQL1" s="242"/>
      <c r="GQM1" s="242"/>
      <c r="GQN1" s="242"/>
      <c r="GQO1" s="242"/>
      <c r="GQP1" s="242"/>
      <c r="GQQ1" s="242"/>
      <c r="GQR1" s="242"/>
      <c r="GQS1" s="242"/>
      <c r="GQT1" s="242"/>
      <c r="GQU1" s="242"/>
      <c r="GQV1" s="242"/>
      <c r="GQW1" s="242"/>
      <c r="GQX1" s="242"/>
      <c r="GQY1" s="242"/>
      <c r="GQZ1" s="242"/>
      <c r="GRA1" s="242"/>
      <c r="GRB1" s="242"/>
      <c r="GRC1" s="242"/>
      <c r="GRD1" s="242"/>
      <c r="GRE1" s="242"/>
      <c r="GRF1" s="242"/>
      <c r="GRG1" s="242"/>
      <c r="GRH1" s="242"/>
      <c r="GRI1" s="242"/>
      <c r="GRJ1" s="242"/>
      <c r="GRK1" s="242"/>
      <c r="GRL1" s="242"/>
      <c r="GRM1" s="242"/>
      <c r="GRN1" s="242"/>
      <c r="GRO1" s="242"/>
      <c r="GRP1" s="242"/>
      <c r="GRQ1" s="242"/>
      <c r="GRR1" s="242"/>
      <c r="GRS1" s="242"/>
      <c r="GRT1" s="242"/>
      <c r="GRU1" s="242"/>
      <c r="GRV1" s="242"/>
      <c r="GRW1" s="242"/>
      <c r="GRX1" s="242"/>
      <c r="GRY1" s="242"/>
      <c r="GRZ1" s="242"/>
      <c r="GSA1" s="242"/>
      <c r="GSB1" s="242"/>
      <c r="GSC1" s="242"/>
      <c r="GSD1" s="242"/>
      <c r="GSE1" s="242"/>
      <c r="GSF1" s="242"/>
      <c r="GSG1" s="242"/>
      <c r="GSH1" s="242"/>
      <c r="GSI1" s="242"/>
      <c r="GSJ1" s="242"/>
      <c r="GSK1" s="242"/>
      <c r="GSL1" s="242"/>
      <c r="GSM1" s="242"/>
      <c r="GSN1" s="242"/>
      <c r="GSO1" s="242"/>
      <c r="GSP1" s="242"/>
      <c r="GSQ1" s="242"/>
      <c r="GSR1" s="242"/>
      <c r="GSS1" s="242"/>
      <c r="GST1" s="242"/>
      <c r="GSU1" s="242"/>
      <c r="GSV1" s="242"/>
      <c r="GSW1" s="242"/>
      <c r="GSX1" s="242"/>
      <c r="GSY1" s="242"/>
      <c r="GSZ1" s="242"/>
      <c r="GTA1" s="242"/>
      <c r="GTB1" s="242"/>
      <c r="GTC1" s="242"/>
      <c r="GTD1" s="242"/>
      <c r="GTE1" s="242"/>
      <c r="GTF1" s="242"/>
      <c r="GTG1" s="242"/>
      <c r="GTH1" s="242"/>
      <c r="GTI1" s="242"/>
      <c r="GTJ1" s="242"/>
      <c r="GTK1" s="242"/>
      <c r="GTL1" s="242"/>
      <c r="GTM1" s="242"/>
      <c r="GTN1" s="242"/>
      <c r="GTO1" s="242"/>
      <c r="GTP1" s="242"/>
      <c r="GTQ1" s="242"/>
      <c r="GTR1" s="242"/>
      <c r="GTS1" s="242"/>
      <c r="GTT1" s="242"/>
      <c r="GTU1" s="242"/>
      <c r="GTV1" s="242"/>
      <c r="GTW1" s="242"/>
      <c r="GTX1" s="242"/>
      <c r="GTY1" s="242"/>
      <c r="GTZ1" s="242"/>
      <c r="GUA1" s="242"/>
      <c r="GUB1" s="242"/>
      <c r="GUC1" s="242"/>
      <c r="GUD1" s="242"/>
      <c r="GUE1" s="242"/>
      <c r="GUF1" s="242"/>
      <c r="GUG1" s="242"/>
      <c r="GUH1" s="242"/>
      <c r="GUI1" s="242"/>
      <c r="GUJ1" s="242"/>
      <c r="GUK1" s="242"/>
      <c r="GUL1" s="242"/>
      <c r="GUM1" s="242"/>
      <c r="GUN1" s="242"/>
      <c r="GUO1" s="242"/>
      <c r="GUP1" s="242"/>
      <c r="GUQ1" s="242"/>
      <c r="GUR1" s="242"/>
      <c r="GUS1" s="242"/>
      <c r="GUT1" s="242"/>
      <c r="GUU1" s="242"/>
      <c r="GUV1" s="242"/>
      <c r="GUW1" s="242"/>
      <c r="GUX1" s="242"/>
      <c r="GUY1" s="242"/>
      <c r="GUZ1" s="242"/>
      <c r="GVA1" s="242"/>
      <c r="GVB1" s="242"/>
      <c r="GVC1" s="242"/>
      <c r="GVD1" s="242"/>
      <c r="GVE1" s="242"/>
      <c r="GVF1" s="242"/>
      <c r="GVG1" s="242"/>
      <c r="GVH1" s="242"/>
      <c r="GVI1" s="242"/>
      <c r="GVJ1" s="242"/>
      <c r="GVK1" s="242"/>
      <c r="GVL1" s="242"/>
      <c r="GVM1" s="242"/>
      <c r="GVN1" s="242"/>
      <c r="GVO1" s="242"/>
      <c r="GVP1" s="242"/>
      <c r="GVQ1" s="242"/>
      <c r="GVR1" s="242"/>
      <c r="GVS1" s="242"/>
      <c r="GVT1" s="242"/>
      <c r="GVU1" s="242"/>
      <c r="GVV1" s="242"/>
      <c r="GVW1" s="242"/>
      <c r="GVX1" s="242"/>
      <c r="GVY1" s="242"/>
      <c r="GVZ1" s="242"/>
      <c r="GWA1" s="242"/>
      <c r="GWB1" s="242"/>
      <c r="GWC1" s="242"/>
      <c r="GWD1" s="242"/>
      <c r="GWE1" s="242"/>
      <c r="GWF1" s="242"/>
      <c r="GWG1" s="242"/>
      <c r="GWH1" s="242"/>
      <c r="GWI1" s="242"/>
      <c r="GWJ1" s="242"/>
      <c r="GWK1" s="242"/>
      <c r="GWL1" s="242"/>
      <c r="GWM1" s="242"/>
      <c r="GWN1" s="242"/>
      <c r="GWO1" s="242"/>
      <c r="GWP1" s="242"/>
      <c r="GWQ1" s="242"/>
      <c r="GWR1" s="242"/>
      <c r="GWS1" s="242"/>
      <c r="GWT1" s="242"/>
      <c r="GWU1" s="242"/>
      <c r="GWV1" s="242"/>
      <c r="GWW1" s="242"/>
      <c r="GWX1" s="242"/>
      <c r="GWY1" s="242"/>
      <c r="GWZ1" s="242"/>
      <c r="GXA1" s="242"/>
      <c r="GXB1" s="242"/>
      <c r="GXC1" s="242"/>
      <c r="GXD1" s="242"/>
      <c r="GXE1" s="242"/>
      <c r="GXF1" s="242"/>
      <c r="GXG1" s="242"/>
      <c r="GXH1" s="242"/>
      <c r="GXI1" s="242"/>
      <c r="GXJ1" s="242"/>
      <c r="GXK1" s="242"/>
      <c r="GXL1" s="242"/>
      <c r="GXM1" s="242"/>
      <c r="GXN1" s="242"/>
      <c r="GXO1" s="242"/>
      <c r="GXP1" s="242"/>
      <c r="GXQ1" s="242"/>
      <c r="GXR1" s="242"/>
      <c r="GXS1" s="242"/>
      <c r="GXT1" s="242"/>
      <c r="GXU1" s="242"/>
      <c r="GXV1" s="242"/>
      <c r="GXW1" s="242"/>
      <c r="GXX1" s="242"/>
      <c r="GXY1" s="242"/>
      <c r="GXZ1" s="242"/>
      <c r="GYA1" s="242"/>
      <c r="GYB1" s="242"/>
      <c r="GYC1" s="242"/>
      <c r="GYD1" s="242"/>
      <c r="GYE1" s="242"/>
      <c r="GYF1" s="242"/>
      <c r="GYG1" s="242"/>
      <c r="GYH1" s="242"/>
      <c r="GYI1" s="242"/>
      <c r="GYJ1" s="242"/>
      <c r="GYK1" s="242"/>
      <c r="GYL1" s="242"/>
      <c r="GYM1" s="242"/>
      <c r="GYN1" s="242"/>
      <c r="GYO1" s="242"/>
      <c r="GYP1" s="242"/>
      <c r="GYQ1" s="242"/>
      <c r="GYR1" s="242"/>
      <c r="GYS1" s="242"/>
      <c r="GYT1" s="242"/>
      <c r="GYU1" s="242"/>
      <c r="GYV1" s="242"/>
      <c r="GYW1" s="242"/>
      <c r="GYX1" s="242"/>
      <c r="GYY1" s="242"/>
      <c r="GYZ1" s="242"/>
      <c r="GZA1" s="242"/>
      <c r="GZB1" s="242"/>
      <c r="GZC1" s="242"/>
      <c r="GZD1" s="242"/>
      <c r="GZE1" s="242"/>
      <c r="GZF1" s="242"/>
      <c r="GZG1" s="242"/>
      <c r="GZH1" s="242"/>
      <c r="GZI1" s="242"/>
      <c r="GZJ1" s="242"/>
      <c r="GZK1" s="242"/>
      <c r="GZL1" s="242"/>
      <c r="GZM1" s="242"/>
      <c r="GZN1" s="242"/>
      <c r="GZO1" s="242"/>
      <c r="GZP1" s="242"/>
      <c r="GZQ1" s="242"/>
      <c r="GZR1" s="242"/>
      <c r="GZS1" s="242"/>
      <c r="GZT1" s="242"/>
      <c r="GZU1" s="242"/>
      <c r="GZV1" s="242"/>
      <c r="GZW1" s="242"/>
      <c r="GZX1" s="242"/>
      <c r="GZY1" s="242"/>
      <c r="GZZ1" s="242"/>
      <c r="HAA1" s="242"/>
      <c r="HAB1" s="242"/>
      <c r="HAC1" s="242"/>
      <c r="HAD1" s="242"/>
      <c r="HAE1" s="242"/>
      <c r="HAF1" s="242"/>
      <c r="HAG1" s="242"/>
      <c r="HAH1" s="242"/>
      <c r="HAI1" s="242"/>
      <c r="HAJ1" s="242"/>
      <c r="HAK1" s="242"/>
      <c r="HAL1" s="242"/>
      <c r="HAM1" s="242"/>
      <c r="HAN1" s="242"/>
      <c r="HAO1" s="242"/>
      <c r="HAP1" s="242"/>
      <c r="HAQ1" s="242"/>
      <c r="HAR1" s="242"/>
      <c r="HAS1" s="242"/>
      <c r="HAT1" s="242"/>
      <c r="HAU1" s="242"/>
      <c r="HAV1" s="242"/>
      <c r="HAW1" s="242"/>
      <c r="HAX1" s="242"/>
      <c r="HAY1" s="242"/>
      <c r="HAZ1" s="242"/>
      <c r="HBA1" s="242"/>
      <c r="HBB1" s="242"/>
      <c r="HBC1" s="242"/>
      <c r="HBD1" s="242"/>
      <c r="HBE1" s="242"/>
      <c r="HBF1" s="242"/>
      <c r="HBG1" s="242"/>
      <c r="HBH1" s="242"/>
      <c r="HBI1" s="242"/>
      <c r="HBJ1" s="242"/>
      <c r="HBK1" s="242"/>
      <c r="HBL1" s="242"/>
      <c r="HBM1" s="242"/>
      <c r="HBN1" s="242"/>
      <c r="HBO1" s="242"/>
      <c r="HBP1" s="242"/>
      <c r="HBQ1" s="242"/>
      <c r="HBR1" s="242"/>
      <c r="HBS1" s="242"/>
      <c r="HBT1" s="242"/>
      <c r="HBU1" s="242"/>
      <c r="HBV1" s="242"/>
      <c r="HBW1" s="242"/>
      <c r="HBX1" s="242"/>
      <c r="HBY1" s="242"/>
      <c r="HBZ1" s="242"/>
      <c r="HCA1" s="242"/>
      <c r="HCB1" s="242"/>
      <c r="HCC1" s="242"/>
      <c r="HCD1" s="242"/>
      <c r="HCE1" s="242"/>
      <c r="HCF1" s="242"/>
      <c r="HCG1" s="242"/>
      <c r="HCH1" s="242"/>
      <c r="HCI1" s="242"/>
      <c r="HCJ1" s="242"/>
      <c r="HCK1" s="242"/>
      <c r="HCL1" s="242"/>
      <c r="HCM1" s="242"/>
      <c r="HCN1" s="242"/>
      <c r="HCO1" s="242"/>
      <c r="HCP1" s="242"/>
      <c r="HCQ1" s="242"/>
      <c r="HCR1" s="242"/>
      <c r="HCS1" s="242"/>
      <c r="HCT1" s="242"/>
      <c r="HCU1" s="242"/>
      <c r="HCV1" s="242"/>
      <c r="HCW1" s="242"/>
      <c r="HCX1" s="242"/>
      <c r="HCY1" s="242"/>
      <c r="HCZ1" s="242"/>
      <c r="HDA1" s="242"/>
      <c r="HDB1" s="242"/>
      <c r="HDC1" s="242"/>
      <c r="HDD1" s="242"/>
      <c r="HDE1" s="242"/>
      <c r="HDF1" s="242"/>
      <c r="HDG1" s="242"/>
      <c r="HDH1" s="242"/>
      <c r="HDI1" s="242"/>
      <c r="HDJ1" s="242"/>
      <c r="HDK1" s="242"/>
      <c r="HDL1" s="242"/>
      <c r="HDM1" s="242"/>
      <c r="HDN1" s="242"/>
      <c r="HDO1" s="242"/>
      <c r="HDP1" s="242"/>
      <c r="HDQ1" s="242"/>
      <c r="HDR1" s="242"/>
      <c r="HDS1" s="242"/>
      <c r="HDT1" s="242"/>
      <c r="HDU1" s="242"/>
      <c r="HDV1" s="242"/>
      <c r="HDW1" s="242"/>
      <c r="HDX1" s="242"/>
      <c r="HDY1" s="242"/>
      <c r="HDZ1" s="242"/>
      <c r="HEA1" s="242"/>
      <c r="HEB1" s="242"/>
      <c r="HEC1" s="242"/>
      <c r="HED1" s="242"/>
      <c r="HEE1" s="242"/>
      <c r="HEF1" s="242"/>
      <c r="HEG1" s="242"/>
      <c r="HEH1" s="242"/>
      <c r="HEI1" s="242"/>
      <c r="HEJ1" s="242"/>
      <c r="HEK1" s="242"/>
      <c r="HEL1" s="242"/>
      <c r="HEM1" s="242"/>
      <c r="HEN1" s="242"/>
      <c r="HEO1" s="242"/>
      <c r="HEP1" s="242"/>
      <c r="HEQ1" s="242"/>
      <c r="HER1" s="242"/>
      <c r="HES1" s="242"/>
      <c r="HET1" s="242"/>
      <c r="HEU1" s="242"/>
      <c r="HEV1" s="242"/>
      <c r="HEW1" s="242"/>
      <c r="HEX1" s="242"/>
      <c r="HEY1" s="242"/>
      <c r="HEZ1" s="242"/>
      <c r="HFA1" s="242"/>
      <c r="HFB1" s="242"/>
      <c r="HFC1" s="242"/>
      <c r="HFD1" s="242"/>
      <c r="HFE1" s="242"/>
      <c r="HFF1" s="242"/>
      <c r="HFG1" s="242"/>
      <c r="HFH1" s="242"/>
      <c r="HFI1" s="242"/>
      <c r="HFJ1" s="242"/>
      <c r="HFK1" s="242"/>
      <c r="HFL1" s="242"/>
      <c r="HFM1" s="242"/>
      <c r="HFN1" s="242"/>
      <c r="HFO1" s="242"/>
      <c r="HFP1" s="242"/>
      <c r="HFQ1" s="242"/>
      <c r="HFR1" s="242"/>
      <c r="HFS1" s="242"/>
      <c r="HFT1" s="242"/>
      <c r="HFU1" s="242"/>
      <c r="HFV1" s="242"/>
      <c r="HFW1" s="242"/>
      <c r="HFX1" s="242"/>
      <c r="HFY1" s="242"/>
      <c r="HFZ1" s="242"/>
      <c r="HGA1" s="242"/>
      <c r="HGB1" s="242"/>
      <c r="HGC1" s="242"/>
      <c r="HGD1" s="242"/>
      <c r="HGE1" s="242"/>
      <c r="HGF1" s="242"/>
      <c r="HGG1" s="242"/>
      <c r="HGH1" s="242"/>
      <c r="HGI1" s="242"/>
      <c r="HGJ1" s="242"/>
      <c r="HGK1" s="242"/>
      <c r="HGL1" s="242"/>
      <c r="HGM1" s="242"/>
      <c r="HGN1" s="242"/>
      <c r="HGO1" s="242"/>
      <c r="HGP1" s="242"/>
      <c r="HGQ1" s="242"/>
      <c r="HGR1" s="242"/>
      <c r="HGS1" s="242"/>
      <c r="HGT1" s="242"/>
      <c r="HGU1" s="242"/>
      <c r="HGV1" s="242"/>
      <c r="HGW1" s="242"/>
      <c r="HGX1" s="242"/>
      <c r="HGY1" s="242"/>
      <c r="HGZ1" s="242"/>
      <c r="HHA1" s="242"/>
      <c r="HHB1" s="242"/>
      <c r="HHC1" s="242"/>
      <c r="HHD1" s="242"/>
      <c r="HHE1" s="242"/>
      <c r="HHF1" s="242"/>
      <c r="HHG1" s="242"/>
      <c r="HHH1" s="242"/>
      <c r="HHI1" s="242"/>
      <c r="HHJ1" s="242"/>
      <c r="HHK1" s="242"/>
      <c r="HHL1" s="242"/>
      <c r="HHM1" s="242"/>
      <c r="HHN1" s="242"/>
      <c r="HHO1" s="242"/>
      <c r="HHP1" s="242"/>
      <c r="HHQ1" s="242"/>
      <c r="HHR1" s="242"/>
      <c r="HHS1" s="242"/>
      <c r="HHT1" s="242"/>
      <c r="HHU1" s="242"/>
      <c r="HHV1" s="242"/>
      <c r="HHW1" s="242"/>
      <c r="HHX1" s="242"/>
      <c r="HHY1" s="242"/>
      <c r="HHZ1" s="242"/>
      <c r="HIA1" s="242"/>
      <c r="HIB1" s="242"/>
      <c r="HIC1" s="242"/>
      <c r="HID1" s="242"/>
      <c r="HIE1" s="242"/>
      <c r="HIF1" s="242"/>
      <c r="HIG1" s="242"/>
      <c r="HIH1" s="242"/>
      <c r="HII1" s="242"/>
      <c r="HIJ1" s="242"/>
      <c r="HIK1" s="242"/>
      <c r="HIL1" s="242"/>
      <c r="HIM1" s="242"/>
      <c r="HIN1" s="242"/>
      <c r="HIO1" s="242"/>
      <c r="HIP1" s="242"/>
      <c r="HIQ1" s="242"/>
      <c r="HIR1" s="242"/>
      <c r="HIS1" s="242"/>
      <c r="HIT1" s="242"/>
      <c r="HIU1" s="242"/>
      <c r="HIV1" s="242"/>
      <c r="HIW1" s="242"/>
      <c r="HIX1" s="242"/>
      <c r="HIY1" s="242"/>
      <c r="HIZ1" s="242"/>
      <c r="HJA1" s="242"/>
      <c r="HJB1" s="242"/>
      <c r="HJC1" s="242"/>
      <c r="HJD1" s="242"/>
      <c r="HJE1" s="242"/>
      <c r="HJF1" s="242"/>
      <c r="HJG1" s="242"/>
      <c r="HJH1" s="242"/>
      <c r="HJI1" s="242"/>
      <c r="HJJ1" s="242"/>
      <c r="HJK1" s="242"/>
      <c r="HJL1" s="242"/>
      <c r="HJM1" s="242"/>
      <c r="HJN1" s="242"/>
      <c r="HJO1" s="242"/>
      <c r="HJP1" s="242"/>
      <c r="HJQ1" s="242"/>
      <c r="HJR1" s="242"/>
      <c r="HJS1" s="242"/>
      <c r="HJT1" s="242"/>
      <c r="HJU1" s="242"/>
      <c r="HJV1" s="242"/>
      <c r="HJW1" s="242"/>
      <c r="HJX1" s="242"/>
      <c r="HJY1" s="242"/>
      <c r="HJZ1" s="242"/>
      <c r="HKA1" s="242"/>
      <c r="HKB1" s="242"/>
      <c r="HKC1" s="242"/>
      <c r="HKD1" s="242"/>
      <c r="HKE1" s="242"/>
      <c r="HKF1" s="242"/>
      <c r="HKG1" s="242"/>
      <c r="HKH1" s="242"/>
      <c r="HKI1" s="242"/>
      <c r="HKJ1" s="242"/>
      <c r="HKK1" s="242"/>
      <c r="HKL1" s="242"/>
      <c r="HKM1" s="242"/>
      <c r="HKN1" s="242"/>
      <c r="HKO1" s="242"/>
      <c r="HKP1" s="242"/>
      <c r="HKQ1" s="242"/>
      <c r="HKR1" s="242"/>
      <c r="HKS1" s="242"/>
      <c r="HKT1" s="242"/>
      <c r="HKU1" s="242"/>
      <c r="HKV1" s="242"/>
      <c r="HKW1" s="242"/>
      <c r="HKX1" s="242"/>
      <c r="HKY1" s="242"/>
      <c r="HKZ1" s="242"/>
      <c r="HLA1" s="242"/>
      <c r="HLB1" s="242"/>
      <c r="HLC1" s="242"/>
      <c r="HLD1" s="242"/>
      <c r="HLE1" s="242"/>
      <c r="HLF1" s="242"/>
      <c r="HLG1" s="242"/>
      <c r="HLH1" s="242"/>
      <c r="HLI1" s="242"/>
      <c r="HLJ1" s="242"/>
      <c r="HLK1" s="242"/>
      <c r="HLL1" s="242"/>
      <c r="HLM1" s="242"/>
      <c r="HLN1" s="242"/>
      <c r="HLO1" s="242"/>
      <c r="HLP1" s="242"/>
      <c r="HLQ1" s="242"/>
      <c r="HLR1" s="242"/>
      <c r="HLS1" s="242"/>
      <c r="HLT1" s="242"/>
      <c r="HLU1" s="242"/>
      <c r="HLV1" s="242"/>
      <c r="HLW1" s="242"/>
      <c r="HLX1" s="242"/>
      <c r="HLY1" s="242"/>
      <c r="HLZ1" s="242"/>
      <c r="HMA1" s="242"/>
      <c r="HMB1" s="242"/>
      <c r="HMC1" s="242"/>
      <c r="HMD1" s="242"/>
      <c r="HME1" s="242"/>
      <c r="HMF1" s="242"/>
      <c r="HMG1" s="242"/>
      <c r="HMH1" s="242"/>
      <c r="HMI1" s="242"/>
      <c r="HMJ1" s="242"/>
      <c r="HMK1" s="242"/>
      <c r="HML1" s="242"/>
      <c r="HMM1" s="242"/>
      <c r="HMN1" s="242"/>
      <c r="HMO1" s="242"/>
      <c r="HMP1" s="242"/>
      <c r="HMQ1" s="242"/>
      <c r="HMR1" s="242"/>
      <c r="HMS1" s="242"/>
      <c r="HMT1" s="242"/>
      <c r="HMU1" s="242"/>
      <c r="HMV1" s="242"/>
      <c r="HMW1" s="242"/>
      <c r="HMX1" s="242"/>
      <c r="HMY1" s="242"/>
      <c r="HMZ1" s="242"/>
      <c r="HNA1" s="242"/>
      <c r="HNB1" s="242"/>
      <c r="HNC1" s="242"/>
      <c r="HND1" s="242"/>
      <c r="HNE1" s="242"/>
      <c r="HNF1" s="242"/>
      <c r="HNG1" s="242"/>
      <c r="HNH1" s="242"/>
      <c r="HNI1" s="242"/>
      <c r="HNJ1" s="242"/>
      <c r="HNK1" s="242"/>
      <c r="HNL1" s="242"/>
      <c r="HNM1" s="242"/>
      <c r="HNN1" s="242"/>
      <c r="HNO1" s="242"/>
      <c r="HNP1" s="242"/>
      <c r="HNQ1" s="242"/>
      <c r="HNR1" s="242"/>
      <c r="HNS1" s="242"/>
      <c r="HNT1" s="242"/>
      <c r="HNU1" s="242"/>
      <c r="HNV1" s="242"/>
      <c r="HNW1" s="242"/>
      <c r="HNX1" s="242"/>
      <c r="HNY1" s="242"/>
      <c r="HNZ1" s="242"/>
      <c r="HOA1" s="242"/>
      <c r="HOB1" s="242"/>
      <c r="HOC1" s="242"/>
      <c r="HOD1" s="242"/>
      <c r="HOE1" s="242"/>
      <c r="HOF1" s="242"/>
      <c r="HOG1" s="242"/>
      <c r="HOH1" s="242"/>
      <c r="HOI1" s="242"/>
      <c r="HOJ1" s="242"/>
      <c r="HOK1" s="242"/>
      <c r="HOL1" s="242"/>
      <c r="HOM1" s="242"/>
      <c r="HON1" s="242"/>
      <c r="HOO1" s="242"/>
      <c r="HOP1" s="242"/>
      <c r="HOQ1" s="242"/>
      <c r="HOR1" s="242"/>
      <c r="HOS1" s="242"/>
      <c r="HOT1" s="242"/>
      <c r="HOU1" s="242"/>
      <c r="HOV1" s="242"/>
      <c r="HOW1" s="242"/>
      <c r="HOX1" s="242"/>
      <c r="HOY1" s="242"/>
      <c r="HOZ1" s="242"/>
      <c r="HPA1" s="242"/>
      <c r="HPB1" s="242"/>
      <c r="HPC1" s="242"/>
      <c r="HPD1" s="242"/>
      <c r="HPE1" s="242"/>
      <c r="HPF1" s="242"/>
      <c r="HPG1" s="242"/>
      <c r="HPH1" s="242"/>
      <c r="HPI1" s="242"/>
      <c r="HPJ1" s="242"/>
      <c r="HPK1" s="242"/>
      <c r="HPL1" s="242"/>
      <c r="HPM1" s="242"/>
      <c r="HPN1" s="242"/>
      <c r="HPO1" s="242"/>
      <c r="HPP1" s="242"/>
      <c r="HPQ1" s="242"/>
      <c r="HPR1" s="242"/>
      <c r="HPS1" s="242"/>
      <c r="HPT1" s="242"/>
      <c r="HPU1" s="242"/>
      <c r="HPV1" s="242"/>
      <c r="HPW1" s="242"/>
      <c r="HPX1" s="242"/>
      <c r="HPY1" s="242"/>
      <c r="HPZ1" s="242"/>
      <c r="HQA1" s="242"/>
      <c r="HQB1" s="242"/>
      <c r="HQC1" s="242"/>
      <c r="HQD1" s="242"/>
      <c r="HQE1" s="242"/>
      <c r="HQF1" s="242"/>
      <c r="HQG1" s="242"/>
      <c r="HQH1" s="242"/>
      <c r="HQI1" s="242"/>
      <c r="HQJ1" s="242"/>
      <c r="HQK1" s="242"/>
      <c r="HQL1" s="242"/>
      <c r="HQM1" s="242"/>
      <c r="HQN1" s="242"/>
      <c r="HQO1" s="242"/>
      <c r="HQP1" s="242"/>
      <c r="HQQ1" s="242"/>
      <c r="HQR1" s="242"/>
      <c r="HQS1" s="242"/>
      <c r="HQT1" s="242"/>
      <c r="HQU1" s="242"/>
      <c r="HQV1" s="242"/>
      <c r="HQW1" s="242"/>
      <c r="HQX1" s="242"/>
      <c r="HQY1" s="242"/>
      <c r="HQZ1" s="242"/>
      <c r="HRA1" s="242"/>
      <c r="HRB1" s="242"/>
      <c r="HRC1" s="242"/>
      <c r="HRD1" s="242"/>
      <c r="HRE1" s="242"/>
      <c r="HRF1" s="242"/>
      <c r="HRG1" s="242"/>
      <c r="HRH1" s="242"/>
      <c r="HRI1" s="242"/>
      <c r="HRJ1" s="242"/>
      <c r="HRK1" s="242"/>
      <c r="HRL1" s="242"/>
      <c r="HRM1" s="242"/>
      <c r="HRN1" s="242"/>
      <c r="HRO1" s="242"/>
      <c r="HRP1" s="242"/>
      <c r="HRQ1" s="242"/>
      <c r="HRR1" s="242"/>
      <c r="HRS1" s="242"/>
      <c r="HRT1" s="242"/>
      <c r="HRU1" s="242"/>
      <c r="HRV1" s="242"/>
      <c r="HRW1" s="242"/>
      <c r="HRX1" s="242"/>
      <c r="HRY1" s="242"/>
      <c r="HRZ1" s="242"/>
      <c r="HSA1" s="242"/>
      <c r="HSB1" s="242"/>
      <c r="HSC1" s="242"/>
      <c r="HSD1" s="242"/>
      <c r="HSE1" s="242"/>
      <c r="HSF1" s="242"/>
      <c r="HSG1" s="242"/>
      <c r="HSH1" s="242"/>
      <c r="HSI1" s="242"/>
      <c r="HSJ1" s="242"/>
      <c r="HSK1" s="242"/>
      <c r="HSL1" s="242"/>
      <c r="HSM1" s="242"/>
      <c r="HSN1" s="242"/>
      <c r="HSO1" s="242"/>
      <c r="HSP1" s="242"/>
      <c r="HSQ1" s="242"/>
      <c r="HSR1" s="242"/>
      <c r="HSS1" s="242"/>
      <c r="HST1" s="242"/>
      <c r="HSU1" s="242"/>
      <c r="HSV1" s="242"/>
      <c r="HSW1" s="242"/>
      <c r="HSX1" s="242"/>
      <c r="HSY1" s="242"/>
      <c r="HSZ1" s="242"/>
      <c r="HTA1" s="242"/>
      <c r="HTB1" s="242"/>
      <c r="HTC1" s="242"/>
      <c r="HTD1" s="242"/>
      <c r="HTE1" s="242"/>
      <c r="HTF1" s="242"/>
      <c r="HTG1" s="242"/>
      <c r="HTH1" s="242"/>
      <c r="HTI1" s="242"/>
      <c r="HTJ1" s="242"/>
      <c r="HTK1" s="242"/>
      <c r="HTL1" s="242"/>
      <c r="HTM1" s="242"/>
      <c r="HTN1" s="242"/>
      <c r="HTO1" s="242"/>
      <c r="HTP1" s="242"/>
      <c r="HTQ1" s="242"/>
      <c r="HTR1" s="242"/>
      <c r="HTS1" s="242"/>
      <c r="HTT1" s="242"/>
      <c r="HTU1" s="242"/>
      <c r="HTV1" s="242"/>
      <c r="HTW1" s="242"/>
      <c r="HTX1" s="242"/>
      <c r="HTY1" s="242"/>
      <c r="HTZ1" s="242"/>
      <c r="HUA1" s="242"/>
      <c r="HUB1" s="242"/>
      <c r="HUC1" s="242"/>
      <c r="HUD1" s="242"/>
      <c r="HUE1" s="242"/>
      <c r="HUF1" s="242"/>
      <c r="HUG1" s="242"/>
      <c r="HUH1" s="242"/>
      <c r="HUI1" s="242"/>
      <c r="HUJ1" s="242"/>
      <c r="HUK1" s="242"/>
      <c r="HUL1" s="242"/>
      <c r="HUM1" s="242"/>
      <c r="HUN1" s="242"/>
      <c r="HUO1" s="242"/>
      <c r="HUP1" s="242"/>
      <c r="HUQ1" s="242"/>
      <c r="HUR1" s="242"/>
      <c r="HUS1" s="242"/>
      <c r="HUT1" s="242"/>
      <c r="HUU1" s="242"/>
      <c r="HUV1" s="242"/>
      <c r="HUW1" s="242"/>
      <c r="HUX1" s="242"/>
      <c r="HUY1" s="242"/>
      <c r="HUZ1" s="242"/>
      <c r="HVA1" s="242"/>
      <c r="HVB1" s="242"/>
      <c r="HVC1" s="242"/>
      <c r="HVD1" s="242"/>
      <c r="HVE1" s="242"/>
      <c r="HVF1" s="242"/>
      <c r="HVG1" s="242"/>
      <c r="HVH1" s="242"/>
      <c r="HVI1" s="242"/>
      <c r="HVJ1" s="242"/>
      <c r="HVK1" s="242"/>
      <c r="HVL1" s="242"/>
      <c r="HVM1" s="242"/>
      <c r="HVN1" s="242"/>
      <c r="HVO1" s="242"/>
      <c r="HVP1" s="242"/>
      <c r="HVQ1" s="242"/>
      <c r="HVR1" s="242"/>
      <c r="HVS1" s="242"/>
      <c r="HVT1" s="242"/>
      <c r="HVU1" s="242"/>
      <c r="HVV1" s="242"/>
      <c r="HVW1" s="242"/>
      <c r="HVX1" s="242"/>
      <c r="HVY1" s="242"/>
      <c r="HVZ1" s="242"/>
      <c r="HWA1" s="242"/>
      <c r="HWB1" s="242"/>
      <c r="HWC1" s="242"/>
      <c r="HWD1" s="242"/>
      <c r="HWE1" s="242"/>
      <c r="HWF1" s="242"/>
      <c r="HWG1" s="242"/>
      <c r="HWH1" s="242"/>
      <c r="HWI1" s="242"/>
      <c r="HWJ1" s="242"/>
      <c r="HWK1" s="242"/>
      <c r="HWL1" s="242"/>
      <c r="HWM1" s="242"/>
      <c r="HWN1" s="242"/>
      <c r="HWO1" s="242"/>
      <c r="HWP1" s="242"/>
      <c r="HWQ1" s="242"/>
      <c r="HWR1" s="242"/>
      <c r="HWS1" s="242"/>
      <c r="HWT1" s="242"/>
      <c r="HWU1" s="242"/>
      <c r="HWV1" s="242"/>
      <c r="HWW1" s="242"/>
      <c r="HWX1" s="242"/>
      <c r="HWY1" s="242"/>
      <c r="HWZ1" s="242"/>
      <c r="HXA1" s="242"/>
      <c r="HXB1" s="242"/>
      <c r="HXC1" s="242"/>
      <c r="HXD1" s="242"/>
      <c r="HXE1" s="242"/>
      <c r="HXF1" s="242"/>
      <c r="HXG1" s="242"/>
      <c r="HXH1" s="242"/>
      <c r="HXI1" s="242"/>
      <c r="HXJ1" s="242"/>
      <c r="HXK1" s="242"/>
      <c r="HXL1" s="242"/>
      <c r="HXM1" s="242"/>
      <c r="HXN1" s="242"/>
      <c r="HXO1" s="242"/>
      <c r="HXP1" s="242"/>
      <c r="HXQ1" s="242"/>
      <c r="HXR1" s="242"/>
      <c r="HXS1" s="242"/>
      <c r="HXT1" s="242"/>
      <c r="HXU1" s="242"/>
      <c r="HXV1" s="242"/>
      <c r="HXW1" s="242"/>
      <c r="HXX1" s="242"/>
      <c r="HXY1" s="242"/>
      <c r="HXZ1" s="242"/>
      <c r="HYA1" s="242"/>
      <c r="HYB1" s="242"/>
      <c r="HYC1" s="242"/>
      <c r="HYD1" s="242"/>
      <c r="HYE1" s="242"/>
      <c r="HYF1" s="242"/>
      <c r="HYG1" s="242"/>
      <c r="HYH1" s="242"/>
      <c r="HYI1" s="242"/>
      <c r="HYJ1" s="242"/>
      <c r="HYK1" s="242"/>
      <c r="HYL1" s="242"/>
      <c r="HYM1" s="242"/>
      <c r="HYN1" s="242"/>
      <c r="HYO1" s="242"/>
      <c r="HYP1" s="242"/>
      <c r="HYQ1" s="242"/>
      <c r="HYR1" s="242"/>
      <c r="HYS1" s="242"/>
      <c r="HYT1" s="242"/>
      <c r="HYU1" s="242"/>
      <c r="HYV1" s="242"/>
      <c r="HYW1" s="242"/>
      <c r="HYX1" s="242"/>
      <c r="HYY1" s="242"/>
      <c r="HYZ1" s="242"/>
      <c r="HZA1" s="242"/>
      <c r="HZB1" s="242"/>
      <c r="HZC1" s="242"/>
      <c r="HZD1" s="242"/>
      <c r="HZE1" s="242"/>
      <c r="HZF1" s="242"/>
      <c r="HZG1" s="242"/>
      <c r="HZH1" s="242"/>
      <c r="HZI1" s="242"/>
      <c r="HZJ1" s="242"/>
      <c r="HZK1" s="242"/>
      <c r="HZL1" s="242"/>
      <c r="HZM1" s="242"/>
      <c r="HZN1" s="242"/>
      <c r="HZO1" s="242"/>
      <c r="HZP1" s="242"/>
      <c r="HZQ1" s="242"/>
      <c r="HZR1" s="242"/>
      <c r="HZS1" s="242"/>
      <c r="HZT1" s="242"/>
      <c r="HZU1" s="242"/>
      <c r="HZV1" s="242"/>
      <c r="HZW1" s="242"/>
      <c r="HZX1" s="242"/>
      <c r="HZY1" s="242"/>
      <c r="HZZ1" s="242"/>
      <c r="IAA1" s="242"/>
      <c r="IAB1" s="242"/>
      <c r="IAC1" s="242"/>
      <c r="IAD1" s="242"/>
      <c r="IAE1" s="242"/>
      <c r="IAF1" s="242"/>
      <c r="IAG1" s="242"/>
      <c r="IAH1" s="242"/>
      <c r="IAI1" s="242"/>
      <c r="IAJ1" s="242"/>
      <c r="IAK1" s="242"/>
      <c r="IAL1" s="242"/>
      <c r="IAM1" s="242"/>
      <c r="IAN1" s="242"/>
      <c r="IAO1" s="242"/>
      <c r="IAP1" s="242"/>
      <c r="IAQ1" s="242"/>
      <c r="IAR1" s="242"/>
      <c r="IAS1" s="242"/>
      <c r="IAT1" s="242"/>
      <c r="IAU1" s="242"/>
      <c r="IAV1" s="242"/>
      <c r="IAW1" s="242"/>
      <c r="IAX1" s="242"/>
      <c r="IAY1" s="242"/>
      <c r="IAZ1" s="242"/>
      <c r="IBA1" s="242"/>
      <c r="IBB1" s="242"/>
      <c r="IBC1" s="242"/>
      <c r="IBD1" s="242"/>
      <c r="IBE1" s="242"/>
      <c r="IBF1" s="242"/>
      <c r="IBG1" s="242"/>
      <c r="IBH1" s="242"/>
      <c r="IBI1" s="242"/>
      <c r="IBJ1" s="242"/>
      <c r="IBK1" s="242"/>
      <c r="IBL1" s="242"/>
      <c r="IBM1" s="242"/>
      <c r="IBN1" s="242"/>
      <c r="IBO1" s="242"/>
      <c r="IBP1" s="242"/>
      <c r="IBQ1" s="242"/>
      <c r="IBR1" s="242"/>
      <c r="IBS1" s="242"/>
      <c r="IBT1" s="242"/>
      <c r="IBU1" s="242"/>
      <c r="IBV1" s="242"/>
      <c r="IBW1" s="242"/>
      <c r="IBX1" s="242"/>
      <c r="IBY1" s="242"/>
      <c r="IBZ1" s="242"/>
      <c r="ICA1" s="242"/>
      <c r="ICB1" s="242"/>
      <c r="ICC1" s="242"/>
      <c r="ICD1" s="242"/>
      <c r="ICE1" s="242"/>
      <c r="ICF1" s="242"/>
      <c r="ICG1" s="242"/>
      <c r="ICH1" s="242"/>
      <c r="ICI1" s="242"/>
      <c r="ICJ1" s="242"/>
      <c r="ICK1" s="242"/>
      <c r="ICL1" s="242"/>
      <c r="ICM1" s="242"/>
      <c r="ICN1" s="242"/>
      <c r="ICO1" s="242"/>
      <c r="ICP1" s="242"/>
      <c r="ICQ1" s="242"/>
      <c r="ICR1" s="242"/>
      <c r="ICS1" s="242"/>
      <c r="ICT1" s="242"/>
      <c r="ICU1" s="242"/>
      <c r="ICV1" s="242"/>
      <c r="ICW1" s="242"/>
      <c r="ICX1" s="242"/>
      <c r="ICY1" s="242"/>
      <c r="ICZ1" s="242"/>
      <c r="IDA1" s="242"/>
      <c r="IDB1" s="242"/>
      <c r="IDC1" s="242"/>
      <c r="IDD1" s="242"/>
      <c r="IDE1" s="242"/>
      <c r="IDF1" s="242"/>
      <c r="IDG1" s="242"/>
      <c r="IDH1" s="242"/>
      <c r="IDI1" s="242"/>
      <c r="IDJ1" s="242"/>
      <c r="IDK1" s="242"/>
      <c r="IDL1" s="242"/>
      <c r="IDM1" s="242"/>
      <c r="IDN1" s="242"/>
      <c r="IDO1" s="242"/>
      <c r="IDP1" s="242"/>
      <c r="IDQ1" s="242"/>
      <c r="IDR1" s="242"/>
      <c r="IDS1" s="242"/>
      <c r="IDT1" s="242"/>
      <c r="IDU1" s="242"/>
      <c r="IDV1" s="242"/>
      <c r="IDW1" s="242"/>
      <c r="IDX1" s="242"/>
      <c r="IDY1" s="242"/>
      <c r="IDZ1" s="242"/>
      <c r="IEA1" s="242"/>
      <c r="IEB1" s="242"/>
      <c r="IEC1" s="242"/>
      <c r="IED1" s="242"/>
      <c r="IEE1" s="242"/>
      <c r="IEF1" s="242"/>
      <c r="IEG1" s="242"/>
      <c r="IEH1" s="242"/>
      <c r="IEI1" s="242"/>
      <c r="IEJ1" s="242"/>
      <c r="IEK1" s="242"/>
      <c r="IEL1" s="242"/>
      <c r="IEM1" s="242"/>
      <c r="IEN1" s="242"/>
      <c r="IEO1" s="242"/>
      <c r="IEP1" s="242"/>
      <c r="IEQ1" s="242"/>
      <c r="IER1" s="242"/>
      <c r="IES1" s="242"/>
      <c r="IET1" s="242"/>
      <c r="IEU1" s="242"/>
      <c r="IEV1" s="242"/>
      <c r="IEW1" s="242"/>
      <c r="IEX1" s="242"/>
      <c r="IEY1" s="242"/>
      <c r="IEZ1" s="242"/>
      <c r="IFA1" s="242"/>
      <c r="IFB1" s="242"/>
      <c r="IFC1" s="242"/>
      <c r="IFD1" s="242"/>
      <c r="IFE1" s="242"/>
      <c r="IFF1" s="242"/>
      <c r="IFG1" s="242"/>
      <c r="IFH1" s="242"/>
      <c r="IFI1" s="242"/>
      <c r="IFJ1" s="242"/>
      <c r="IFK1" s="242"/>
      <c r="IFL1" s="242"/>
      <c r="IFM1" s="242"/>
      <c r="IFN1" s="242"/>
      <c r="IFO1" s="242"/>
      <c r="IFP1" s="242"/>
      <c r="IFQ1" s="242"/>
      <c r="IFR1" s="242"/>
      <c r="IFS1" s="242"/>
      <c r="IFT1" s="242"/>
      <c r="IFU1" s="242"/>
      <c r="IFV1" s="242"/>
      <c r="IFW1" s="242"/>
      <c r="IFX1" s="242"/>
      <c r="IFY1" s="242"/>
      <c r="IFZ1" s="242"/>
      <c r="IGA1" s="242"/>
      <c r="IGB1" s="242"/>
      <c r="IGC1" s="242"/>
      <c r="IGD1" s="242"/>
      <c r="IGE1" s="242"/>
      <c r="IGF1" s="242"/>
      <c r="IGG1" s="242"/>
      <c r="IGH1" s="242"/>
      <c r="IGI1" s="242"/>
      <c r="IGJ1" s="242"/>
      <c r="IGK1" s="242"/>
      <c r="IGL1" s="242"/>
      <c r="IGM1" s="242"/>
      <c r="IGN1" s="242"/>
      <c r="IGO1" s="242"/>
      <c r="IGP1" s="242"/>
      <c r="IGQ1" s="242"/>
      <c r="IGR1" s="242"/>
      <c r="IGS1" s="242"/>
      <c r="IGT1" s="242"/>
      <c r="IGU1" s="242"/>
      <c r="IGV1" s="242"/>
      <c r="IGW1" s="242"/>
      <c r="IGX1" s="242"/>
      <c r="IGY1" s="242"/>
      <c r="IGZ1" s="242"/>
      <c r="IHA1" s="242"/>
      <c r="IHB1" s="242"/>
      <c r="IHC1" s="242"/>
      <c r="IHD1" s="242"/>
      <c r="IHE1" s="242"/>
      <c r="IHF1" s="242"/>
      <c r="IHG1" s="242"/>
      <c r="IHH1" s="242"/>
      <c r="IHI1" s="242"/>
      <c r="IHJ1" s="242"/>
      <c r="IHK1" s="242"/>
      <c r="IHL1" s="242"/>
      <c r="IHM1" s="242"/>
      <c r="IHN1" s="242"/>
      <c r="IHO1" s="242"/>
      <c r="IHP1" s="242"/>
      <c r="IHQ1" s="242"/>
      <c r="IHR1" s="242"/>
      <c r="IHS1" s="242"/>
      <c r="IHT1" s="242"/>
      <c r="IHU1" s="242"/>
      <c r="IHV1" s="242"/>
      <c r="IHW1" s="242"/>
      <c r="IHX1" s="242"/>
      <c r="IHY1" s="242"/>
      <c r="IHZ1" s="242"/>
      <c r="IIA1" s="242"/>
      <c r="IIB1" s="242"/>
      <c r="IIC1" s="242"/>
      <c r="IID1" s="242"/>
      <c r="IIE1" s="242"/>
      <c r="IIF1" s="242"/>
      <c r="IIG1" s="242"/>
      <c r="IIH1" s="242"/>
      <c r="III1" s="242"/>
      <c r="IIJ1" s="242"/>
      <c r="IIK1" s="242"/>
      <c r="IIL1" s="242"/>
      <c r="IIM1" s="242"/>
      <c r="IIN1" s="242"/>
      <c r="IIO1" s="242"/>
      <c r="IIP1" s="242"/>
      <c r="IIQ1" s="242"/>
      <c r="IIR1" s="242"/>
      <c r="IIS1" s="242"/>
      <c r="IIT1" s="242"/>
      <c r="IIU1" s="242"/>
      <c r="IIV1" s="242"/>
      <c r="IIW1" s="242"/>
      <c r="IIX1" s="242"/>
      <c r="IIY1" s="242"/>
      <c r="IIZ1" s="242"/>
      <c r="IJA1" s="242"/>
      <c r="IJB1" s="242"/>
      <c r="IJC1" s="242"/>
      <c r="IJD1" s="242"/>
      <c r="IJE1" s="242"/>
      <c r="IJF1" s="242"/>
      <c r="IJG1" s="242"/>
      <c r="IJH1" s="242"/>
      <c r="IJI1" s="242"/>
      <c r="IJJ1" s="242"/>
      <c r="IJK1" s="242"/>
      <c r="IJL1" s="242"/>
      <c r="IJM1" s="242"/>
      <c r="IJN1" s="242"/>
      <c r="IJO1" s="242"/>
      <c r="IJP1" s="242"/>
      <c r="IJQ1" s="242"/>
      <c r="IJR1" s="242"/>
      <c r="IJS1" s="242"/>
      <c r="IJT1" s="242"/>
      <c r="IJU1" s="242"/>
      <c r="IJV1" s="242"/>
      <c r="IJW1" s="242"/>
      <c r="IJX1" s="242"/>
      <c r="IJY1" s="242"/>
      <c r="IJZ1" s="242"/>
      <c r="IKA1" s="242"/>
      <c r="IKB1" s="242"/>
      <c r="IKC1" s="242"/>
      <c r="IKD1" s="242"/>
      <c r="IKE1" s="242"/>
      <c r="IKF1" s="242"/>
      <c r="IKG1" s="242"/>
      <c r="IKH1" s="242"/>
      <c r="IKI1" s="242"/>
      <c r="IKJ1" s="242"/>
      <c r="IKK1" s="242"/>
      <c r="IKL1" s="242"/>
      <c r="IKM1" s="242"/>
      <c r="IKN1" s="242"/>
      <c r="IKO1" s="242"/>
      <c r="IKP1" s="242"/>
      <c r="IKQ1" s="242"/>
      <c r="IKR1" s="242"/>
      <c r="IKS1" s="242"/>
      <c r="IKT1" s="242"/>
      <c r="IKU1" s="242"/>
      <c r="IKV1" s="242"/>
      <c r="IKW1" s="242"/>
      <c r="IKX1" s="242"/>
      <c r="IKY1" s="242"/>
      <c r="IKZ1" s="242"/>
      <c r="ILA1" s="242"/>
      <c r="ILB1" s="242"/>
      <c r="ILC1" s="242"/>
      <c r="ILD1" s="242"/>
      <c r="ILE1" s="242"/>
      <c r="ILF1" s="242"/>
      <c r="ILG1" s="242"/>
      <c r="ILH1" s="242"/>
      <c r="ILI1" s="242"/>
      <c r="ILJ1" s="242"/>
      <c r="ILK1" s="242"/>
      <c r="ILL1" s="242"/>
      <c r="ILM1" s="242"/>
      <c r="ILN1" s="242"/>
      <c r="ILO1" s="242"/>
      <c r="ILP1" s="242"/>
      <c r="ILQ1" s="242"/>
      <c r="ILR1" s="242"/>
      <c r="ILS1" s="242"/>
      <c r="ILT1" s="242"/>
      <c r="ILU1" s="242"/>
      <c r="ILV1" s="242"/>
      <c r="ILW1" s="242"/>
      <c r="ILX1" s="242"/>
      <c r="ILY1" s="242"/>
      <c r="ILZ1" s="242"/>
      <c r="IMA1" s="242"/>
      <c r="IMB1" s="242"/>
      <c r="IMC1" s="242"/>
      <c r="IMD1" s="242"/>
      <c r="IME1" s="242"/>
      <c r="IMF1" s="242"/>
      <c r="IMG1" s="242"/>
      <c r="IMH1" s="242"/>
      <c r="IMI1" s="242"/>
      <c r="IMJ1" s="242"/>
      <c r="IMK1" s="242"/>
      <c r="IML1" s="242"/>
      <c r="IMM1" s="242"/>
      <c r="IMN1" s="242"/>
      <c r="IMO1" s="242"/>
      <c r="IMP1" s="242"/>
      <c r="IMQ1" s="242"/>
      <c r="IMR1" s="242"/>
      <c r="IMS1" s="242"/>
      <c r="IMT1" s="242"/>
      <c r="IMU1" s="242"/>
      <c r="IMV1" s="242"/>
      <c r="IMW1" s="242"/>
      <c r="IMX1" s="242"/>
      <c r="IMY1" s="242"/>
      <c r="IMZ1" s="242"/>
      <c r="INA1" s="242"/>
      <c r="INB1" s="242"/>
      <c r="INC1" s="242"/>
      <c r="IND1" s="242"/>
      <c r="INE1" s="242"/>
      <c r="INF1" s="242"/>
      <c r="ING1" s="242"/>
      <c r="INH1" s="242"/>
      <c r="INI1" s="242"/>
      <c r="INJ1" s="242"/>
      <c r="INK1" s="242"/>
      <c r="INL1" s="242"/>
      <c r="INM1" s="242"/>
      <c r="INN1" s="242"/>
      <c r="INO1" s="242"/>
      <c r="INP1" s="242"/>
      <c r="INQ1" s="242"/>
      <c r="INR1" s="242"/>
      <c r="INS1" s="242"/>
      <c r="INT1" s="242"/>
      <c r="INU1" s="242"/>
      <c r="INV1" s="242"/>
      <c r="INW1" s="242"/>
      <c r="INX1" s="242"/>
      <c r="INY1" s="242"/>
      <c r="INZ1" s="242"/>
      <c r="IOA1" s="242"/>
      <c r="IOB1" s="242"/>
      <c r="IOC1" s="242"/>
      <c r="IOD1" s="242"/>
      <c r="IOE1" s="242"/>
      <c r="IOF1" s="242"/>
      <c r="IOG1" s="242"/>
      <c r="IOH1" s="242"/>
      <c r="IOI1" s="242"/>
      <c r="IOJ1" s="242"/>
      <c r="IOK1" s="242"/>
      <c r="IOL1" s="242"/>
      <c r="IOM1" s="242"/>
      <c r="ION1" s="242"/>
      <c r="IOO1" s="242"/>
      <c r="IOP1" s="242"/>
      <c r="IOQ1" s="242"/>
      <c r="IOR1" s="242"/>
      <c r="IOS1" s="242"/>
      <c r="IOT1" s="242"/>
      <c r="IOU1" s="242"/>
      <c r="IOV1" s="242"/>
      <c r="IOW1" s="242"/>
      <c r="IOX1" s="242"/>
      <c r="IOY1" s="242"/>
      <c r="IOZ1" s="242"/>
      <c r="IPA1" s="242"/>
      <c r="IPB1" s="242"/>
      <c r="IPC1" s="242"/>
      <c r="IPD1" s="242"/>
      <c r="IPE1" s="242"/>
      <c r="IPF1" s="242"/>
      <c r="IPG1" s="242"/>
      <c r="IPH1" s="242"/>
      <c r="IPI1" s="242"/>
      <c r="IPJ1" s="242"/>
      <c r="IPK1" s="242"/>
      <c r="IPL1" s="242"/>
      <c r="IPM1" s="242"/>
      <c r="IPN1" s="242"/>
      <c r="IPO1" s="242"/>
      <c r="IPP1" s="242"/>
      <c r="IPQ1" s="242"/>
      <c r="IPR1" s="242"/>
      <c r="IPS1" s="242"/>
      <c r="IPT1" s="242"/>
      <c r="IPU1" s="242"/>
      <c r="IPV1" s="242"/>
      <c r="IPW1" s="242"/>
      <c r="IPX1" s="242"/>
      <c r="IPY1" s="242"/>
      <c r="IPZ1" s="242"/>
      <c r="IQA1" s="242"/>
      <c r="IQB1" s="242"/>
      <c r="IQC1" s="242"/>
      <c r="IQD1" s="242"/>
      <c r="IQE1" s="242"/>
      <c r="IQF1" s="242"/>
      <c r="IQG1" s="242"/>
      <c r="IQH1" s="242"/>
      <c r="IQI1" s="242"/>
      <c r="IQJ1" s="242"/>
      <c r="IQK1" s="242"/>
      <c r="IQL1" s="242"/>
      <c r="IQM1" s="242"/>
      <c r="IQN1" s="242"/>
      <c r="IQO1" s="242"/>
      <c r="IQP1" s="242"/>
      <c r="IQQ1" s="242"/>
      <c r="IQR1" s="242"/>
      <c r="IQS1" s="242"/>
      <c r="IQT1" s="242"/>
      <c r="IQU1" s="242"/>
      <c r="IQV1" s="242"/>
      <c r="IQW1" s="242"/>
      <c r="IQX1" s="242"/>
      <c r="IQY1" s="242"/>
      <c r="IQZ1" s="242"/>
      <c r="IRA1" s="242"/>
      <c r="IRB1" s="242"/>
      <c r="IRC1" s="242"/>
      <c r="IRD1" s="242"/>
      <c r="IRE1" s="242"/>
      <c r="IRF1" s="242"/>
      <c r="IRG1" s="242"/>
      <c r="IRH1" s="242"/>
      <c r="IRI1" s="242"/>
      <c r="IRJ1" s="242"/>
      <c r="IRK1" s="242"/>
      <c r="IRL1" s="242"/>
      <c r="IRM1" s="242"/>
      <c r="IRN1" s="242"/>
      <c r="IRO1" s="242"/>
      <c r="IRP1" s="242"/>
      <c r="IRQ1" s="242"/>
      <c r="IRR1" s="242"/>
      <c r="IRS1" s="242"/>
      <c r="IRT1" s="242"/>
      <c r="IRU1" s="242"/>
      <c r="IRV1" s="242"/>
      <c r="IRW1" s="242"/>
      <c r="IRX1" s="242"/>
      <c r="IRY1" s="242"/>
      <c r="IRZ1" s="242"/>
      <c r="ISA1" s="242"/>
      <c r="ISB1" s="242"/>
      <c r="ISC1" s="242"/>
      <c r="ISD1" s="242"/>
      <c r="ISE1" s="242"/>
      <c r="ISF1" s="242"/>
      <c r="ISG1" s="242"/>
      <c r="ISH1" s="242"/>
      <c r="ISI1" s="242"/>
      <c r="ISJ1" s="242"/>
      <c r="ISK1" s="242"/>
      <c r="ISL1" s="242"/>
      <c r="ISM1" s="242"/>
      <c r="ISN1" s="242"/>
      <c r="ISO1" s="242"/>
      <c r="ISP1" s="242"/>
      <c r="ISQ1" s="242"/>
      <c r="ISR1" s="242"/>
      <c r="ISS1" s="242"/>
      <c r="IST1" s="242"/>
      <c r="ISU1" s="242"/>
      <c r="ISV1" s="242"/>
      <c r="ISW1" s="242"/>
      <c r="ISX1" s="242"/>
      <c r="ISY1" s="242"/>
      <c r="ISZ1" s="242"/>
      <c r="ITA1" s="242"/>
      <c r="ITB1" s="242"/>
      <c r="ITC1" s="242"/>
      <c r="ITD1" s="242"/>
      <c r="ITE1" s="242"/>
      <c r="ITF1" s="242"/>
      <c r="ITG1" s="242"/>
      <c r="ITH1" s="242"/>
      <c r="ITI1" s="242"/>
      <c r="ITJ1" s="242"/>
      <c r="ITK1" s="242"/>
      <c r="ITL1" s="242"/>
      <c r="ITM1" s="242"/>
      <c r="ITN1" s="242"/>
      <c r="ITO1" s="242"/>
      <c r="ITP1" s="242"/>
      <c r="ITQ1" s="242"/>
      <c r="ITR1" s="242"/>
      <c r="ITS1" s="242"/>
      <c r="ITT1" s="242"/>
      <c r="ITU1" s="242"/>
      <c r="ITV1" s="242"/>
      <c r="ITW1" s="242"/>
      <c r="ITX1" s="242"/>
      <c r="ITY1" s="242"/>
      <c r="ITZ1" s="242"/>
      <c r="IUA1" s="242"/>
      <c r="IUB1" s="242"/>
      <c r="IUC1" s="242"/>
      <c r="IUD1" s="242"/>
      <c r="IUE1" s="242"/>
      <c r="IUF1" s="242"/>
      <c r="IUG1" s="242"/>
      <c r="IUH1" s="242"/>
      <c r="IUI1" s="242"/>
      <c r="IUJ1" s="242"/>
      <c r="IUK1" s="242"/>
      <c r="IUL1" s="242"/>
      <c r="IUM1" s="242"/>
      <c r="IUN1" s="242"/>
      <c r="IUO1" s="242"/>
      <c r="IUP1" s="242"/>
      <c r="IUQ1" s="242"/>
      <c r="IUR1" s="242"/>
      <c r="IUS1" s="242"/>
      <c r="IUT1" s="242"/>
      <c r="IUU1" s="242"/>
      <c r="IUV1" s="242"/>
      <c r="IUW1" s="242"/>
      <c r="IUX1" s="242"/>
      <c r="IUY1" s="242"/>
      <c r="IUZ1" s="242"/>
      <c r="IVA1" s="242"/>
      <c r="IVB1" s="242"/>
      <c r="IVC1" s="242"/>
      <c r="IVD1" s="242"/>
      <c r="IVE1" s="242"/>
      <c r="IVF1" s="242"/>
      <c r="IVG1" s="242"/>
      <c r="IVH1" s="242"/>
      <c r="IVI1" s="242"/>
      <c r="IVJ1" s="242"/>
      <c r="IVK1" s="242"/>
      <c r="IVL1" s="242"/>
      <c r="IVM1" s="242"/>
      <c r="IVN1" s="242"/>
      <c r="IVO1" s="242"/>
      <c r="IVP1" s="242"/>
      <c r="IVQ1" s="242"/>
      <c r="IVR1" s="242"/>
      <c r="IVS1" s="242"/>
      <c r="IVT1" s="242"/>
      <c r="IVU1" s="242"/>
      <c r="IVV1" s="242"/>
      <c r="IVW1" s="242"/>
      <c r="IVX1" s="242"/>
      <c r="IVY1" s="242"/>
      <c r="IVZ1" s="242"/>
      <c r="IWA1" s="242"/>
      <c r="IWB1" s="242"/>
      <c r="IWC1" s="242"/>
      <c r="IWD1" s="242"/>
      <c r="IWE1" s="242"/>
      <c r="IWF1" s="242"/>
      <c r="IWG1" s="242"/>
      <c r="IWH1" s="242"/>
      <c r="IWI1" s="242"/>
      <c r="IWJ1" s="242"/>
      <c r="IWK1" s="242"/>
      <c r="IWL1" s="242"/>
      <c r="IWM1" s="242"/>
      <c r="IWN1" s="242"/>
      <c r="IWO1" s="242"/>
      <c r="IWP1" s="242"/>
      <c r="IWQ1" s="242"/>
      <c r="IWR1" s="242"/>
      <c r="IWS1" s="242"/>
      <c r="IWT1" s="242"/>
      <c r="IWU1" s="242"/>
      <c r="IWV1" s="242"/>
      <c r="IWW1" s="242"/>
      <c r="IWX1" s="242"/>
      <c r="IWY1" s="242"/>
      <c r="IWZ1" s="242"/>
      <c r="IXA1" s="242"/>
      <c r="IXB1" s="242"/>
      <c r="IXC1" s="242"/>
      <c r="IXD1" s="242"/>
      <c r="IXE1" s="242"/>
      <c r="IXF1" s="242"/>
      <c r="IXG1" s="242"/>
      <c r="IXH1" s="242"/>
      <c r="IXI1" s="242"/>
      <c r="IXJ1" s="242"/>
      <c r="IXK1" s="242"/>
      <c r="IXL1" s="242"/>
      <c r="IXM1" s="242"/>
      <c r="IXN1" s="242"/>
      <c r="IXO1" s="242"/>
      <c r="IXP1" s="242"/>
      <c r="IXQ1" s="242"/>
      <c r="IXR1" s="242"/>
      <c r="IXS1" s="242"/>
      <c r="IXT1" s="242"/>
      <c r="IXU1" s="242"/>
      <c r="IXV1" s="242"/>
      <c r="IXW1" s="242"/>
      <c r="IXX1" s="242"/>
      <c r="IXY1" s="242"/>
      <c r="IXZ1" s="242"/>
      <c r="IYA1" s="242"/>
      <c r="IYB1" s="242"/>
      <c r="IYC1" s="242"/>
      <c r="IYD1" s="242"/>
      <c r="IYE1" s="242"/>
      <c r="IYF1" s="242"/>
      <c r="IYG1" s="242"/>
      <c r="IYH1" s="242"/>
      <c r="IYI1" s="242"/>
      <c r="IYJ1" s="242"/>
      <c r="IYK1" s="242"/>
      <c r="IYL1" s="242"/>
      <c r="IYM1" s="242"/>
      <c r="IYN1" s="242"/>
      <c r="IYO1" s="242"/>
      <c r="IYP1" s="242"/>
      <c r="IYQ1" s="242"/>
      <c r="IYR1" s="242"/>
      <c r="IYS1" s="242"/>
      <c r="IYT1" s="242"/>
      <c r="IYU1" s="242"/>
      <c r="IYV1" s="242"/>
      <c r="IYW1" s="242"/>
      <c r="IYX1" s="242"/>
      <c r="IYY1" s="242"/>
      <c r="IYZ1" s="242"/>
      <c r="IZA1" s="242"/>
      <c r="IZB1" s="242"/>
      <c r="IZC1" s="242"/>
      <c r="IZD1" s="242"/>
      <c r="IZE1" s="242"/>
      <c r="IZF1" s="242"/>
      <c r="IZG1" s="242"/>
      <c r="IZH1" s="242"/>
      <c r="IZI1" s="242"/>
      <c r="IZJ1" s="242"/>
      <c r="IZK1" s="242"/>
      <c r="IZL1" s="242"/>
      <c r="IZM1" s="242"/>
      <c r="IZN1" s="242"/>
      <c r="IZO1" s="242"/>
      <c r="IZP1" s="242"/>
      <c r="IZQ1" s="242"/>
      <c r="IZR1" s="242"/>
      <c r="IZS1" s="242"/>
      <c r="IZT1" s="242"/>
      <c r="IZU1" s="242"/>
      <c r="IZV1" s="242"/>
      <c r="IZW1" s="242"/>
      <c r="IZX1" s="242"/>
      <c r="IZY1" s="242"/>
      <c r="IZZ1" s="242"/>
      <c r="JAA1" s="242"/>
      <c r="JAB1" s="242"/>
      <c r="JAC1" s="242"/>
      <c r="JAD1" s="242"/>
      <c r="JAE1" s="242"/>
      <c r="JAF1" s="242"/>
      <c r="JAG1" s="242"/>
      <c r="JAH1" s="242"/>
      <c r="JAI1" s="242"/>
      <c r="JAJ1" s="242"/>
      <c r="JAK1" s="242"/>
      <c r="JAL1" s="242"/>
      <c r="JAM1" s="242"/>
      <c r="JAN1" s="242"/>
      <c r="JAO1" s="242"/>
      <c r="JAP1" s="242"/>
      <c r="JAQ1" s="242"/>
      <c r="JAR1" s="242"/>
      <c r="JAS1" s="242"/>
      <c r="JAT1" s="242"/>
      <c r="JAU1" s="242"/>
      <c r="JAV1" s="242"/>
      <c r="JAW1" s="242"/>
      <c r="JAX1" s="242"/>
      <c r="JAY1" s="242"/>
      <c r="JAZ1" s="242"/>
      <c r="JBA1" s="242"/>
      <c r="JBB1" s="242"/>
      <c r="JBC1" s="242"/>
      <c r="JBD1" s="242"/>
      <c r="JBE1" s="242"/>
      <c r="JBF1" s="242"/>
      <c r="JBG1" s="242"/>
      <c r="JBH1" s="242"/>
      <c r="JBI1" s="242"/>
      <c r="JBJ1" s="242"/>
      <c r="JBK1" s="242"/>
      <c r="JBL1" s="242"/>
      <c r="JBM1" s="242"/>
      <c r="JBN1" s="242"/>
      <c r="JBO1" s="242"/>
      <c r="JBP1" s="242"/>
      <c r="JBQ1" s="242"/>
      <c r="JBR1" s="242"/>
      <c r="JBS1" s="242"/>
      <c r="JBT1" s="242"/>
      <c r="JBU1" s="242"/>
      <c r="JBV1" s="242"/>
      <c r="JBW1" s="242"/>
      <c r="JBX1" s="242"/>
      <c r="JBY1" s="242"/>
      <c r="JBZ1" s="242"/>
      <c r="JCA1" s="242"/>
      <c r="JCB1" s="242"/>
      <c r="JCC1" s="242"/>
      <c r="JCD1" s="242"/>
      <c r="JCE1" s="242"/>
      <c r="JCF1" s="242"/>
      <c r="JCG1" s="242"/>
      <c r="JCH1" s="242"/>
      <c r="JCI1" s="242"/>
      <c r="JCJ1" s="242"/>
      <c r="JCK1" s="242"/>
      <c r="JCL1" s="242"/>
      <c r="JCM1" s="242"/>
      <c r="JCN1" s="242"/>
      <c r="JCO1" s="242"/>
      <c r="JCP1" s="242"/>
      <c r="JCQ1" s="242"/>
      <c r="JCR1" s="242"/>
      <c r="JCS1" s="242"/>
      <c r="JCT1" s="242"/>
      <c r="JCU1" s="242"/>
      <c r="JCV1" s="242"/>
      <c r="JCW1" s="242"/>
      <c r="JCX1" s="242"/>
      <c r="JCY1" s="242"/>
      <c r="JCZ1" s="242"/>
      <c r="JDA1" s="242"/>
      <c r="JDB1" s="242"/>
      <c r="JDC1" s="242"/>
      <c r="JDD1" s="242"/>
      <c r="JDE1" s="242"/>
      <c r="JDF1" s="242"/>
      <c r="JDG1" s="242"/>
      <c r="JDH1" s="242"/>
      <c r="JDI1" s="242"/>
      <c r="JDJ1" s="242"/>
      <c r="JDK1" s="242"/>
      <c r="JDL1" s="242"/>
      <c r="JDM1" s="242"/>
      <c r="JDN1" s="242"/>
      <c r="JDO1" s="242"/>
      <c r="JDP1" s="242"/>
      <c r="JDQ1" s="242"/>
      <c r="JDR1" s="242"/>
      <c r="JDS1" s="242"/>
      <c r="JDT1" s="242"/>
      <c r="JDU1" s="242"/>
      <c r="JDV1" s="242"/>
      <c r="JDW1" s="242"/>
      <c r="JDX1" s="242"/>
      <c r="JDY1" s="242"/>
      <c r="JDZ1" s="242"/>
      <c r="JEA1" s="242"/>
      <c r="JEB1" s="242"/>
      <c r="JEC1" s="242"/>
      <c r="JED1" s="242"/>
      <c r="JEE1" s="242"/>
      <c r="JEF1" s="242"/>
      <c r="JEG1" s="242"/>
      <c r="JEH1" s="242"/>
      <c r="JEI1" s="242"/>
      <c r="JEJ1" s="242"/>
      <c r="JEK1" s="242"/>
      <c r="JEL1" s="242"/>
      <c r="JEM1" s="242"/>
      <c r="JEN1" s="242"/>
      <c r="JEO1" s="242"/>
      <c r="JEP1" s="242"/>
      <c r="JEQ1" s="242"/>
      <c r="JER1" s="242"/>
      <c r="JES1" s="242"/>
      <c r="JET1" s="242"/>
      <c r="JEU1" s="242"/>
      <c r="JEV1" s="242"/>
      <c r="JEW1" s="242"/>
      <c r="JEX1" s="242"/>
      <c r="JEY1" s="242"/>
      <c r="JEZ1" s="242"/>
      <c r="JFA1" s="242"/>
      <c r="JFB1" s="242"/>
      <c r="JFC1" s="242"/>
      <c r="JFD1" s="242"/>
      <c r="JFE1" s="242"/>
      <c r="JFF1" s="242"/>
      <c r="JFG1" s="242"/>
      <c r="JFH1" s="242"/>
      <c r="JFI1" s="242"/>
      <c r="JFJ1" s="242"/>
      <c r="JFK1" s="242"/>
      <c r="JFL1" s="242"/>
      <c r="JFM1" s="242"/>
      <c r="JFN1" s="242"/>
      <c r="JFO1" s="242"/>
      <c r="JFP1" s="242"/>
      <c r="JFQ1" s="242"/>
      <c r="JFR1" s="242"/>
      <c r="JFS1" s="242"/>
      <c r="JFT1" s="242"/>
      <c r="JFU1" s="242"/>
      <c r="JFV1" s="242"/>
      <c r="JFW1" s="242"/>
      <c r="JFX1" s="242"/>
      <c r="JFY1" s="242"/>
      <c r="JFZ1" s="242"/>
      <c r="JGA1" s="242"/>
      <c r="JGB1" s="242"/>
      <c r="JGC1" s="242"/>
      <c r="JGD1" s="242"/>
      <c r="JGE1" s="242"/>
      <c r="JGF1" s="242"/>
      <c r="JGG1" s="242"/>
      <c r="JGH1" s="242"/>
      <c r="JGI1" s="242"/>
      <c r="JGJ1" s="242"/>
      <c r="JGK1" s="242"/>
      <c r="JGL1" s="242"/>
      <c r="JGM1" s="242"/>
      <c r="JGN1" s="242"/>
      <c r="JGO1" s="242"/>
      <c r="JGP1" s="242"/>
      <c r="JGQ1" s="242"/>
      <c r="JGR1" s="242"/>
      <c r="JGS1" s="242"/>
      <c r="JGT1" s="242"/>
      <c r="JGU1" s="242"/>
      <c r="JGV1" s="242"/>
      <c r="JGW1" s="242"/>
      <c r="JGX1" s="242"/>
      <c r="JGY1" s="242"/>
      <c r="JGZ1" s="242"/>
      <c r="JHA1" s="242"/>
      <c r="JHB1" s="242"/>
      <c r="JHC1" s="242"/>
      <c r="JHD1" s="242"/>
      <c r="JHE1" s="242"/>
      <c r="JHF1" s="242"/>
      <c r="JHG1" s="242"/>
      <c r="JHH1" s="242"/>
      <c r="JHI1" s="242"/>
      <c r="JHJ1" s="242"/>
      <c r="JHK1" s="242"/>
      <c r="JHL1" s="242"/>
      <c r="JHM1" s="242"/>
      <c r="JHN1" s="242"/>
      <c r="JHO1" s="242"/>
      <c r="JHP1" s="242"/>
      <c r="JHQ1" s="242"/>
      <c r="JHR1" s="242"/>
      <c r="JHS1" s="242"/>
      <c r="JHT1" s="242"/>
      <c r="JHU1" s="242"/>
      <c r="JHV1" s="242"/>
      <c r="JHW1" s="242"/>
      <c r="JHX1" s="242"/>
      <c r="JHY1" s="242"/>
      <c r="JHZ1" s="242"/>
      <c r="JIA1" s="242"/>
      <c r="JIB1" s="242"/>
      <c r="JIC1" s="242"/>
      <c r="JID1" s="242"/>
      <c r="JIE1" s="242"/>
      <c r="JIF1" s="242"/>
      <c r="JIG1" s="242"/>
      <c r="JIH1" s="242"/>
      <c r="JII1" s="242"/>
      <c r="JIJ1" s="242"/>
      <c r="JIK1" s="242"/>
      <c r="JIL1" s="242"/>
      <c r="JIM1" s="242"/>
      <c r="JIN1" s="242"/>
      <c r="JIO1" s="242"/>
      <c r="JIP1" s="242"/>
      <c r="JIQ1" s="242"/>
      <c r="JIR1" s="242"/>
      <c r="JIS1" s="242"/>
      <c r="JIT1" s="242"/>
      <c r="JIU1" s="242"/>
      <c r="JIV1" s="242"/>
      <c r="JIW1" s="242"/>
      <c r="JIX1" s="242"/>
      <c r="JIY1" s="242"/>
      <c r="JIZ1" s="242"/>
      <c r="JJA1" s="242"/>
      <c r="JJB1" s="242"/>
      <c r="JJC1" s="242"/>
      <c r="JJD1" s="242"/>
      <c r="JJE1" s="242"/>
      <c r="JJF1" s="242"/>
      <c r="JJG1" s="242"/>
      <c r="JJH1" s="242"/>
      <c r="JJI1" s="242"/>
      <c r="JJJ1" s="242"/>
      <c r="JJK1" s="242"/>
      <c r="JJL1" s="242"/>
      <c r="JJM1" s="242"/>
      <c r="JJN1" s="242"/>
      <c r="JJO1" s="242"/>
      <c r="JJP1" s="242"/>
      <c r="JJQ1" s="242"/>
      <c r="JJR1" s="242"/>
      <c r="JJS1" s="242"/>
      <c r="JJT1" s="242"/>
      <c r="JJU1" s="242"/>
      <c r="JJV1" s="242"/>
      <c r="JJW1" s="242"/>
      <c r="JJX1" s="242"/>
      <c r="JJY1" s="242"/>
      <c r="JJZ1" s="242"/>
      <c r="JKA1" s="242"/>
      <c r="JKB1" s="242"/>
      <c r="JKC1" s="242"/>
      <c r="JKD1" s="242"/>
      <c r="JKE1" s="242"/>
      <c r="JKF1" s="242"/>
      <c r="JKG1" s="242"/>
      <c r="JKH1" s="242"/>
      <c r="JKI1" s="242"/>
      <c r="JKJ1" s="242"/>
      <c r="JKK1" s="242"/>
      <c r="JKL1" s="242"/>
      <c r="JKM1" s="242"/>
      <c r="JKN1" s="242"/>
      <c r="JKO1" s="242"/>
      <c r="JKP1" s="242"/>
      <c r="JKQ1" s="242"/>
      <c r="JKR1" s="242"/>
      <c r="JKS1" s="242"/>
      <c r="JKT1" s="242"/>
      <c r="JKU1" s="242"/>
      <c r="JKV1" s="242"/>
      <c r="JKW1" s="242"/>
      <c r="JKX1" s="242"/>
      <c r="JKY1" s="242"/>
      <c r="JKZ1" s="242"/>
      <c r="JLA1" s="242"/>
      <c r="JLB1" s="242"/>
      <c r="JLC1" s="242"/>
      <c r="JLD1" s="242"/>
      <c r="JLE1" s="242"/>
      <c r="JLF1" s="242"/>
      <c r="JLG1" s="242"/>
      <c r="JLH1" s="242"/>
      <c r="JLI1" s="242"/>
      <c r="JLJ1" s="242"/>
      <c r="JLK1" s="242"/>
      <c r="JLL1" s="242"/>
      <c r="JLM1" s="242"/>
      <c r="JLN1" s="242"/>
      <c r="JLO1" s="242"/>
      <c r="JLP1" s="242"/>
      <c r="JLQ1" s="242"/>
      <c r="JLR1" s="242"/>
      <c r="JLS1" s="242"/>
      <c r="JLT1" s="242"/>
      <c r="JLU1" s="242"/>
      <c r="JLV1" s="242"/>
      <c r="JLW1" s="242"/>
      <c r="JLX1" s="242"/>
      <c r="JLY1" s="242"/>
      <c r="JLZ1" s="242"/>
      <c r="JMA1" s="242"/>
      <c r="JMB1" s="242"/>
      <c r="JMC1" s="242"/>
      <c r="JMD1" s="242"/>
      <c r="JME1" s="242"/>
      <c r="JMF1" s="242"/>
      <c r="JMG1" s="242"/>
      <c r="JMH1" s="242"/>
      <c r="JMI1" s="242"/>
      <c r="JMJ1" s="242"/>
      <c r="JMK1" s="242"/>
      <c r="JML1" s="242"/>
      <c r="JMM1" s="242"/>
      <c r="JMN1" s="242"/>
      <c r="JMO1" s="242"/>
      <c r="JMP1" s="242"/>
      <c r="JMQ1" s="242"/>
      <c r="JMR1" s="242"/>
      <c r="JMS1" s="242"/>
      <c r="JMT1" s="242"/>
      <c r="JMU1" s="242"/>
      <c r="JMV1" s="242"/>
      <c r="JMW1" s="242"/>
      <c r="JMX1" s="242"/>
      <c r="JMY1" s="242"/>
      <c r="JMZ1" s="242"/>
      <c r="JNA1" s="242"/>
      <c r="JNB1" s="242"/>
      <c r="JNC1" s="242"/>
      <c r="JND1" s="242"/>
      <c r="JNE1" s="242"/>
      <c r="JNF1" s="242"/>
      <c r="JNG1" s="242"/>
      <c r="JNH1" s="242"/>
      <c r="JNI1" s="242"/>
      <c r="JNJ1" s="242"/>
      <c r="JNK1" s="242"/>
      <c r="JNL1" s="242"/>
      <c r="JNM1" s="242"/>
      <c r="JNN1" s="242"/>
      <c r="JNO1" s="242"/>
      <c r="JNP1" s="242"/>
      <c r="JNQ1" s="242"/>
      <c r="JNR1" s="242"/>
      <c r="JNS1" s="242"/>
      <c r="JNT1" s="242"/>
      <c r="JNU1" s="242"/>
      <c r="JNV1" s="242"/>
      <c r="JNW1" s="242"/>
      <c r="JNX1" s="242"/>
      <c r="JNY1" s="242"/>
      <c r="JNZ1" s="242"/>
      <c r="JOA1" s="242"/>
      <c r="JOB1" s="242"/>
      <c r="JOC1" s="242"/>
      <c r="JOD1" s="242"/>
      <c r="JOE1" s="242"/>
      <c r="JOF1" s="242"/>
      <c r="JOG1" s="242"/>
      <c r="JOH1" s="242"/>
      <c r="JOI1" s="242"/>
      <c r="JOJ1" s="242"/>
      <c r="JOK1" s="242"/>
      <c r="JOL1" s="242"/>
      <c r="JOM1" s="242"/>
      <c r="JON1" s="242"/>
      <c r="JOO1" s="242"/>
      <c r="JOP1" s="242"/>
      <c r="JOQ1" s="242"/>
      <c r="JOR1" s="242"/>
      <c r="JOS1" s="242"/>
      <c r="JOT1" s="242"/>
      <c r="JOU1" s="242"/>
      <c r="JOV1" s="242"/>
      <c r="JOW1" s="242"/>
      <c r="JOX1" s="242"/>
      <c r="JOY1" s="242"/>
      <c r="JOZ1" s="242"/>
      <c r="JPA1" s="242"/>
      <c r="JPB1" s="242"/>
      <c r="JPC1" s="242"/>
      <c r="JPD1" s="242"/>
      <c r="JPE1" s="242"/>
      <c r="JPF1" s="242"/>
      <c r="JPG1" s="242"/>
      <c r="JPH1" s="242"/>
      <c r="JPI1" s="242"/>
      <c r="JPJ1" s="242"/>
      <c r="JPK1" s="242"/>
      <c r="JPL1" s="242"/>
      <c r="JPM1" s="242"/>
      <c r="JPN1" s="242"/>
      <c r="JPO1" s="242"/>
      <c r="JPP1" s="242"/>
      <c r="JPQ1" s="242"/>
      <c r="JPR1" s="242"/>
      <c r="JPS1" s="242"/>
      <c r="JPT1" s="242"/>
      <c r="JPU1" s="242"/>
      <c r="JPV1" s="242"/>
      <c r="JPW1" s="242"/>
      <c r="JPX1" s="242"/>
      <c r="JPY1" s="242"/>
      <c r="JPZ1" s="242"/>
      <c r="JQA1" s="242"/>
      <c r="JQB1" s="242"/>
      <c r="JQC1" s="242"/>
      <c r="JQD1" s="242"/>
      <c r="JQE1" s="242"/>
      <c r="JQF1" s="242"/>
      <c r="JQG1" s="242"/>
      <c r="JQH1" s="242"/>
      <c r="JQI1" s="242"/>
      <c r="JQJ1" s="242"/>
      <c r="JQK1" s="242"/>
      <c r="JQL1" s="242"/>
      <c r="JQM1" s="242"/>
      <c r="JQN1" s="242"/>
      <c r="JQO1" s="242"/>
      <c r="JQP1" s="242"/>
      <c r="JQQ1" s="242"/>
      <c r="JQR1" s="242"/>
      <c r="JQS1" s="242"/>
      <c r="JQT1" s="242"/>
      <c r="JQU1" s="242"/>
      <c r="JQV1" s="242"/>
      <c r="JQW1" s="242"/>
      <c r="JQX1" s="242"/>
      <c r="JQY1" s="242"/>
      <c r="JQZ1" s="242"/>
      <c r="JRA1" s="242"/>
      <c r="JRB1" s="242"/>
      <c r="JRC1" s="242"/>
      <c r="JRD1" s="242"/>
      <c r="JRE1" s="242"/>
      <c r="JRF1" s="242"/>
      <c r="JRG1" s="242"/>
      <c r="JRH1" s="242"/>
      <c r="JRI1" s="242"/>
      <c r="JRJ1" s="242"/>
      <c r="JRK1" s="242"/>
      <c r="JRL1" s="242"/>
      <c r="JRM1" s="242"/>
      <c r="JRN1" s="242"/>
      <c r="JRO1" s="242"/>
      <c r="JRP1" s="242"/>
      <c r="JRQ1" s="242"/>
      <c r="JRR1" s="242"/>
      <c r="JRS1" s="242"/>
      <c r="JRT1" s="242"/>
      <c r="JRU1" s="242"/>
      <c r="JRV1" s="242"/>
      <c r="JRW1" s="242"/>
      <c r="JRX1" s="242"/>
      <c r="JRY1" s="242"/>
      <c r="JRZ1" s="242"/>
      <c r="JSA1" s="242"/>
      <c r="JSB1" s="242"/>
      <c r="JSC1" s="242"/>
      <c r="JSD1" s="242"/>
      <c r="JSE1" s="242"/>
      <c r="JSF1" s="242"/>
      <c r="JSG1" s="242"/>
      <c r="JSH1" s="242"/>
      <c r="JSI1" s="242"/>
      <c r="JSJ1" s="242"/>
      <c r="JSK1" s="242"/>
      <c r="JSL1" s="242"/>
      <c r="JSM1" s="242"/>
      <c r="JSN1" s="242"/>
      <c r="JSO1" s="242"/>
      <c r="JSP1" s="242"/>
      <c r="JSQ1" s="242"/>
      <c r="JSR1" s="242"/>
      <c r="JSS1" s="242"/>
      <c r="JST1" s="242"/>
      <c r="JSU1" s="242"/>
      <c r="JSV1" s="242"/>
      <c r="JSW1" s="242"/>
      <c r="JSX1" s="242"/>
      <c r="JSY1" s="242"/>
      <c r="JSZ1" s="242"/>
      <c r="JTA1" s="242"/>
      <c r="JTB1" s="242"/>
      <c r="JTC1" s="242"/>
      <c r="JTD1" s="242"/>
      <c r="JTE1" s="242"/>
      <c r="JTF1" s="242"/>
      <c r="JTG1" s="242"/>
      <c r="JTH1" s="242"/>
      <c r="JTI1" s="242"/>
      <c r="JTJ1" s="242"/>
      <c r="JTK1" s="242"/>
      <c r="JTL1" s="242"/>
      <c r="JTM1" s="242"/>
      <c r="JTN1" s="242"/>
      <c r="JTO1" s="242"/>
      <c r="JTP1" s="242"/>
      <c r="JTQ1" s="242"/>
      <c r="JTR1" s="242"/>
      <c r="JTS1" s="242"/>
      <c r="JTT1" s="242"/>
      <c r="JTU1" s="242"/>
      <c r="JTV1" s="242"/>
      <c r="JTW1" s="242"/>
      <c r="JTX1" s="242"/>
      <c r="JTY1" s="242"/>
      <c r="JTZ1" s="242"/>
      <c r="JUA1" s="242"/>
      <c r="JUB1" s="242"/>
      <c r="JUC1" s="242"/>
      <c r="JUD1" s="242"/>
      <c r="JUE1" s="242"/>
      <c r="JUF1" s="242"/>
      <c r="JUG1" s="242"/>
      <c r="JUH1" s="242"/>
      <c r="JUI1" s="242"/>
      <c r="JUJ1" s="242"/>
      <c r="JUK1" s="242"/>
      <c r="JUL1" s="242"/>
      <c r="JUM1" s="242"/>
      <c r="JUN1" s="242"/>
      <c r="JUO1" s="242"/>
      <c r="JUP1" s="242"/>
      <c r="JUQ1" s="242"/>
      <c r="JUR1" s="242"/>
      <c r="JUS1" s="242"/>
      <c r="JUT1" s="242"/>
      <c r="JUU1" s="242"/>
      <c r="JUV1" s="242"/>
      <c r="JUW1" s="242"/>
      <c r="JUX1" s="242"/>
      <c r="JUY1" s="242"/>
      <c r="JUZ1" s="242"/>
      <c r="JVA1" s="242"/>
      <c r="JVB1" s="242"/>
      <c r="JVC1" s="242"/>
      <c r="JVD1" s="242"/>
      <c r="JVE1" s="242"/>
      <c r="JVF1" s="242"/>
      <c r="JVG1" s="242"/>
      <c r="JVH1" s="242"/>
      <c r="JVI1" s="242"/>
      <c r="JVJ1" s="242"/>
      <c r="JVK1" s="242"/>
      <c r="JVL1" s="242"/>
      <c r="JVM1" s="242"/>
      <c r="JVN1" s="242"/>
      <c r="JVO1" s="242"/>
      <c r="JVP1" s="242"/>
      <c r="JVQ1" s="242"/>
      <c r="JVR1" s="242"/>
      <c r="JVS1" s="242"/>
      <c r="JVT1" s="242"/>
      <c r="JVU1" s="242"/>
      <c r="JVV1" s="242"/>
      <c r="JVW1" s="242"/>
      <c r="JVX1" s="242"/>
      <c r="JVY1" s="242"/>
      <c r="JVZ1" s="242"/>
      <c r="JWA1" s="242"/>
      <c r="JWB1" s="242"/>
      <c r="JWC1" s="242"/>
      <c r="JWD1" s="242"/>
      <c r="JWE1" s="242"/>
      <c r="JWF1" s="242"/>
      <c r="JWG1" s="242"/>
      <c r="JWH1" s="242"/>
      <c r="JWI1" s="242"/>
      <c r="JWJ1" s="242"/>
      <c r="JWK1" s="242"/>
      <c r="JWL1" s="242"/>
      <c r="JWM1" s="242"/>
      <c r="JWN1" s="242"/>
      <c r="JWO1" s="242"/>
      <c r="JWP1" s="242"/>
      <c r="JWQ1" s="242"/>
      <c r="JWR1" s="242"/>
      <c r="JWS1" s="242"/>
      <c r="JWT1" s="242"/>
      <c r="JWU1" s="242"/>
      <c r="JWV1" s="242"/>
      <c r="JWW1" s="242"/>
      <c r="JWX1" s="242"/>
      <c r="JWY1" s="242"/>
      <c r="JWZ1" s="242"/>
      <c r="JXA1" s="242"/>
      <c r="JXB1" s="242"/>
      <c r="JXC1" s="242"/>
      <c r="JXD1" s="242"/>
      <c r="JXE1" s="242"/>
      <c r="JXF1" s="242"/>
      <c r="JXG1" s="242"/>
      <c r="JXH1" s="242"/>
      <c r="JXI1" s="242"/>
      <c r="JXJ1" s="242"/>
      <c r="JXK1" s="242"/>
      <c r="JXL1" s="242"/>
      <c r="JXM1" s="242"/>
      <c r="JXN1" s="242"/>
      <c r="JXO1" s="242"/>
      <c r="JXP1" s="242"/>
      <c r="JXQ1" s="242"/>
      <c r="JXR1" s="242"/>
      <c r="JXS1" s="242"/>
      <c r="JXT1" s="242"/>
      <c r="JXU1" s="242"/>
      <c r="JXV1" s="242"/>
      <c r="JXW1" s="242"/>
      <c r="JXX1" s="242"/>
      <c r="JXY1" s="242"/>
      <c r="JXZ1" s="242"/>
      <c r="JYA1" s="242"/>
      <c r="JYB1" s="242"/>
      <c r="JYC1" s="242"/>
      <c r="JYD1" s="242"/>
      <c r="JYE1" s="242"/>
      <c r="JYF1" s="242"/>
      <c r="JYG1" s="242"/>
      <c r="JYH1" s="242"/>
      <c r="JYI1" s="242"/>
      <c r="JYJ1" s="242"/>
      <c r="JYK1" s="242"/>
      <c r="JYL1" s="242"/>
      <c r="JYM1" s="242"/>
      <c r="JYN1" s="242"/>
      <c r="JYO1" s="242"/>
      <c r="JYP1" s="242"/>
      <c r="JYQ1" s="242"/>
      <c r="JYR1" s="242"/>
      <c r="JYS1" s="242"/>
      <c r="JYT1" s="242"/>
      <c r="JYU1" s="242"/>
      <c r="JYV1" s="242"/>
      <c r="JYW1" s="242"/>
      <c r="JYX1" s="242"/>
      <c r="JYY1" s="242"/>
      <c r="JYZ1" s="242"/>
      <c r="JZA1" s="242"/>
      <c r="JZB1" s="242"/>
      <c r="JZC1" s="242"/>
      <c r="JZD1" s="242"/>
      <c r="JZE1" s="242"/>
      <c r="JZF1" s="242"/>
      <c r="JZG1" s="242"/>
      <c r="JZH1" s="242"/>
      <c r="JZI1" s="242"/>
      <c r="JZJ1" s="242"/>
      <c r="JZK1" s="242"/>
      <c r="JZL1" s="242"/>
      <c r="JZM1" s="242"/>
      <c r="JZN1" s="242"/>
      <c r="JZO1" s="242"/>
      <c r="JZP1" s="242"/>
      <c r="JZQ1" s="242"/>
      <c r="JZR1" s="242"/>
      <c r="JZS1" s="242"/>
      <c r="JZT1" s="242"/>
      <c r="JZU1" s="242"/>
      <c r="JZV1" s="242"/>
      <c r="JZW1" s="242"/>
      <c r="JZX1" s="242"/>
      <c r="JZY1" s="242"/>
      <c r="JZZ1" s="242"/>
      <c r="KAA1" s="242"/>
      <c r="KAB1" s="242"/>
      <c r="KAC1" s="242"/>
      <c r="KAD1" s="242"/>
      <c r="KAE1" s="242"/>
      <c r="KAF1" s="242"/>
      <c r="KAG1" s="242"/>
      <c r="KAH1" s="242"/>
      <c r="KAI1" s="242"/>
      <c r="KAJ1" s="242"/>
      <c r="KAK1" s="242"/>
      <c r="KAL1" s="242"/>
      <c r="KAM1" s="242"/>
      <c r="KAN1" s="242"/>
      <c r="KAO1" s="242"/>
      <c r="KAP1" s="242"/>
      <c r="KAQ1" s="242"/>
      <c r="KAR1" s="242"/>
      <c r="KAS1" s="242"/>
      <c r="KAT1" s="242"/>
      <c r="KAU1" s="242"/>
      <c r="KAV1" s="242"/>
      <c r="KAW1" s="242"/>
      <c r="KAX1" s="242"/>
      <c r="KAY1" s="242"/>
      <c r="KAZ1" s="242"/>
      <c r="KBA1" s="242"/>
      <c r="KBB1" s="242"/>
      <c r="KBC1" s="242"/>
      <c r="KBD1" s="242"/>
      <c r="KBE1" s="242"/>
      <c r="KBF1" s="242"/>
      <c r="KBG1" s="242"/>
      <c r="KBH1" s="242"/>
      <c r="KBI1" s="242"/>
      <c r="KBJ1" s="242"/>
      <c r="KBK1" s="242"/>
      <c r="KBL1" s="242"/>
      <c r="KBM1" s="242"/>
      <c r="KBN1" s="242"/>
      <c r="KBO1" s="242"/>
      <c r="KBP1" s="242"/>
      <c r="KBQ1" s="242"/>
      <c r="KBR1" s="242"/>
      <c r="KBS1" s="242"/>
      <c r="KBT1" s="242"/>
      <c r="KBU1" s="242"/>
      <c r="KBV1" s="242"/>
      <c r="KBW1" s="242"/>
      <c r="KBX1" s="242"/>
      <c r="KBY1" s="242"/>
      <c r="KBZ1" s="242"/>
      <c r="KCA1" s="242"/>
      <c r="KCB1" s="242"/>
      <c r="KCC1" s="242"/>
      <c r="KCD1" s="242"/>
      <c r="KCE1" s="242"/>
      <c r="KCF1" s="242"/>
      <c r="KCG1" s="242"/>
      <c r="KCH1" s="242"/>
      <c r="KCI1" s="242"/>
      <c r="KCJ1" s="242"/>
      <c r="KCK1" s="242"/>
      <c r="KCL1" s="242"/>
      <c r="KCM1" s="242"/>
      <c r="KCN1" s="242"/>
      <c r="KCO1" s="242"/>
      <c r="KCP1" s="242"/>
      <c r="KCQ1" s="242"/>
      <c r="KCR1" s="242"/>
      <c r="KCS1" s="242"/>
      <c r="KCT1" s="242"/>
      <c r="KCU1" s="242"/>
      <c r="KCV1" s="242"/>
      <c r="KCW1" s="242"/>
      <c r="KCX1" s="242"/>
      <c r="KCY1" s="242"/>
      <c r="KCZ1" s="242"/>
      <c r="KDA1" s="242"/>
      <c r="KDB1" s="242"/>
      <c r="KDC1" s="242"/>
      <c r="KDD1" s="242"/>
      <c r="KDE1" s="242"/>
      <c r="KDF1" s="242"/>
      <c r="KDG1" s="242"/>
      <c r="KDH1" s="242"/>
      <c r="KDI1" s="242"/>
      <c r="KDJ1" s="242"/>
      <c r="KDK1" s="242"/>
      <c r="KDL1" s="242"/>
      <c r="KDM1" s="242"/>
      <c r="KDN1" s="242"/>
      <c r="KDO1" s="242"/>
      <c r="KDP1" s="242"/>
      <c r="KDQ1" s="242"/>
      <c r="KDR1" s="242"/>
      <c r="KDS1" s="242"/>
      <c r="KDT1" s="242"/>
      <c r="KDU1" s="242"/>
      <c r="KDV1" s="242"/>
      <c r="KDW1" s="242"/>
      <c r="KDX1" s="242"/>
      <c r="KDY1" s="242"/>
      <c r="KDZ1" s="242"/>
      <c r="KEA1" s="242"/>
      <c r="KEB1" s="242"/>
      <c r="KEC1" s="242"/>
      <c r="KED1" s="242"/>
      <c r="KEE1" s="242"/>
      <c r="KEF1" s="242"/>
      <c r="KEG1" s="242"/>
      <c r="KEH1" s="242"/>
      <c r="KEI1" s="242"/>
      <c r="KEJ1" s="242"/>
      <c r="KEK1" s="242"/>
      <c r="KEL1" s="242"/>
      <c r="KEM1" s="242"/>
      <c r="KEN1" s="242"/>
      <c r="KEO1" s="242"/>
      <c r="KEP1" s="242"/>
      <c r="KEQ1" s="242"/>
      <c r="KER1" s="242"/>
      <c r="KES1" s="242"/>
      <c r="KET1" s="242"/>
      <c r="KEU1" s="242"/>
      <c r="KEV1" s="242"/>
      <c r="KEW1" s="242"/>
      <c r="KEX1" s="242"/>
      <c r="KEY1" s="242"/>
      <c r="KEZ1" s="242"/>
      <c r="KFA1" s="242"/>
      <c r="KFB1" s="242"/>
      <c r="KFC1" s="242"/>
      <c r="KFD1" s="242"/>
      <c r="KFE1" s="242"/>
      <c r="KFF1" s="242"/>
      <c r="KFG1" s="242"/>
      <c r="KFH1" s="242"/>
      <c r="KFI1" s="242"/>
      <c r="KFJ1" s="242"/>
      <c r="KFK1" s="242"/>
      <c r="KFL1" s="242"/>
      <c r="KFM1" s="242"/>
      <c r="KFN1" s="242"/>
      <c r="KFO1" s="242"/>
      <c r="KFP1" s="242"/>
      <c r="KFQ1" s="242"/>
      <c r="KFR1" s="242"/>
      <c r="KFS1" s="242"/>
      <c r="KFT1" s="242"/>
      <c r="KFU1" s="242"/>
      <c r="KFV1" s="242"/>
      <c r="KFW1" s="242"/>
      <c r="KFX1" s="242"/>
      <c r="KFY1" s="242"/>
      <c r="KFZ1" s="242"/>
      <c r="KGA1" s="242"/>
      <c r="KGB1" s="242"/>
      <c r="KGC1" s="242"/>
      <c r="KGD1" s="242"/>
      <c r="KGE1" s="242"/>
      <c r="KGF1" s="242"/>
      <c r="KGG1" s="242"/>
      <c r="KGH1" s="242"/>
      <c r="KGI1" s="242"/>
      <c r="KGJ1" s="242"/>
      <c r="KGK1" s="242"/>
      <c r="KGL1" s="242"/>
      <c r="KGM1" s="242"/>
      <c r="KGN1" s="242"/>
      <c r="KGO1" s="242"/>
      <c r="KGP1" s="242"/>
      <c r="KGQ1" s="242"/>
      <c r="KGR1" s="242"/>
      <c r="KGS1" s="242"/>
      <c r="KGT1" s="242"/>
      <c r="KGU1" s="242"/>
      <c r="KGV1" s="242"/>
      <c r="KGW1" s="242"/>
      <c r="KGX1" s="242"/>
      <c r="KGY1" s="242"/>
      <c r="KGZ1" s="242"/>
      <c r="KHA1" s="242"/>
      <c r="KHB1" s="242"/>
      <c r="KHC1" s="242"/>
      <c r="KHD1" s="242"/>
      <c r="KHE1" s="242"/>
      <c r="KHF1" s="242"/>
      <c r="KHG1" s="242"/>
      <c r="KHH1" s="242"/>
      <c r="KHI1" s="242"/>
      <c r="KHJ1" s="242"/>
      <c r="KHK1" s="242"/>
      <c r="KHL1" s="242"/>
      <c r="KHM1" s="242"/>
      <c r="KHN1" s="242"/>
      <c r="KHO1" s="242"/>
      <c r="KHP1" s="242"/>
      <c r="KHQ1" s="242"/>
      <c r="KHR1" s="242"/>
      <c r="KHS1" s="242"/>
      <c r="KHT1" s="242"/>
      <c r="KHU1" s="242"/>
      <c r="KHV1" s="242"/>
      <c r="KHW1" s="242"/>
      <c r="KHX1" s="242"/>
      <c r="KHY1" s="242"/>
      <c r="KHZ1" s="242"/>
      <c r="KIA1" s="242"/>
      <c r="KIB1" s="242"/>
      <c r="KIC1" s="242"/>
      <c r="KID1" s="242"/>
      <c r="KIE1" s="242"/>
      <c r="KIF1" s="242"/>
      <c r="KIG1" s="242"/>
      <c r="KIH1" s="242"/>
      <c r="KII1" s="242"/>
      <c r="KIJ1" s="242"/>
      <c r="KIK1" s="242"/>
      <c r="KIL1" s="242"/>
      <c r="KIM1" s="242"/>
      <c r="KIN1" s="242"/>
      <c r="KIO1" s="242"/>
      <c r="KIP1" s="242"/>
      <c r="KIQ1" s="242"/>
      <c r="KIR1" s="242"/>
      <c r="KIS1" s="242"/>
      <c r="KIT1" s="242"/>
      <c r="KIU1" s="242"/>
      <c r="KIV1" s="242"/>
      <c r="KIW1" s="242"/>
      <c r="KIX1" s="242"/>
      <c r="KIY1" s="242"/>
      <c r="KIZ1" s="242"/>
      <c r="KJA1" s="242"/>
      <c r="KJB1" s="242"/>
      <c r="KJC1" s="242"/>
      <c r="KJD1" s="242"/>
      <c r="KJE1" s="242"/>
      <c r="KJF1" s="242"/>
      <c r="KJG1" s="242"/>
      <c r="KJH1" s="242"/>
      <c r="KJI1" s="242"/>
      <c r="KJJ1" s="242"/>
      <c r="KJK1" s="242"/>
      <c r="KJL1" s="242"/>
      <c r="KJM1" s="242"/>
      <c r="KJN1" s="242"/>
      <c r="KJO1" s="242"/>
      <c r="KJP1" s="242"/>
      <c r="KJQ1" s="242"/>
      <c r="KJR1" s="242"/>
      <c r="KJS1" s="242"/>
      <c r="KJT1" s="242"/>
      <c r="KJU1" s="242"/>
      <c r="KJV1" s="242"/>
      <c r="KJW1" s="242"/>
      <c r="KJX1" s="242"/>
      <c r="KJY1" s="242"/>
      <c r="KJZ1" s="242"/>
      <c r="KKA1" s="242"/>
      <c r="KKB1" s="242"/>
      <c r="KKC1" s="242"/>
      <c r="KKD1" s="242"/>
      <c r="KKE1" s="242"/>
      <c r="KKF1" s="242"/>
      <c r="KKG1" s="242"/>
      <c r="KKH1" s="242"/>
      <c r="KKI1" s="242"/>
      <c r="KKJ1" s="242"/>
      <c r="KKK1" s="242"/>
      <c r="KKL1" s="242"/>
      <c r="KKM1" s="242"/>
      <c r="KKN1" s="242"/>
      <c r="KKO1" s="242"/>
      <c r="KKP1" s="242"/>
      <c r="KKQ1" s="242"/>
      <c r="KKR1" s="242"/>
      <c r="KKS1" s="242"/>
      <c r="KKT1" s="242"/>
      <c r="KKU1" s="242"/>
      <c r="KKV1" s="242"/>
      <c r="KKW1" s="242"/>
      <c r="KKX1" s="242"/>
      <c r="KKY1" s="242"/>
      <c r="KKZ1" s="242"/>
      <c r="KLA1" s="242"/>
      <c r="KLB1" s="242"/>
      <c r="KLC1" s="242"/>
      <c r="KLD1" s="242"/>
      <c r="KLE1" s="242"/>
      <c r="KLF1" s="242"/>
      <c r="KLG1" s="242"/>
      <c r="KLH1" s="242"/>
      <c r="KLI1" s="242"/>
      <c r="KLJ1" s="242"/>
      <c r="KLK1" s="242"/>
      <c r="KLL1" s="242"/>
      <c r="KLM1" s="242"/>
      <c r="KLN1" s="242"/>
      <c r="KLO1" s="242"/>
      <c r="KLP1" s="242"/>
      <c r="KLQ1" s="242"/>
      <c r="KLR1" s="242"/>
      <c r="KLS1" s="242"/>
      <c r="KLT1" s="242"/>
      <c r="KLU1" s="242"/>
      <c r="KLV1" s="242"/>
      <c r="KLW1" s="242"/>
      <c r="KLX1" s="242"/>
      <c r="KLY1" s="242"/>
      <c r="KLZ1" s="242"/>
      <c r="KMA1" s="242"/>
      <c r="KMB1" s="242"/>
      <c r="KMC1" s="242"/>
      <c r="KMD1" s="242"/>
      <c r="KME1" s="242"/>
      <c r="KMF1" s="242"/>
      <c r="KMG1" s="242"/>
      <c r="KMH1" s="242"/>
      <c r="KMI1" s="242"/>
      <c r="KMJ1" s="242"/>
      <c r="KMK1" s="242"/>
      <c r="KML1" s="242"/>
      <c r="KMM1" s="242"/>
      <c r="KMN1" s="242"/>
      <c r="KMO1" s="242"/>
      <c r="KMP1" s="242"/>
      <c r="KMQ1" s="242"/>
      <c r="KMR1" s="242"/>
      <c r="KMS1" s="242"/>
      <c r="KMT1" s="242"/>
      <c r="KMU1" s="242"/>
      <c r="KMV1" s="242"/>
      <c r="KMW1" s="242"/>
      <c r="KMX1" s="242"/>
      <c r="KMY1" s="242"/>
      <c r="KMZ1" s="242"/>
      <c r="KNA1" s="242"/>
      <c r="KNB1" s="242"/>
      <c r="KNC1" s="242"/>
      <c r="KND1" s="242"/>
      <c r="KNE1" s="242"/>
      <c r="KNF1" s="242"/>
      <c r="KNG1" s="242"/>
      <c r="KNH1" s="242"/>
      <c r="KNI1" s="242"/>
      <c r="KNJ1" s="242"/>
      <c r="KNK1" s="242"/>
      <c r="KNL1" s="242"/>
      <c r="KNM1" s="242"/>
      <c r="KNN1" s="242"/>
      <c r="KNO1" s="242"/>
      <c r="KNP1" s="242"/>
      <c r="KNQ1" s="242"/>
      <c r="KNR1" s="242"/>
      <c r="KNS1" s="242"/>
      <c r="KNT1" s="242"/>
      <c r="KNU1" s="242"/>
      <c r="KNV1" s="242"/>
      <c r="KNW1" s="242"/>
      <c r="KNX1" s="242"/>
      <c r="KNY1" s="242"/>
      <c r="KNZ1" s="242"/>
      <c r="KOA1" s="242"/>
      <c r="KOB1" s="242"/>
      <c r="KOC1" s="242"/>
      <c r="KOD1" s="242"/>
      <c r="KOE1" s="242"/>
      <c r="KOF1" s="242"/>
      <c r="KOG1" s="242"/>
      <c r="KOH1" s="242"/>
      <c r="KOI1" s="242"/>
      <c r="KOJ1" s="242"/>
      <c r="KOK1" s="242"/>
      <c r="KOL1" s="242"/>
      <c r="KOM1" s="242"/>
      <c r="KON1" s="242"/>
      <c r="KOO1" s="242"/>
      <c r="KOP1" s="242"/>
      <c r="KOQ1" s="242"/>
      <c r="KOR1" s="242"/>
      <c r="KOS1" s="242"/>
      <c r="KOT1" s="242"/>
      <c r="KOU1" s="242"/>
      <c r="KOV1" s="242"/>
      <c r="KOW1" s="242"/>
      <c r="KOX1" s="242"/>
      <c r="KOY1" s="242"/>
      <c r="KOZ1" s="242"/>
      <c r="KPA1" s="242"/>
      <c r="KPB1" s="242"/>
      <c r="KPC1" s="242"/>
      <c r="KPD1" s="242"/>
      <c r="KPE1" s="242"/>
      <c r="KPF1" s="242"/>
      <c r="KPG1" s="242"/>
      <c r="KPH1" s="242"/>
      <c r="KPI1" s="242"/>
      <c r="KPJ1" s="242"/>
      <c r="KPK1" s="242"/>
      <c r="KPL1" s="242"/>
      <c r="KPM1" s="242"/>
      <c r="KPN1" s="242"/>
      <c r="KPO1" s="242"/>
      <c r="KPP1" s="242"/>
      <c r="KPQ1" s="242"/>
      <c r="KPR1" s="242"/>
      <c r="KPS1" s="242"/>
      <c r="KPT1" s="242"/>
      <c r="KPU1" s="242"/>
      <c r="KPV1" s="242"/>
      <c r="KPW1" s="242"/>
      <c r="KPX1" s="242"/>
      <c r="KPY1" s="242"/>
      <c r="KPZ1" s="242"/>
      <c r="KQA1" s="242"/>
      <c r="KQB1" s="242"/>
      <c r="KQC1" s="242"/>
      <c r="KQD1" s="242"/>
      <c r="KQE1" s="242"/>
      <c r="KQF1" s="242"/>
      <c r="KQG1" s="242"/>
      <c r="KQH1" s="242"/>
      <c r="KQI1" s="242"/>
      <c r="KQJ1" s="242"/>
      <c r="KQK1" s="242"/>
      <c r="KQL1" s="242"/>
      <c r="KQM1" s="242"/>
      <c r="KQN1" s="242"/>
      <c r="KQO1" s="242"/>
      <c r="KQP1" s="242"/>
      <c r="KQQ1" s="242"/>
      <c r="KQR1" s="242"/>
      <c r="KQS1" s="242"/>
      <c r="KQT1" s="242"/>
      <c r="KQU1" s="242"/>
      <c r="KQV1" s="242"/>
      <c r="KQW1" s="242"/>
      <c r="KQX1" s="242"/>
      <c r="KQY1" s="242"/>
      <c r="KQZ1" s="242"/>
      <c r="KRA1" s="242"/>
      <c r="KRB1" s="242"/>
      <c r="KRC1" s="242"/>
      <c r="KRD1" s="242"/>
      <c r="KRE1" s="242"/>
      <c r="KRF1" s="242"/>
      <c r="KRG1" s="242"/>
      <c r="KRH1" s="242"/>
      <c r="KRI1" s="242"/>
      <c r="KRJ1" s="242"/>
      <c r="KRK1" s="242"/>
      <c r="KRL1" s="242"/>
      <c r="KRM1" s="242"/>
      <c r="KRN1" s="242"/>
      <c r="KRO1" s="242"/>
      <c r="KRP1" s="242"/>
      <c r="KRQ1" s="242"/>
      <c r="KRR1" s="242"/>
      <c r="KRS1" s="242"/>
      <c r="KRT1" s="242"/>
      <c r="KRU1" s="242"/>
      <c r="KRV1" s="242"/>
      <c r="KRW1" s="242"/>
      <c r="KRX1" s="242"/>
      <c r="KRY1" s="242"/>
      <c r="KRZ1" s="242"/>
      <c r="KSA1" s="242"/>
      <c r="KSB1" s="242"/>
      <c r="KSC1" s="242"/>
      <c r="KSD1" s="242"/>
      <c r="KSE1" s="242"/>
      <c r="KSF1" s="242"/>
      <c r="KSG1" s="242"/>
      <c r="KSH1" s="242"/>
      <c r="KSI1" s="242"/>
      <c r="KSJ1" s="242"/>
      <c r="KSK1" s="242"/>
      <c r="KSL1" s="242"/>
      <c r="KSM1" s="242"/>
      <c r="KSN1" s="242"/>
      <c r="KSO1" s="242"/>
      <c r="KSP1" s="242"/>
      <c r="KSQ1" s="242"/>
      <c r="KSR1" s="242"/>
      <c r="KSS1" s="242"/>
      <c r="KST1" s="242"/>
      <c r="KSU1" s="242"/>
      <c r="KSV1" s="242"/>
      <c r="KSW1" s="242"/>
      <c r="KSX1" s="242"/>
      <c r="KSY1" s="242"/>
      <c r="KSZ1" s="242"/>
      <c r="KTA1" s="242"/>
      <c r="KTB1" s="242"/>
      <c r="KTC1" s="242"/>
      <c r="KTD1" s="242"/>
      <c r="KTE1" s="242"/>
      <c r="KTF1" s="242"/>
      <c r="KTG1" s="242"/>
      <c r="KTH1" s="242"/>
      <c r="KTI1" s="242"/>
      <c r="KTJ1" s="242"/>
      <c r="KTK1" s="242"/>
      <c r="KTL1" s="242"/>
      <c r="KTM1" s="242"/>
      <c r="KTN1" s="242"/>
      <c r="KTO1" s="242"/>
      <c r="KTP1" s="242"/>
      <c r="KTQ1" s="242"/>
      <c r="KTR1" s="242"/>
      <c r="KTS1" s="242"/>
      <c r="KTT1" s="242"/>
      <c r="KTU1" s="242"/>
      <c r="KTV1" s="242"/>
      <c r="KTW1" s="242"/>
      <c r="KTX1" s="242"/>
      <c r="KTY1" s="242"/>
      <c r="KTZ1" s="242"/>
      <c r="KUA1" s="242"/>
      <c r="KUB1" s="242"/>
      <c r="KUC1" s="242"/>
      <c r="KUD1" s="242"/>
      <c r="KUE1" s="242"/>
      <c r="KUF1" s="242"/>
      <c r="KUG1" s="242"/>
      <c r="KUH1" s="242"/>
      <c r="KUI1" s="242"/>
      <c r="KUJ1" s="242"/>
      <c r="KUK1" s="242"/>
      <c r="KUL1" s="242"/>
      <c r="KUM1" s="242"/>
      <c r="KUN1" s="242"/>
      <c r="KUO1" s="242"/>
      <c r="KUP1" s="242"/>
      <c r="KUQ1" s="242"/>
      <c r="KUR1" s="242"/>
      <c r="KUS1" s="242"/>
      <c r="KUT1" s="242"/>
      <c r="KUU1" s="242"/>
      <c r="KUV1" s="242"/>
      <c r="KUW1" s="242"/>
      <c r="KUX1" s="242"/>
      <c r="KUY1" s="242"/>
      <c r="KUZ1" s="242"/>
      <c r="KVA1" s="242"/>
      <c r="KVB1" s="242"/>
      <c r="KVC1" s="242"/>
      <c r="KVD1" s="242"/>
      <c r="KVE1" s="242"/>
      <c r="KVF1" s="242"/>
      <c r="KVG1" s="242"/>
      <c r="KVH1" s="242"/>
      <c r="KVI1" s="242"/>
      <c r="KVJ1" s="242"/>
      <c r="KVK1" s="242"/>
      <c r="KVL1" s="242"/>
      <c r="KVM1" s="242"/>
      <c r="KVN1" s="242"/>
      <c r="KVO1" s="242"/>
      <c r="KVP1" s="242"/>
      <c r="KVQ1" s="242"/>
      <c r="KVR1" s="242"/>
      <c r="KVS1" s="242"/>
      <c r="KVT1" s="242"/>
      <c r="KVU1" s="242"/>
      <c r="KVV1" s="242"/>
      <c r="KVW1" s="242"/>
      <c r="KVX1" s="242"/>
      <c r="KVY1" s="242"/>
      <c r="KVZ1" s="242"/>
      <c r="KWA1" s="242"/>
      <c r="KWB1" s="242"/>
      <c r="KWC1" s="242"/>
      <c r="KWD1" s="242"/>
      <c r="KWE1" s="242"/>
      <c r="KWF1" s="242"/>
      <c r="KWG1" s="242"/>
      <c r="KWH1" s="242"/>
      <c r="KWI1" s="242"/>
      <c r="KWJ1" s="242"/>
      <c r="KWK1" s="242"/>
      <c r="KWL1" s="242"/>
      <c r="KWM1" s="242"/>
      <c r="KWN1" s="242"/>
      <c r="KWO1" s="242"/>
      <c r="KWP1" s="242"/>
      <c r="KWQ1" s="242"/>
      <c r="KWR1" s="242"/>
      <c r="KWS1" s="242"/>
      <c r="KWT1" s="242"/>
      <c r="KWU1" s="242"/>
      <c r="KWV1" s="242"/>
      <c r="KWW1" s="242"/>
      <c r="KWX1" s="242"/>
      <c r="KWY1" s="242"/>
      <c r="KWZ1" s="242"/>
      <c r="KXA1" s="242"/>
      <c r="KXB1" s="242"/>
      <c r="KXC1" s="242"/>
      <c r="KXD1" s="242"/>
      <c r="KXE1" s="242"/>
      <c r="KXF1" s="242"/>
      <c r="KXG1" s="242"/>
      <c r="KXH1" s="242"/>
      <c r="KXI1" s="242"/>
      <c r="KXJ1" s="242"/>
      <c r="KXK1" s="242"/>
      <c r="KXL1" s="242"/>
      <c r="KXM1" s="242"/>
      <c r="KXN1" s="242"/>
      <c r="KXO1" s="242"/>
      <c r="KXP1" s="242"/>
      <c r="KXQ1" s="242"/>
      <c r="KXR1" s="242"/>
      <c r="KXS1" s="242"/>
      <c r="KXT1" s="242"/>
      <c r="KXU1" s="242"/>
      <c r="KXV1" s="242"/>
      <c r="KXW1" s="242"/>
      <c r="KXX1" s="242"/>
      <c r="KXY1" s="242"/>
      <c r="KXZ1" s="242"/>
      <c r="KYA1" s="242"/>
      <c r="KYB1" s="242"/>
      <c r="KYC1" s="242"/>
      <c r="KYD1" s="242"/>
      <c r="KYE1" s="242"/>
      <c r="KYF1" s="242"/>
      <c r="KYG1" s="242"/>
      <c r="KYH1" s="242"/>
      <c r="KYI1" s="242"/>
      <c r="KYJ1" s="242"/>
      <c r="KYK1" s="242"/>
      <c r="KYL1" s="242"/>
      <c r="KYM1" s="242"/>
      <c r="KYN1" s="242"/>
      <c r="KYO1" s="242"/>
      <c r="KYP1" s="242"/>
      <c r="KYQ1" s="242"/>
      <c r="KYR1" s="242"/>
      <c r="KYS1" s="242"/>
      <c r="KYT1" s="242"/>
      <c r="KYU1" s="242"/>
      <c r="KYV1" s="242"/>
      <c r="KYW1" s="242"/>
      <c r="KYX1" s="242"/>
      <c r="KYY1" s="242"/>
      <c r="KYZ1" s="242"/>
      <c r="KZA1" s="242"/>
      <c r="KZB1" s="242"/>
      <c r="KZC1" s="242"/>
      <c r="KZD1" s="242"/>
      <c r="KZE1" s="242"/>
      <c r="KZF1" s="242"/>
      <c r="KZG1" s="242"/>
      <c r="KZH1" s="242"/>
      <c r="KZI1" s="242"/>
      <c r="KZJ1" s="242"/>
      <c r="KZK1" s="242"/>
      <c r="KZL1" s="242"/>
      <c r="KZM1" s="242"/>
      <c r="KZN1" s="242"/>
      <c r="KZO1" s="242"/>
      <c r="KZP1" s="242"/>
      <c r="KZQ1" s="242"/>
      <c r="KZR1" s="242"/>
      <c r="KZS1" s="242"/>
      <c r="KZT1" s="242"/>
      <c r="KZU1" s="242"/>
      <c r="KZV1" s="242"/>
      <c r="KZW1" s="242"/>
      <c r="KZX1" s="242"/>
      <c r="KZY1" s="242"/>
      <c r="KZZ1" s="242"/>
      <c r="LAA1" s="242"/>
      <c r="LAB1" s="242"/>
      <c r="LAC1" s="242"/>
      <c r="LAD1" s="242"/>
      <c r="LAE1" s="242"/>
      <c r="LAF1" s="242"/>
      <c r="LAG1" s="242"/>
      <c r="LAH1" s="242"/>
      <c r="LAI1" s="242"/>
      <c r="LAJ1" s="242"/>
      <c r="LAK1" s="242"/>
      <c r="LAL1" s="242"/>
      <c r="LAM1" s="242"/>
      <c r="LAN1" s="242"/>
      <c r="LAO1" s="242"/>
      <c r="LAP1" s="242"/>
      <c r="LAQ1" s="242"/>
      <c r="LAR1" s="242"/>
      <c r="LAS1" s="242"/>
      <c r="LAT1" s="242"/>
      <c r="LAU1" s="242"/>
      <c r="LAV1" s="242"/>
      <c r="LAW1" s="242"/>
      <c r="LAX1" s="242"/>
      <c r="LAY1" s="242"/>
      <c r="LAZ1" s="242"/>
      <c r="LBA1" s="242"/>
      <c r="LBB1" s="242"/>
      <c r="LBC1" s="242"/>
      <c r="LBD1" s="242"/>
      <c r="LBE1" s="242"/>
      <c r="LBF1" s="242"/>
      <c r="LBG1" s="242"/>
      <c r="LBH1" s="242"/>
      <c r="LBI1" s="242"/>
      <c r="LBJ1" s="242"/>
      <c r="LBK1" s="242"/>
      <c r="LBL1" s="242"/>
      <c r="LBM1" s="242"/>
      <c r="LBN1" s="242"/>
      <c r="LBO1" s="242"/>
      <c r="LBP1" s="242"/>
      <c r="LBQ1" s="242"/>
      <c r="LBR1" s="242"/>
      <c r="LBS1" s="242"/>
      <c r="LBT1" s="242"/>
      <c r="LBU1" s="242"/>
      <c r="LBV1" s="242"/>
      <c r="LBW1" s="242"/>
      <c r="LBX1" s="242"/>
      <c r="LBY1" s="242"/>
      <c r="LBZ1" s="242"/>
      <c r="LCA1" s="242"/>
      <c r="LCB1" s="242"/>
      <c r="LCC1" s="242"/>
      <c r="LCD1" s="242"/>
      <c r="LCE1" s="242"/>
      <c r="LCF1" s="242"/>
      <c r="LCG1" s="242"/>
      <c r="LCH1" s="242"/>
      <c r="LCI1" s="242"/>
      <c r="LCJ1" s="242"/>
      <c r="LCK1" s="242"/>
      <c r="LCL1" s="242"/>
      <c r="LCM1" s="242"/>
      <c r="LCN1" s="242"/>
      <c r="LCO1" s="242"/>
      <c r="LCP1" s="242"/>
      <c r="LCQ1" s="242"/>
      <c r="LCR1" s="242"/>
      <c r="LCS1" s="242"/>
      <c r="LCT1" s="242"/>
      <c r="LCU1" s="242"/>
      <c r="LCV1" s="242"/>
      <c r="LCW1" s="242"/>
      <c r="LCX1" s="242"/>
      <c r="LCY1" s="242"/>
      <c r="LCZ1" s="242"/>
      <c r="LDA1" s="242"/>
      <c r="LDB1" s="242"/>
      <c r="LDC1" s="242"/>
      <c r="LDD1" s="242"/>
      <c r="LDE1" s="242"/>
      <c r="LDF1" s="242"/>
      <c r="LDG1" s="242"/>
      <c r="LDH1" s="242"/>
      <c r="LDI1" s="242"/>
      <c r="LDJ1" s="242"/>
      <c r="LDK1" s="242"/>
      <c r="LDL1" s="242"/>
      <c r="LDM1" s="242"/>
      <c r="LDN1" s="242"/>
      <c r="LDO1" s="242"/>
      <c r="LDP1" s="242"/>
      <c r="LDQ1" s="242"/>
      <c r="LDR1" s="242"/>
      <c r="LDS1" s="242"/>
      <c r="LDT1" s="242"/>
      <c r="LDU1" s="242"/>
      <c r="LDV1" s="242"/>
      <c r="LDW1" s="242"/>
      <c r="LDX1" s="242"/>
      <c r="LDY1" s="242"/>
      <c r="LDZ1" s="242"/>
      <c r="LEA1" s="242"/>
      <c r="LEB1" s="242"/>
      <c r="LEC1" s="242"/>
      <c r="LED1" s="242"/>
      <c r="LEE1" s="242"/>
      <c r="LEF1" s="242"/>
      <c r="LEG1" s="242"/>
      <c r="LEH1" s="242"/>
      <c r="LEI1" s="242"/>
      <c r="LEJ1" s="242"/>
      <c r="LEK1" s="242"/>
      <c r="LEL1" s="242"/>
      <c r="LEM1" s="242"/>
      <c r="LEN1" s="242"/>
      <c r="LEO1" s="242"/>
      <c r="LEP1" s="242"/>
      <c r="LEQ1" s="242"/>
      <c r="LER1" s="242"/>
      <c r="LES1" s="242"/>
      <c r="LET1" s="242"/>
      <c r="LEU1" s="242"/>
      <c r="LEV1" s="242"/>
      <c r="LEW1" s="242"/>
      <c r="LEX1" s="242"/>
      <c r="LEY1" s="242"/>
      <c r="LEZ1" s="242"/>
      <c r="LFA1" s="242"/>
      <c r="LFB1" s="242"/>
      <c r="LFC1" s="242"/>
      <c r="LFD1" s="242"/>
      <c r="LFE1" s="242"/>
      <c r="LFF1" s="242"/>
      <c r="LFG1" s="242"/>
      <c r="LFH1" s="242"/>
      <c r="LFI1" s="242"/>
      <c r="LFJ1" s="242"/>
      <c r="LFK1" s="242"/>
      <c r="LFL1" s="242"/>
      <c r="LFM1" s="242"/>
      <c r="LFN1" s="242"/>
      <c r="LFO1" s="242"/>
      <c r="LFP1" s="242"/>
      <c r="LFQ1" s="242"/>
      <c r="LFR1" s="242"/>
      <c r="LFS1" s="242"/>
      <c r="LFT1" s="242"/>
      <c r="LFU1" s="242"/>
      <c r="LFV1" s="242"/>
      <c r="LFW1" s="242"/>
      <c r="LFX1" s="242"/>
      <c r="LFY1" s="242"/>
      <c r="LFZ1" s="242"/>
      <c r="LGA1" s="242"/>
      <c r="LGB1" s="242"/>
      <c r="LGC1" s="242"/>
      <c r="LGD1" s="242"/>
      <c r="LGE1" s="242"/>
      <c r="LGF1" s="242"/>
      <c r="LGG1" s="242"/>
      <c r="LGH1" s="242"/>
      <c r="LGI1" s="242"/>
      <c r="LGJ1" s="242"/>
      <c r="LGK1" s="242"/>
      <c r="LGL1" s="242"/>
      <c r="LGM1" s="242"/>
      <c r="LGN1" s="242"/>
      <c r="LGO1" s="242"/>
      <c r="LGP1" s="242"/>
      <c r="LGQ1" s="242"/>
      <c r="LGR1" s="242"/>
      <c r="LGS1" s="242"/>
      <c r="LGT1" s="242"/>
      <c r="LGU1" s="242"/>
      <c r="LGV1" s="242"/>
      <c r="LGW1" s="242"/>
      <c r="LGX1" s="242"/>
      <c r="LGY1" s="242"/>
      <c r="LGZ1" s="242"/>
      <c r="LHA1" s="242"/>
      <c r="LHB1" s="242"/>
      <c r="LHC1" s="242"/>
      <c r="LHD1" s="242"/>
      <c r="LHE1" s="242"/>
      <c r="LHF1" s="242"/>
      <c r="LHG1" s="242"/>
      <c r="LHH1" s="242"/>
      <c r="LHI1" s="242"/>
      <c r="LHJ1" s="242"/>
      <c r="LHK1" s="242"/>
      <c r="LHL1" s="242"/>
      <c r="LHM1" s="242"/>
      <c r="LHN1" s="242"/>
      <c r="LHO1" s="242"/>
      <c r="LHP1" s="242"/>
      <c r="LHQ1" s="242"/>
      <c r="LHR1" s="242"/>
      <c r="LHS1" s="242"/>
      <c r="LHT1" s="242"/>
      <c r="LHU1" s="242"/>
      <c r="LHV1" s="242"/>
      <c r="LHW1" s="242"/>
      <c r="LHX1" s="242"/>
      <c r="LHY1" s="242"/>
      <c r="LHZ1" s="242"/>
      <c r="LIA1" s="242"/>
      <c r="LIB1" s="242"/>
      <c r="LIC1" s="242"/>
      <c r="LID1" s="242"/>
      <c r="LIE1" s="242"/>
      <c r="LIF1" s="242"/>
      <c r="LIG1" s="242"/>
      <c r="LIH1" s="242"/>
      <c r="LII1" s="242"/>
      <c r="LIJ1" s="242"/>
      <c r="LIK1" s="242"/>
      <c r="LIL1" s="242"/>
      <c r="LIM1" s="242"/>
      <c r="LIN1" s="242"/>
      <c r="LIO1" s="242"/>
      <c r="LIP1" s="242"/>
      <c r="LIQ1" s="242"/>
      <c r="LIR1" s="242"/>
      <c r="LIS1" s="242"/>
      <c r="LIT1" s="242"/>
      <c r="LIU1" s="242"/>
      <c r="LIV1" s="242"/>
      <c r="LIW1" s="242"/>
      <c r="LIX1" s="242"/>
      <c r="LIY1" s="242"/>
      <c r="LIZ1" s="242"/>
      <c r="LJA1" s="242"/>
      <c r="LJB1" s="242"/>
      <c r="LJC1" s="242"/>
      <c r="LJD1" s="242"/>
      <c r="LJE1" s="242"/>
      <c r="LJF1" s="242"/>
      <c r="LJG1" s="242"/>
      <c r="LJH1" s="242"/>
      <c r="LJI1" s="242"/>
      <c r="LJJ1" s="242"/>
      <c r="LJK1" s="242"/>
      <c r="LJL1" s="242"/>
      <c r="LJM1" s="242"/>
      <c r="LJN1" s="242"/>
      <c r="LJO1" s="242"/>
      <c r="LJP1" s="242"/>
      <c r="LJQ1" s="242"/>
      <c r="LJR1" s="242"/>
      <c r="LJS1" s="242"/>
      <c r="LJT1" s="242"/>
      <c r="LJU1" s="242"/>
      <c r="LJV1" s="242"/>
      <c r="LJW1" s="242"/>
      <c r="LJX1" s="242"/>
      <c r="LJY1" s="242"/>
      <c r="LJZ1" s="242"/>
      <c r="LKA1" s="242"/>
      <c r="LKB1" s="242"/>
      <c r="LKC1" s="242"/>
      <c r="LKD1" s="242"/>
      <c r="LKE1" s="242"/>
      <c r="LKF1" s="242"/>
      <c r="LKG1" s="242"/>
      <c r="LKH1" s="242"/>
      <c r="LKI1" s="242"/>
      <c r="LKJ1" s="242"/>
      <c r="LKK1" s="242"/>
      <c r="LKL1" s="242"/>
      <c r="LKM1" s="242"/>
      <c r="LKN1" s="242"/>
      <c r="LKO1" s="242"/>
      <c r="LKP1" s="242"/>
      <c r="LKQ1" s="242"/>
      <c r="LKR1" s="242"/>
      <c r="LKS1" s="242"/>
      <c r="LKT1" s="242"/>
      <c r="LKU1" s="242"/>
      <c r="LKV1" s="242"/>
      <c r="LKW1" s="242"/>
      <c r="LKX1" s="242"/>
      <c r="LKY1" s="242"/>
      <c r="LKZ1" s="242"/>
      <c r="LLA1" s="242"/>
      <c r="LLB1" s="242"/>
      <c r="LLC1" s="242"/>
      <c r="LLD1" s="242"/>
      <c r="LLE1" s="242"/>
      <c r="LLF1" s="242"/>
      <c r="LLG1" s="242"/>
      <c r="LLH1" s="242"/>
      <c r="LLI1" s="242"/>
      <c r="LLJ1" s="242"/>
      <c r="LLK1" s="242"/>
      <c r="LLL1" s="242"/>
      <c r="LLM1" s="242"/>
      <c r="LLN1" s="242"/>
      <c r="LLO1" s="242"/>
      <c r="LLP1" s="242"/>
      <c r="LLQ1" s="242"/>
      <c r="LLR1" s="242"/>
      <c r="LLS1" s="242"/>
      <c r="LLT1" s="242"/>
      <c r="LLU1" s="242"/>
      <c r="LLV1" s="242"/>
      <c r="LLW1" s="242"/>
      <c r="LLX1" s="242"/>
      <c r="LLY1" s="242"/>
      <c r="LLZ1" s="242"/>
      <c r="LMA1" s="242"/>
      <c r="LMB1" s="242"/>
      <c r="LMC1" s="242"/>
      <c r="LMD1" s="242"/>
      <c r="LME1" s="242"/>
      <c r="LMF1" s="242"/>
      <c r="LMG1" s="242"/>
      <c r="LMH1" s="242"/>
      <c r="LMI1" s="242"/>
      <c r="LMJ1" s="242"/>
      <c r="LMK1" s="242"/>
      <c r="LML1" s="242"/>
      <c r="LMM1" s="242"/>
      <c r="LMN1" s="242"/>
      <c r="LMO1" s="242"/>
      <c r="LMP1" s="242"/>
      <c r="LMQ1" s="242"/>
      <c r="LMR1" s="242"/>
      <c r="LMS1" s="242"/>
      <c r="LMT1" s="242"/>
      <c r="LMU1" s="242"/>
      <c r="LMV1" s="242"/>
      <c r="LMW1" s="242"/>
      <c r="LMX1" s="242"/>
      <c r="LMY1" s="242"/>
      <c r="LMZ1" s="242"/>
      <c r="LNA1" s="242"/>
      <c r="LNB1" s="242"/>
      <c r="LNC1" s="242"/>
      <c r="LND1" s="242"/>
      <c r="LNE1" s="242"/>
      <c r="LNF1" s="242"/>
      <c r="LNG1" s="242"/>
      <c r="LNH1" s="242"/>
      <c r="LNI1" s="242"/>
      <c r="LNJ1" s="242"/>
      <c r="LNK1" s="242"/>
      <c r="LNL1" s="242"/>
      <c r="LNM1" s="242"/>
      <c r="LNN1" s="242"/>
      <c r="LNO1" s="242"/>
      <c r="LNP1" s="242"/>
      <c r="LNQ1" s="242"/>
      <c r="LNR1" s="242"/>
      <c r="LNS1" s="242"/>
      <c r="LNT1" s="242"/>
      <c r="LNU1" s="242"/>
      <c r="LNV1" s="242"/>
      <c r="LNW1" s="242"/>
      <c r="LNX1" s="242"/>
      <c r="LNY1" s="242"/>
      <c r="LNZ1" s="242"/>
      <c r="LOA1" s="242"/>
      <c r="LOB1" s="242"/>
      <c r="LOC1" s="242"/>
      <c r="LOD1" s="242"/>
      <c r="LOE1" s="242"/>
      <c r="LOF1" s="242"/>
      <c r="LOG1" s="242"/>
      <c r="LOH1" s="242"/>
      <c r="LOI1" s="242"/>
      <c r="LOJ1" s="242"/>
      <c r="LOK1" s="242"/>
      <c r="LOL1" s="242"/>
      <c r="LOM1" s="242"/>
      <c r="LON1" s="242"/>
      <c r="LOO1" s="242"/>
      <c r="LOP1" s="242"/>
      <c r="LOQ1" s="242"/>
      <c r="LOR1" s="242"/>
      <c r="LOS1" s="242"/>
      <c r="LOT1" s="242"/>
      <c r="LOU1" s="242"/>
      <c r="LOV1" s="242"/>
      <c r="LOW1" s="242"/>
      <c r="LOX1" s="242"/>
      <c r="LOY1" s="242"/>
      <c r="LOZ1" s="242"/>
      <c r="LPA1" s="242"/>
      <c r="LPB1" s="242"/>
      <c r="LPC1" s="242"/>
      <c r="LPD1" s="242"/>
      <c r="LPE1" s="242"/>
      <c r="LPF1" s="242"/>
      <c r="LPG1" s="242"/>
      <c r="LPH1" s="242"/>
      <c r="LPI1" s="242"/>
      <c r="LPJ1" s="242"/>
      <c r="LPK1" s="242"/>
      <c r="LPL1" s="242"/>
      <c r="LPM1" s="242"/>
      <c r="LPN1" s="242"/>
      <c r="LPO1" s="242"/>
      <c r="LPP1" s="242"/>
      <c r="LPQ1" s="242"/>
      <c r="LPR1" s="242"/>
      <c r="LPS1" s="242"/>
      <c r="LPT1" s="242"/>
      <c r="LPU1" s="242"/>
      <c r="LPV1" s="242"/>
      <c r="LPW1" s="242"/>
      <c r="LPX1" s="242"/>
      <c r="LPY1" s="242"/>
      <c r="LPZ1" s="242"/>
      <c r="LQA1" s="242"/>
      <c r="LQB1" s="242"/>
      <c r="LQC1" s="242"/>
      <c r="LQD1" s="242"/>
      <c r="LQE1" s="242"/>
      <c r="LQF1" s="242"/>
      <c r="LQG1" s="242"/>
      <c r="LQH1" s="242"/>
      <c r="LQI1" s="242"/>
      <c r="LQJ1" s="242"/>
      <c r="LQK1" s="242"/>
      <c r="LQL1" s="242"/>
      <c r="LQM1" s="242"/>
      <c r="LQN1" s="242"/>
      <c r="LQO1" s="242"/>
      <c r="LQP1" s="242"/>
      <c r="LQQ1" s="242"/>
      <c r="LQR1" s="242"/>
      <c r="LQS1" s="242"/>
      <c r="LQT1" s="242"/>
      <c r="LQU1" s="242"/>
      <c r="LQV1" s="242"/>
      <c r="LQW1" s="242"/>
      <c r="LQX1" s="242"/>
      <c r="LQY1" s="242"/>
      <c r="LQZ1" s="242"/>
      <c r="LRA1" s="242"/>
      <c r="LRB1" s="242"/>
      <c r="LRC1" s="242"/>
      <c r="LRD1" s="242"/>
      <c r="LRE1" s="242"/>
      <c r="LRF1" s="242"/>
      <c r="LRG1" s="242"/>
      <c r="LRH1" s="242"/>
      <c r="LRI1" s="242"/>
      <c r="LRJ1" s="242"/>
      <c r="LRK1" s="242"/>
      <c r="LRL1" s="242"/>
      <c r="LRM1" s="242"/>
      <c r="LRN1" s="242"/>
      <c r="LRO1" s="242"/>
      <c r="LRP1" s="242"/>
      <c r="LRQ1" s="242"/>
      <c r="LRR1" s="242"/>
      <c r="LRS1" s="242"/>
      <c r="LRT1" s="242"/>
      <c r="LRU1" s="242"/>
      <c r="LRV1" s="242"/>
      <c r="LRW1" s="242"/>
      <c r="LRX1" s="242"/>
      <c r="LRY1" s="242"/>
      <c r="LRZ1" s="242"/>
      <c r="LSA1" s="242"/>
      <c r="LSB1" s="242"/>
      <c r="LSC1" s="242"/>
      <c r="LSD1" s="242"/>
      <c r="LSE1" s="242"/>
      <c r="LSF1" s="242"/>
      <c r="LSG1" s="242"/>
      <c r="LSH1" s="242"/>
      <c r="LSI1" s="242"/>
      <c r="LSJ1" s="242"/>
      <c r="LSK1" s="242"/>
      <c r="LSL1" s="242"/>
      <c r="LSM1" s="242"/>
      <c r="LSN1" s="242"/>
      <c r="LSO1" s="242"/>
      <c r="LSP1" s="242"/>
      <c r="LSQ1" s="242"/>
      <c r="LSR1" s="242"/>
      <c r="LSS1" s="242"/>
      <c r="LST1" s="242"/>
      <c r="LSU1" s="242"/>
      <c r="LSV1" s="242"/>
      <c r="LSW1" s="242"/>
      <c r="LSX1" s="242"/>
      <c r="LSY1" s="242"/>
      <c r="LSZ1" s="242"/>
      <c r="LTA1" s="242"/>
      <c r="LTB1" s="242"/>
      <c r="LTC1" s="242"/>
      <c r="LTD1" s="242"/>
      <c r="LTE1" s="242"/>
      <c r="LTF1" s="242"/>
      <c r="LTG1" s="242"/>
      <c r="LTH1" s="242"/>
      <c r="LTI1" s="242"/>
      <c r="LTJ1" s="242"/>
      <c r="LTK1" s="242"/>
      <c r="LTL1" s="242"/>
      <c r="LTM1" s="242"/>
      <c r="LTN1" s="242"/>
      <c r="LTO1" s="242"/>
      <c r="LTP1" s="242"/>
      <c r="LTQ1" s="242"/>
      <c r="LTR1" s="242"/>
      <c r="LTS1" s="242"/>
      <c r="LTT1" s="242"/>
      <c r="LTU1" s="242"/>
      <c r="LTV1" s="242"/>
      <c r="LTW1" s="242"/>
      <c r="LTX1" s="242"/>
      <c r="LTY1" s="242"/>
      <c r="LTZ1" s="242"/>
      <c r="LUA1" s="242"/>
      <c r="LUB1" s="242"/>
      <c r="LUC1" s="242"/>
      <c r="LUD1" s="242"/>
      <c r="LUE1" s="242"/>
      <c r="LUF1" s="242"/>
      <c r="LUG1" s="242"/>
      <c r="LUH1" s="242"/>
      <c r="LUI1" s="242"/>
      <c r="LUJ1" s="242"/>
      <c r="LUK1" s="242"/>
      <c r="LUL1" s="242"/>
      <c r="LUM1" s="242"/>
      <c r="LUN1" s="242"/>
      <c r="LUO1" s="242"/>
      <c r="LUP1" s="242"/>
      <c r="LUQ1" s="242"/>
      <c r="LUR1" s="242"/>
      <c r="LUS1" s="242"/>
      <c r="LUT1" s="242"/>
      <c r="LUU1" s="242"/>
      <c r="LUV1" s="242"/>
      <c r="LUW1" s="242"/>
      <c r="LUX1" s="242"/>
      <c r="LUY1" s="242"/>
      <c r="LUZ1" s="242"/>
      <c r="LVA1" s="242"/>
      <c r="LVB1" s="242"/>
      <c r="LVC1" s="242"/>
      <c r="LVD1" s="242"/>
      <c r="LVE1" s="242"/>
      <c r="LVF1" s="242"/>
      <c r="LVG1" s="242"/>
      <c r="LVH1" s="242"/>
      <c r="LVI1" s="242"/>
      <c r="LVJ1" s="242"/>
      <c r="LVK1" s="242"/>
      <c r="LVL1" s="242"/>
      <c r="LVM1" s="242"/>
      <c r="LVN1" s="242"/>
      <c r="LVO1" s="242"/>
      <c r="LVP1" s="242"/>
      <c r="LVQ1" s="242"/>
      <c r="LVR1" s="242"/>
      <c r="LVS1" s="242"/>
      <c r="LVT1" s="242"/>
      <c r="LVU1" s="242"/>
      <c r="LVV1" s="242"/>
      <c r="LVW1" s="242"/>
      <c r="LVX1" s="242"/>
      <c r="LVY1" s="242"/>
      <c r="LVZ1" s="242"/>
      <c r="LWA1" s="242"/>
      <c r="LWB1" s="242"/>
      <c r="LWC1" s="242"/>
      <c r="LWD1" s="242"/>
      <c r="LWE1" s="242"/>
      <c r="LWF1" s="242"/>
      <c r="LWG1" s="242"/>
      <c r="LWH1" s="242"/>
      <c r="LWI1" s="242"/>
      <c r="LWJ1" s="242"/>
      <c r="LWK1" s="242"/>
      <c r="LWL1" s="242"/>
      <c r="LWM1" s="242"/>
      <c r="LWN1" s="242"/>
      <c r="LWO1" s="242"/>
      <c r="LWP1" s="242"/>
      <c r="LWQ1" s="242"/>
      <c r="LWR1" s="242"/>
      <c r="LWS1" s="242"/>
      <c r="LWT1" s="242"/>
      <c r="LWU1" s="242"/>
      <c r="LWV1" s="242"/>
      <c r="LWW1" s="242"/>
      <c r="LWX1" s="242"/>
      <c r="LWY1" s="242"/>
      <c r="LWZ1" s="242"/>
      <c r="LXA1" s="242"/>
      <c r="LXB1" s="242"/>
      <c r="LXC1" s="242"/>
      <c r="LXD1" s="242"/>
      <c r="LXE1" s="242"/>
      <c r="LXF1" s="242"/>
      <c r="LXG1" s="242"/>
      <c r="LXH1" s="242"/>
      <c r="LXI1" s="242"/>
      <c r="LXJ1" s="242"/>
      <c r="LXK1" s="242"/>
      <c r="LXL1" s="242"/>
      <c r="LXM1" s="242"/>
      <c r="LXN1" s="242"/>
      <c r="LXO1" s="242"/>
      <c r="LXP1" s="242"/>
      <c r="LXQ1" s="242"/>
      <c r="LXR1" s="242"/>
      <c r="LXS1" s="242"/>
      <c r="LXT1" s="242"/>
      <c r="LXU1" s="242"/>
      <c r="LXV1" s="242"/>
      <c r="LXW1" s="242"/>
      <c r="LXX1" s="242"/>
      <c r="LXY1" s="242"/>
      <c r="LXZ1" s="242"/>
      <c r="LYA1" s="242"/>
      <c r="LYB1" s="242"/>
      <c r="LYC1" s="242"/>
      <c r="LYD1" s="242"/>
      <c r="LYE1" s="242"/>
      <c r="LYF1" s="242"/>
      <c r="LYG1" s="242"/>
      <c r="LYH1" s="242"/>
      <c r="LYI1" s="242"/>
      <c r="LYJ1" s="242"/>
      <c r="LYK1" s="242"/>
      <c r="LYL1" s="242"/>
      <c r="LYM1" s="242"/>
      <c r="LYN1" s="242"/>
      <c r="LYO1" s="242"/>
      <c r="LYP1" s="242"/>
      <c r="LYQ1" s="242"/>
      <c r="LYR1" s="242"/>
      <c r="LYS1" s="242"/>
      <c r="LYT1" s="242"/>
      <c r="LYU1" s="242"/>
      <c r="LYV1" s="242"/>
      <c r="LYW1" s="242"/>
      <c r="LYX1" s="242"/>
      <c r="LYY1" s="242"/>
      <c r="LYZ1" s="242"/>
      <c r="LZA1" s="242"/>
      <c r="LZB1" s="242"/>
      <c r="LZC1" s="242"/>
      <c r="LZD1" s="242"/>
      <c r="LZE1" s="242"/>
      <c r="LZF1" s="242"/>
      <c r="LZG1" s="242"/>
      <c r="LZH1" s="242"/>
      <c r="LZI1" s="242"/>
      <c r="LZJ1" s="242"/>
      <c r="LZK1" s="242"/>
      <c r="LZL1" s="242"/>
      <c r="LZM1" s="242"/>
      <c r="LZN1" s="242"/>
      <c r="LZO1" s="242"/>
      <c r="LZP1" s="242"/>
      <c r="LZQ1" s="242"/>
      <c r="LZR1" s="242"/>
      <c r="LZS1" s="242"/>
      <c r="LZT1" s="242"/>
      <c r="LZU1" s="242"/>
      <c r="LZV1" s="242"/>
      <c r="LZW1" s="242"/>
      <c r="LZX1" s="242"/>
      <c r="LZY1" s="242"/>
      <c r="LZZ1" s="242"/>
      <c r="MAA1" s="242"/>
      <c r="MAB1" s="242"/>
      <c r="MAC1" s="242"/>
      <c r="MAD1" s="242"/>
      <c r="MAE1" s="242"/>
      <c r="MAF1" s="242"/>
      <c r="MAG1" s="242"/>
      <c r="MAH1" s="242"/>
      <c r="MAI1" s="242"/>
      <c r="MAJ1" s="242"/>
      <c r="MAK1" s="242"/>
      <c r="MAL1" s="242"/>
      <c r="MAM1" s="242"/>
      <c r="MAN1" s="242"/>
      <c r="MAO1" s="242"/>
      <c r="MAP1" s="242"/>
      <c r="MAQ1" s="242"/>
      <c r="MAR1" s="242"/>
      <c r="MAS1" s="242"/>
      <c r="MAT1" s="242"/>
      <c r="MAU1" s="242"/>
      <c r="MAV1" s="242"/>
      <c r="MAW1" s="242"/>
      <c r="MAX1" s="242"/>
      <c r="MAY1" s="242"/>
      <c r="MAZ1" s="242"/>
      <c r="MBA1" s="242"/>
      <c r="MBB1" s="242"/>
      <c r="MBC1" s="242"/>
      <c r="MBD1" s="242"/>
      <c r="MBE1" s="242"/>
      <c r="MBF1" s="242"/>
      <c r="MBG1" s="242"/>
      <c r="MBH1" s="242"/>
      <c r="MBI1" s="242"/>
      <c r="MBJ1" s="242"/>
      <c r="MBK1" s="242"/>
      <c r="MBL1" s="242"/>
      <c r="MBM1" s="242"/>
      <c r="MBN1" s="242"/>
      <c r="MBO1" s="242"/>
      <c r="MBP1" s="242"/>
      <c r="MBQ1" s="242"/>
      <c r="MBR1" s="242"/>
      <c r="MBS1" s="242"/>
      <c r="MBT1" s="242"/>
      <c r="MBU1" s="242"/>
      <c r="MBV1" s="242"/>
      <c r="MBW1" s="242"/>
      <c r="MBX1" s="242"/>
      <c r="MBY1" s="242"/>
      <c r="MBZ1" s="242"/>
      <c r="MCA1" s="242"/>
      <c r="MCB1" s="242"/>
      <c r="MCC1" s="242"/>
      <c r="MCD1" s="242"/>
      <c r="MCE1" s="242"/>
      <c r="MCF1" s="242"/>
      <c r="MCG1" s="242"/>
      <c r="MCH1" s="242"/>
      <c r="MCI1" s="242"/>
      <c r="MCJ1" s="242"/>
      <c r="MCK1" s="242"/>
      <c r="MCL1" s="242"/>
      <c r="MCM1" s="242"/>
      <c r="MCN1" s="242"/>
      <c r="MCO1" s="242"/>
      <c r="MCP1" s="242"/>
      <c r="MCQ1" s="242"/>
      <c r="MCR1" s="242"/>
      <c r="MCS1" s="242"/>
      <c r="MCT1" s="242"/>
      <c r="MCU1" s="242"/>
      <c r="MCV1" s="242"/>
      <c r="MCW1" s="242"/>
      <c r="MCX1" s="242"/>
      <c r="MCY1" s="242"/>
      <c r="MCZ1" s="242"/>
      <c r="MDA1" s="242"/>
      <c r="MDB1" s="242"/>
      <c r="MDC1" s="242"/>
      <c r="MDD1" s="242"/>
      <c r="MDE1" s="242"/>
      <c r="MDF1" s="242"/>
      <c r="MDG1" s="242"/>
      <c r="MDH1" s="242"/>
      <c r="MDI1" s="242"/>
      <c r="MDJ1" s="242"/>
      <c r="MDK1" s="242"/>
      <c r="MDL1" s="242"/>
      <c r="MDM1" s="242"/>
      <c r="MDN1" s="242"/>
      <c r="MDO1" s="242"/>
      <c r="MDP1" s="242"/>
      <c r="MDQ1" s="242"/>
      <c r="MDR1" s="242"/>
      <c r="MDS1" s="242"/>
      <c r="MDT1" s="242"/>
      <c r="MDU1" s="242"/>
      <c r="MDV1" s="242"/>
      <c r="MDW1" s="242"/>
      <c r="MDX1" s="242"/>
      <c r="MDY1" s="242"/>
      <c r="MDZ1" s="242"/>
      <c r="MEA1" s="242"/>
      <c r="MEB1" s="242"/>
      <c r="MEC1" s="242"/>
      <c r="MED1" s="242"/>
      <c r="MEE1" s="242"/>
      <c r="MEF1" s="242"/>
      <c r="MEG1" s="242"/>
      <c r="MEH1" s="242"/>
      <c r="MEI1" s="242"/>
      <c r="MEJ1" s="242"/>
      <c r="MEK1" s="242"/>
      <c r="MEL1" s="242"/>
      <c r="MEM1" s="242"/>
      <c r="MEN1" s="242"/>
      <c r="MEO1" s="242"/>
      <c r="MEP1" s="242"/>
      <c r="MEQ1" s="242"/>
      <c r="MER1" s="242"/>
      <c r="MES1" s="242"/>
      <c r="MET1" s="242"/>
      <c r="MEU1" s="242"/>
      <c r="MEV1" s="242"/>
      <c r="MEW1" s="242"/>
      <c r="MEX1" s="242"/>
      <c r="MEY1" s="242"/>
      <c r="MEZ1" s="242"/>
      <c r="MFA1" s="242"/>
      <c r="MFB1" s="242"/>
      <c r="MFC1" s="242"/>
      <c r="MFD1" s="242"/>
      <c r="MFE1" s="242"/>
      <c r="MFF1" s="242"/>
      <c r="MFG1" s="242"/>
      <c r="MFH1" s="242"/>
      <c r="MFI1" s="242"/>
      <c r="MFJ1" s="242"/>
      <c r="MFK1" s="242"/>
      <c r="MFL1" s="242"/>
      <c r="MFM1" s="242"/>
      <c r="MFN1" s="242"/>
      <c r="MFO1" s="242"/>
      <c r="MFP1" s="242"/>
      <c r="MFQ1" s="242"/>
      <c r="MFR1" s="242"/>
      <c r="MFS1" s="242"/>
      <c r="MFT1" s="242"/>
      <c r="MFU1" s="242"/>
      <c r="MFV1" s="242"/>
      <c r="MFW1" s="242"/>
      <c r="MFX1" s="242"/>
      <c r="MFY1" s="242"/>
      <c r="MFZ1" s="242"/>
      <c r="MGA1" s="242"/>
      <c r="MGB1" s="242"/>
      <c r="MGC1" s="242"/>
      <c r="MGD1" s="242"/>
      <c r="MGE1" s="242"/>
      <c r="MGF1" s="242"/>
      <c r="MGG1" s="242"/>
      <c r="MGH1" s="242"/>
      <c r="MGI1" s="242"/>
      <c r="MGJ1" s="242"/>
      <c r="MGK1" s="242"/>
      <c r="MGL1" s="242"/>
      <c r="MGM1" s="242"/>
      <c r="MGN1" s="242"/>
      <c r="MGO1" s="242"/>
      <c r="MGP1" s="242"/>
      <c r="MGQ1" s="242"/>
      <c r="MGR1" s="242"/>
      <c r="MGS1" s="242"/>
      <c r="MGT1" s="242"/>
      <c r="MGU1" s="242"/>
      <c r="MGV1" s="242"/>
      <c r="MGW1" s="242"/>
      <c r="MGX1" s="242"/>
      <c r="MGY1" s="242"/>
      <c r="MGZ1" s="242"/>
      <c r="MHA1" s="242"/>
      <c r="MHB1" s="242"/>
      <c r="MHC1" s="242"/>
      <c r="MHD1" s="242"/>
      <c r="MHE1" s="242"/>
      <c r="MHF1" s="242"/>
      <c r="MHG1" s="242"/>
      <c r="MHH1" s="242"/>
      <c r="MHI1" s="242"/>
      <c r="MHJ1" s="242"/>
      <c r="MHK1" s="242"/>
      <c r="MHL1" s="242"/>
      <c r="MHM1" s="242"/>
      <c r="MHN1" s="242"/>
      <c r="MHO1" s="242"/>
      <c r="MHP1" s="242"/>
      <c r="MHQ1" s="242"/>
      <c r="MHR1" s="242"/>
      <c r="MHS1" s="242"/>
      <c r="MHT1" s="242"/>
      <c r="MHU1" s="242"/>
      <c r="MHV1" s="242"/>
      <c r="MHW1" s="242"/>
      <c r="MHX1" s="242"/>
      <c r="MHY1" s="242"/>
      <c r="MHZ1" s="242"/>
      <c r="MIA1" s="242"/>
      <c r="MIB1" s="242"/>
      <c r="MIC1" s="242"/>
      <c r="MID1" s="242"/>
      <c r="MIE1" s="242"/>
      <c r="MIF1" s="242"/>
      <c r="MIG1" s="242"/>
      <c r="MIH1" s="242"/>
      <c r="MII1" s="242"/>
      <c r="MIJ1" s="242"/>
      <c r="MIK1" s="242"/>
      <c r="MIL1" s="242"/>
      <c r="MIM1" s="242"/>
      <c r="MIN1" s="242"/>
      <c r="MIO1" s="242"/>
      <c r="MIP1" s="242"/>
      <c r="MIQ1" s="242"/>
      <c r="MIR1" s="242"/>
      <c r="MIS1" s="242"/>
      <c r="MIT1" s="242"/>
      <c r="MIU1" s="242"/>
      <c r="MIV1" s="242"/>
      <c r="MIW1" s="242"/>
      <c r="MIX1" s="242"/>
      <c r="MIY1" s="242"/>
      <c r="MIZ1" s="242"/>
      <c r="MJA1" s="242"/>
      <c r="MJB1" s="242"/>
      <c r="MJC1" s="242"/>
      <c r="MJD1" s="242"/>
      <c r="MJE1" s="242"/>
      <c r="MJF1" s="242"/>
      <c r="MJG1" s="242"/>
      <c r="MJH1" s="242"/>
      <c r="MJI1" s="242"/>
      <c r="MJJ1" s="242"/>
      <c r="MJK1" s="242"/>
      <c r="MJL1" s="242"/>
      <c r="MJM1" s="242"/>
      <c r="MJN1" s="242"/>
      <c r="MJO1" s="242"/>
      <c r="MJP1" s="242"/>
      <c r="MJQ1" s="242"/>
      <c r="MJR1" s="242"/>
      <c r="MJS1" s="242"/>
      <c r="MJT1" s="242"/>
      <c r="MJU1" s="242"/>
      <c r="MJV1" s="242"/>
      <c r="MJW1" s="242"/>
      <c r="MJX1" s="242"/>
      <c r="MJY1" s="242"/>
      <c r="MJZ1" s="242"/>
      <c r="MKA1" s="242"/>
      <c r="MKB1" s="242"/>
      <c r="MKC1" s="242"/>
      <c r="MKD1" s="242"/>
      <c r="MKE1" s="242"/>
      <c r="MKF1" s="242"/>
      <c r="MKG1" s="242"/>
      <c r="MKH1" s="242"/>
      <c r="MKI1" s="242"/>
      <c r="MKJ1" s="242"/>
      <c r="MKK1" s="242"/>
      <c r="MKL1" s="242"/>
      <c r="MKM1" s="242"/>
      <c r="MKN1" s="242"/>
      <c r="MKO1" s="242"/>
      <c r="MKP1" s="242"/>
      <c r="MKQ1" s="242"/>
      <c r="MKR1" s="242"/>
      <c r="MKS1" s="242"/>
      <c r="MKT1" s="242"/>
      <c r="MKU1" s="242"/>
      <c r="MKV1" s="242"/>
      <c r="MKW1" s="242"/>
      <c r="MKX1" s="242"/>
      <c r="MKY1" s="242"/>
      <c r="MKZ1" s="242"/>
      <c r="MLA1" s="242"/>
      <c r="MLB1" s="242"/>
      <c r="MLC1" s="242"/>
      <c r="MLD1" s="242"/>
      <c r="MLE1" s="242"/>
      <c r="MLF1" s="242"/>
      <c r="MLG1" s="242"/>
      <c r="MLH1" s="242"/>
      <c r="MLI1" s="242"/>
      <c r="MLJ1" s="242"/>
      <c r="MLK1" s="242"/>
      <c r="MLL1" s="242"/>
      <c r="MLM1" s="242"/>
      <c r="MLN1" s="242"/>
      <c r="MLO1" s="242"/>
      <c r="MLP1" s="242"/>
      <c r="MLQ1" s="242"/>
      <c r="MLR1" s="242"/>
      <c r="MLS1" s="242"/>
      <c r="MLT1" s="242"/>
      <c r="MLU1" s="242"/>
      <c r="MLV1" s="242"/>
      <c r="MLW1" s="242"/>
      <c r="MLX1" s="242"/>
      <c r="MLY1" s="242"/>
      <c r="MLZ1" s="242"/>
      <c r="MMA1" s="242"/>
      <c r="MMB1" s="242"/>
      <c r="MMC1" s="242"/>
      <c r="MMD1" s="242"/>
      <c r="MME1" s="242"/>
      <c r="MMF1" s="242"/>
      <c r="MMG1" s="242"/>
      <c r="MMH1" s="242"/>
      <c r="MMI1" s="242"/>
      <c r="MMJ1" s="242"/>
      <c r="MMK1" s="242"/>
      <c r="MML1" s="242"/>
      <c r="MMM1" s="242"/>
      <c r="MMN1" s="242"/>
      <c r="MMO1" s="242"/>
      <c r="MMP1" s="242"/>
      <c r="MMQ1" s="242"/>
      <c r="MMR1" s="242"/>
      <c r="MMS1" s="242"/>
      <c r="MMT1" s="242"/>
      <c r="MMU1" s="242"/>
      <c r="MMV1" s="242"/>
      <c r="MMW1" s="242"/>
      <c r="MMX1" s="242"/>
      <c r="MMY1" s="242"/>
      <c r="MMZ1" s="242"/>
      <c r="MNA1" s="242"/>
      <c r="MNB1" s="242"/>
      <c r="MNC1" s="242"/>
      <c r="MND1" s="242"/>
      <c r="MNE1" s="242"/>
      <c r="MNF1" s="242"/>
      <c r="MNG1" s="242"/>
      <c r="MNH1" s="242"/>
      <c r="MNI1" s="242"/>
      <c r="MNJ1" s="242"/>
      <c r="MNK1" s="242"/>
      <c r="MNL1" s="242"/>
      <c r="MNM1" s="242"/>
      <c r="MNN1" s="242"/>
      <c r="MNO1" s="242"/>
      <c r="MNP1" s="242"/>
      <c r="MNQ1" s="242"/>
      <c r="MNR1" s="242"/>
      <c r="MNS1" s="242"/>
      <c r="MNT1" s="242"/>
      <c r="MNU1" s="242"/>
      <c r="MNV1" s="242"/>
      <c r="MNW1" s="242"/>
      <c r="MNX1" s="242"/>
      <c r="MNY1" s="242"/>
      <c r="MNZ1" s="242"/>
      <c r="MOA1" s="242"/>
      <c r="MOB1" s="242"/>
      <c r="MOC1" s="242"/>
      <c r="MOD1" s="242"/>
      <c r="MOE1" s="242"/>
      <c r="MOF1" s="242"/>
      <c r="MOG1" s="242"/>
      <c r="MOH1" s="242"/>
      <c r="MOI1" s="242"/>
      <c r="MOJ1" s="242"/>
      <c r="MOK1" s="242"/>
      <c r="MOL1" s="242"/>
      <c r="MOM1" s="242"/>
      <c r="MON1" s="242"/>
      <c r="MOO1" s="242"/>
      <c r="MOP1" s="242"/>
      <c r="MOQ1" s="242"/>
      <c r="MOR1" s="242"/>
      <c r="MOS1" s="242"/>
      <c r="MOT1" s="242"/>
      <c r="MOU1" s="242"/>
      <c r="MOV1" s="242"/>
      <c r="MOW1" s="242"/>
      <c r="MOX1" s="242"/>
      <c r="MOY1" s="242"/>
      <c r="MOZ1" s="242"/>
      <c r="MPA1" s="242"/>
      <c r="MPB1" s="242"/>
      <c r="MPC1" s="242"/>
      <c r="MPD1" s="242"/>
      <c r="MPE1" s="242"/>
      <c r="MPF1" s="242"/>
      <c r="MPG1" s="242"/>
      <c r="MPH1" s="242"/>
      <c r="MPI1" s="242"/>
      <c r="MPJ1" s="242"/>
      <c r="MPK1" s="242"/>
      <c r="MPL1" s="242"/>
      <c r="MPM1" s="242"/>
      <c r="MPN1" s="242"/>
      <c r="MPO1" s="242"/>
      <c r="MPP1" s="242"/>
      <c r="MPQ1" s="242"/>
      <c r="MPR1" s="242"/>
      <c r="MPS1" s="242"/>
      <c r="MPT1" s="242"/>
      <c r="MPU1" s="242"/>
      <c r="MPV1" s="242"/>
      <c r="MPW1" s="242"/>
      <c r="MPX1" s="242"/>
      <c r="MPY1" s="242"/>
      <c r="MPZ1" s="242"/>
      <c r="MQA1" s="242"/>
      <c r="MQB1" s="242"/>
      <c r="MQC1" s="242"/>
      <c r="MQD1" s="242"/>
      <c r="MQE1" s="242"/>
      <c r="MQF1" s="242"/>
      <c r="MQG1" s="242"/>
      <c r="MQH1" s="242"/>
      <c r="MQI1" s="242"/>
      <c r="MQJ1" s="242"/>
      <c r="MQK1" s="242"/>
      <c r="MQL1" s="242"/>
      <c r="MQM1" s="242"/>
      <c r="MQN1" s="242"/>
      <c r="MQO1" s="242"/>
      <c r="MQP1" s="242"/>
      <c r="MQQ1" s="242"/>
      <c r="MQR1" s="242"/>
      <c r="MQS1" s="242"/>
      <c r="MQT1" s="242"/>
      <c r="MQU1" s="242"/>
      <c r="MQV1" s="242"/>
      <c r="MQW1" s="242"/>
      <c r="MQX1" s="242"/>
      <c r="MQY1" s="242"/>
      <c r="MQZ1" s="242"/>
      <c r="MRA1" s="242"/>
      <c r="MRB1" s="242"/>
      <c r="MRC1" s="242"/>
      <c r="MRD1" s="242"/>
      <c r="MRE1" s="242"/>
      <c r="MRF1" s="242"/>
      <c r="MRG1" s="242"/>
      <c r="MRH1" s="242"/>
      <c r="MRI1" s="242"/>
      <c r="MRJ1" s="242"/>
      <c r="MRK1" s="242"/>
      <c r="MRL1" s="242"/>
      <c r="MRM1" s="242"/>
      <c r="MRN1" s="242"/>
      <c r="MRO1" s="242"/>
      <c r="MRP1" s="242"/>
      <c r="MRQ1" s="242"/>
      <c r="MRR1" s="242"/>
      <c r="MRS1" s="242"/>
      <c r="MRT1" s="242"/>
      <c r="MRU1" s="242"/>
      <c r="MRV1" s="242"/>
      <c r="MRW1" s="242"/>
      <c r="MRX1" s="242"/>
      <c r="MRY1" s="242"/>
      <c r="MRZ1" s="242"/>
      <c r="MSA1" s="242"/>
      <c r="MSB1" s="242"/>
      <c r="MSC1" s="242"/>
      <c r="MSD1" s="242"/>
      <c r="MSE1" s="242"/>
      <c r="MSF1" s="242"/>
      <c r="MSG1" s="242"/>
      <c r="MSH1" s="242"/>
      <c r="MSI1" s="242"/>
      <c r="MSJ1" s="242"/>
      <c r="MSK1" s="242"/>
      <c r="MSL1" s="242"/>
      <c r="MSM1" s="242"/>
      <c r="MSN1" s="242"/>
      <c r="MSO1" s="242"/>
      <c r="MSP1" s="242"/>
      <c r="MSQ1" s="242"/>
      <c r="MSR1" s="242"/>
      <c r="MSS1" s="242"/>
      <c r="MST1" s="242"/>
      <c r="MSU1" s="242"/>
      <c r="MSV1" s="242"/>
      <c r="MSW1" s="242"/>
      <c r="MSX1" s="242"/>
      <c r="MSY1" s="242"/>
      <c r="MSZ1" s="242"/>
      <c r="MTA1" s="242"/>
      <c r="MTB1" s="242"/>
      <c r="MTC1" s="242"/>
      <c r="MTD1" s="242"/>
      <c r="MTE1" s="242"/>
      <c r="MTF1" s="242"/>
      <c r="MTG1" s="242"/>
      <c r="MTH1" s="242"/>
      <c r="MTI1" s="242"/>
      <c r="MTJ1" s="242"/>
      <c r="MTK1" s="242"/>
      <c r="MTL1" s="242"/>
      <c r="MTM1" s="242"/>
      <c r="MTN1" s="242"/>
      <c r="MTO1" s="242"/>
      <c r="MTP1" s="242"/>
      <c r="MTQ1" s="242"/>
      <c r="MTR1" s="242"/>
      <c r="MTS1" s="242"/>
      <c r="MTT1" s="242"/>
      <c r="MTU1" s="242"/>
      <c r="MTV1" s="242"/>
      <c r="MTW1" s="242"/>
      <c r="MTX1" s="242"/>
      <c r="MTY1" s="242"/>
      <c r="MTZ1" s="242"/>
      <c r="MUA1" s="242"/>
      <c r="MUB1" s="242"/>
      <c r="MUC1" s="242"/>
      <c r="MUD1" s="242"/>
      <c r="MUE1" s="242"/>
      <c r="MUF1" s="242"/>
      <c r="MUG1" s="242"/>
      <c r="MUH1" s="242"/>
      <c r="MUI1" s="242"/>
      <c r="MUJ1" s="242"/>
      <c r="MUK1" s="242"/>
      <c r="MUL1" s="242"/>
      <c r="MUM1" s="242"/>
      <c r="MUN1" s="242"/>
      <c r="MUO1" s="242"/>
      <c r="MUP1" s="242"/>
      <c r="MUQ1" s="242"/>
      <c r="MUR1" s="242"/>
      <c r="MUS1" s="242"/>
      <c r="MUT1" s="242"/>
      <c r="MUU1" s="242"/>
      <c r="MUV1" s="242"/>
      <c r="MUW1" s="242"/>
      <c r="MUX1" s="242"/>
      <c r="MUY1" s="242"/>
      <c r="MUZ1" s="242"/>
      <c r="MVA1" s="242"/>
      <c r="MVB1" s="242"/>
      <c r="MVC1" s="242"/>
      <c r="MVD1" s="242"/>
      <c r="MVE1" s="242"/>
      <c r="MVF1" s="242"/>
      <c r="MVG1" s="242"/>
      <c r="MVH1" s="242"/>
      <c r="MVI1" s="242"/>
      <c r="MVJ1" s="242"/>
      <c r="MVK1" s="242"/>
      <c r="MVL1" s="242"/>
      <c r="MVM1" s="242"/>
      <c r="MVN1" s="242"/>
      <c r="MVO1" s="242"/>
      <c r="MVP1" s="242"/>
      <c r="MVQ1" s="242"/>
      <c r="MVR1" s="242"/>
      <c r="MVS1" s="242"/>
      <c r="MVT1" s="242"/>
      <c r="MVU1" s="242"/>
      <c r="MVV1" s="242"/>
      <c r="MVW1" s="242"/>
      <c r="MVX1" s="242"/>
      <c r="MVY1" s="242"/>
      <c r="MVZ1" s="242"/>
      <c r="MWA1" s="242"/>
      <c r="MWB1" s="242"/>
      <c r="MWC1" s="242"/>
      <c r="MWD1" s="242"/>
      <c r="MWE1" s="242"/>
      <c r="MWF1" s="242"/>
      <c r="MWG1" s="242"/>
      <c r="MWH1" s="242"/>
      <c r="MWI1" s="242"/>
      <c r="MWJ1" s="242"/>
      <c r="MWK1" s="242"/>
      <c r="MWL1" s="242"/>
      <c r="MWM1" s="242"/>
      <c r="MWN1" s="242"/>
      <c r="MWO1" s="242"/>
      <c r="MWP1" s="242"/>
      <c r="MWQ1" s="242"/>
      <c r="MWR1" s="242"/>
      <c r="MWS1" s="242"/>
      <c r="MWT1" s="242"/>
      <c r="MWU1" s="242"/>
      <c r="MWV1" s="242"/>
      <c r="MWW1" s="242"/>
      <c r="MWX1" s="242"/>
      <c r="MWY1" s="242"/>
      <c r="MWZ1" s="242"/>
      <c r="MXA1" s="242"/>
      <c r="MXB1" s="242"/>
      <c r="MXC1" s="242"/>
      <c r="MXD1" s="242"/>
      <c r="MXE1" s="242"/>
      <c r="MXF1" s="242"/>
      <c r="MXG1" s="242"/>
      <c r="MXH1" s="242"/>
      <c r="MXI1" s="242"/>
      <c r="MXJ1" s="242"/>
      <c r="MXK1" s="242"/>
      <c r="MXL1" s="242"/>
      <c r="MXM1" s="242"/>
      <c r="MXN1" s="242"/>
      <c r="MXO1" s="242"/>
      <c r="MXP1" s="242"/>
      <c r="MXQ1" s="242"/>
      <c r="MXR1" s="242"/>
      <c r="MXS1" s="242"/>
      <c r="MXT1" s="242"/>
      <c r="MXU1" s="242"/>
      <c r="MXV1" s="242"/>
      <c r="MXW1" s="242"/>
      <c r="MXX1" s="242"/>
      <c r="MXY1" s="242"/>
      <c r="MXZ1" s="242"/>
      <c r="MYA1" s="242"/>
      <c r="MYB1" s="242"/>
      <c r="MYC1" s="242"/>
      <c r="MYD1" s="242"/>
      <c r="MYE1" s="242"/>
      <c r="MYF1" s="242"/>
      <c r="MYG1" s="242"/>
      <c r="MYH1" s="242"/>
      <c r="MYI1" s="242"/>
      <c r="MYJ1" s="242"/>
      <c r="MYK1" s="242"/>
      <c r="MYL1" s="242"/>
      <c r="MYM1" s="242"/>
      <c r="MYN1" s="242"/>
      <c r="MYO1" s="242"/>
      <c r="MYP1" s="242"/>
      <c r="MYQ1" s="242"/>
      <c r="MYR1" s="242"/>
      <c r="MYS1" s="242"/>
      <c r="MYT1" s="242"/>
      <c r="MYU1" s="242"/>
      <c r="MYV1" s="242"/>
      <c r="MYW1" s="242"/>
      <c r="MYX1" s="242"/>
      <c r="MYY1" s="242"/>
      <c r="MYZ1" s="242"/>
      <c r="MZA1" s="242"/>
      <c r="MZB1" s="242"/>
      <c r="MZC1" s="242"/>
      <c r="MZD1" s="242"/>
      <c r="MZE1" s="242"/>
      <c r="MZF1" s="242"/>
      <c r="MZG1" s="242"/>
      <c r="MZH1" s="242"/>
      <c r="MZI1" s="242"/>
      <c r="MZJ1" s="242"/>
      <c r="MZK1" s="242"/>
      <c r="MZL1" s="242"/>
      <c r="MZM1" s="242"/>
      <c r="MZN1" s="242"/>
      <c r="MZO1" s="242"/>
      <c r="MZP1" s="242"/>
      <c r="MZQ1" s="242"/>
      <c r="MZR1" s="242"/>
      <c r="MZS1" s="242"/>
      <c r="MZT1" s="242"/>
      <c r="MZU1" s="242"/>
      <c r="MZV1" s="242"/>
      <c r="MZW1" s="242"/>
      <c r="MZX1" s="242"/>
      <c r="MZY1" s="242"/>
      <c r="MZZ1" s="242"/>
      <c r="NAA1" s="242"/>
      <c r="NAB1" s="242"/>
      <c r="NAC1" s="242"/>
      <c r="NAD1" s="242"/>
      <c r="NAE1" s="242"/>
      <c r="NAF1" s="242"/>
      <c r="NAG1" s="242"/>
      <c r="NAH1" s="242"/>
      <c r="NAI1" s="242"/>
      <c r="NAJ1" s="242"/>
      <c r="NAK1" s="242"/>
      <c r="NAL1" s="242"/>
      <c r="NAM1" s="242"/>
      <c r="NAN1" s="242"/>
      <c r="NAO1" s="242"/>
      <c r="NAP1" s="242"/>
      <c r="NAQ1" s="242"/>
      <c r="NAR1" s="242"/>
      <c r="NAS1" s="242"/>
      <c r="NAT1" s="242"/>
      <c r="NAU1" s="242"/>
      <c r="NAV1" s="242"/>
      <c r="NAW1" s="242"/>
      <c r="NAX1" s="242"/>
      <c r="NAY1" s="242"/>
      <c r="NAZ1" s="242"/>
      <c r="NBA1" s="242"/>
      <c r="NBB1" s="242"/>
      <c r="NBC1" s="242"/>
      <c r="NBD1" s="242"/>
      <c r="NBE1" s="242"/>
      <c r="NBF1" s="242"/>
      <c r="NBG1" s="242"/>
      <c r="NBH1" s="242"/>
      <c r="NBI1" s="242"/>
      <c r="NBJ1" s="242"/>
      <c r="NBK1" s="242"/>
      <c r="NBL1" s="242"/>
      <c r="NBM1" s="242"/>
      <c r="NBN1" s="242"/>
      <c r="NBO1" s="242"/>
      <c r="NBP1" s="242"/>
      <c r="NBQ1" s="242"/>
      <c r="NBR1" s="242"/>
      <c r="NBS1" s="242"/>
      <c r="NBT1" s="242"/>
      <c r="NBU1" s="242"/>
      <c r="NBV1" s="242"/>
      <c r="NBW1" s="242"/>
      <c r="NBX1" s="242"/>
      <c r="NBY1" s="242"/>
      <c r="NBZ1" s="242"/>
      <c r="NCA1" s="242"/>
      <c r="NCB1" s="242"/>
      <c r="NCC1" s="242"/>
      <c r="NCD1" s="242"/>
      <c r="NCE1" s="242"/>
      <c r="NCF1" s="242"/>
      <c r="NCG1" s="242"/>
      <c r="NCH1" s="242"/>
      <c r="NCI1" s="242"/>
      <c r="NCJ1" s="242"/>
      <c r="NCK1" s="242"/>
      <c r="NCL1" s="242"/>
      <c r="NCM1" s="242"/>
      <c r="NCN1" s="242"/>
      <c r="NCO1" s="242"/>
      <c r="NCP1" s="242"/>
      <c r="NCQ1" s="242"/>
      <c r="NCR1" s="242"/>
      <c r="NCS1" s="242"/>
      <c r="NCT1" s="242"/>
      <c r="NCU1" s="242"/>
      <c r="NCV1" s="242"/>
      <c r="NCW1" s="242"/>
      <c r="NCX1" s="242"/>
      <c r="NCY1" s="242"/>
      <c r="NCZ1" s="242"/>
      <c r="NDA1" s="242"/>
      <c r="NDB1" s="242"/>
      <c r="NDC1" s="242"/>
      <c r="NDD1" s="242"/>
      <c r="NDE1" s="242"/>
      <c r="NDF1" s="242"/>
      <c r="NDG1" s="242"/>
      <c r="NDH1" s="242"/>
      <c r="NDI1" s="242"/>
      <c r="NDJ1" s="242"/>
      <c r="NDK1" s="242"/>
      <c r="NDL1" s="242"/>
      <c r="NDM1" s="242"/>
      <c r="NDN1" s="242"/>
      <c r="NDO1" s="242"/>
      <c r="NDP1" s="242"/>
      <c r="NDQ1" s="242"/>
      <c r="NDR1" s="242"/>
      <c r="NDS1" s="242"/>
      <c r="NDT1" s="242"/>
      <c r="NDU1" s="242"/>
      <c r="NDV1" s="242"/>
      <c r="NDW1" s="242"/>
      <c r="NDX1" s="242"/>
      <c r="NDY1" s="242"/>
      <c r="NDZ1" s="242"/>
      <c r="NEA1" s="242"/>
      <c r="NEB1" s="242"/>
      <c r="NEC1" s="242"/>
      <c r="NED1" s="242"/>
      <c r="NEE1" s="242"/>
      <c r="NEF1" s="242"/>
      <c r="NEG1" s="242"/>
      <c r="NEH1" s="242"/>
      <c r="NEI1" s="242"/>
      <c r="NEJ1" s="242"/>
      <c r="NEK1" s="242"/>
      <c r="NEL1" s="242"/>
      <c r="NEM1" s="242"/>
      <c r="NEN1" s="242"/>
      <c r="NEO1" s="242"/>
      <c r="NEP1" s="242"/>
      <c r="NEQ1" s="242"/>
      <c r="NER1" s="242"/>
      <c r="NES1" s="242"/>
      <c r="NET1" s="242"/>
      <c r="NEU1" s="242"/>
      <c r="NEV1" s="242"/>
      <c r="NEW1" s="242"/>
      <c r="NEX1" s="242"/>
      <c r="NEY1" s="242"/>
      <c r="NEZ1" s="242"/>
      <c r="NFA1" s="242"/>
      <c r="NFB1" s="242"/>
      <c r="NFC1" s="242"/>
      <c r="NFD1" s="242"/>
      <c r="NFE1" s="242"/>
      <c r="NFF1" s="242"/>
      <c r="NFG1" s="242"/>
      <c r="NFH1" s="242"/>
      <c r="NFI1" s="242"/>
      <c r="NFJ1" s="242"/>
      <c r="NFK1" s="242"/>
      <c r="NFL1" s="242"/>
      <c r="NFM1" s="242"/>
      <c r="NFN1" s="242"/>
      <c r="NFO1" s="242"/>
      <c r="NFP1" s="242"/>
      <c r="NFQ1" s="242"/>
      <c r="NFR1" s="242"/>
      <c r="NFS1" s="242"/>
      <c r="NFT1" s="242"/>
      <c r="NFU1" s="242"/>
      <c r="NFV1" s="242"/>
      <c r="NFW1" s="242"/>
      <c r="NFX1" s="242"/>
      <c r="NFY1" s="242"/>
      <c r="NFZ1" s="242"/>
      <c r="NGA1" s="242"/>
      <c r="NGB1" s="242"/>
      <c r="NGC1" s="242"/>
      <c r="NGD1" s="242"/>
      <c r="NGE1" s="242"/>
      <c r="NGF1" s="242"/>
      <c r="NGG1" s="242"/>
      <c r="NGH1" s="242"/>
      <c r="NGI1" s="242"/>
      <c r="NGJ1" s="242"/>
      <c r="NGK1" s="242"/>
      <c r="NGL1" s="242"/>
      <c r="NGM1" s="242"/>
      <c r="NGN1" s="242"/>
      <c r="NGO1" s="242"/>
      <c r="NGP1" s="242"/>
      <c r="NGQ1" s="242"/>
      <c r="NGR1" s="242"/>
      <c r="NGS1" s="242"/>
      <c r="NGT1" s="242"/>
      <c r="NGU1" s="242"/>
      <c r="NGV1" s="242"/>
      <c r="NGW1" s="242"/>
      <c r="NGX1" s="242"/>
      <c r="NGY1" s="242"/>
      <c r="NGZ1" s="242"/>
      <c r="NHA1" s="242"/>
      <c r="NHB1" s="242"/>
      <c r="NHC1" s="242"/>
      <c r="NHD1" s="242"/>
      <c r="NHE1" s="242"/>
      <c r="NHF1" s="242"/>
      <c r="NHG1" s="242"/>
      <c r="NHH1" s="242"/>
      <c r="NHI1" s="242"/>
      <c r="NHJ1" s="242"/>
      <c r="NHK1" s="242"/>
      <c r="NHL1" s="242"/>
      <c r="NHM1" s="242"/>
      <c r="NHN1" s="242"/>
      <c r="NHO1" s="242"/>
      <c r="NHP1" s="242"/>
      <c r="NHQ1" s="242"/>
      <c r="NHR1" s="242"/>
      <c r="NHS1" s="242"/>
      <c r="NHT1" s="242"/>
      <c r="NHU1" s="242"/>
      <c r="NHV1" s="242"/>
      <c r="NHW1" s="242"/>
      <c r="NHX1" s="242"/>
      <c r="NHY1" s="242"/>
      <c r="NHZ1" s="242"/>
      <c r="NIA1" s="242"/>
      <c r="NIB1" s="242"/>
      <c r="NIC1" s="242"/>
      <c r="NID1" s="242"/>
      <c r="NIE1" s="242"/>
      <c r="NIF1" s="242"/>
      <c r="NIG1" s="242"/>
      <c r="NIH1" s="242"/>
      <c r="NII1" s="242"/>
      <c r="NIJ1" s="242"/>
      <c r="NIK1" s="242"/>
      <c r="NIL1" s="242"/>
      <c r="NIM1" s="242"/>
      <c r="NIN1" s="242"/>
      <c r="NIO1" s="242"/>
      <c r="NIP1" s="242"/>
      <c r="NIQ1" s="242"/>
      <c r="NIR1" s="242"/>
      <c r="NIS1" s="242"/>
      <c r="NIT1" s="242"/>
      <c r="NIU1" s="242"/>
      <c r="NIV1" s="242"/>
      <c r="NIW1" s="242"/>
      <c r="NIX1" s="242"/>
      <c r="NIY1" s="242"/>
      <c r="NIZ1" s="242"/>
      <c r="NJA1" s="242"/>
      <c r="NJB1" s="242"/>
      <c r="NJC1" s="242"/>
      <c r="NJD1" s="242"/>
      <c r="NJE1" s="242"/>
      <c r="NJF1" s="242"/>
      <c r="NJG1" s="242"/>
      <c r="NJH1" s="242"/>
      <c r="NJI1" s="242"/>
      <c r="NJJ1" s="242"/>
      <c r="NJK1" s="242"/>
      <c r="NJL1" s="242"/>
      <c r="NJM1" s="242"/>
      <c r="NJN1" s="242"/>
      <c r="NJO1" s="242"/>
      <c r="NJP1" s="242"/>
      <c r="NJQ1" s="242"/>
      <c r="NJR1" s="242"/>
      <c r="NJS1" s="242"/>
      <c r="NJT1" s="242"/>
      <c r="NJU1" s="242"/>
      <c r="NJV1" s="242"/>
      <c r="NJW1" s="242"/>
      <c r="NJX1" s="242"/>
      <c r="NJY1" s="242"/>
      <c r="NJZ1" s="242"/>
      <c r="NKA1" s="242"/>
      <c r="NKB1" s="242"/>
      <c r="NKC1" s="242"/>
      <c r="NKD1" s="242"/>
      <c r="NKE1" s="242"/>
      <c r="NKF1" s="242"/>
      <c r="NKG1" s="242"/>
      <c r="NKH1" s="242"/>
      <c r="NKI1" s="242"/>
      <c r="NKJ1" s="242"/>
      <c r="NKK1" s="242"/>
      <c r="NKL1" s="242"/>
      <c r="NKM1" s="242"/>
      <c r="NKN1" s="242"/>
      <c r="NKO1" s="242"/>
      <c r="NKP1" s="242"/>
      <c r="NKQ1" s="242"/>
      <c r="NKR1" s="242"/>
      <c r="NKS1" s="242"/>
      <c r="NKT1" s="242"/>
      <c r="NKU1" s="242"/>
      <c r="NKV1" s="242"/>
      <c r="NKW1" s="242"/>
      <c r="NKX1" s="242"/>
      <c r="NKY1" s="242"/>
      <c r="NKZ1" s="242"/>
      <c r="NLA1" s="242"/>
      <c r="NLB1" s="242"/>
      <c r="NLC1" s="242"/>
      <c r="NLD1" s="242"/>
      <c r="NLE1" s="242"/>
      <c r="NLF1" s="242"/>
      <c r="NLG1" s="242"/>
      <c r="NLH1" s="242"/>
      <c r="NLI1" s="242"/>
      <c r="NLJ1" s="242"/>
      <c r="NLK1" s="242"/>
      <c r="NLL1" s="242"/>
      <c r="NLM1" s="242"/>
      <c r="NLN1" s="242"/>
      <c r="NLO1" s="242"/>
      <c r="NLP1" s="242"/>
      <c r="NLQ1" s="242"/>
      <c r="NLR1" s="242"/>
      <c r="NLS1" s="242"/>
      <c r="NLT1" s="242"/>
      <c r="NLU1" s="242"/>
      <c r="NLV1" s="242"/>
      <c r="NLW1" s="242"/>
      <c r="NLX1" s="242"/>
      <c r="NLY1" s="242"/>
      <c r="NLZ1" s="242"/>
      <c r="NMA1" s="242"/>
      <c r="NMB1" s="242"/>
      <c r="NMC1" s="242"/>
      <c r="NMD1" s="242"/>
      <c r="NME1" s="242"/>
      <c r="NMF1" s="242"/>
      <c r="NMG1" s="242"/>
      <c r="NMH1" s="242"/>
      <c r="NMI1" s="242"/>
      <c r="NMJ1" s="242"/>
      <c r="NMK1" s="242"/>
      <c r="NML1" s="242"/>
      <c r="NMM1" s="242"/>
      <c r="NMN1" s="242"/>
      <c r="NMO1" s="242"/>
      <c r="NMP1" s="242"/>
      <c r="NMQ1" s="242"/>
      <c r="NMR1" s="242"/>
      <c r="NMS1" s="242"/>
      <c r="NMT1" s="242"/>
      <c r="NMU1" s="242"/>
      <c r="NMV1" s="242"/>
      <c r="NMW1" s="242"/>
      <c r="NMX1" s="242"/>
      <c r="NMY1" s="242"/>
      <c r="NMZ1" s="242"/>
      <c r="NNA1" s="242"/>
      <c r="NNB1" s="242"/>
      <c r="NNC1" s="242"/>
      <c r="NND1" s="242"/>
      <c r="NNE1" s="242"/>
      <c r="NNF1" s="242"/>
      <c r="NNG1" s="242"/>
      <c r="NNH1" s="242"/>
      <c r="NNI1" s="242"/>
      <c r="NNJ1" s="242"/>
      <c r="NNK1" s="242"/>
      <c r="NNL1" s="242"/>
      <c r="NNM1" s="242"/>
      <c r="NNN1" s="242"/>
      <c r="NNO1" s="242"/>
      <c r="NNP1" s="242"/>
      <c r="NNQ1" s="242"/>
      <c r="NNR1" s="242"/>
      <c r="NNS1" s="242"/>
      <c r="NNT1" s="242"/>
      <c r="NNU1" s="242"/>
      <c r="NNV1" s="242"/>
      <c r="NNW1" s="242"/>
      <c r="NNX1" s="242"/>
      <c r="NNY1" s="242"/>
      <c r="NNZ1" s="242"/>
      <c r="NOA1" s="242"/>
      <c r="NOB1" s="242"/>
      <c r="NOC1" s="242"/>
      <c r="NOD1" s="242"/>
      <c r="NOE1" s="242"/>
      <c r="NOF1" s="242"/>
      <c r="NOG1" s="242"/>
      <c r="NOH1" s="242"/>
      <c r="NOI1" s="242"/>
      <c r="NOJ1" s="242"/>
      <c r="NOK1" s="242"/>
      <c r="NOL1" s="242"/>
      <c r="NOM1" s="242"/>
      <c r="NON1" s="242"/>
      <c r="NOO1" s="242"/>
      <c r="NOP1" s="242"/>
      <c r="NOQ1" s="242"/>
      <c r="NOR1" s="242"/>
      <c r="NOS1" s="242"/>
      <c r="NOT1" s="242"/>
      <c r="NOU1" s="242"/>
      <c r="NOV1" s="242"/>
      <c r="NOW1" s="242"/>
      <c r="NOX1" s="242"/>
      <c r="NOY1" s="242"/>
      <c r="NOZ1" s="242"/>
      <c r="NPA1" s="242"/>
      <c r="NPB1" s="242"/>
      <c r="NPC1" s="242"/>
      <c r="NPD1" s="242"/>
      <c r="NPE1" s="242"/>
      <c r="NPF1" s="242"/>
      <c r="NPG1" s="242"/>
      <c r="NPH1" s="242"/>
      <c r="NPI1" s="242"/>
      <c r="NPJ1" s="242"/>
      <c r="NPK1" s="242"/>
      <c r="NPL1" s="242"/>
      <c r="NPM1" s="242"/>
      <c r="NPN1" s="242"/>
      <c r="NPO1" s="242"/>
      <c r="NPP1" s="242"/>
      <c r="NPQ1" s="242"/>
      <c r="NPR1" s="242"/>
      <c r="NPS1" s="242"/>
      <c r="NPT1" s="242"/>
      <c r="NPU1" s="242"/>
      <c r="NPV1" s="242"/>
      <c r="NPW1" s="242"/>
      <c r="NPX1" s="242"/>
      <c r="NPY1" s="242"/>
      <c r="NPZ1" s="242"/>
      <c r="NQA1" s="242"/>
      <c r="NQB1" s="242"/>
      <c r="NQC1" s="242"/>
      <c r="NQD1" s="242"/>
      <c r="NQE1" s="242"/>
      <c r="NQF1" s="242"/>
      <c r="NQG1" s="242"/>
      <c r="NQH1" s="242"/>
      <c r="NQI1" s="242"/>
      <c r="NQJ1" s="242"/>
      <c r="NQK1" s="242"/>
      <c r="NQL1" s="242"/>
      <c r="NQM1" s="242"/>
      <c r="NQN1" s="242"/>
      <c r="NQO1" s="242"/>
      <c r="NQP1" s="242"/>
      <c r="NQQ1" s="242"/>
      <c r="NQR1" s="242"/>
      <c r="NQS1" s="242"/>
      <c r="NQT1" s="242"/>
      <c r="NQU1" s="242"/>
      <c r="NQV1" s="242"/>
      <c r="NQW1" s="242"/>
      <c r="NQX1" s="242"/>
      <c r="NQY1" s="242"/>
      <c r="NQZ1" s="242"/>
      <c r="NRA1" s="242"/>
      <c r="NRB1" s="242"/>
      <c r="NRC1" s="242"/>
      <c r="NRD1" s="242"/>
      <c r="NRE1" s="242"/>
      <c r="NRF1" s="242"/>
      <c r="NRG1" s="242"/>
      <c r="NRH1" s="242"/>
      <c r="NRI1" s="242"/>
      <c r="NRJ1" s="242"/>
      <c r="NRK1" s="242"/>
      <c r="NRL1" s="242"/>
      <c r="NRM1" s="242"/>
      <c r="NRN1" s="242"/>
      <c r="NRO1" s="242"/>
      <c r="NRP1" s="242"/>
      <c r="NRQ1" s="242"/>
      <c r="NRR1" s="242"/>
      <c r="NRS1" s="242"/>
      <c r="NRT1" s="242"/>
      <c r="NRU1" s="242"/>
      <c r="NRV1" s="242"/>
      <c r="NRW1" s="242"/>
      <c r="NRX1" s="242"/>
      <c r="NRY1" s="242"/>
      <c r="NRZ1" s="242"/>
      <c r="NSA1" s="242"/>
      <c r="NSB1" s="242"/>
      <c r="NSC1" s="242"/>
      <c r="NSD1" s="242"/>
      <c r="NSE1" s="242"/>
      <c r="NSF1" s="242"/>
      <c r="NSG1" s="242"/>
      <c r="NSH1" s="242"/>
      <c r="NSI1" s="242"/>
      <c r="NSJ1" s="242"/>
      <c r="NSK1" s="242"/>
      <c r="NSL1" s="242"/>
      <c r="NSM1" s="242"/>
      <c r="NSN1" s="242"/>
      <c r="NSO1" s="242"/>
      <c r="NSP1" s="242"/>
      <c r="NSQ1" s="242"/>
      <c r="NSR1" s="242"/>
      <c r="NSS1" s="242"/>
      <c r="NST1" s="242"/>
      <c r="NSU1" s="242"/>
      <c r="NSV1" s="242"/>
      <c r="NSW1" s="242"/>
      <c r="NSX1" s="242"/>
      <c r="NSY1" s="242"/>
      <c r="NSZ1" s="242"/>
      <c r="NTA1" s="242"/>
      <c r="NTB1" s="242"/>
      <c r="NTC1" s="242"/>
      <c r="NTD1" s="242"/>
      <c r="NTE1" s="242"/>
      <c r="NTF1" s="242"/>
      <c r="NTG1" s="242"/>
      <c r="NTH1" s="242"/>
      <c r="NTI1" s="242"/>
      <c r="NTJ1" s="242"/>
      <c r="NTK1" s="242"/>
      <c r="NTL1" s="242"/>
      <c r="NTM1" s="242"/>
      <c r="NTN1" s="242"/>
      <c r="NTO1" s="242"/>
      <c r="NTP1" s="242"/>
      <c r="NTQ1" s="242"/>
      <c r="NTR1" s="242"/>
      <c r="NTS1" s="242"/>
      <c r="NTT1" s="242"/>
      <c r="NTU1" s="242"/>
      <c r="NTV1" s="242"/>
      <c r="NTW1" s="242"/>
      <c r="NTX1" s="242"/>
      <c r="NTY1" s="242"/>
      <c r="NTZ1" s="242"/>
      <c r="NUA1" s="242"/>
      <c r="NUB1" s="242"/>
      <c r="NUC1" s="242"/>
      <c r="NUD1" s="242"/>
      <c r="NUE1" s="242"/>
      <c r="NUF1" s="242"/>
      <c r="NUG1" s="242"/>
      <c r="NUH1" s="242"/>
      <c r="NUI1" s="242"/>
      <c r="NUJ1" s="242"/>
      <c r="NUK1" s="242"/>
      <c r="NUL1" s="242"/>
      <c r="NUM1" s="242"/>
      <c r="NUN1" s="242"/>
      <c r="NUO1" s="242"/>
      <c r="NUP1" s="242"/>
      <c r="NUQ1" s="242"/>
      <c r="NUR1" s="242"/>
      <c r="NUS1" s="242"/>
      <c r="NUT1" s="242"/>
      <c r="NUU1" s="242"/>
      <c r="NUV1" s="242"/>
      <c r="NUW1" s="242"/>
      <c r="NUX1" s="242"/>
      <c r="NUY1" s="242"/>
      <c r="NUZ1" s="242"/>
      <c r="NVA1" s="242"/>
      <c r="NVB1" s="242"/>
      <c r="NVC1" s="242"/>
      <c r="NVD1" s="242"/>
      <c r="NVE1" s="242"/>
      <c r="NVF1" s="242"/>
      <c r="NVG1" s="242"/>
      <c r="NVH1" s="242"/>
      <c r="NVI1" s="242"/>
      <c r="NVJ1" s="242"/>
      <c r="NVK1" s="242"/>
      <c r="NVL1" s="242"/>
      <c r="NVM1" s="242"/>
      <c r="NVN1" s="242"/>
      <c r="NVO1" s="242"/>
      <c r="NVP1" s="242"/>
      <c r="NVQ1" s="242"/>
      <c r="NVR1" s="242"/>
      <c r="NVS1" s="242"/>
      <c r="NVT1" s="242"/>
      <c r="NVU1" s="242"/>
      <c r="NVV1" s="242"/>
      <c r="NVW1" s="242"/>
      <c r="NVX1" s="242"/>
      <c r="NVY1" s="242"/>
      <c r="NVZ1" s="242"/>
      <c r="NWA1" s="242"/>
      <c r="NWB1" s="242"/>
      <c r="NWC1" s="242"/>
      <c r="NWD1" s="242"/>
      <c r="NWE1" s="242"/>
      <c r="NWF1" s="242"/>
      <c r="NWG1" s="242"/>
      <c r="NWH1" s="242"/>
      <c r="NWI1" s="242"/>
      <c r="NWJ1" s="242"/>
      <c r="NWK1" s="242"/>
      <c r="NWL1" s="242"/>
      <c r="NWM1" s="242"/>
      <c r="NWN1" s="242"/>
      <c r="NWO1" s="242"/>
      <c r="NWP1" s="242"/>
      <c r="NWQ1" s="242"/>
      <c r="NWR1" s="242"/>
      <c r="NWS1" s="242"/>
      <c r="NWT1" s="242"/>
      <c r="NWU1" s="242"/>
      <c r="NWV1" s="242"/>
      <c r="NWW1" s="242"/>
      <c r="NWX1" s="242"/>
      <c r="NWY1" s="242"/>
      <c r="NWZ1" s="242"/>
      <c r="NXA1" s="242"/>
      <c r="NXB1" s="242"/>
      <c r="NXC1" s="242"/>
      <c r="NXD1" s="242"/>
      <c r="NXE1" s="242"/>
      <c r="NXF1" s="242"/>
      <c r="NXG1" s="242"/>
      <c r="NXH1" s="242"/>
      <c r="NXI1" s="242"/>
      <c r="NXJ1" s="242"/>
      <c r="NXK1" s="242"/>
      <c r="NXL1" s="242"/>
      <c r="NXM1" s="242"/>
      <c r="NXN1" s="242"/>
      <c r="NXO1" s="242"/>
      <c r="NXP1" s="242"/>
      <c r="NXQ1" s="242"/>
      <c r="NXR1" s="242"/>
      <c r="NXS1" s="242"/>
      <c r="NXT1" s="242"/>
      <c r="NXU1" s="242"/>
      <c r="NXV1" s="242"/>
      <c r="NXW1" s="242"/>
      <c r="NXX1" s="242"/>
      <c r="NXY1" s="242"/>
      <c r="NXZ1" s="242"/>
      <c r="NYA1" s="242"/>
      <c r="NYB1" s="242"/>
      <c r="NYC1" s="242"/>
      <c r="NYD1" s="242"/>
      <c r="NYE1" s="242"/>
      <c r="NYF1" s="242"/>
      <c r="NYG1" s="242"/>
      <c r="NYH1" s="242"/>
      <c r="NYI1" s="242"/>
      <c r="NYJ1" s="242"/>
      <c r="NYK1" s="242"/>
      <c r="NYL1" s="242"/>
      <c r="NYM1" s="242"/>
      <c r="NYN1" s="242"/>
      <c r="NYO1" s="242"/>
      <c r="NYP1" s="242"/>
      <c r="NYQ1" s="242"/>
      <c r="NYR1" s="242"/>
      <c r="NYS1" s="242"/>
      <c r="NYT1" s="242"/>
      <c r="NYU1" s="242"/>
      <c r="NYV1" s="242"/>
      <c r="NYW1" s="242"/>
      <c r="NYX1" s="242"/>
      <c r="NYY1" s="242"/>
      <c r="NYZ1" s="242"/>
      <c r="NZA1" s="242"/>
      <c r="NZB1" s="242"/>
      <c r="NZC1" s="242"/>
      <c r="NZD1" s="242"/>
      <c r="NZE1" s="242"/>
      <c r="NZF1" s="242"/>
      <c r="NZG1" s="242"/>
      <c r="NZH1" s="242"/>
      <c r="NZI1" s="242"/>
      <c r="NZJ1" s="242"/>
      <c r="NZK1" s="242"/>
      <c r="NZL1" s="242"/>
      <c r="NZM1" s="242"/>
      <c r="NZN1" s="242"/>
      <c r="NZO1" s="242"/>
      <c r="NZP1" s="242"/>
      <c r="NZQ1" s="242"/>
      <c r="NZR1" s="242"/>
      <c r="NZS1" s="242"/>
      <c r="NZT1" s="242"/>
      <c r="NZU1" s="242"/>
      <c r="NZV1" s="242"/>
      <c r="NZW1" s="242"/>
      <c r="NZX1" s="242"/>
      <c r="NZY1" s="242"/>
      <c r="NZZ1" s="242"/>
      <c r="OAA1" s="242"/>
      <c r="OAB1" s="242"/>
      <c r="OAC1" s="242"/>
      <c r="OAD1" s="242"/>
      <c r="OAE1" s="242"/>
      <c r="OAF1" s="242"/>
      <c r="OAG1" s="242"/>
      <c r="OAH1" s="242"/>
      <c r="OAI1" s="242"/>
      <c r="OAJ1" s="242"/>
      <c r="OAK1" s="242"/>
      <c r="OAL1" s="242"/>
      <c r="OAM1" s="242"/>
      <c r="OAN1" s="242"/>
      <c r="OAO1" s="242"/>
      <c r="OAP1" s="242"/>
      <c r="OAQ1" s="242"/>
      <c r="OAR1" s="242"/>
      <c r="OAS1" s="242"/>
      <c r="OAT1" s="242"/>
      <c r="OAU1" s="242"/>
      <c r="OAV1" s="242"/>
      <c r="OAW1" s="242"/>
      <c r="OAX1" s="242"/>
      <c r="OAY1" s="242"/>
      <c r="OAZ1" s="242"/>
      <c r="OBA1" s="242"/>
      <c r="OBB1" s="242"/>
      <c r="OBC1" s="242"/>
      <c r="OBD1" s="242"/>
      <c r="OBE1" s="242"/>
      <c r="OBF1" s="242"/>
      <c r="OBG1" s="242"/>
      <c r="OBH1" s="242"/>
      <c r="OBI1" s="242"/>
      <c r="OBJ1" s="242"/>
      <c r="OBK1" s="242"/>
      <c r="OBL1" s="242"/>
      <c r="OBM1" s="242"/>
      <c r="OBN1" s="242"/>
      <c r="OBO1" s="242"/>
      <c r="OBP1" s="242"/>
      <c r="OBQ1" s="242"/>
      <c r="OBR1" s="242"/>
      <c r="OBS1" s="242"/>
      <c r="OBT1" s="242"/>
      <c r="OBU1" s="242"/>
      <c r="OBV1" s="242"/>
      <c r="OBW1" s="242"/>
      <c r="OBX1" s="242"/>
      <c r="OBY1" s="242"/>
      <c r="OBZ1" s="242"/>
      <c r="OCA1" s="242"/>
      <c r="OCB1" s="242"/>
      <c r="OCC1" s="242"/>
      <c r="OCD1" s="242"/>
      <c r="OCE1" s="242"/>
      <c r="OCF1" s="242"/>
      <c r="OCG1" s="242"/>
      <c r="OCH1" s="242"/>
      <c r="OCI1" s="242"/>
      <c r="OCJ1" s="242"/>
      <c r="OCK1" s="242"/>
      <c r="OCL1" s="242"/>
      <c r="OCM1" s="242"/>
      <c r="OCN1" s="242"/>
      <c r="OCO1" s="242"/>
      <c r="OCP1" s="242"/>
      <c r="OCQ1" s="242"/>
      <c r="OCR1" s="242"/>
      <c r="OCS1" s="242"/>
      <c r="OCT1" s="242"/>
      <c r="OCU1" s="242"/>
      <c r="OCV1" s="242"/>
      <c r="OCW1" s="242"/>
      <c r="OCX1" s="242"/>
      <c r="OCY1" s="242"/>
      <c r="OCZ1" s="242"/>
      <c r="ODA1" s="242"/>
      <c r="ODB1" s="242"/>
      <c r="ODC1" s="242"/>
      <c r="ODD1" s="242"/>
      <c r="ODE1" s="242"/>
      <c r="ODF1" s="242"/>
      <c r="ODG1" s="242"/>
      <c r="ODH1" s="242"/>
      <c r="ODI1" s="242"/>
      <c r="ODJ1" s="242"/>
      <c r="ODK1" s="242"/>
      <c r="ODL1" s="242"/>
      <c r="ODM1" s="242"/>
      <c r="ODN1" s="242"/>
      <c r="ODO1" s="242"/>
      <c r="ODP1" s="242"/>
      <c r="ODQ1" s="242"/>
      <c r="ODR1" s="242"/>
      <c r="ODS1" s="242"/>
      <c r="ODT1" s="242"/>
      <c r="ODU1" s="242"/>
      <c r="ODV1" s="242"/>
      <c r="ODW1" s="242"/>
      <c r="ODX1" s="242"/>
      <c r="ODY1" s="242"/>
      <c r="ODZ1" s="242"/>
      <c r="OEA1" s="242"/>
      <c r="OEB1" s="242"/>
      <c r="OEC1" s="242"/>
      <c r="OED1" s="242"/>
      <c r="OEE1" s="242"/>
      <c r="OEF1" s="242"/>
      <c r="OEG1" s="242"/>
      <c r="OEH1" s="242"/>
      <c r="OEI1" s="242"/>
      <c r="OEJ1" s="242"/>
      <c r="OEK1" s="242"/>
      <c r="OEL1" s="242"/>
      <c r="OEM1" s="242"/>
      <c r="OEN1" s="242"/>
      <c r="OEO1" s="242"/>
      <c r="OEP1" s="242"/>
      <c r="OEQ1" s="242"/>
      <c r="OER1" s="242"/>
      <c r="OES1" s="242"/>
      <c r="OET1" s="242"/>
      <c r="OEU1" s="242"/>
      <c r="OEV1" s="242"/>
      <c r="OEW1" s="242"/>
      <c r="OEX1" s="242"/>
      <c r="OEY1" s="242"/>
      <c r="OEZ1" s="242"/>
      <c r="OFA1" s="242"/>
      <c r="OFB1" s="242"/>
      <c r="OFC1" s="242"/>
      <c r="OFD1" s="242"/>
      <c r="OFE1" s="242"/>
      <c r="OFF1" s="242"/>
      <c r="OFG1" s="242"/>
      <c r="OFH1" s="242"/>
      <c r="OFI1" s="242"/>
      <c r="OFJ1" s="242"/>
      <c r="OFK1" s="242"/>
      <c r="OFL1" s="242"/>
      <c r="OFM1" s="242"/>
      <c r="OFN1" s="242"/>
      <c r="OFO1" s="242"/>
      <c r="OFP1" s="242"/>
      <c r="OFQ1" s="242"/>
      <c r="OFR1" s="242"/>
      <c r="OFS1" s="242"/>
      <c r="OFT1" s="242"/>
      <c r="OFU1" s="242"/>
      <c r="OFV1" s="242"/>
      <c r="OFW1" s="242"/>
      <c r="OFX1" s="242"/>
      <c r="OFY1" s="242"/>
      <c r="OFZ1" s="242"/>
      <c r="OGA1" s="242"/>
      <c r="OGB1" s="242"/>
      <c r="OGC1" s="242"/>
      <c r="OGD1" s="242"/>
      <c r="OGE1" s="242"/>
      <c r="OGF1" s="242"/>
      <c r="OGG1" s="242"/>
      <c r="OGH1" s="242"/>
      <c r="OGI1" s="242"/>
      <c r="OGJ1" s="242"/>
      <c r="OGK1" s="242"/>
      <c r="OGL1" s="242"/>
      <c r="OGM1" s="242"/>
      <c r="OGN1" s="242"/>
      <c r="OGO1" s="242"/>
      <c r="OGP1" s="242"/>
      <c r="OGQ1" s="242"/>
      <c r="OGR1" s="242"/>
      <c r="OGS1" s="242"/>
      <c r="OGT1" s="242"/>
      <c r="OGU1" s="242"/>
      <c r="OGV1" s="242"/>
      <c r="OGW1" s="242"/>
      <c r="OGX1" s="242"/>
      <c r="OGY1" s="242"/>
      <c r="OGZ1" s="242"/>
      <c r="OHA1" s="242"/>
      <c r="OHB1" s="242"/>
      <c r="OHC1" s="242"/>
      <c r="OHD1" s="242"/>
      <c r="OHE1" s="242"/>
      <c r="OHF1" s="242"/>
      <c r="OHG1" s="242"/>
      <c r="OHH1" s="242"/>
      <c r="OHI1" s="242"/>
      <c r="OHJ1" s="242"/>
      <c r="OHK1" s="242"/>
      <c r="OHL1" s="242"/>
      <c r="OHM1" s="242"/>
      <c r="OHN1" s="242"/>
      <c r="OHO1" s="242"/>
      <c r="OHP1" s="242"/>
      <c r="OHQ1" s="242"/>
      <c r="OHR1" s="242"/>
      <c r="OHS1" s="242"/>
      <c r="OHT1" s="242"/>
      <c r="OHU1" s="242"/>
      <c r="OHV1" s="242"/>
      <c r="OHW1" s="242"/>
      <c r="OHX1" s="242"/>
      <c r="OHY1" s="242"/>
      <c r="OHZ1" s="242"/>
      <c r="OIA1" s="242"/>
      <c r="OIB1" s="242"/>
      <c r="OIC1" s="242"/>
      <c r="OID1" s="242"/>
      <c r="OIE1" s="242"/>
      <c r="OIF1" s="242"/>
      <c r="OIG1" s="242"/>
      <c r="OIH1" s="242"/>
      <c r="OII1" s="242"/>
      <c r="OIJ1" s="242"/>
      <c r="OIK1" s="242"/>
      <c r="OIL1" s="242"/>
      <c r="OIM1" s="242"/>
      <c r="OIN1" s="242"/>
      <c r="OIO1" s="242"/>
      <c r="OIP1" s="242"/>
      <c r="OIQ1" s="242"/>
      <c r="OIR1" s="242"/>
      <c r="OIS1" s="242"/>
      <c r="OIT1" s="242"/>
      <c r="OIU1" s="242"/>
      <c r="OIV1" s="242"/>
      <c r="OIW1" s="242"/>
      <c r="OIX1" s="242"/>
      <c r="OIY1" s="242"/>
      <c r="OIZ1" s="242"/>
      <c r="OJA1" s="242"/>
      <c r="OJB1" s="242"/>
      <c r="OJC1" s="242"/>
      <c r="OJD1" s="242"/>
      <c r="OJE1" s="242"/>
      <c r="OJF1" s="242"/>
      <c r="OJG1" s="242"/>
      <c r="OJH1" s="242"/>
      <c r="OJI1" s="242"/>
      <c r="OJJ1" s="242"/>
      <c r="OJK1" s="242"/>
      <c r="OJL1" s="242"/>
      <c r="OJM1" s="242"/>
      <c r="OJN1" s="242"/>
      <c r="OJO1" s="242"/>
      <c r="OJP1" s="242"/>
      <c r="OJQ1" s="242"/>
      <c r="OJR1" s="242"/>
      <c r="OJS1" s="242"/>
      <c r="OJT1" s="242"/>
      <c r="OJU1" s="242"/>
      <c r="OJV1" s="242"/>
      <c r="OJW1" s="242"/>
      <c r="OJX1" s="242"/>
      <c r="OJY1" s="242"/>
      <c r="OJZ1" s="242"/>
      <c r="OKA1" s="242"/>
      <c r="OKB1" s="242"/>
      <c r="OKC1" s="242"/>
      <c r="OKD1" s="242"/>
      <c r="OKE1" s="242"/>
      <c r="OKF1" s="242"/>
      <c r="OKG1" s="242"/>
      <c r="OKH1" s="242"/>
      <c r="OKI1" s="242"/>
      <c r="OKJ1" s="242"/>
      <c r="OKK1" s="242"/>
      <c r="OKL1" s="242"/>
      <c r="OKM1" s="242"/>
      <c r="OKN1" s="242"/>
      <c r="OKO1" s="242"/>
      <c r="OKP1" s="242"/>
      <c r="OKQ1" s="242"/>
      <c r="OKR1" s="242"/>
      <c r="OKS1" s="242"/>
      <c r="OKT1" s="242"/>
      <c r="OKU1" s="242"/>
      <c r="OKV1" s="242"/>
      <c r="OKW1" s="242"/>
      <c r="OKX1" s="242"/>
      <c r="OKY1" s="242"/>
      <c r="OKZ1" s="242"/>
      <c r="OLA1" s="242"/>
      <c r="OLB1" s="242"/>
      <c r="OLC1" s="242"/>
      <c r="OLD1" s="242"/>
      <c r="OLE1" s="242"/>
      <c r="OLF1" s="242"/>
      <c r="OLG1" s="242"/>
      <c r="OLH1" s="242"/>
      <c r="OLI1" s="242"/>
      <c r="OLJ1" s="242"/>
      <c r="OLK1" s="242"/>
      <c r="OLL1" s="242"/>
      <c r="OLM1" s="242"/>
      <c r="OLN1" s="242"/>
      <c r="OLO1" s="242"/>
      <c r="OLP1" s="242"/>
      <c r="OLQ1" s="242"/>
      <c r="OLR1" s="242"/>
      <c r="OLS1" s="242"/>
      <c r="OLT1" s="242"/>
      <c r="OLU1" s="242"/>
      <c r="OLV1" s="242"/>
      <c r="OLW1" s="242"/>
      <c r="OLX1" s="242"/>
      <c r="OLY1" s="242"/>
      <c r="OLZ1" s="242"/>
      <c r="OMA1" s="242"/>
      <c r="OMB1" s="242"/>
      <c r="OMC1" s="242"/>
      <c r="OMD1" s="242"/>
      <c r="OME1" s="242"/>
      <c r="OMF1" s="242"/>
      <c r="OMG1" s="242"/>
      <c r="OMH1" s="242"/>
      <c r="OMI1" s="242"/>
      <c r="OMJ1" s="242"/>
      <c r="OMK1" s="242"/>
      <c r="OML1" s="242"/>
      <c r="OMM1" s="242"/>
      <c r="OMN1" s="242"/>
      <c r="OMO1" s="242"/>
      <c r="OMP1" s="242"/>
      <c r="OMQ1" s="242"/>
      <c r="OMR1" s="242"/>
      <c r="OMS1" s="242"/>
      <c r="OMT1" s="242"/>
      <c r="OMU1" s="242"/>
      <c r="OMV1" s="242"/>
      <c r="OMW1" s="242"/>
      <c r="OMX1" s="242"/>
      <c r="OMY1" s="242"/>
      <c r="OMZ1" s="242"/>
      <c r="ONA1" s="242"/>
      <c r="ONB1" s="242"/>
      <c r="ONC1" s="242"/>
      <c r="OND1" s="242"/>
      <c r="ONE1" s="242"/>
      <c r="ONF1" s="242"/>
      <c r="ONG1" s="242"/>
      <c r="ONH1" s="242"/>
      <c r="ONI1" s="242"/>
      <c r="ONJ1" s="242"/>
      <c r="ONK1" s="242"/>
      <c r="ONL1" s="242"/>
      <c r="ONM1" s="242"/>
      <c r="ONN1" s="242"/>
      <c r="ONO1" s="242"/>
      <c r="ONP1" s="242"/>
      <c r="ONQ1" s="242"/>
      <c r="ONR1" s="242"/>
      <c r="ONS1" s="242"/>
      <c r="ONT1" s="242"/>
      <c r="ONU1" s="242"/>
      <c r="ONV1" s="242"/>
      <c r="ONW1" s="242"/>
      <c r="ONX1" s="242"/>
      <c r="ONY1" s="242"/>
      <c r="ONZ1" s="242"/>
      <c r="OOA1" s="242"/>
      <c r="OOB1" s="242"/>
      <c r="OOC1" s="242"/>
      <c r="OOD1" s="242"/>
      <c r="OOE1" s="242"/>
      <c r="OOF1" s="242"/>
      <c r="OOG1" s="242"/>
      <c r="OOH1" s="242"/>
      <c r="OOI1" s="242"/>
      <c r="OOJ1" s="242"/>
      <c r="OOK1" s="242"/>
      <c r="OOL1" s="242"/>
      <c r="OOM1" s="242"/>
      <c r="OON1" s="242"/>
      <c r="OOO1" s="242"/>
      <c r="OOP1" s="242"/>
      <c r="OOQ1" s="242"/>
      <c r="OOR1" s="242"/>
      <c r="OOS1" s="242"/>
      <c r="OOT1" s="242"/>
      <c r="OOU1" s="242"/>
      <c r="OOV1" s="242"/>
      <c r="OOW1" s="242"/>
      <c r="OOX1" s="242"/>
      <c r="OOY1" s="242"/>
      <c r="OOZ1" s="242"/>
      <c r="OPA1" s="242"/>
      <c r="OPB1" s="242"/>
      <c r="OPC1" s="242"/>
      <c r="OPD1" s="242"/>
      <c r="OPE1" s="242"/>
      <c r="OPF1" s="242"/>
      <c r="OPG1" s="242"/>
      <c r="OPH1" s="242"/>
      <c r="OPI1" s="242"/>
      <c r="OPJ1" s="242"/>
      <c r="OPK1" s="242"/>
      <c r="OPL1" s="242"/>
      <c r="OPM1" s="242"/>
      <c r="OPN1" s="242"/>
      <c r="OPO1" s="242"/>
      <c r="OPP1" s="242"/>
      <c r="OPQ1" s="242"/>
      <c r="OPR1" s="242"/>
      <c r="OPS1" s="242"/>
      <c r="OPT1" s="242"/>
      <c r="OPU1" s="242"/>
      <c r="OPV1" s="242"/>
      <c r="OPW1" s="242"/>
      <c r="OPX1" s="242"/>
      <c r="OPY1" s="242"/>
      <c r="OPZ1" s="242"/>
      <c r="OQA1" s="242"/>
      <c r="OQB1" s="242"/>
      <c r="OQC1" s="242"/>
      <c r="OQD1" s="242"/>
      <c r="OQE1" s="242"/>
      <c r="OQF1" s="242"/>
      <c r="OQG1" s="242"/>
      <c r="OQH1" s="242"/>
      <c r="OQI1" s="242"/>
      <c r="OQJ1" s="242"/>
      <c r="OQK1" s="242"/>
      <c r="OQL1" s="242"/>
      <c r="OQM1" s="242"/>
      <c r="OQN1" s="242"/>
      <c r="OQO1" s="242"/>
      <c r="OQP1" s="242"/>
      <c r="OQQ1" s="242"/>
      <c r="OQR1" s="242"/>
      <c r="OQS1" s="242"/>
      <c r="OQT1" s="242"/>
      <c r="OQU1" s="242"/>
      <c r="OQV1" s="242"/>
      <c r="OQW1" s="242"/>
      <c r="OQX1" s="242"/>
      <c r="OQY1" s="242"/>
      <c r="OQZ1" s="242"/>
      <c r="ORA1" s="242"/>
      <c r="ORB1" s="242"/>
      <c r="ORC1" s="242"/>
      <c r="ORD1" s="242"/>
      <c r="ORE1" s="242"/>
      <c r="ORF1" s="242"/>
      <c r="ORG1" s="242"/>
      <c r="ORH1" s="242"/>
      <c r="ORI1" s="242"/>
      <c r="ORJ1" s="242"/>
      <c r="ORK1" s="242"/>
      <c r="ORL1" s="242"/>
      <c r="ORM1" s="242"/>
      <c r="ORN1" s="242"/>
      <c r="ORO1" s="242"/>
      <c r="ORP1" s="242"/>
      <c r="ORQ1" s="242"/>
      <c r="ORR1" s="242"/>
      <c r="ORS1" s="242"/>
      <c r="ORT1" s="242"/>
      <c r="ORU1" s="242"/>
      <c r="ORV1" s="242"/>
      <c r="ORW1" s="242"/>
      <c r="ORX1" s="242"/>
      <c r="ORY1" s="242"/>
      <c r="ORZ1" s="242"/>
      <c r="OSA1" s="242"/>
      <c r="OSB1" s="242"/>
      <c r="OSC1" s="242"/>
      <c r="OSD1" s="242"/>
      <c r="OSE1" s="242"/>
      <c r="OSF1" s="242"/>
      <c r="OSG1" s="242"/>
      <c r="OSH1" s="242"/>
      <c r="OSI1" s="242"/>
      <c r="OSJ1" s="242"/>
      <c r="OSK1" s="242"/>
      <c r="OSL1" s="242"/>
      <c r="OSM1" s="242"/>
      <c r="OSN1" s="242"/>
      <c r="OSO1" s="242"/>
      <c r="OSP1" s="242"/>
      <c r="OSQ1" s="242"/>
      <c r="OSR1" s="242"/>
      <c r="OSS1" s="242"/>
      <c r="OST1" s="242"/>
      <c r="OSU1" s="242"/>
      <c r="OSV1" s="242"/>
      <c r="OSW1" s="242"/>
      <c r="OSX1" s="242"/>
      <c r="OSY1" s="242"/>
      <c r="OSZ1" s="242"/>
      <c r="OTA1" s="242"/>
      <c r="OTB1" s="242"/>
      <c r="OTC1" s="242"/>
      <c r="OTD1" s="242"/>
      <c r="OTE1" s="242"/>
      <c r="OTF1" s="242"/>
      <c r="OTG1" s="242"/>
      <c r="OTH1" s="242"/>
      <c r="OTI1" s="242"/>
      <c r="OTJ1" s="242"/>
      <c r="OTK1" s="242"/>
      <c r="OTL1" s="242"/>
      <c r="OTM1" s="242"/>
      <c r="OTN1" s="242"/>
      <c r="OTO1" s="242"/>
      <c r="OTP1" s="242"/>
      <c r="OTQ1" s="242"/>
      <c r="OTR1" s="242"/>
      <c r="OTS1" s="242"/>
      <c r="OTT1" s="242"/>
      <c r="OTU1" s="242"/>
      <c r="OTV1" s="242"/>
      <c r="OTW1" s="242"/>
      <c r="OTX1" s="242"/>
      <c r="OTY1" s="242"/>
      <c r="OTZ1" s="242"/>
      <c r="OUA1" s="242"/>
      <c r="OUB1" s="242"/>
      <c r="OUC1" s="242"/>
      <c r="OUD1" s="242"/>
      <c r="OUE1" s="242"/>
      <c r="OUF1" s="242"/>
      <c r="OUG1" s="242"/>
      <c r="OUH1" s="242"/>
      <c r="OUI1" s="242"/>
      <c r="OUJ1" s="242"/>
      <c r="OUK1" s="242"/>
      <c r="OUL1" s="242"/>
      <c r="OUM1" s="242"/>
      <c r="OUN1" s="242"/>
      <c r="OUO1" s="242"/>
      <c r="OUP1" s="242"/>
      <c r="OUQ1" s="242"/>
      <c r="OUR1" s="242"/>
      <c r="OUS1" s="242"/>
      <c r="OUT1" s="242"/>
      <c r="OUU1" s="242"/>
      <c r="OUV1" s="242"/>
      <c r="OUW1" s="242"/>
      <c r="OUX1" s="242"/>
      <c r="OUY1" s="242"/>
      <c r="OUZ1" s="242"/>
      <c r="OVA1" s="242"/>
      <c r="OVB1" s="242"/>
      <c r="OVC1" s="242"/>
      <c r="OVD1" s="242"/>
      <c r="OVE1" s="242"/>
      <c r="OVF1" s="242"/>
      <c r="OVG1" s="242"/>
      <c r="OVH1" s="242"/>
      <c r="OVI1" s="242"/>
      <c r="OVJ1" s="242"/>
      <c r="OVK1" s="242"/>
      <c r="OVL1" s="242"/>
      <c r="OVM1" s="242"/>
      <c r="OVN1" s="242"/>
      <c r="OVO1" s="242"/>
      <c r="OVP1" s="242"/>
      <c r="OVQ1" s="242"/>
      <c r="OVR1" s="242"/>
      <c r="OVS1" s="242"/>
      <c r="OVT1" s="242"/>
      <c r="OVU1" s="242"/>
      <c r="OVV1" s="242"/>
      <c r="OVW1" s="242"/>
      <c r="OVX1" s="242"/>
      <c r="OVY1" s="242"/>
      <c r="OVZ1" s="242"/>
      <c r="OWA1" s="242"/>
      <c r="OWB1" s="242"/>
      <c r="OWC1" s="242"/>
      <c r="OWD1" s="242"/>
      <c r="OWE1" s="242"/>
      <c r="OWF1" s="242"/>
      <c r="OWG1" s="242"/>
      <c r="OWH1" s="242"/>
      <c r="OWI1" s="242"/>
      <c r="OWJ1" s="242"/>
      <c r="OWK1" s="242"/>
      <c r="OWL1" s="242"/>
      <c r="OWM1" s="242"/>
      <c r="OWN1" s="242"/>
      <c r="OWO1" s="242"/>
      <c r="OWP1" s="242"/>
      <c r="OWQ1" s="242"/>
      <c r="OWR1" s="242"/>
      <c r="OWS1" s="242"/>
      <c r="OWT1" s="242"/>
      <c r="OWU1" s="242"/>
      <c r="OWV1" s="242"/>
      <c r="OWW1" s="242"/>
      <c r="OWX1" s="242"/>
      <c r="OWY1" s="242"/>
      <c r="OWZ1" s="242"/>
      <c r="OXA1" s="242"/>
      <c r="OXB1" s="242"/>
      <c r="OXC1" s="242"/>
      <c r="OXD1" s="242"/>
      <c r="OXE1" s="242"/>
      <c r="OXF1" s="242"/>
      <c r="OXG1" s="242"/>
      <c r="OXH1" s="242"/>
      <c r="OXI1" s="242"/>
      <c r="OXJ1" s="242"/>
      <c r="OXK1" s="242"/>
      <c r="OXL1" s="242"/>
      <c r="OXM1" s="242"/>
      <c r="OXN1" s="242"/>
      <c r="OXO1" s="242"/>
      <c r="OXP1" s="242"/>
      <c r="OXQ1" s="242"/>
      <c r="OXR1" s="242"/>
      <c r="OXS1" s="242"/>
      <c r="OXT1" s="242"/>
      <c r="OXU1" s="242"/>
      <c r="OXV1" s="242"/>
      <c r="OXW1" s="242"/>
      <c r="OXX1" s="242"/>
      <c r="OXY1" s="242"/>
      <c r="OXZ1" s="242"/>
      <c r="OYA1" s="242"/>
      <c r="OYB1" s="242"/>
      <c r="OYC1" s="242"/>
      <c r="OYD1" s="242"/>
      <c r="OYE1" s="242"/>
      <c r="OYF1" s="242"/>
      <c r="OYG1" s="242"/>
      <c r="OYH1" s="242"/>
      <c r="OYI1" s="242"/>
      <c r="OYJ1" s="242"/>
      <c r="OYK1" s="242"/>
      <c r="OYL1" s="242"/>
      <c r="OYM1" s="242"/>
      <c r="OYN1" s="242"/>
      <c r="OYO1" s="242"/>
      <c r="OYP1" s="242"/>
      <c r="OYQ1" s="242"/>
      <c r="OYR1" s="242"/>
      <c r="OYS1" s="242"/>
      <c r="OYT1" s="242"/>
      <c r="OYU1" s="242"/>
      <c r="OYV1" s="242"/>
      <c r="OYW1" s="242"/>
      <c r="OYX1" s="242"/>
      <c r="OYY1" s="242"/>
      <c r="OYZ1" s="242"/>
      <c r="OZA1" s="242"/>
      <c r="OZB1" s="242"/>
      <c r="OZC1" s="242"/>
      <c r="OZD1" s="242"/>
      <c r="OZE1" s="242"/>
      <c r="OZF1" s="242"/>
      <c r="OZG1" s="242"/>
      <c r="OZH1" s="242"/>
      <c r="OZI1" s="242"/>
      <c r="OZJ1" s="242"/>
      <c r="OZK1" s="242"/>
      <c r="OZL1" s="242"/>
      <c r="OZM1" s="242"/>
      <c r="OZN1" s="242"/>
      <c r="OZO1" s="242"/>
      <c r="OZP1" s="242"/>
      <c r="OZQ1" s="242"/>
      <c r="OZR1" s="242"/>
      <c r="OZS1" s="242"/>
      <c r="OZT1" s="242"/>
      <c r="OZU1" s="242"/>
      <c r="OZV1" s="242"/>
      <c r="OZW1" s="242"/>
      <c r="OZX1" s="242"/>
      <c r="OZY1" s="242"/>
      <c r="OZZ1" s="242"/>
      <c r="PAA1" s="242"/>
      <c r="PAB1" s="242"/>
      <c r="PAC1" s="242"/>
      <c r="PAD1" s="242"/>
      <c r="PAE1" s="242"/>
      <c r="PAF1" s="242"/>
      <c r="PAG1" s="242"/>
      <c r="PAH1" s="242"/>
      <c r="PAI1" s="242"/>
      <c r="PAJ1" s="242"/>
      <c r="PAK1" s="242"/>
      <c r="PAL1" s="242"/>
      <c r="PAM1" s="242"/>
      <c r="PAN1" s="242"/>
      <c r="PAO1" s="242"/>
      <c r="PAP1" s="242"/>
      <c r="PAQ1" s="242"/>
      <c r="PAR1" s="242"/>
      <c r="PAS1" s="242"/>
      <c r="PAT1" s="242"/>
      <c r="PAU1" s="242"/>
      <c r="PAV1" s="242"/>
      <c r="PAW1" s="242"/>
      <c r="PAX1" s="242"/>
      <c r="PAY1" s="242"/>
      <c r="PAZ1" s="242"/>
      <c r="PBA1" s="242"/>
      <c r="PBB1" s="242"/>
      <c r="PBC1" s="242"/>
      <c r="PBD1" s="242"/>
      <c r="PBE1" s="242"/>
      <c r="PBF1" s="242"/>
      <c r="PBG1" s="242"/>
      <c r="PBH1" s="242"/>
      <c r="PBI1" s="242"/>
      <c r="PBJ1" s="242"/>
      <c r="PBK1" s="242"/>
      <c r="PBL1" s="242"/>
      <c r="PBM1" s="242"/>
      <c r="PBN1" s="242"/>
      <c r="PBO1" s="242"/>
      <c r="PBP1" s="242"/>
      <c r="PBQ1" s="242"/>
      <c r="PBR1" s="242"/>
      <c r="PBS1" s="242"/>
      <c r="PBT1" s="242"/>
      <c r="PBU1" s="242"/>
      <c r="PBV1" s="242"/>
      <c r="PBW1" s="242"/>
      <c r="PBX1" s="242"/>
      <c r="PBY1" s="242"/>
      <c r="PBZ1" s="242"/>
      <c r="PCA1" s="242"/>
      <c r="PCB1" s="242"/>
      <c r="PCC1" s="242"/>
      <c r="PCD1" s="242"/>
      <c r="PCE1" s="242"/>
      <c r="PCF1" s="242"/>
      <c r="PCG1" s="242"/>
      <c r="PCH1" s="242"/>
      <c r="PCI1" s="242"/>
      <c r="PCJ1" s="242"/>
      <c r="PCK1" s="242"/>
      <c r="PCL1" s="242"/>
      <c r="PCM1" s="242"/>
      <c r="PCN1" s="242"/>
      <c r="PCO1" s="242"/>
      <c r="PCP1" s="242"/>
      <c r="PCQ1" s="242"/>
      <c r="PCR1" s="242"/>
      <c r="PCS1" s="242"/>
      <c r="PCT1" s="242"/>
      <c r="PCU1" s="242"/>
      <c r="PCV1" s="242"/>
      <c r="PCW1" s="242"/>
      <c r="PCX1" s="242"/>
      <c r="PCY1" s="242"/>
      <c r="PCZ1" s="242"/>
      <c r="PDA1" s="242"/>
      <c r="PDB1" s="242"/>
      <c r="PDC1" s="242"/>
      <c r="PDD1" s="242"/>
      <c r="PDE1" s="242"/>
      <c r="PDF1" s="242"/>
      <c r="PDG1" s="242"/>
      <c r="PDH1" s="242"/>
      <c r="PDI1" s="242"/>
      <c r="PDJ1" s="242"/>
      <c r="PDK1" s="242"/>
      <c r="PDL1" s="242"/>
      <c r="PDM1" s="242"/>
      <c r="PDN1" s="242"/>
      <c r="PDO1" s="242"/>
      <c r="PDP1" s="242"/>
      <c r="PDQ1" s="242"/>
      <c r="PDR1" s="242"/>
      <c r="PDS1" s="242"/>
      <c r="PDT1" s="242"/>
      <c r="PDU1" s="242"/>
      <c r="PDV1" s="242"/>
      <c r="PDW1" s="242"/>
      <c r="PDX1" s="242"/>
      <c r="PDY1" s="242"/>
      <c r="PDZ1" s="242"/>
      <c r="PEA1" s="242"/>
      <c r="PEB1" s="242"/>
      <c r="PEC1" s="242"/>
      <c r="PED1" s="242"/>
      <c r="PEE1" s="242"/>
      <c r="PEF1" s="242"/>
      <c r="PEG1" s="242"/>
      <c r="PEH1" s="242"/>
      <c r="PEI1" s="242"/>
      <c r="PEJ1" s="242"/>
      <c r="PEK1" s="242"/>
      <c r="PEL1" s="242"/>
      <c r="PEM1" s="242"/>
      <c r="PEN1" s="242"/>
      <c r="PEO1" s="242"/>
      <c r="PEP1" s="242"/>
      <c r="PEQ1" s="242"/>
      <c r="PER1" s="242"/>
      <c r="PES1" s="242"/>
      <c r="PET1" s="242"/>
      <c r="PEU1" s="242"/>
      <c r="PEV1" s="242"/>
      <c r="PEW1" s="242"/>
      <c r="PEX1" s="242"/>
      <c r="PEY1" s="242"/>
      <c r="PEZ1" s="242"/>
      <c r="PFA1" s="242"/>
      <c r="PFB1" s="242"/>
      <c r="PFC1" s="242"/>
      <c r="PFD1" s="242"/>
      <c r="PFE1" s="242"/>
      <c r="PFF1" s="242"/>
      <c r="PFG1" s="242"/>
      <c r="PFH1" s="242"/>
      <c r="PFI1" s="242"/>
      <c r="PFJ1" s="242"/>
      <c r="PFK1" s="242"/>
      <c r="PFL1" s="242"/>
      <c r="PFM1" s="242"/>
      <c r="PFN1" s="242"/>
      <c r="PFO1" s="242"/>
      <c r="PFP1" s="242"/>
      <c r="PFQ1" s="242"/>
      <c r="PFR1" s="242"/>
      <c r="PFS1" s="242"/>
      <c r="PFT1" s="242"/>
      <c r="PFU1" s="242"/>
      <c r="PFV1" s="242"/>
      <c r="PFW1" s="242"/>
      <c r="PFX1" s="242"/>
      <c r="PFY1" s="242"/>
      <c r="PFZ1" s="242"/>
      <c r="PGA1" s="242"/>
      <c r="PGB1" s="242"/>
      <c r="PGC1" s="242"/>
      <c r="PGD1" s="242"/>
      <c r="PGE1" s="242"/>
      <c r="PGF1" s="242"/>
      <c r="PGG1" s="242"/>
      <c r="PGH1" s="242"/>
      <c r="PGI1" s="242"/>
      <c r="PGJ1" s="242"/>
      <c r="PGK1" s="242"/>
      <c r="PGL1" s="242"/>
      <c r="PGM1" s="242"/>
      <c r="PGN1" s="242"/>
      <c r="PGO1" s="242"/>
      <c r="PGP1" s="242"/>
      <c r="PGQ1" s="242"/>
      <c r="PGR1" s="242"/>
      <c r="PGS1" s="242"/>
      <c r="PGT1" s="242"/>
      <c r="PGU1" s="242"/>
      <c r="PGV1" s="242"/>
      <c r="PGW1" s="242"/>
      <c r="PGX1" s="242"/>
      <c r="PGY1" s="242"/>
      <c r="PGZ1" s="242"/>
      <c r="PHA1" s="242"/>
      <c r="PHB1" s="242"/>
      <c r="PHC1" s="242"/>
      <c r="PHD1" s="242"/>
      <c r="PHE1" s="242"/>
      <c r="PHF1" s="242"/>
      <c r="PHG1" s="242"/>
      <c r="PHH1" s="242"/>
      <c r="PHI1" s="242"/>
      <c r="PHJ1" s="242"/>
      <c r="PHK1" s="242"/>
      <c r="PHL1" s="242"/>
      <c r="PHM1" s="242"/>
      <c r="PHN1" s="242"/>
      <c r="PHO1" s="242"/>
      <c r="PHP1" s="242"/>
      <c r="PHQ1" s="242"/>
      <c r="PHR1" s="242"/>
      <c r="PHS1" s="242"/>
      <c r="PHT1" s="242"/>
      <c r="PHU1" s="242"/>
      <c r="PHV1" s="242"/>
      <c r="PHW1" s="242"/>
      <c r="PHX1" s="242"/>
      <c r="PHY1" s="242"/>
      <c r="PHZ1" s="242"/>
      <c r="PIA1" s="242"/>
      <c r="PIB1" s="242"/>
      <c r="PIC1" s="242"/>
      <c r="PID1" s="242"/>
      <c r="PIE1" s="242"/>
      <c r="PIF1" s="242"/>
      <c r="PIG1" s="242"/>
      <c r="PIH1" s="242"/>
      <c r="PII1" s="242"/>
      <c r="PIJ1" s="242"/>
      <c r="PIK1" s="242"/>
      <c r="PIL1" s="242"/>
      <c r="PIM1" s="242"/>
      <c r="PIN1" s="242"/>
      <c r="PIO1" s="242"/>
      <c r="PIP1" s="242"/>
      <c r="PIQ1" s="242"/>
      <c r="PIR1" s="242"/>
      <c r="PIS1" s="242"/>
      <c r="PIT1" s="242"/>
      <c r="PIU1" s="242"/>
      <c r="PIV1" s="242"/>
      <c r="PIW1" s="242"/>
      <c r="PIX1" s="242"/>
      <c r="PIY1" s="242"/>
      <c r="PIZ1" s="242"/>
      <c r="PJA1" s="242"/>
      <c r="PJB1" s="242"/>
      <c r="PJC1" s="242"/>
      <c r="PJD1" s="242"/>
      <c r="PJE1" s="242"/>
      <c r="PJF1" s="242"/>
      <c r="PJG1" s="242"/>
      <c r="PJH1" s="242"/>
      <c r="PJI1" s="242"/>
      <c r="PJJ1" s="242"/>
      <c r="PJK1" s="242"/>
      <c r="PJL1" s="242"/>
      <c r="PJM1" s="242"/>
      <c r="PJN1" s="242"/>
      <c r="PJO1" s="242"/>
      <c r="PJP1" s="242"/>
      <c r="PJQ1" s="242"/>
      <c r="PJR1" s="242"/>
      <c r="PJS1" s="242"/>
      <c r="PJT1" s="242"/>
      <c r="PJU1" s="242"/>
      <c r="PJV1" s="242"/>
      <c r="PJW1" s="242"/>
      <c r="PJX1" s="242"/>
      <c r="PJY1" s="242"/>
      <c r="PJZ1" s="242"/>
      <c r="PKA1" s="242"/>
      <c r="PKB1" s="242"/>
      <c r="PKC1" s="242"/>
      <c r="PKD1" s="242"/>
      <c r="PKE1" s="242"/>
      <c r="PKF1" s="242"/>
      <c r="PKG1" s="242"/>
      <c r="PKH1" s="242"/>
      <c r="PKI1" s="242"/>
      <c r="PKJ1" s="242"/>
      <c r="PKK1" s="242"/>
      <c r="PKL1" s="242"/>
      <c r="PKM1" s="242"/>
      <c r="PKN1" s="242"/>
      <c r="PKO1" s="242"/>
      <c r="PKP1" s="242"/>
      <c r="PKQ1" s="242"/>
      <c r="PKR1" s="242"/>
      <c r="PKS1" s="242"/>
      <c r="PKT1" s="242"/>
      <c r="PKU1" s="242"/>
      <c r="PKV1" s="242"/>
      <c r="PKW1" s="242"/>
      <c r="PKX1" s="242"/>
      <c r="PKY1" s="242"/>
      <c r="PKZ1" s="242"/>
      <c r="PLA1" s="242"/>
      <c r="PLB1" s="242"/>
      <c r="PLC1" s="242"/>
      <c r="PLD1" s="242"/>
      <c r="PLE1" s="242"/>
      <c r="PLF1" s="242"/>
      <c r="PLG1" s="242"/>
      <c r="PLH1" s="242"/>
      <c r="PLI1" s="242"/>
      <c r="PLJ1" s="242"/>
      <c r="PLK1" s="242"/>
      <c r="PLL1" s="242"/>
      <c r="PLM1" s="242"/>
      <c r="PLN1" s="242"/>
      <c r="PLO1" s="242"/>
      <c r="PLP1" s="242"/>
      <c r="PLQ1" s="242"/>
      <c r="PLR1" s="242"/>
      <c r="PLS1" s="242"/>
      <c r="PLT1" s="242"/>
      <c r="PLU1" s="242"/>
      <c r="PLV1" s="242"/>
      <c r="PLW1" s="242"/>
      <c r="PLX1" s="242"/>
      <c r="PLY1" s="242"/>
      <c r="PLZ1" s="242"/>
      <c r="PMA1" s="242"/>
      <c r="PMB1" s="242"/>
      <c r="PMC1" s="242"/>
      <c r="PMD1" s="242"/>
      <c r="PME1" s="242"/>
      <c r="PMF1" s="242"/>
      <c r="PMG1" s="242"/>
      <c r="PMH1" s="242"/>
      <c r="PMI1" s="242"/>
      <c r="PMJ1" s="242"/>
      <c r="PMK1" s="242"/>
      <c r="PML1" s="242"/>
      <c r="PMM1" s="242"/>
      <c r="PMN1" s="242"/>
      <c r="PMO1" s="242"/>
      <c r="PMP1" s="242"/>
      <c r="PMQ1" s="242"/>
      <c r="PMR1" s="242"/>
      <c r="PMS1" s="242"/>
      <c r="PMT1" s="242"/>
      <c r="PMU1" s="242"/>
      <c r="PMV1" s="242"/>
      <c r="PMW1" s="242"/>
      <c r="PMX1" s="242"/>
      <c r="PMY1" s="242"/>
      <c r="PMZ1" s="242"/>
      <c r="PNA1" s="242"/>
      <c r="PNB1" s="242"/>
      <c r="PNC1" s="242"/>
      <c r="PND1" s="242"/>
      <c r="PNE1" s="242"/>
      <c r="PNF1" s="242"/>
      <c r="PNG1" s="242"/>
      <c r="PNH1" s="242"/>
      <c r="PNI1" s="242"/>
      <c r="PNJ1" s="242"/>
      <c r="PNK1" s="242"/>
      <c r="PNL1" s="242"/>
      <c r="PNM1" s="242"/>
      <c r="PNN1" s="242"/>
      <c r="PNO1" s="242"/>
      <c r="PNP1" s="242"/>
      <c r="PNQ1" s="242"/>
      <c r="PNR1" s="242"/>
      <c r="PNS1" s="242"/>
      <c r="PNT1" s="242"/>
      <c r="PNU1" s="242"/>
      <c r="PNV1" s="242"/>
      <c r="PNW1" s="242"/>
      <c r="PNX1" s="242"/>
      <c r="PNY1" s="242"/>
      <c r="PNZ1" s="242"/>
      <c r="POA1" s="242"/>
      <c r="POB1" s="242"/>
      <c r="POC1" s="242"/>
      <c r="POD1" s="242"/>
      <c r="POE1" s="242"/>
      <c r="POF1" s="242"/>
      <c r="POG1" s="242"/>
      <c r="POH1" s="242"/>
      <c r="POI1" s="242"/>
      <c r="POJ1" s="242"/>
      <c r="POK1" s="242"/>
      <c r="POL1" s="242"/>
      <c r="POM1" s="242"/>
      <c r="PON1" s="242"/>
      <c r="POO1" s="242"/>
      <c r="POP1" s="242"/>
      <c r="POQ1" s="242"/>
      <c r="POR1" s="242"/>
      <c r="POS1" s="242"/>
      <c r="POT1" s="242"/>
      <c r="POU1" s="242"/>
      <c r="POV1" s="242"/>
      <c r="POW1" s="242"/>
      <c r="POX1" s="242"/>
      <c r="POY1" s="242"/>
      <c r="POZ1" s="242"/>
      <c r="PPA1" s="242"/>
      <c r="PPB1" s="242"/>
      <c r="PPC1" s="242"/>
      <c r="PPD1" s="242"/>
      <c r="PPE1" s="242"/>
      <c r="PPF1" s="242"/>
      <c r="PPG1" s="242"/>
      <c r="PPH1" s="242"/>
      <c r="PPI1" s="242"/>
      <c r="PPJ1" s="242"/>
      <c r="PPK1" s="242"/>
      <c r="PPL1" s="242"/>
      <c r="PPM1" s="242"/>
      <c r="PPN1" s="242"/>
      <c r="PPO1" s="242"/>
      <c r="PPP1" s="242"/>
      <c r="PPQ1" s="242"/>
      <c r="PPR1" s="242"/>
      <c r="PPS1" s="242"/>
      <c r="PPT1" s="242"/>
      <c r="PPU1" s="242"/>
      <c r="PPV1" s="242"/>
      <c r="PPW1" s="242"/>
      <c r="PPX1" s="242"/>
      <c r="PPY1" s="242"/>
      <c r="PPZ1" s="242"/>
      <c r="PQA1" s="242"/>
      <c r="PQB1" s="242"/>
      <c r="PQC1" s="242"/>
      <c r="PQD1" s="242"/>
      <c r="PQE1" s="242"/>
      <c r="PQF1" s="242"/>
      <c r="PQG1" s="242"/>
      <c r="PQH1" s="242"/>
      <c r="PQI1" s="242"/>
      <c r="PQJ1" s="242"/>
      <c r="PQK1" s="242"/>
      <c r="PQL1" s="242"/>
      <c r="PQM1" s="242"/>
      <c r="PQN1" s="242"/>
      <c r="PQO1" s="242"/>
      <c r="PQP1" s="242"/>
      <c r="PQQ1" s="242"/>
      <c r="PQR1" s="242"/>
      <c r="PQS1" s="242"/>
      <c r="PQT1" s="242"/>
      <c r="PQU1" s="242"/>
      <c r="PQV1" s="242"/>
      <c r="PQW1" s="242"/>
      <c r="PQX1" s="242"/>
      <c r="PQY1" s="242"/>
      <c r="PQZ1" s="242"/>
      <c r="PRA1" s="242"/>
      <c r="PRB1" s="242"/>
      <c r="PRC1" s="242"/>
      <c r="PRD1" s="242"/>
      <c r="PRE1" s="242"/>
      <c r="PRF1" s="242"/>
      <c r="PRG1" s="242"/>
      <c r="PRH1" s="242"/>
      <c r="PRI1" s="242"/>
      <c r="PRJ1" s="242"/>
      <c r="PRK1" s="242"/>
      <c r="PRL1" s="242"/>
      <c r="PRM1" s="242"/>
      <c r="PRN1" s="242"/>
      <c r="PRO1" s="242"/>
      <c r="PRP1" s="242"/>
      <c r="PRQ1" s="242"/>
      <c r="PRR1" s="242"/>
      <c r="PRS1" s="242"/>
      <c r="PRT1" s="242"/>
      <c r="PRU1" s="242"/>
      <c r="PRV1" s="242"/>
      <c r="PRW1" s="242"/>
      <c r="PRX1" s="242"/>
      <c r="PRY1" s="242"/>
      <c r="PRZ1" s="242"/>
      <c r="PSA1" s="242"/>
      <c r="PSB1" s="242"/>
      <c r="PSC1" s="242"/>
      <c r="PSD1" s="242"/>
      <c r="PSE1" s="242"/>
      <c r="PSF1" s="242"/>
      <c r="PSG1" s="242"/>
      <c r="PSH1" s="242"/>
      <c r="PSI1" s="242"/>
      <c r="PSJ1" s="242"/>
      <c r="PSK1" s="242"/>
      <c r="PSL1" s="242"/>
      <c r="PSM1" s="242"/>
      <c r="PSN1" s="242"/>
      <c r="PSO1" s="242"/>
      <c r="PSP1" s="242"/>
      <c r="PSQ1" s="242"/>
      <c r="PSR1" s="242"/>
      <c r="PSS1" s="242"/>
      <c r="PST1" s="242"/>
      <c r="PSU1" s="242"/>
      <c r="PSV1" s="242"/>
      <c r="PSW1" s="242"/>
      <c r="PSX1" s="242"/>
      <c r="PSY1" s="242"/>
      <c r="PSZ1" s="242"/>
      <c r="PTA1" s="242"/>
      <c r="PTB1" s="242"/>
      <c r="PTC1" s="242"/>
      <c r="PTD1" s="242"/>
      <c r="PTE1" s="242"/>
      <c r="PTF1" s="242"/>
      <c r="PTG1" s="242"/>
      <c r="PTH1" s="242"/>
      <c r="PTI1" s="242"/>
      <c r="PTJ1" s="242"/>
      <c r="PTK1" s="242"/>
      <c r="PTL1" s="242"/>
      <c r="PTM1" s="242"/>
      <c r="PTN1" s="242"/>
      <c r="PTO1" s="242"/>
      <c r="PTP1" s="242"/>
      <c r="PTQ1" s="242"/>
      <c r="PTR1" s="242"/>
      <c r="PTS1" s="242"/>
      <c r="PTT1" s="242"/>
      <c r="PTU1" s="242"/>
      <c r="PTV1" s="242"/>
      <c r="PTW1" s="242"/>
      <c r="PTX1" s="242"/>
      <c r="PTY1" s="242"/>
      <c r="PTZ1" s="242"/>
      <c r="PUA1" s="242"/>
      <c r="PUB1" s="242"/>
      <c r="PUC1" s="242"/>
      <c r="PUD1" s="242"/>
      <c r="PUE1" s="242"/>
      <c r="PUF1" s="242"/>
      <c r="PUG1" s="242"/>
      <c r="PUH1" s="242"/>
      <c r="PUI1" s="242"/>
      <c r="PUJ1" s="242"/>
      <c r="PUK1" s="242"/>
      <c r="PUL1" s="242"/>
      <c r="PUM1" s="242"/>
      <c r="PUN1" s="242"/>
      <c r="PUO1" s="242"/>
      <c r="PUP1" s="242"/>
      <c r="PUQ1" s="242"/>
      <c r="PUR1" s="242"/>
      <c r="PUS1" s="242"/>
      <c r="PUT1" s="242"/>
      <c r="PUU1" s="242"/>
      <c r="PUV1" s="242"/>
      <c r="PUW1" s="242"/>
      <c r="PUX1" s="242"/>
      <c r="PUY1" s="242"/>
      <c r="PUZ1" s="242"/>
      <c r="PVA1" s="242"/>
      <c r="PVB1" s="242"/>
      <c r="PVC1" s="242"/>
      <c r="PVD1" s="242"/>
      <c r="PVE1" s="242"/>
      <c r="PVF1" s="242"/>
      <c r="PVG1" s="242"/>
      <c r="PVH1" s="242"/>
      <c r="PVI1" s="242"/>
      <c r="PVJ1" s="242"/>
      <c r="PVK1" s="242"/>
      <c r="PVL1" s="242"/>
      <c r="PVM1" s="242"/>
      <c r="PVN1" s="242"/>
      <c r="PVO1" s="242"/>
      <c r="PVP1" s="242"/>
      <c r="PVQ1" s="242"/>
      <c r="PVR1" s="242"/>
      <c r="PVS1" s="242"/>
      <c r="PVT1" s="242"/>
      <c r="PVU1" s="242"/>
      <c r="PVV1" s="242"/>
      <c r="PVW1" s="242"/>
      <c r="PVX1" s="242"/>
      <c r="PVY1" s="242"/>
      <c r="PVZ1" s="242"/>
      <c r="PWA1" s="242"/>
      <c r="PWB1" s="242"/>
      <c r="PWC1" s="242"/>
      <c r="PWD1" s="242"/>
      <c r="PWE1" s="242"/>
      <c r="PWF1" s="242"/>
      <c r="PWG1" s="242"/>
      <c r="PWH1" s="242"/>
      <c r="PWI1" s="242"/>
      <c r="PWJ1" s="242"/>
      <c r="PWK1" s="242"/>
      <c r="PWL1" s="242"/>
      <c r="PWM1" s="242"/>
      <c r="PWN1" s="242"/>
      <c r="PWO1" s="242"/>
      <c r="PWP1" s="242"/>
      <c r="PWQ1" s="242"/>
      <c r="PWR1" s="242"/>
      <c r="PWS1" s="242"/>
      <c r="PWT1" s="242"/>
      <c r="PWU1" s="242"/>
      <c r="PWV1" s="242"/>
      <c r="PWW1" s="242"/>
      <c r="PWX1" s="242"/>
      <c r="PWY1" s="242"/>
      <c r="PWZ1" s="242"/>
      <c r="PXA1" s="242"/>
      <c r="PXB1" s="242"/>
      <c r="PXC1" s="242"/>
      <c r="PXD1" s="242"/>
      <c r="PXE1" s="242"/>
      <c r="PXF1" s="242"/>
      <c r="PXG1" s="242"/>
      <c r="PXH1" s="242"/>
      <c r="PXI1" s="242"/>
      <c r="PXJ1" s="242"/>
      <c r="PXK1" s="242"/>
      <c r="PXL1" s="242"/>
      <c r="PXM1" s="242"/>
      <c r="PXN1" s="242"/>
      <c r="PXO1" s="242"/>
      <c r="PXP1" s="242"/>
      <c r="PXQ1" s="242"/>
      <c r="PXR1" s="242"/>
      <c r="PXS1" s="242"/>
      <c r="PXT1" s="242"/>
      <c r="PXU1" s="242"/>
      <c r="PXV1" s="242"/>
      <c r="PXW1" s="242"/>
      <c r="PXX1" s="242"/>
      <c r="PXY1" s="242"/>
      <c r="PXZ1" s="242"/>
      <c r="PYA1" s="242"/>
      <c r="PYB1" s="242"/>
      <c r="PYC1" s="242"/>
      <c r="PYD1" s="242"/>
      <c r="PYE1" s="242"/>
      <c r="PYF1" s="242"/>
      <c r="PYG1" s="242"/>
      <c r="PYH1" s="242"/>
      <c r="PYI1" s="242"/>
      <c r="PYJ1" s="242"/>
      <c r="PYK1" s="242"/>
      <c r="PYL1" s="242"/>
      <c r="PYM1" s="242"/>
      <c r="PYN1" s="242"/>
      <c r="PYO1" s="242"/>
      <c r="PYP1" s="242"/>
      <c r="PYQ1" s="242"/>
      <c r="PYR1" s="242"/>
      <c r="PYS1" s="242"/>
      <c r="PYT1" s="242"/>
      <c r="PYU1" s="242"/>
      <c r="PYV1" s="242"/>
      <c r="PYW1" s="242"/>
      <c r="PYX1" s="242"/>
      <c r="PYY1" s="242"/>
      <c r="PYZ1" s="242"/>
      <c r="PZA1" s="242"/>
      <c r="PZB1" s="242"/>
      <c r="PZC1" s="242"/>
      <c r="PZD1" s="242"/>
      <c r="PZE1" s="242"/>
      <c r="PZF1" s="242"/>
      <c r="PZG1" s="242"/>
      <c r="PZH1" s="242"/>
      <c r="PZI1" s="242"/>
      <c r="PZJ1" s="242"/>
      <c r="PZK1" s="242"/>
      <c r="PZL1" s="242"/>
      <c r="PZM1" s="242"/>
      <c r="PZN1" s="242"/>
      <c r="PZO1" s="242"/>
      <c r="PZP1" s="242"/>
      <c r="PZQ1" s="242"/>
      <c r="PZR1" s="242"/>
      <c r="PZS1" s="242"/>
      <c r="PZT1" s="242"/>
      <c r="PZU1" s="242"/>
      <c r="PZV1" s="242"/>
      <c r="PZW1" s="242"/>
      <c r="PZX1" s="242"/>
      <c r="PZY1" s="242"/>
      <c r="PZZ1" s="242"/>
      <c r="QAA1" s="242"/>
      <c r="QAB1" s="242"/>
      <c r="QAC1" s="242"/>
      <c r="QAD1" s="242"/>
      <c r="QAE1" s="242"/>
      <c r="QAF1" s="242"/>
      <c r="QAG1" s="242"/>
      <c r="QAH1" s="242"/>
      <c r="QAI1" s="242"/>
      <c r="QAJ1" s="242"/>
      <c r="QAK1" s="242"/>
      <c r="QAL1" s="242"/>
      <c r="QAM1" s="242"/>
      <c r="QAN1" s="242"/>
      <c r="QAO1" s="242"/>
      <c r="QAP1" s="242"/>
      <c r="QAQ1" s="242"/>
      <c r="QAR1" s="242"/>
      <c r="QAS1" s="242"/>
      <c r="QAT1" s="242"/>
      <c r="QAU1" s="242"/>
      <c r="QAV1" s="242"/>
      <c r="QAW1" s="242"/>
      <c r="QAX1" s="242"/>
      <c r="QAY1" s="242"/>
      <c r="QAZ1" s="242"/>
      <c r="QBA1" s="242"/>
      <c r="QBB1" s="242"/>
      <c r="QBC1" s="242"/>
      <c r="QBD1" s="242"/>
      <c r="QBE1" s="242"/>
      <c r="QBF1" s="242"/>
      <c r="QBG1" s="242"/>
      <c r="QBH1" s="242"/>
      <c r="QBI1" s="242"/>
      <c r="QBJ1" s="242"/>
      <c r="QBK1" s="242"/>
      <c r="QBL1" s="242"/>
      <c r="QBM1" s="242"/>
      <c r="QBN1" s="242"/>
      <c r="QBO1" s="242"/>
      <c r="QBP1" s="242"/>
      <c r="QBQ1" s="242"/>
      <c r="QBR1" s="242"/>
      <c r="QBS1" s="242"/>
      <c r="QBT1" s="242"/>
      <c r="QBU1" s="242"/>
      <c r="QBV1" s="242"/>
      <c r="QBW1" s="242"/>
      <c r="QBX1" s="242"/>
      <c r="QBY1" s="242"/>
      <c r="QBZ1" s="242"/>
      <c r="QCA1" s="242"/>
      <c r="QCB1" s="242"/>
      <c r="QCC1" s="242"/>
      <c r="QCD1" s="242"/>
      <c r="QCE1" s="242"/>
      <c r="QCF1" s="242"/>
      <c r="QCG1" s="242"/>
      <c r="QCH1" s="242"/>
      <c r="QCI1" s="242"/>
      <c r="QCJ1" s="242"/>
      <c r="QCK1" s="242"/>
      <c r="QCL1" s="242"/>
      <c r="QCM1" s="242"/>
      <c r="QCN1" s="242"/>
      <c r="QCO1" s="242"/>
      <c r="QCP1" s="242"/>
      <c r="QCQ1" s="242"/>
      <c r="QCR1" s="242"/>
      <c r="QCS1" s="242"/>
      <c r="QCT1" s="242"/>
      <c r="QCU1" s="242"/>
      <c r="QCV1" s="242"/>
      <c r="QCW1" s="242"/>
      <c r="QCX1" s="242"/>
      <c r="QCY1" s="242"/>
      <c r="QCZ1" s="242"/>
      <c r="QDA1" s="242"/>
      <c r="QDB1" s="242"/>
      <c r="QDC1" s="242"/>
      <c r="QDD1" s="242"/>
      <c r="QDE1" s="242"/>
      <c r="QDF1" s="242"/>
      <c r="QDG1" s="242"/>
      <c r="QDH1" s="242"/>
      <c r="QDI1" s="242"/>
      <c r="QDJ1" s="242"/>
      <c r="QDK1" s="242"/>
      <c r="QDL1" s="242"/>
      <c r="QDM1" s="242"/>
      <c r="QDN1" s="242"/>
      <c r="QDO1" s="242"/>
      <c r="QDP1" s="242"/>
      <c r="QDQ1" s="242"/>
      <c r="QDR1" s="242"/>
      <c r="QDS1" s="242"/>
      <c r="QDT1" s="242"/>
      <c r="QDU1" s="242"/>
      <c r="QDV1" s="242"/>
      <c r="QDW1" s="242"/>
      <c r="QDX1" s="242"/>
      <c r="QDY1" s="242"/>
      <c r="QDZ1" s="242"/>
      <c r="QEA1" s="242"/>
      <c r="QEB1" s="242"/>
      <c r="QEC1" s="242"/>
      <c r="QED1" s="242"/>
      <c r="QEE1" s="242"/>
      <c r="QEF1" s="242"/>
      <c r="QEG1" s="242"/>
      <c r="QEH1" s="242"/>
      <c r="QEI1" s="242"/>
      <c r="QEJ1" s="242"/>
      <c r="QEK1" s="242"/>
      <c r="QEL1" s="242"/>
      <c r="QEM1" s="242"/>
      <c r="QEN1" s="242"/>
      <c r="QEO1" s="242"/>
      <c r="QEP1" s="242"/>
      <c r="QEQ1" s="242"/>
      <c r="QER1" s="242"/>
      <c r="QES1" s="242"/>
      <c r="QET1" s="242"/>
      <c r="QEU1" s="242"/>
      <c r="QEV1" s="242"/>
      <c r="QEW1" s="242"/>
      <c r="QEX1" s="242"/>
      <c r="QEY1" s="242"/>
      <c r="QEZ1" s="242"/>
      <c r="QFA1" s="242"/>
      <c r="QFB1" s="242"/>
      <c r="QFC1" s="242"/>
      <c r="QFD1" s="242"/>
      <c r="QFE1" s="242"/>
      <c r="QFF1" s="242"/>
      <c r="QFG1" s="242"/>
      <c r="QFH1" s="242"/>
      <c r="QFI1" s="242"/>
      <c r="QFJ1" s="242"/>
      <c r="QFK1" s="242"/>
      <c r="QFL1" s="242"/>
      <c r="QFM1" s="242"/>
      <c r="QFN1" s="242"/>
      <c r="QFO1" s="242"/>
      <c r="QFP1" s="242"/>
      <c r="QFQ1" s="242"/>
      <c r="QFR1" s="242"/>
      <c r="QFS1" s="242"/>
      <c r="QFT1" s="242"/>
      <c r="QFU1" s="242"/>
      <c r="QFV1" s="242"/>
      <c r="QFW1" s="242"/>
      <c r="QFX1" s="242"/>
      <c r="QFY1" s="242"/>
      <c r="QFZ1" s="242"/>
      <c r="QGA1" s="242"/>
      <c r="QGB1" s="242"/>
      <c r="QGC1" s="242"/>
      <c r="QGD1" s="242"/>
      <c r="QGE1" s="242"/>
      <c r="QGF1" s="242"/>
      <c r="QGG1" s="242"/>
      <c r="QGH1" s="242"/>
      <c r="QGI1" s="242"/>
      <c r="QGJ1" s="242"/>
      <c r="QGK1" s="242"/>
      <c r="QGL1" s="242"/>
      <c r="QGM1" s="242"/>
      <c r="QGN1" s="242"/>
      <c r="QGO1" s="242"/>
      <c r="QGP1" s="242"/>
      <c r="QGQ1" s="242"/>
      <c r="QGR1" s="242"/>
      <c r="QGS1" s="242"/>
      <c r="QGT1" s="242"/>
      <c r="QGU1" s="242"/>
      <c r="QGV1" s="242"/>
      <c r="QGW1" s="242"/>
      <c r="QGX1" s="242"/>
      <c r="QGY1" s="242"/>
      <c r="QGZ1" s="242"/>
      <c r="QHA1" s="242"/>
      <c r="QHB1" s="242"/>
      <c r="QHC1" s="242"/>
      <c r="QHD1" s="242"/>
      <c r="QHE1" s="242"/>
      <c r="QHF1" s="242"/>
      <c r="QHG1" s="242"/>
      <c r="QHH1" s="242"/>
      <c r="QHI1" s="242"/>
      <c r="QHJ1" s="242"/>
      <c r="QHK1" s="242"/>
      <c r="QHL1" s="242"/>
      <c r="QHM1" s="242"/>
      <c r="QHN1" s="242"/>
      <c r="QHO1" s="242"/>
      <c r="QHP1" s="242"/>
      <c r="QHQ1" s="242"/>
      <c r="QHR1" s="242"/>
      <c r="QHS1" s="242"/>
      <c r="QHT1" s="242"/>
      <c r="QHU1" s="242"/>
      <c r="QHV1" s="242"/>
      <c r="QHW1" s="242"/>
      <c r="QHX1" s="242"/>
      <c r="QHY1" s="242"/>
      <c r="QHZ1" s="242"/>
      <c r="QIA1" s="242"/>
      <c r="QIB1" s="242"/>
      <c r="QIC1" s="242"/>
      <c r="QID1" s="242"/>
      <c r="QIE1" s="242"/>
      <c r="QIF1" s="242"/>
      <c r="QIG1" s="242"/>
      <c r="QIH1" s="242"/>
      <c r="QII1" s="242"/>
      <c r="QIJ1" s="242"/>
      <c r="QIK1" s="242"/>
      <c r="QIL1" s="242"/>
      <c r="QIM1" s="242"/>
      <c r="QIN1" s="242"/>
      <c r="QIO1" s="242"/>
      <c r="QIP1" s="242"/>
      <c r="QIQ1" s="242"/>
      <c r="QIR1" s="242"/>
      <c r="QIS1" s="242"/>
      <c r="QIT1" s="242"/>
      <c r="QIU1" s="242"/>
      <c r="QIV1" s="242"/>
      <c r="QIW1" s="242"/>
      <c r="QIX1" s="242"/>
      <c r="QIY1" s="242"/>
      <c r="QIZ1" s="242"/>
      <c r="QJA1" s="242"/>
      <c r="QJB1" s="242"/>
      <c r="QJC1" s="242"/>
      <c r="QJD1" s="242"/>
      <c r="QJE1" s="242"/>
      <c r="QJF1" s="242"/>
      <c r="QJG1" s="242"/>
      <c r="QJH1" s="242"/>
      <c r="QJI1" s="242"/>
      <c r="QJJ1" s="242"/>
      <c r="QJK1" s="242"/>
      <c r="QJL1" s="242"/>
      <c r="QJM1" s="242"/>
      <c r="QJN1" s="242"/>
      <c r="QJO1" s="242"/>
      <c r="QJP1" s="242"/>
      <c r="QJQ1" s="242"/>
      <c r="QJR1" s="242"/>
      <c r="QJS1" s="242"/>
      <c r="QJT1" s="242"/>
      <c r="QJU1" s="242"/>
      <c r="QJV1" s="242"/>
      <c r="QJW1" s="242"/>
      <c r="QJX1" s="242"/>
      <c r="QJY1" s="242"/>
      <c r="QJZ1" s="242"/>
      <c r="QKA1" s="242"/>
      <c r="QKB1" s="242"/>
      <c r="QKC1" s="242"/>
      <c r="QKD1" s="242"/>
      <c r="QKE1" s="242"/>
      <c r="QKF1" s="242"/>
      <c r="QKG1" s="242"/>
      <c r="QKH1" s="242"/>
      <c r="QKI1" s="242"/>
      <c r="QKJ1" s="242"/>
      <c r="QKK1" s="242"/>
      <c r="QKL1" s="242"/>
      <c r="QKM1" s="242"/>
      <c r="QKN1" s="242"/>
      <c r="QKO1" s="242"/>
      <c r="QKP1" s="242"/>
      <c r="QKQ1" s="242"/>
      <c r="QKR1" s="242"/>
      <c r="QKS1" s="242"/>
      <c r="QKT1" s="242"/>
      <c r="QKU1" s="242"/>
      <c r="QKV1" s="242"/>
      <c r="QKW1" s="242"/>
      <c r="QKX1" s="242"/>
      <c r="QKY1" s="242"/>
      <c r="QKZ1" s="242"/>
      <c r="QLA1" s="242"/>
      <c r="QLB1" s="242"/>
      <c r="QLC1" s="242"/>
      <c r="QLD1" s="242"/>
      <c r="QLE1" s="242"/>
      <c r="QLF1" s="242"/>
      <c r="QLG1" s="242"/>
      <c r="QLH1" s="242"/>
      <c r="QLI1" s="242"/>
      <c r="QLJ1" s="242"/>
      <c r="QLK1" s="242"/>
      <c r="QLL1" s="242"/>
      <c r="QLM1" s="242"/>
      <c r="QLN1" s="242"/>
      <c r="QLO1" s="242"/>
      <c r="QLP1" s="242"/>
      <c r="QLQ1" s="242"/>
      <c r="QLR1" s="242"/>
      <c r="QLS1" s="242"/>
      <c r="QLT1" s="242"/>
      <c r="QLU1" s="242"/>
      <c r="QLV1" s="242"/>
      <c r="QLW1" s="242"/>
      <c r="QLX1" s="242"/>
      <c r="QLY1" s="242"/>
      <c r="QLZ1" s="242"/>
      <c r="QMA1" s="242"/>
      <c r="QMB1" s="242"/>
      <c r="QMC1" s="242"/>
      <c r="QMD1" s="242"/>
      <c r="QME1" s="242"/>
      <c r="QMF1" s="242"/>
      <c r="QMG1" s="242"/>
      <c r="QMH1" s="242"/>
      <c r="QMI1" s="242"/>
      <c r="QMJ1" s="242"/>
      <c r="QMK1" s="242"/>
      <c r="QML1" s="242"/>
      <c r="QMM1" s="242"/>
      <c r="QMN1" s="242"/>
      <c r="QMO1" s="242"/>
      <c r="QMP1" s="242"/>
      <c r="QMQ1" s="242"/>
      <c r="QMR1" s="242"/>
      <c r="QMS1" s="242"/>
      <c r="QMT1" s="242"/>
      <c r="QMU1" s="242"/>
      <c r="QMV1" s="242"/>
      <c r="QMW1" s="242"/>
      <c r="QMX1" s="242"/>
      <c r="QMY1" s="242"/>
      <c r="QMZ1" s="242"/>
      <c r="QNA1" s="242"/>
      <c r="QNB1" s="242"/>
      <c r="QNC1" s="242"/>
      <c r="QND1" s="242"/>
      <c r="QNE1" s="242"/>
      <c r="QNF1" s="242"/>
      <c r="QNG1" s="242"/>
      <c r="QNH1" s="242"/>
      <c r="QNI1" s="242"/>
      <c r="QNJ1" s="242"/>
      <c r="QNK1" s="242"/>
      <c r="QNL1" s="242"/>
      <c r="QNM1" s="242"/>
      <c r="QNN1" s="242"/>
      <c r="QNO1" s="242"/>
      <c r="QNP1" s="242"/>
      <c r="QNQ1" s="242"/>
      <c r="QNR1" s="242"/>
      <c r="QNS1" s="242"/>
      <c r="QNT1" s="242"/>
      <c r="QNU1" s="242"/>
      <c r="QNV1" s="242"/>
      <c r="QNW1" s="242"/>
      <c r="QNX1" s="242"/>
      <c r="QNY1" s="242"/>
      <c r="QNZ1" s="242"/>
      <c r="QOA1" s="242"/>
      <c r="QOB1" s="242"/>
      <c r="QOC1" s="242"/>
      <c r="QOD1" s="242"/>
      <c r="QOE1" s="242"/>
      <c r="QOF1" s="242"/>
      <c r="QOG1" s="242"/>
      <c r="QOH1" s="242"/>
      <c r="QOI1" s="242"/>
      <c r="QOJ1" s="242"/>
      <c r="QOK1" s="242"/>
      <c r="QOL1" s="242"/>
      <c r="QOM1" s="242"/>
      <c r="QON1" s="242"/>
      <c r="QOO1" s="242"/>
      <c r="QOP1" s="242"/>
      <c r="QOQ1" s="242"/>
      <c r="QOR1" s="242"/>
      <c r="QOS1" s="242"/>
      <c r="QOT1" s="242"/>
      <c r="QOU1" s="242"/>
      <c r="QOV1" s="242"/>
      <c r="QOW1" s="242"/>
      <c r="QOX1" s="242"/>
      <c r="QOY1" s="242"/>
      <c r="QOZ1" s="242"/>
      <c r="QPA1" s="242"/>
      <c r="QPB1" s="242"/>
      <c r="QPC1" s="242"/>
      <c r="QPD1" s="242"/>
      <c r="QPE1" s="242"/>
      <c r="QPF1" s="242"/>
      <c r="QPG1" s="242"/>
      <c r="QPH1" s="242"/>
      <c r="QPI1" s="242"/>
      <c r="QPJ1" s="242"/>
      <c r="QPK1" s="242"/>
      <c r="QPL1" s="242"/>
      <c r="QPM1" s="242"/>
      <c r="QPN1" s="242"/>
      <c r="QPO1" s="242"/>
      <c r="QPP1" s="242"/>
      <c r="QPQ1" s="242"/>
      <c r="QPR1" s="242"/>
      <c r="QPS1" s="242"/>
      <c r="QPT1" s="242"/>
      <c r="QPU1" s="242"/>
      <c r="QPV1" s="242"/>
      <c r="QPW1" s="242"/>
      <c r="QPX1" s="242"/>
      <c r="QPY1" s="242"/>
      <c r="QPZ1" s="242"/>
      <c r="QQA1" s="242"/>
      <c r="QQB1" s="242"/>
      <c r="QQC1" s="242"/>
      <c r="QQD1" s="242"/>
      <c r="QQE1" s="242"/>
      <c r="QQF1" s="242"/>
      <c r="QQG1" s="242"/>
      <c r="QQH1" s="242"/>
      <c r="QQI1" s="242"/>
      <c r="QQJ1" s="242"/>
      <c r="QQK1" s="242"/>
      <c r="QQL1" s="242"/>
      <c r="QQM1" s="242"/>
      <c r="QQN1" s="242"/>
      <c r="QQO1" s="242"/>
      <c r="QQP1" s="242"/>
      <c r="QQQ1" s="242"/>
      <c r="QQR1" s="242"/>
      <c r="QQS1" s="242"/>
      <c r="QQT1" s="242"/>
      <c r="QQU1" s="242"/>
      <c r="QQV1" s="242"/>
      <c r="QQW1" s="242"/>
      <c r="QQX1" s="242"/>
      <c r="QQY1" s="242"/>
      <c r="QQZ1" s="242"/>
      <c r="QRA1" s="242"/>
      <c r="QRB1" s="242"/>
      <c r="QRC1" s="242"/>
      <c r="QRD1" s="242"/>
      <c r="QRE1" s="242"/>
      <c r="QRF1" s="242"/>
      <c r="QRG1" s="242"/>
      <c r="QRH1" s="242"/>
      <c r="QRI1" s="242"/>
      <c r="QRJ1" s="242"/>
      <c r="QRK1" s="242"/>
      <c r="QRL1" s="242"/>
      <c r="QRM1" s="242"/>
      <c r="QRN1" s="242"/>
      <c r="QRO1" s="242"/>
      <c r="QRP1" s="242"/>
      <c r="QRQ1" s="242"/>
      <c r="QRR1" s="242"/>
      <c r="QRS1" s="242"/>
      <c r="QRT1" s="242"/>
      <c r="QRU1" s="242"/>
      <c r="QRV1" s="242"/>
      <c r="QRW1" s="242"/>
      <c r="QRX1" s="242"/>
      <c r="QRY1" s="242"/>
      <c r="QRZ1" s="242"/>
      <c r="QSA1" s="242"/>
      <c r="QSB1" s="242"/>
      <c r="QSC1" s="242"/>
      <c r="QSD1" s="242"/>
      <c r="QSE1" s="242"/>
      <c r="QSF1" s="242"/>
      <c r="QSG1" s="242"/>
      <c r="QSH1" s="242"/>
      <c r="QSI1" s="242"/>
      <c r="QSJ1" s="242"/>
      <c r="QSK1" s="242"/>
      <c r="QSL1" s="242"/>
      <c r="QSM1" s="242"/>
      <c r="QSN1" s="242"/>
      <c r="QSO1" s="242"/>
      <c r="QSP1" s="242"/>
      <c r="QSQ1" s="242"/>
      <c r="QSR1" s="242"/>
      <c r="QSS1" s="242"/>
      <c r="QST1" s="242"/>
      <c r="QSU1" s="242"/>
      <c r="QSV1" s="242"/>
      <c r="QSW1" s="242"/>
      <c r="QSX1" s="242"/>
      <c r="QSY1" s="242"/>
      <c r="QSZ1" s="242"/>
      <c r="QTA1" s="242"/>
      <c r="QTB1" s="242"/>
      <c r="QTC1" s="242"/>
      <c r="QTD1" s="242"/>
      <c r="QTE1" s="242"/>
      <c r="QTF1" s="242"/>
      <c r="QTG1" s="242"/>
      <c r="QTH1" s="242"/>
      <c r="QTI1" s="242"/>
      <c r="QTJ1" s="242"/>
      <c r="QTK1" s="242"/>
      <c r="QTL1" s="242"/>
      <c r="QTM1" s="242"/>
      <c r="QTN1" s="242"/>
      <c r="QTO1" s="242"/>
      <c r="QTP1" s="242"/>
      <c r="QTQ1" s="242"/>
      <c r="QTR1" s="242"/>
      <c r="QTS1" s="242"/>
      <c r="QTT1" s="242"/>
      <c r="QTU1" s="242"/>
      <c r="QTV1" s="242"/>
      <c r="QTW1" s="242"/>
      <c r="QTX1" s="242"/>
      <c r="QTY1" s="242"/>
      <c r="QTZ1" s="242"/>
      <c r="QUA1" s="242"/>
      <c r="QUB1" s="242"/>
      <c r="QUC1" s="242"/>
      <c r="QUD1" s="242"/>
      <c r="QUE1" s="242"/>
      <c r="QUF1" s="242"/>
      <c r="QUG1" s="242"/>
      <c r="QUH1" s="242"/>
      <c r="QUI1" s="242"/>
      <c r="QUJ1" s="242"/>
      <c r="QUK1" s="242"/>
      <c r="QUL1" s="242"/>
      <c r="QUM1" s="242"/>
      <c r="QUN1" s="242"/>
      <c r="QUO1" s="242"/>
      <c r="QUP1" s="242"/>
      <c r="QUQ1" s="242"/>
      <c r="QUR1" s="242"/>
      <c r="QUS1" s="242"/>
      <c r="QUT1" s="242"/>
      <c r="QUU1" s="242"/>
      <c r="QUV1" s="242"/>
      <c r="QUW1" s="242"/>
      <c r="QUX1" s="242"/>
      <c r="QUY1" s="242"/>
      <c r="QUZ1" s="242"/>
      <c r="QVA1" s="242"/>
      <c r="QVB1" s="242"/>
      <c r="QVC1" s="242"/>
      <c r="QVD1" s="242"/>
      <c r="QVE1" s="242"/>
      <c r="QVF1" s="242"/>
      <c r="QVG1" s="242"/>
      <c r="QVH1" s="242"/>
      <c r="QVI1" s="242"/>
      <c r="QVJ1" s="242"/>
      <c r="QVK1" s="242"/>
      <c r="QVL1" s="242"/>
      <c r="QVM1" s="242"/>
      <c r="QVN1" s="242"/>
      <c r="QVO1" s="242"/>
      <c r="QVP1" s="242"/>
      <c r="QVQ1" s="242"/>
      <c r="QVR1" s="242"/>
      <c r="QVS1" s="242"/>
      <c r="QVT1" s="242"/>
      <c r="QVU1" s="242"/>
      <c r="QVV1" s="242"/>
      <c r="QVW1" s="242"/>
      <c r="QVX1" s="242"/>
      <c r="QVY1" s="242"/>
      <c r="QVZ1" s="242"/>
      <c r="QWA1" s="242"/>
      <c r="QWB1" s="242"/>
      <c r="QWC1" s="242"/>
      <c r="QWD1" s="242"/>
      <c r="QWE1" s="242"/>
      <c r="QWF1" s="242"/>
      <c r="QWG1" s="242"/>
      <c r="QWH1" s="242"/>
      <c r="QWI1" s="242"/>
      <c r="QWJ1" s="242"/>
      <c r="QWK1" s="242"/>
      <c r="QWL1" s="242"/>
      <c r="QWM1" s="242"/>
      <c r="QWN1" s="242"/>
      <c r="QWO1" s="242"/>
      <c r="QWP1" s="242"/>
      <c r="QWQ1" s="242"/>
      <c r="QWR1" s="242"/>
      <c r="QWS1" s="242"/>
      <c r="QWT1" s="242"/>
      <c r="QWU1" s="242"/>
      <c r="QWV1" s="242"/>
      <c r="QWW1" s="242"/>
      <c r="QWX1" s="242"/>
      <c r="QWY1" s="242"/>
      <c r="QWZ1" s="242"/>
      <c r="QXA1" s="242"/>
      <c r="QXB1" s="242"/>
      <c r="QXC1" s="242"/>
      <c r="QXD1" s="242"/>
      <c r="QXE1" s="242"/>
      <c r="QXF1" s="242"/>
      <c r="QXG1" s="242"/>
      <c r="QXH1" s="242"/>
      <c r="QXI1" s="242"/>
      <c r="QXJ1" s="242"/>
      <c r="QXK1" s="242"/>
      <c r="QXL1" s="242"/>
      <c r="QXM1" s="242"/>
      <c r="QXN1" s="242"/>
      <c r="QXO1" s="242"/>
      <c r="QXP1" s="242"/>
      <c r="QXQ1" s="242"/>
      <c r="QXR1" s="242"/>
      <c r="QXS1" s="242"/>
      <c r="QXT1" s="242"/>
      <c r="QXU1" s="242"/>
      <c r="QXV1" s="242"/>
      <c r="QXW1" s="242"/>
      <c r="QXX1" s="242"/>
      <c r="QXY1" s="242"/>
      <c r="QXZ1" s="242"/>
      <c r="QYA1" s="242"/>
      <c r="QYB1" s="242"/>
      <c r="QYC1" s="242"/>
      <c r="QYD1" s="242"/>
      <c r="QYE1" s="242"/>
      <c r="QYF1" s="242"/>
      <c r="QYG1" s="242"/>
      <c r="QYH1" s="242"/>
      <c r="QYI1" s="242"/>
      <c r="QYJ1" s="242"/>
      <c r="QYK1" s="242"/>
      <c r="QYL1" s="242"/>
      <c r="QYM1" s="242"/>
      <c r="QYN1" s="242"/>
      <c r="QYO1" s="242"/>
      <c r="QYP1" s="242"/>
      <c r="QYQ1" s="242"/>
      <c r="QYR1" s="242"/>
      <c r="QYS1" s="242"/>
      <c r="QYT1" s="242"/>
      <c r="QYU1" s="242"/>
      <c r="QYV1" s="242"/>
      <c r="QYW1" s="242"/>
      <c r="QYX1" s="242"/>
      <c r="QYY1" s="242"/>
      <c r="QYZ1" s="242"/>
      <c r="QZA1" s="242"/>
      <c r="QZB1" s="242"/>
      <c r="QZC1" s="242"/>
      <c r="QZD1" s="242"/>
      <c r="QZE1" s="242"/>
      <c r="QZF1" s="242"/>
      <c r="QZG1" s="242"/>
      <c r="QZH1" s="242"/>
      <c r="QZI1" s="242"/>
      <c r="QZJ1" s="242"/>
      <c r="QZK1" s="242"/>
      <c r="QZL1" s="242"/>
      <c r="QZM1" s="242"/>
      <c r="QZN1" s="242"/>
      <c r="QZO1" s="242"/>
      <c r="QZP1" s="242"/>
      <c r="QZQ1" s="242"/>
      <c r="QZR1" s="242"/>
      <c r="QZS1" s="242"/>
      <c r="QZT1" s="242"/>
      <c r="QZU1" s="242"/>
      <c r="QZV1" s="242"/>
      <c r="QZW1" s="242"/>
      <c r="QZX1" s="242"/>
      <c r="QZY1" s="242"/>
      <c r="QZZ1" s="242"/>
      <c r="RAA1" s="242"/>
      <c r="RAB1" s="242"/>
      <c r="RAC1" s="242"/>
      <c r="RAD1" s="242"/>
      <c r="RAE1" s="242"/>
      <c r="RAF1" s="242"/>
      <c r="RAG1" s="242"/>
      <c r="RAH1" s="242"/>
      <c r="RAI1" s="242"/>
      <c r="RAJ1" s="242"/>
      <c r="RAK1" s="242"/>
      <c r="RAL1" s="242"/>
      <c r="RAM1" s="242"/>
      <c r="RAN1" s="242"/>
      <c r="RAO1" s="242"/>
      <c r="RAP1" s="242"/>
      <c r="RAQ1" s="242"/>
      <c r="RAR1" s="242"/>
      <c r="RAS1" s="242"/>
      <c r="RAT1" s="242"/>
      <c r="RAU1" s="242"/>
      <c r="RAV1" s="242"/>
      <c r="RAW1" s="242"/>
      <c r="RAX1" s="242"/>
      <c r="RAY1" s="242"/>
      <c r="RAZ1" s="242"/>
      <c r="RBA1" s="242"/>
      <c r="RBB1" s="242"/>
      <c r="RBC1" s="242"/>
      <c r="RBD1" s="242"/>
      <c r="RBE1" s="242"/>
      <c r="RBF1" s="242"/>
      <c r="RBG1" s="242"/>
      <c r="RBH1" s="242"/>
      <c r="RBI1" s="242"/>
      <c r="RBJ1" s="242"/>
      <c r="RBK1" s="242"/>
      <c r="RBL1" s="242"/>
      <c r="RBM1" s="242"/>
      <c r="RBN1" s="242"/>
      <c r="RBO1" s="242"/>
      <c r="RBP1" s="242"/>
      <c r="RBQ1" s="242"/>
      <c r="RBR1" s="242"/>
      <c r="RBS1" s="242"/>
      <c r="RBT1" s="242"/>
      <c r="RBU1" s="242"/>
      <c r="RBV1" s="242"/>
      <c r="RBW1" s="242"/>
      <c r="RBX1" s="242"/>
      <c r="RBY1" s="242"/>
      <c r="RBZ1" s="242"/>
      <c r="RCA1" s="242"/>
      <c r="RCB1" s="242"/>
      <c r="RCC1" s="242"/>
      <c r="RCD1" s="242"/>
      <c r="RCE1" s="242"/>
      <c r="RCF1" s="242"/>
      <c r="RCG1" s="242"/>
      <c r="RCH1" s="242"/>
      <c r="RCI1" s="242"/>
      <c r="RCJ1" s="242"/>
      <c r="RCK1" s="242"/>
      <c r="RCL1" s="242"/>
      <c r="RCM1" s="242"/>
      <c r="RCN1" s="242"/>
      <c r="RCO1" s="242"/>
      <c r="RCP1" s="242"/>
      <c r="RCQ1" s="242"/>
      <c r="RCR1" s="242"/>
      <c r="RCS1" s="242"/>
      <c r="RCT1" s="242"/>
      <c r="RCU1" s="242"/>
      <c r="RCV1" s="242"/>
      <c r="RCW1" s="242"/>
      <c r="RCX1" s="242"/>
      <c r="RCY1" s="242"/>
      <c r="RCZ1" s="242"/>
      <c r="RDA1" s="242"/>
      <c r="RDB1" s="242"/>
      <c r="RDC1" s="242"/>
      <c r="RDD1" s="242"/>
      <c r="RDE1" s="242"/>
      <c r="RDF1" s="242"/>
      <c r="RDG1" s="242"/>
      <c r="RDH1" s="242"/>
      <c r="RDI1" s="242"/>
      <c r="RDJ1" s="242"/>
      <c r="RDK1" s="242"/>
      <c r="RDL1" s="242"/>
      <c r="RDM1" s="242"/>
      <c r="RDN1" s="242"/>
      <c r="RDO1" s="242"/>
      <c r="RDP1" s="242"/>
      <c r="RDQ1" s="242"/>
      <c r="RDR1" s="242"/>
      <c r="RDS1" s="242"/>
      <c r="RDT1" s="242"/>
      <c r="RDU1" s="242"/>
      <c r="RDV1" s="242"/>
      <c r="RDW1" s="242"/>
      <c r="RDX1" s="242"/>
      <c r="RDY1" s="242"/>
      <c r="RDZ1" s="242"/>
      <c r="REA1" s="242"/>
      <c r="REB1" s="242"/>
      <c r="REC1" s="242"/>
      <c r="RED1" s="242"/>
      <c r="REE1" s="242"/>
      <c r="REF1" s="242"/>
      <c r="REG1" s="242"/>
      <c r="REH1" s="242"/>
      <c r="REI1" s="242"/>
      <c r="REJ1" s="242"/>
      <c r="REK1" s="242"/>
      <c r="REL1" s="242"/>
      <c r="REM1" s="242"/>
      <c r="REN1" s="242"/>
      <c r="REO1" s="242"/>
      <c r="REP1" s="242"/>
      <c r="REQ1" s="242"/>
      <c r="RER1" s="242"/>
      <c r="RES1" s="242"/>
      <c r="RET1" s="242"/>
      <c r="REU1" s="242"/>
      <c r="REV1" s="242"/>
      <c r="REW1" s="242"/>
      <c r="REX1" s="242"/>
      <c r="REY1" s="242"/>
      <c r="REZ1" s="242"/>
      <c r="RFA1" s="242"/>
      <c r="RFB1" s="242"/>
      <c r="RFC1" s="242"/>
      <c r="RFD1" s="242"/>
      <c r="RFE1" s="242"/>
      <c r="RFF1" s="242"/>
      <c r="RFG1" s="242"/>
      <c r="RFH1" s="242"/>
      <c r="RFI1" s="242"/>
      <c r="RFJ1" s="242"/>
      <c r="RFK1" s="242"/>
      <c r="RFL1" s="242"/>
      <c r="RFM1" s="242"/>
      <c r="RFN1" s="242"/>
      <c r="RFO1" s="242"/>
      <c r="RFP1" s="242"/>
      <c r="RFQ1" s="242"/>
      <c r="RFR1" s="242"/>
      <c r="RFS1" s="242"/>
      <c r="RFT1" s="242"/>
      <c r="RFU1" s="242"/>
      <c r="RFV1" s="242"/>
      <c r="RFW1" s="242"/>
      <c r="RFX1" s="242"/>
      <c r="RFY1" s="242"/>
      <c r="RFZ1" s="242"/>
      <c r="RGA1" s="242"/>
      <c r="RGB1" s="242"/>
      <c r="RGC1" s="242"/>
      <c r="RGD1" s="242"/>
      <c r="RGE1" s="242"/>
      <c r="RGF1" s="242"/>
      <c r="RGG1" s="242"/>
      <c r="RGH1" s="242"/>
      <c r="RGI1" s="242"/>
      <c r="RGJ1" s="242"/>
      <c r="RGK1" s="242"/>
      <c r="RGL1" s="242"/>
      <c r="RGM1" s="242"/>
      <c r="RGN1" s="242"/>
      <c r="RGO1" s="242"/>
      <c r="RGP1" s="242"/>
      <c r="RGQ1" s="242"/>
      <c r="RGR1" s="242"/>
      <c r="RGS1" s="242"/>
      <c r="RGT1" s="242"/>
      <c r="RGU1" s="242"/>
      <c r="RGV1" s="242"/>
      <c r="RGW1" s="242"/>
      <c r="RGX1" s="242"/>
      <c r="RGY1" s="242"/>
      <c r="RGZ1" s="242"/>
      <c r="RHA1" s="242"/>
      <c r="RHB1" s="242"/>
      <c r="RHC1" s="242"/>
      <c r="RHD1" s="242"/>
      <c r="RHE1" s="242"/>
      <c r="RHF1" s="242"/>
      <c r="RHG1" s="242"/>
      <c r="RHH1" s="242"/>
      <c r="RHI1" s="242"/>
      <c r="RHJ1" s="242"/>
      <c r="RHK1" s="242"/>
      <c r="RHL1" s="242"/>
      <c r="RHM1" s="242"/>
      <c r="RHN1" s="242"/>
      <c r="RHO1" s="242"/>
      <c r="RHP1" s="242"/>
      <c r="RHQ1" s="242"/>
      <c r="RHR1" s="242"/>
      <c r="RHS1" s="242"/>
      <c r="RHT1" s="242"/>
      <c r="RHU1" s="242"/>
      <c r="RHV1" s="242"/>
      <c r="RHW1" s="242"/>
      <c r="RHX1" s="242"/>
      <c r="RHY1" s="242"/>
      <c r="RHZ1" s="242"/>
      <c r="RIA1" s="242"/>
      <c r="RIB1" s="242"/>
      <c r="RIC1" s="242"/>
      <c r="RID1" s="242"/>
      <c r="RIE1" s="242"/>
      <c r="RIF1" s="242"/>
      <c r="RIG1" s="242"/>
      <c r="RIH1" s="242"/>
      <c r="RII1" s="242"/>
      <c r="RIJ1" s="242"/>
      <c r="RIK1" s="242"/>
      <c r="RIL1" s="242"/>
      <c r="RIM1" s="242"/>
      <c r="RIN1" s="242"/>
      <c r="RIO1" s="242"/>
      <c r="RIP1" s="242"/>
      <c r="RIQ1" s="242"/>
      <c r="RIR1" s="242"/>
      <c r="RIS1" s="242"/>
      <c r="RIT1" s="242"/>
      <c r="RIU1" s="242"/>
      <c r="RIV1" s="242"/>
      <c r="RIW1" s="242"/>
      <c r="RIX1" s="242"/>
      <c r="RIY1" s="242"/>
      <c r="RIZ1" s="242"/>
      <c r="RJA1" s="242"/>
      <c r="RJB1" s="242"/>
      <c r="RJC1" s="242"/>
      <c r="RJD1" s="242"/>
      <c r="RJE1" s="242"/>
      <c r="RJF1" s="242"/>
      <c r="RJG1" s="242"/>
      <c r="RJH1" s="242"/>
      <c r="RJI1" s="242"/>
      <c r="RJJ1" s="242"/>
      <c r="RJK1" s="242"/>
      <c r="RJL1" s="242"/>
      <c r="RJM1" s="242"/>
      <c r="RJN1" s="242"/>
      <c r="RJO1" s="242"/>
      <c r="RJP1" s="242"/>
      <c r="RJQ1" s="242"/>
      <c r="RJR1" s="242"/>
      <c r="RJS1" s="242"/>
      <c r="RJT1" s="242"/>
      <c r="RJU1" s="242"/>
      <c r="RJV1" s="242"/>
      <c r="RJW1" s="242"/>
      <c r="RJX1" s="242"/>
      <c r="RJY1" s="242"/>
      <c r="RJZ1" s="242"/>
      <c r="RKA1" s="242"/>
      <c r="RKB1" s="242"/>
      <c r="RKC1" s="242"/>
      <c r="RKD1" s="242"/>
      <c r="RKE1" s="242"/>
      <c r="RKF1" s="242"/>
      <c r="RKG1" s="242"/>
      <c r="RKH1" s="242"/>
      <c r="RKI1" s="242"/>
      <c r="RKJ1" s="242"/>
      <c r="RKK1" s="242"/>
      <c r="RKL1" s="242"/>
      <c r="RKM1" s="242"/>
      <c r="RKN1" s="242"/>
      <c r="RKO1" s="242"/>
      <c r="RKP1" s="242"/>
      <c r="RKQ1" s="242"/>
      <c r="RKR1" s="242"/>
      <c r="RKS1" s="242"/>
      <c r="RKT1" s="242"/>
      <c r="RKU1" s="242"/>
      <c r="RKV1" s="242"/>
      <c r="RKW1" s="242"/>
      <c r="RKX1" s="242"/>
      <c r="RKY1" s="242"/>
      <c r="RKZ1" s="242"/>
      <c r="RLA1" s="242"/>
      <c r="RLB1" s="242"/>
      <c r="RLC1" s="242"/>
      <c r="RLD1" s="242"/>
      <c r="RLE1" s="242"/>
      <c r="RLF1" s="242"/>
      <c r="RLG1" s="242"/>
      <c r="RLH1" s="242"/>
      <c r="RLI1" s="242"/>
      <c r="RLJ1" s="242"/>
      <c r="RLK1" s="242"/>
      <c r="RLL1" s="242"/>
      <c r="RLM1" s="242"/>
      <c r="RLN1" s="242"/>
      <c r="RLO1" s="242"/>
      <c r="RLP1" s="242"/>
      <c r="RLQ1" s="242"/>
      <c r="RLR1" s="242"/>
      <c r="RLS1" s="242"/>
      <c r="RLT1" s="242"/>
      <c r="RLU1" s="242"/>
      <c r="RLV1" s="242"/>
      <c r="RLW1" s="242"/>
      <c r="RLX1" s="242"/>
      <c r="RLY1" s="242"/>
      <c r="RLZ1" s="242"/>
      <c r="RMA1" s="242"/>
      <c r="RMB1" s="242"/>
      <c r="RMC1" s="242"/>
      <c r="RMD1" s="242"/>
      <c r="RME1" s="242"/>
      <c r="RMF1" s="242"/>
      <c r="RMG1" s="242"/>
      <c r="RMH1" s="242"/>
      <c r="RMI1" s="242"/>
      <c r="RMJ1" s="242"/>
      <c r="RMK1" s="242"/>
      <c r="RML1" s="242"/>
      <c r="RMM1" s="242"/>
      <c r="RMN1" s="242"/>
      <c r="RMO1" s="242"/>
      <c r="RMP1" s="242"/>
      <c r="RMQ1" s="242"/>
      <c r="RMR1" s="242"/>
      <c r="RMS1" s="242"/>
      <c r="RMT1" s="242"/>
      <c r="RMU1" s="242"/>
      <c r="RMV1" s="242"/>
      <c r="RMW1" s="242"/>
      <c r="RMX1" s="242"/>
      <c r="RMY1" s="242"/>
      <c r="RMZ1" s="242"/>
      <c r="RNA1" s="242"/>
      <c r="RNB1" s="242"/>
      <c r="RNC1" s="242"/>
      <c r="RND1" s="242"/>
      <c r="RNE1" s="242"/>
      <c r="RNF1" s="242"/>
      <c r="RNG1" s="242"/>
      <c r="RNH1" s="242"/>
      <c r="RNI1" s="242"/>
      <c r="RNJ1" s="242"/>
      <c r="RNK1" s="242"/>
      <c r="RNL1" s="242"/>
      <c r="RNM1" s="242"/>
      <c r="RNN1" s="242"/>
      <c r="RNO1" s="242"/>
      <c r="RNP1" s="242"/>
      <c r="RNQ1" s="242"/>
      <c r="RNR1" s="242"/>
      <c r="RNS1" s="242"/>
      <c r="RNT1" s="242"/>
      <c r="RNU1" s="242"/>
      <c r="RNV1" s="242"/>
      <c r="RNW1" s="242"/>
      <c r="RNX1" s="242"/>
      <c r="RNY1" s="242"/>
      <c r="RNZ1" s="242"/>
      <c r="ROA1" s="242"/>
      <c r="ROB1" s="242"/>
      <c r="ROC1" s="242"/>
      <c r="ROD1" s="242"/>
      <c r="ROE1" s="242"/>
      <c r="ROF1" s="242"/>
      <c r="ROG1" s="242"/>
      <c r="ROH1" s="242"/>
      <c r="ROI1" s="242"/>
      <c r="ROJ1" s="242"/>
      <c r="ROK1" s="242"/>
      <c r="ROL1" s="242"/>
      <c r="ROM1" s="242"/>
      <c r="RON1" s="242"/>
      <c r="ROO1" s="242"/>
      <c r="ROP1" s="242"/>
      <c r="ROQ1" s="242"/>
      <c r="ROR1" s="242"/>
      <c r="ROS1" s="242"/>
      <c r="ROT1" s="242"/>
      <c r="ROU1" s="242"/>
      <c r="ROV1" s="242"/>
      <c r="ROW1" s="242"/>
      <c r="ROX1" s="242"/>
      <c r="ROY1" s="242"/>
      <c r="ROZ1" s="242"/>
      <c r="RPA1" s="242"/>
      <c r="RPB1" s="242"/>
      <c r="RPC1" s="242"/>
      <c r="RPD1" s="242"/>
      <c r="RPE1" s="242"/>
      <c r="RPF1" s="242"/>
      <c r="RPG1" s="242"/>
      <c r="RPH1" s="242"/>
      <c r="RPI1" s="242"/>
      <c r="RPJ1" s="242"/>
      <c r="RPK1" s="242"/>
      <c r="RPL1" s="242"/>
      <c r="RPM1" s="242"/>
      <c r="RPN1" s="242"/>
      <c r="RPO1" s="242"/>
      <c r="RPP1" s="242"/>
      <c r="RPQ1" s="242"/>
      <c r="RPR1" s="242"/>
      <c r="RPS1" s="242"/>
      <c r="RPT1" s="242"/>
      <c r="RPU1" s="242"/>
      <c r="RPV1" s="242"/>
      <c r="RPW1" s="242"/>
      <c r="RPX1" s="242"/>
      <c r="RPY1" s="242"/>
      <c r="RPZ1" s="242"/>
      <c r="RQA1" s="242"/>
      <c r="RQB1" s="242"/>
      <c r="RQC1" s="242"/>
      <c r="RQD1" s="242"/>
      <c r="RQE1" s="242"/>
      <c r="RQF1" s="242"/>
      <c r="RQG1" s="242"/>
      <c r="RQH1" s="242"/>
      <c r="RQI1" s="242"/>
      <c r="RQJ1" s="242"/>
      <c r="RQK1" s="242"/>
      <c r="RQL1" s="242"/>
      <c r="RQM1" s="242"/>
      <c r="RQN1" s="242"/>
      <c r="RQO1" s="242"/>
      <c r="RQP1" s="242"/>
      <c r="RQQ1" s="242"/>
      <c r="RQR1" s="242"/>
      <c r="RQS1" s="242"/>
      <c r="RQT1" s="242"/>
      <c r="RQU1" s="242"/>
      <c r="RQV1" s="242"/>
      <c r="RQW1" s="242"/>
      <c r="RQX1" s="242"/>
      <c r="RQY1" s="242"/>
      <c r="RQZ1" s="242"/>
      <c r="RRA1" s="242"/>
      <c r="RRB1" s="242"/>
      <c r="RRC1" s="242"/>
      <c r="RRD1" s="242"/>
      <c r="RRE1" s="242"/>
      <c r="RRF1" s="242"/>
      <c r="RRG1" s="242"/>
      <c r="RRH1" s="242"/>
      <c r="RRI1" s="242"/>
      <c r="RRJ1" s="242"/>
      <c r="RRK1" s="242"/>
      <c r="RRL1" s="242"/>
      <c r="RRM1" s="242"/>
      <c r="RRN1" s="242"/>
      <c r="RRO1" s="242"/>
      <c r="RRP1" s="242"/>
      <c r="RRQ1" s="242"/>
      <c r="RRR1" s="242"/>
      <c r="RRS1" s="242"/>
      <c r="RRT1" s="242"/>
      <c r="RRU1" s="242"/>
      <c r="RRV1" s="242"/>
      <c r="RRW1" s="242"/>
      <c r="RRX1" s="242"/>
      <c r="RRY1" s="242"/>
      <c r="RRZ1" s="242"/>
      <c r="RSA1" s="242"/>
      <c r="RSB1" s="242"/>
      <c r="RSC1" s="242"/>
      <c r="RSD1" s="242"/>
      <c r="RSE1" s="242"/>
      <c r="RSF1" s="242"/>
      <c r="RSG1" s="242"/>
      <c r="RSH1" s="242"/>
      <c r="RSI1" s="242"/>
      <c r="RSJ1" s="242"/>
      <c r="RSK1" s="242"/>
      <c r="RSL1" s="242"/>
      <c r="RSM1" s="242"/>
      <c r="RSN1" s="242"/>
      <c r="RSO1" s="242"/>
      <c r="RSP1" s="242"/>
      <c r="RSQ1" s="242"/>
      <c r="RSR1" s="242"/>
      <c r="RSS1" s="242"/>
      <c r="RST1" s="242"/>
      <c r="RSU1" s="242"/>
      <c r="RSV1" s="242"/>
      <c r="RSW1" s="242"/>
      <c r="RSX1" s="242"/>
      <c r="RSY1" s="242"/>
      <c r="RSZ1" s="242"/>
      <c r="RTA1" s="242"/>
      <c r="RTB1" s="242"/>
      <c r="RTC1" s="242"/>
      <c r="RTD1" s="242"/>
      <c r="RTE1" s="242"/>
      <c r="RTF1" s="242"/>
      <c r="RTG1" s="242"/>
      <c r="RTH1" s="242"/>
      <c r="RTI1" s="242"/>
      <c r="RTJ1" s="242"/>
      <c r="RTK1" s="242"/>
      <c r="RTL1" s="242"/>
      <c r="RTM1" s="242"/>
      <c r="RTN1" s="242"/>
      <c r="RTO1" s="242"/>
      <c r="RTP1" s="242"/>
      <c r="RTQ1" s="242"/>
      <c r="RTR1" s="242"/>
      <c r="RTS1" s="242"/>
      <c r="RTT1" s="242"/>
      <c r="RTU1" s="242"/>
      <c r="RTV1" s="242"/>
      <c r="RTW1" s="242"/>
      <c r="RTX1" s="242"/>
      <c r="RTY1" s="242"/>
      <c r="RTZ1" s="242"/>
      <c r="RUA1" s="242"/>
      <c r="RUB1" s="242"/>
      <c r="RUC1" s="242"/>
      <c r="RUD1" s="242"/>
      <c r="RUE1" s="242"/>
      <c r="RUF1" s="242"/>
      <c r="RUG1" s="242"/>
      <c r="RUH1" s="242"/>
      <c r="RUI1" s="242"/>
      <c r="RUJ1" s="242"/>
      <c r="RUK1" s="242"/>
      <c r="RUL1" s="242"/>
      <c r="RUM1" s="242"/>
      <c r="RUN1" s="242"/>
      <c r="RUO1" s="242"/>
      <c r="RUP1" s="242"/>
      <c r="RUQ1" s="242"/>
      <c r="RUR1" s="242"/>
      <c r="RUS1" s="242"/>
      <c r="RUT1" s="242"/>
      <c r="RUU1" s="242"/>
      <c r="RUV1" s="242"/>
      <c r="RUW1" s="242"/>
      <c r="RUX1" s="242"/>
      <c r="RUY1" s="242"/>
      <c r="RUZ1" s="242"/>
      <c r="RVA1" s="242"/>
      <c r="RVB1" s="242"/>
      <c r="RVC1" s="242"/>
      <c r="RVD1" s="242"/>
      <c r="RVE1" s="242"/>
      <c r="RVF1" s="242"/>
      <c r="RVG1" s="242"/>
      <c r="RVH1" s="242"/>
      <c r="RVI1" s="242"/>
      <c r="RVJ1" s="242"/>
      <c r="RVK1" s="242"/>
      <c r="RVL1" s="242"/>
      <c r="RVM1" s="242"/>
      <c r="RVN1" s="242"/>
      <c r="RVO1" s="242"/>
      <c r="RVP1" s="242"/>
      <c r="RVQ1" s="242"/>
      <c r="RVR1" s="242"/>
      <c r="RVS1" s="242"/>
      <c r="RVT1" s="242"/>
      <c r="RVU1" s="242"/>
      <c r="RVV1" s="242"/>
      <c r="RVW1" s="242"/>
      <c r="RVX1" s="242"/>
      <c r="RVY1" s="242"/>
      <c r="RVZ1" s="242"/>
      <c r="RWA1" s="242"/>
      <c r="RWB1" s="242"/>
      <c r="RWC1" s="242"/>
      <c r="RWD1" s="242"/>
      <c r="RWE1" s="242"/>
      <c r="RWF1" s="242"/>
      <c r="RWG1" s="242"/>
      <c r="RWH1" s="242"/>
      <c r="RWI1" s="242"/>
      <c r="RWJ1" s="242"/>
      <c r="RWK1" s="242"/>
      <c r="RWL1" s="242"/>
      <c r="RWM1" s="242"/>
      <c r="RWN1" s="242"/>
      <c r="RWO1" s="242"/>
      <c r="RWP1" s="242"/>
      <c r="RWQ1" s="242"/>
      <c r="RWR1" s="242"/>
      <c r="RWS1" s="242"/>
      <c r="RWT1" s="242"/>
      <c r="RWU1" s="242"/>
      <c r="RWV1" s="242"/>
      <c r="RWW1" s="242"/>
      <c r="RWX1" s="242"/>
      <c r="RWY1" s="242"/>
      <c r="RWZ1" s="242"/>
      <c r="RXA1" s="242"/>
      <c r="RXB1" s="242"/>
      <c r="RXC1" s="242"/>
      <c r="RXD1" s="242"/>
      <c r="RXE1" s="242"/>
      <c r="RXF1" s="242"/>
      <c r="RXG1" s="242"/>
      <c r="RXH1" s="242"/>
      <c r="RXI1" s="242"/>
      <c r="RXJ1" s="242"/>
      <c r="RXK1" s="242"/>
      <c r="RXL1" s="242"/>
      <c r="RXM1" s="242"/>
      <c r="RXN1" s="242"/>
      <c r="RXO1" s="242"/>
      <c r="RXP1" s="242"/>
      <c r="RXQ1" s="242"/>
      <c r="RXR1" s="242"/>
      <c r="RXS1" s="242"/>
      <c r="RXT1" s="242"/>
      <c r="RXU1" s="242"/>
      <c r="RXV1" s="242"/>
      <c r="RXW1" s="242"/>
      <c r="RXX1" s="242"/>
      <c r="RXY1" s="242"/>
      <c r="RXZ1" s="242"/>
      <c r="RYA1" s="242"/>
      <c r="RYB1" s="242"/>
      <c r="RYC1" s="242"/>
      <c r="RYD1" s="242"/>
      <c r="RYE1" s="242"/>
      <c r="RYF1" s="242"/>
      <c r="RYG1" s="242"/>
      <c r="RYH1" s="242"/>
      <c r="RYI1" s="242"/>
      <c r="RYJ1" s="242"/>
      <c r="RYK1" s="242"/>
      <c r="RYL1" s="242"/>
      <c r="RYM1" s="242"/>
      <c r="RYN1" s="242"/>
      <c r="RYO1" s="242"/>
      <c r="RYP1" s="242"/>
      <c r="RYQ1" s="242"/>
      <c r="RYR1" s="242"/>
      <c r="RYS1" s="242"/>
      <c r="RYT1" s="242"/>
      <c r="RYU1" s="242"/>
      <c r="RYV1" s="242"/>
      <c r="RYW1" s="242"/>
      <c r="RYX1" s="242"/>
      <c r="RYY1" s="242"/>
      <c r="RYZ1" s="242"/>
      <c r="RZA1" s="242"/>
      <c r="RZB1" s="242"/>
      <c r="RZC1" s="242"/>
      <c r="RZD1" s="242"/>
      <c r="RZE1" s="242"/>
      <c r="RZF1" s="242"/>
      <c r="RZG1" s="242"/>
      <c r="RZH1" s="242"/>
      <c r="RZI1" s="242"/>
      <c r="RZJ1" s="242"/>
      <c r="RZK1" s="242"/>
      <c r="RZL1" s="242"/>
      <c r="RZM1" s="242"/>
      <c r="RZN1" s="242"/>
      <c r="RZO1" s="242"/>
      <c r="RZP1" s="242"/>
      <c r="RZQ1" s="242"/>
      <c r="RZR1" s="242"/>
      <c r="RZS1" s="242"/>
      <c r="RZT1" s="242"/>
      <c r="RZU1" s="242"/>
      <c r="RZV1" s="242"/>
      <c r="RZW1" s="242"/>
      <c r="RZX1" s="242"/>
      <c r="RZY1" s="242"/>
      <c r="RZZ1" s="242"/>
      <c r="SAA1" s="242"/>
      <c r="SAB1" s="242"/>
      <c r="SAC1" s="242"/>
      <c r="SAD1" s="242"/>
      <c r="SAE1" s="242"/>
      <c r="SAF1" s="242"/>
      <c r="SAG1" s="242"/>
      <c r="SAH1" s="242"/>
      <c r="SAI1" s="242"/>
      <c r="SAJ1" s="242"/>
      <c r="SAK1" s="242"/>
      <c r="SAL1" s="242"/>
      <c r="SAM1" s="242"/>
      <c r="SAN1" s="242"/>
      <c r="SAO1" s="242"/>
      <c r="SAP1" s="242"/>
      <c r="SAQ1" s="242"/>
      <c r="SAR1" s="242"/>
      <c r="SAS1" s="242"/>
      <c r="SAT1" s="242"/>
      <c r="SAU1" s="242"/>
      <c r="SAV1" s="242"/>
      <c r="SAW1" s="242"/>
      <c r="SAX1" s="242"/>
      <c r="SAY1" s="242"/>
      <c r="SAZ1" s="242"/>
      <c r="SBA1" s="242"/>
      <c r="SBB1" s="242"/>
      <c r="SBC1" s="242"/>
      <c r="SBD1" s="242"/>
      <c r="SBE1" s="242"/>
      <c r="SBF1" s="242"/>
      <c r="SBG1" s="242"/>
      <c r="SBH1" s="242"/>
      <c r="SBI1" s="242"/>
      <c r="SBJ1" s="242"/>
      <c r="SBK1" s="242"/>
      <c r="SBL1" s="242"/>
      <c r="SBM1" s="242"/>
      <c r="SBN1" s="242"/>
      <c r="SBO1" s="242"/>
      <c r="SBP1" s="242"/>
      <c r="SBQ1" s="242"/>
      <c r="SBR1" s="242"/>
      <c r="SBS1" s="242"/>
      <c r="SBT1" s="242"/>
      <c r="SBU1" s="242"/>
      <c r="SBV1" s="242"/>
      <c r="SBW1" s="242"/>
      <c r="SBX1" s="242"/>
      <c r="SBY1" s="242"/>
      <c r="SBZ1" s="242"/>
      <c r="SCA1" s="242"/>
      <c r="SCB1" s="242"/>
      <c r="SCC1" s="242"/>
      <c r="SCD1" s="242"/>
      <c r="SCE1" s="242"/>
      <c r="SCF1" s="242"/>
      <c r="SCG1" s="242"/>
      <c r="SCH1" s="242"/>
      <c r="SCI1" s="242"/>
      <c r="SCJ1" s="242"/>
      <c r="SCK1" s="242"/>
      <c r="SCL1" s="242"/>
      <c r="SCM1" s="242"/>
      <c r="SCN1" s="242"/>
      <c r="SCO1" s="242"/>
      <c r="SCP1" s="242"/>
      <c r="SCQ1" s="242"/>
      <c r="SCR1" s="242"/>
      <c r="SCS1" s="242"/>
      <c r="SCT1" s="242"/>
      <c r="SCU1" s="242"/>
      <c r="SCV1" s="242"/>
      <c r="SCW1" s="242"/>
      <c r="SCX1" s="242"/>
      <c r="SCY1" s="242"/>
      <c r="SCZ1" s="242"/>
      <c r="SDA1" s="242"/>
      <c r="SDB1" s="242"/>
      <c r="SDC1" s="242"/>
      <c r="SDD1" s="242"/>
      <c r="SDE1" s="242"/>
      <c r="SDF1" s="242"/>
      <c r="SDG1" s="242"/>
      <c r="SDH1" s="242"/>
      <c r="SDI1" s="242"/>
      <c r="SDJ1" s="242"/>
      <c r="SDK1" s="242"/>
      <c r="SDL1" s="242"/>
      <c r="SDM1" s="242"/>
      <c r="SDN1" s="242"/>
      <c r="SDO1" s="242"/>
      <c r="SDP1" s="242"/>
      <c r="SDQ1" s="242"/>
      <c r="SDR1" s="242"/>
      <c r="SDS1" s="242"/>
      <c r="SDT1" s="242"/>
      <c r="SDU1" s="242"/>
      <c r="SDV1" s="242"/>
      <c r="SDW1" s="242"/>
      <c r="SDX1" s="242"/>
      <c r="SDY1" s="242"/>
      <c r="SDZ1" s="242"/>
      <c r="SEA1" s="242"/>
      <c r="SEB1" s="242"/>
      <c r="SEC1" s="242"/>
      <c r="SED1" s="242"/>
      <c r="SEE1" s="242"/>
      <c r="SEF1" s="242"/>
      <c r="SEG1" s="242"/>
      <c r="SEH1" s="242"/>
      <c r="SEI1" s="242"/>
      <c r="SEJ1" s="242"/>
      <c r="SEK1" s="242"/>
      <c r="SEL1" s="242"/>
      <c r="SEM1" s="242"/>
      <c r="SEN1" s="242"/>
      <c r="SEO1" s="242"/>
      <c r="SEP1" s="242"/>
      <c r="SEQ1" s="242"/>
      <c r="SER1" s="242"/>
      <c r="SES1" s="242"/>
      <c r="SET1" s="242"/>
      <c r="SEU1" s="242"/>
      <c r="SEV1" s="242"/>
      <c r="SEW1" s="242"/>
      <c r="SEX1" s="242"/>
      <c r="SEY1" s="242"/>
      <c r="SEZ1" s="242"/>
      <c r="SFA1" s="242"/>
      <c r="SFB1" s="242"/>
      <c r="SFC1" s="242"/>
      <c r="SFD1" s="242"/>
      <c r="SFE1" s="242"/>
      <c r="SFF1" s="242"/>
      <c r="SFG1" s="242"/>
      <c r="SFH1" s="242"/>
      <c r="SFI1" s="242"/>
      <c r="SFJ1" s="242"/>
      <c r="SFK1" s="242"/>
      <c r="SFL1" s="242"/>
      <c r="SFM1" s="242"/>
      <c r="SFN1" s="242"/>
      <c r="SFO1" s="242"/>
      <c r="SFP1" s="242"/>
      <c r="SFQ1" s="242"/>
      <c r="SFR1" s="242"/>
      <c r="SFS1" s="242"/>
      <c r="SFT1" s="242"/>
      <c r="SFU1" s="242"/>
      <c r="SFV1" s="242"/>
      <c r="SFW1" s="242"/>
      <c r="SFX1" s="242"/>
      <c r="SFY1" s="242"/>
      <c r="SFZ1" s="242"/>
      <c r="SGA1" s="242"/>
      <c r="SGB1" s="242"/>
      <c r="SGC1" s="242"/>
      <c r="SGD1" s="242"/>
      <c r="SGE1" s="242"/>
      <c r="SGF1" s="242"/>
      <c r="SGG1" s="242"/>
      <c r="SGH1" s="242"/>
      <c r="SGI1" s="242"/>
      <c r="SGJ1" s="242"/>
      <c r="SGK1" s="242"/>
      <c r="SGL1" s="242"/>
      <c r="SGM1" s="242"/>
      <c r="SGN1" s="242"/>
      <c r="SGO1" s="242"/>
      <c r="SGP1" s="242"/>
      <c r="SGQ1" s="242"/>
      <c r="SGR1" s="242"/>
      <c r="SGS1" s="242"/>
      <c r="SGT1" s="242"/>
      <c r="SGU1" s="242"/>
      <c r="SGV1" s="242"/>
      <c r="SGW1" s="242"/>
      <c r="SGX1" s="242"/>
      <c r="SGY1" s="242"/>
      <c r="SGZ1" s="242"/>
      <c r="SHA1" s="242"/>
      <c r="SHB1" s="242"/>
      <c r="SHC1" s="242"/>
      <c r="SHD1" s="242"/>
      <c r="SHE1" s="242"/>
      <c r="SHF1" s="242"/>
      <c r="SHG1" s="242"/>
      <c r="SHH1" s="242"/>
      <c r="SHI1" s="242"/>
      <c r="SHJ1" s="242"/>
      <c r="SHK1" s="242"/>
      <c r="SHL1" s="242"/>
      <c r="SHM1" s="242"/>
      <c r="SHN1" s="242"/>
      <c r="SHO1" s="242"/>
      <c r="SHP1" s="242"/>
      <c r="SHQ1" s="242"/>
      <c r="SHR1" s="242"/>
      <c r="SHS1" s="242"/>
      <c r="SHT1" s="242"/>
      <c r="SHU1" s="242"/>
      <c r="SHV1" s="242"/>
      <c r="SHW1" s="242"/>
      <c r="SHX1" s="242"/>
      <c r="SHY1" s="242"/>
      <c r="SHZ1" s="242"/>
      <c r="SIA1" s="242"/>
      <c r="SIB1" s="242"/>
      <c r="SIC1" s="242"/>
      <c r="SID1" s="242"/>
      <c r="SIE1" s="242"/>
      <c r="SIF1" s="242"/>
      <c r="SIG1" s="242"/>
      <c r="SIH1" s="242"/>
      <c r="SII1" s="242"/>
      <c r="SIJ1" s="242"/>
      <c r="SIK1" s="242"/>
      <c r="SIL1" s="242"/>
      <c r="SIM1" s="242"/>
      <c r="SIN1" s="242"/>
      <c r="SIO1" s="242"/>
      <c r="SIP1" s="242"/>
      <c r="SIQ1" s="242"/>
      <c r="SIR1" s="242"/>
      <c r="SIS1" s="242"/>
      <c r="SIT1" s="242"/>
      <c r="SIU1" s="242"/>
      <c r="SIV1" s="242"/>
      <c r="SIW1" s="242"/>
      <c r="SIX1" s="242"/>
      <c r="SIY1" s="242"/>
      <c r="SIZ1" s="242"/>
      <c r="SJA1" s="242"/>
      <c r="SJB1" s="242"/>
      <c r="SJC1" s="242"/>
      <c r="SJD1" s="242"/>
      <c r="SJE1" s="242"/>
      <c r="SJF1" s="242"/>
      <c r="SJG1" s="242"/>
      <c r="SJH1" s="242"/>
      <c r="SJI1" s="242"/>
      <c r="SJJ1" s="242"/>
      <c r="SJK1" s="242"/>
      <c r="SJL1" s="242"/>
      <c r="SJM1" s="242"/>
      <c r="SJN1" s="242"/>
      <c r="SJO1" s="242"/>
      <c r="SJP1" s="242"/>
      <c r="SJQ1" s="242"/>
      <c r="SJR1" s="242"/>
      <c r="SJS1" s="242"/>
      <c r="SJT1" s="242"/>
      <c r="SJU1" s="242"/>
      <c r="SJV1" s="242"/>
      <c r="SJW1" s="242"/>
      <c r="SJX1" s="242"/>
      <c r="SJY1" s="242"/>
      <c r="SJZ1" s="242"/>
      <c r="SKA1" s="242"/>
      <c r="SKB1" s="242"/>
      <c r="SKC1" s="242"/>
      <c r="SKD1" s="242"/>
      <c r="SKE1" s="242"/>
      <c r="SKF1" s="242"/>
      <c r="SKG1" s="242"/>
      <c r="SKH1" s="242"/>
      <c r="SKI1" s="242"/>
      <c r="SKJ1" s="242"/>
      <c r="SKK1" s="242"/>
      <c r="SKL1" s="242"/>
      <c r="SKM1" s="242"/>
      <c r="SKN1" s="242"/>
      <c r="SKO1" s="242"/>
      <c r="SKP1" s="242"/>
      <c r="SKQ1" s="242"/>
      <c r="SKR1" s="242"/>
      <c r="SKS1" s="242"/>
      <c r="SKT1" s="242"/>
      <c r="SKU1" s="242"/>
      <c r="SKV1" s="242"/>
      <c r="SKW1" s="242"/>
      <c r="SKX1" s="242"/>
      <c r="SKY1" s="242"/>
      <c r="SKZ1" s="242"/>
      <c r="SLA1" s="242"/>
      <c r="SLB1" s="242"/>
      <c r="SLC1" s="242"/>
      <c r="SLD1" s="242"/>
      <c r="SLE1" s="242"/>
      <c r="SLF1" s="242"/>
      <c r="SLG1" s="242"/>
      <c r="SLH1" s="242"/>
      <c r="SLI1" s="242"/>
      <c r="SLJ1" s="242"/>
      <c r="SLK1" s="242"/>
      <c r="SLL1" s="242"/>
      <c r="SLM1" s="242"/>
      <c r="SLN1" s="242"/>
      <c r="SLO1" s="242"/>
      <c r="SLP1" s="242"/>
      <c r="SLQ1" s="242"/>
      <c r="SLR1" s="242"/>
      <c r="SLS1" s="242"/>
      <c r="SLT1" s="242"/>
      <c r="SLU1" s="242"/>
      <c r="SLV1" s="242"/>
      <c r="SLW1" s="242"/>
      <c r="SLX1" s="242"/>
      <c r="SLY1" s="242"/>
      <c r="SLZ1" s="242"/>
      <c r="SMA1" s="242"/>
      <c r="SMB1" s="242"/>
      <c r="SMC1" s="242"/>
      <c r="SMD1" s="242"/>
      <c r="SME1" s="242"/>
      <c r="SMF1" s="242"/>
      <c r="SMG1" s="242"/>
      <c r="SMH1" s="242"/>
      <c r="SMI1" s="242"/>
      <c r="SMJ1" s="242"/>
      <c r="SMK1" s="242"/>
      <c r="SML1" s="242"/>
      <c r="SMM1" s="242"/>
      <c r="SMN1" s="242"/>
      <c r="SMO1" s="242"/>
      <c r="SMP1" s="242"/>
      <c r="SMQ1" s="242"/>
      <c r="SMR1" s="242"/>
      <c r="SMS1" s="242"/>
      <c r="SMT1" s="242"/>
      <c r="SMU1" s="242"/>
      <c r="SMV1" s="242"/>
      <c r="SMW1" s="242"/>
      <c r="SMX1" s="242"/>
      <c r="SMY1" s="242"/>
      <c r="SMZ1" s="242"/>
      <c r="SNA1" s="242"/>
      <c r="SNB1" s="242"/>
      <c r="SNC1" s="242"/>
      <c r="SND1" s="242"/>
      <c r="SNE1" s="242"/>
      <c r="SNF1" s="242"/>
      <c r="SNG1" s="242"/>
      <c r="SNH1" s="242"/>
      <c r="SNI1" s="242"/>
      <c r="SNJ1" s="242"/>
      <c r="SNK1" s="242"/>
      <c r="SNL1" s="242"/>
      <c r="SNM1" s="242"/>
      <c r="SNN1" s="242"/>
      <c r="SNO1" s="242"/>
      <c r="SNP1" s="242"/>
      <c r="SNQ1" s="242"/>
      <c r="SNR1" s="242"/>
      <c r="SNS1" s="242"/>
      <c r="SNT1" s="242"/>
      <c r="SNU1" s="242"/>
      <c r="SNV1" s="242"/>
      <c r="SNW1" s="242"/>
      <c r="SNX1" s="242"/>
      <c r="SNY1" s="242"/>
      <c r="SNZ1" s="242"/>
      <c r="SOA1" s="242"/>
      <c r="SOB1" s="242"/>
      <c r="SOC1" s="242"/>
      <c r="SOD1" s="242"/>
      <c r="SOE1" s="242"/>
      <c r="SOF1" s="242"/>
      <c r="SOG1" s="242"/>
      <c r="SOH1" s="242"/>
      <c r="SOI1" s="242"/>
      <c r="SOJ1" s="242"/>
      <c r="SOK1" s="242"/>
      <c r="SOL1" s="242"/>
      <c r="SOM1" s="242"/>
      <c r="SON1" s="242"/>
      <c r="SOO1" s="242"/>
      <c r="SOP1" s="242"/>
      <c r="SOQ1" s="242"/>
      <c r="SOR1" s="242"/>
      <c r="SOS1" s="242"/>
      <c r="SOT1" s="242"/>
      <c r="SOU1" s="242"/>
      <c r="SOV1" s="242"/>
      <c r="SOW1" s="242"/>
      <c r="SOX1" s="242"/>
      <c r="SOY1" s="242"/>
      <c r="SOZ1" s="242"/>
      <c r="SPA1" s="242"/>
      <c r="SPB1" s="242"/>
      <c r="SPC1" s="242"/>
      <c r="SPD1" s="242"/>
      <c r="SPE1" s="242"/>
      <c r="SPF1" s="242"/>
      <c r="SPG1" s="242"/>
      <c r="SPH1" s="242"/>
      <c r="SPI1" s="242"/>
      <c r="SPJ1" s="242"/>
      <c r="SPK1" s="242"/>
      <c r="SPL1" s="242"/>
      <c r="SPM1" s="242"/>
      <c r="SPN1" s="242"/>
      <c r="SPO1" s="242"/>
      <c r="SPP1" s="242"/>
      <c r="SPQ1" s="242"/>
      <c r="SPR1" s="242"/>
      <c r="SPS1" s="242"/>
      <c r="SPT1" s="242"/>
      <c r="SPU1" s="242"/>
      <c r="SPV1" s="242"/>
      <c r="SPW1" s="242"/>
      <c r="SPX1" s="242"/>
      <c r="SPY1" s="242"/>
      <c r="SPZ1" s="242"/>
      <c r="SQA1" s="242"/>
      <c r="SQB1" s="242"/>
      <c r="SQC1" s="242"/>
      <c r="SQD1" s="242"/>
      <c r="SQE1" s="242"/>
      <c r="SQF1" s="242"/>
      <c r="SQG1" s="242"/>
      <c r="SQH1" s="242"/>
      <c r="SQI1" s="242"/>
      <c r="SQJ1" s="242"/>
      <c r="SQK1" s="242"/>
      <c r="SQL1" s="242"/>
      <c r="SQM1" s="242"/>
      <c r="SQN1" s="242"/>
      <c r="SQO1" s="242"/>
      <c r="SQP1" s="242"/>
      <c r="SQQ1" s="242"/>
      <c r="SQR1" s="242"/>
      <c r="SQS1" s="242"/>
      <c r="SQT1" s="242"/>
      <c r="SQU1" s="242"/>
      <c r="SQV1" s="242"/>
      <c r="SQW1" s="242"/>
      <c r="SQX1" s="242"/>
      <c r="SQY1" s="242"/>
      <c r="SQZ1" s="242"/>
      <c r="SRA1" s="242"/>
      <c r="SRB1" s="242"/>
      <c r="SRC1" s="242"/>
      <c r="SRD1" s="242"/>
      <c r="SRE1" s="242"/>
      <c r="SRF1" s="242"/>
      <c r="SRG1" s="242"/>
      <c r="SRH1" s="242"/>
      <c r="SRI1" s="242"/>
      <c r="SRJ1" s="242"/>
      <c r="SRK1" s="242"/>
      <c r="SRL1" s="242"/>
      <c r="SRM1" s="242"/>
      <c r="SRN1" s="242"/>
      <c r="SRO1" s="242"/>
      <c r="SRP1" s="242"/>
      <c r="SRQ1" s="242"/>
      <c r="SRR1" s="242"/>
      <c r="SRS1" s="242"/>
      <c r="SRT1" s="242"/>
      <c r="SRU1" s="242"/>
      <c r="SRV1" s="242"/>
      <c r="SRW1" s="242"/>
      <c r="SRX1" s="242"/>
      <c r="SRY1" s="242"/>
      <c r="SRZ1" s="242"/>
      <c r="SSA1" s="242"/>
      <c r="SSB1" s="242"/>
      <c r="SSC1" s="242"/>
      <c r="SSD1" s="242"/>
      <c r="SSE1" s="242"/>
      <c r="SSF1" s="242"/>
      <c r="SSG1" s="242"/>
      <c r="SSH1" s="242"/>
      <c r="SSI1" s="242"/>
      <c r="SSJ1" s="242"/>
      <c r="SSK1" s="242"/>
      <c r="SSL1" s="242"/>
      <c r="SSM1" s="242"/>
      <c r="SSN1" s="242"/>
      <c r="SSO1" s="242"/>
      <c r="SSP1" s="242"/>
      <c r="SSQ1" s="242"/>
      <c r="SSR1" s="242"/>
      <c r="SSS1" s="242"/>
      <c r="SST1" s="242"/>
      <c r="SSU1" s="242"/>
      <c r="SSV1" s="242"/>
      <c r="SSW1" s="242"/>
      <c r="SSX1" s="242"/>
      <c r="SSY1" s="242"/>
      <c r="SSZ1" s="242"/>
      <c r="STA1" s="242"/>
      <c r="STB1" s="242"/>
      <c r="STC1" s="242"/>
      <c r="STD1" s="242"/>
      <c r="STE1" s="242"/>
      <c r="STF1" s="242"/>
      <c r="STG1" s="242"/>
      <c r="STH1" s="242"/>
      <c r="STI1" s="242"/>
      <c r="STJ1" s="242"/>
      <c r="STK1" s="242"/>
      <c r="STL1" s="242"/>
      <c r="STM1" s="242"/>
      <c r="STN1" s="242"/>
      <c r="STO1" s="242"/>
      <c r="STP1" s="242"/>
      <c r="STQ1" s="242"/>
      <c r="STR1" s="242"/>
      <c r="STS1" s="242"/>
      <c r="STT1" s="242"/>
      <c r="STU1" s="242"/>
      <c r="STV1" s="242"/>
      <c r="STW1" s="242"/>
      <c r="STX1" s="242"/>
      <c r="STY1" s="242"/>
      <c r="STZ1" s="242"/>
      <c r="SUA1" s="242"/>
      <c r="SUB1" s="242"/>
      <c r="SUC1" s="242"/>
      <c r="SUD1" s="242"/>
      <c r="SUE1" s="242"/>
      <c r="SUF1" s="242"/>
      <c r="SUG1" s="242"/>
      <c r="SUH1" s="242"/>
      <c r="SUI1" s="242"/>
      <c r="SUJ1" s="242"/>
      <c r="SUK1" s="242"/>
      <c r="SUL1" s="242"/>
      <c r="SUM1" s="242"/>
      <c r="SUN1" s="242"/>
      <c r="SUO1" s="242"/>
      <c r="SUP1" s="242"/>
      <c r="SUQ1" s="242"/>
      <c r="SUR1" s="242"/>
      <c r="SUS1" s="242"/>
      <c r="SUT1" s="242"/>
      <c r="SUU1" s="242"/>
      <c r="SUV1" s="242"/>
      <c r="SUW1" s="242"/>
      <c r="SUX1" s="242"/>
      <c r="SUY1" s="242"/>
      <c r="SUZ1" s="242"/>
      <c r="SVA1" s="242"/>
      <c r="SVB1" s="242"/>
      <c r="SVC1" s="242"/>
      <c r="SVD1" s="242"/>
      <c r="SVE1" s="242"/>
      <c r="SVF1" s="242"/>
      <c r="SVG1" s="242"/>
      <c r="SVH1" s="242"/>
      <c r="SVI1" s="242"/>
      <c r="SVJ1" s="242"/>
      <c r="SVK1" s="242"/>
      <c r="SVL1" s="242"/>
      <c r="SVM1" s="242"/>
      <c r="SVN1" s="242"/>
      <c r="SVO1" s="242"/>
      <c r="SVP1" s="242"/>
      <c r="SVQ1" s="242"/>
      <c r="SVR1" s="242"/>
      <c r="SVS1" s="242"/>
      <c r="SVT1" s="242"/>
      <c r="SVU1" s="242"/>
      <c r="SVV1" s="242"/>
      <c r="SVW1" s="242"/>
      <c r="SVX1" s="242"/>
      <c r="SVY1" s="242"/>
      <c r="SVZ1" s="242"/>
      <c r="SWA1" s="242"/>
      <c r="SWB1" s="242"/>
      <c r="SWC1" s="242"/>
      <c r="SWD1" s="242"/>
      <c r="SWE1" s="242"/>
      <c r="SWF1" s="242"/>
      <c r="SWG1" s="242"/>
      <c r="SWH1" s="242"/>
      <c r="SWI1" s="242"/>
      <c r="SWJ1" s="242"/>
      <c r="SWK1" s="242"/>
      <c r="SWL1" s="242"/>
      <c r="SWM1" s="242"/>
      <c r="SWN1" s="242"/>
      <c r="SWO1" s="242"/>
      <c r="SWP1" s="242"/>
      <c r="SWQ1" s="242"/>
      <c r="SWR1" s="242"/>
      <c r="SWS1" s="242"/>
      <c r="SWT1" s="242"/>
      <c r="SWU1" s="242"/>
      <c r="SWV1" s="242"/>
      <c r="SWW1" s="242"/>
      <c r="SWX1" s="242"/>
      <c r="SWY1" s="242"/>
      <c r="SWZ1" s="242"/>
      <c r="SXA1" s="242"/>
      <c r="SXB1" s="242"/>
      <c r="SXC1" s="242"/>
      <c r="SXD1" s="242"/>
      <c r="SXE1" s="242"/>
      <c r="SXF1" s="242"/>
      <c r="SXG1" s="242"/>
      <c r="SXH1" s="242"/>
      <c r="SXI1" s="242"/>
      <c r="SXJ1" s="242"/>
      <c r="SXK1" s="242"/>
      <c r="SXL1" s="242"/>
      <c r="SXM1" s="242"/>
      <c r="SXN1" s="242"/>
      <c r="SXO1" s="242"/>
      <c r="SXP1" s="242"/>
      <c r="SXQ1" s="242"/>
      <c r="SXR1" s="242"/>
      <c r="SXS1" s="242"/>
      <c r="SXT1" s="242"/>
      <c r="SXU1" s="242"/>
      <c r="SXV1" s="242"/>
      <c r="SXW1" s="242"/>
      <c r="SXX1" s="242"/>
      <c r="SXY1" s="242"/>
      <c r="SXZ1" s="242"/>
      <c r="SYA1" s="242"/>
      <c r="SYB1" s="242"/>
      <c r="SYC1" s="242"/>
      <c r="SYD1" s="242"/>
      <c r="SYE1" s="242"/>
      <c r="SYF1" s="242"/>
      <c r="SYG1" s="242"/>
      <c r="SYH1" s="242"/>
      <c r="SYI1" s="242"/>
      <c r="SYJ1" s="242"/>
      <c r="SYK1" s="242"/>
      <c r="SYL1" s="242"/>
      <c r="SYM1" s="242"/>
      <c r="SYN1" s="242"/>
      <c r="SYO1" s="242"/>
      <c r="SYP1" s="242"/>
      <c r="SYQ1" s="242"/>
      <c r="SYR1" s="242"/>
      <c r="SYS1" s="242"/>
      <c r="SYT1" s="242"/>
      <c r="SYU1" s="242"/>
      <c r="SYV1" s="242"/>
      <c r="SYW1" s="242"/>
      <c r="SYX1" s="242"/>
      <c r="SYY1" s="242"/>
      <c r="SYZ1" s="242"/>
      <c r="SZA1" s="242"/>
      <c r="SZB1" s="242"/>
      <c r="SZC1" s="242"/>
      <c r="SZD1" s="242"/>
      <c r="SZE1" s="242"/>
      <c r="SZF1" s="242"/>
      <c r="SZG1" s="242"/>
      <c r="SZH1" s="242"/>
      <c r="SZI1" s="242"/>
      <c r="SZJ1" s="242"/>
      <c r="SZK1" s="242"/>
      <c r="SZL1" s="242"/>
      <c r="SZM1" s="242"/>
      <c r="SZN1" s="242"/>
      <c r="SZO1" s="242"/>
      <c r="SZP1" s="242"/>
      <c r="SZQ1" s="242"/>
      <c r="SZR1" s="242"/>
      <c r="SZS1" s="242"/>
      <c r="SZT1" s="242"/>
      <c r="SZU1" s="242"/>
      <c r="SZV1" s="242"/>
      <c r="SZW1" s="242"/>
      <c r="SZX1" s="242"/>
      <c r="SZY1" s="242"/>
      <c r="SZZ1" s="242"/>
      <c r="TAA1" s="242"/>
      <c r="TAB1" s="242"/>
      <c r="TAC1" s="242"/>
      <c r="TAD1" s="242"/>
      <c r="TAE1" s="242"/>
      <c r="TAF1" s="242"/>
      <c r="TAG1" s="242"/>
      <c r="TAH1" s="242"/>
      <c r="TAI1" s="242"/>
      <c r="TAJ1" s="242"/>
      <c r="TAK1" s="242"/>
      <c r="TAL1" s="242"/>
      <c r="TAM1" s="242"/>
      <c r="TAN1" s="242"/>
      <c r="TAO1" s="242"/>
      <c r="TAP1" s="242"/>
      <c r="TAQ1" s="242"/>
      <c r="TAR1" s="242"/>
      <c r="TAS1" s="242"/>
      <c r="TAT1" s="242"/>
      <c r="TAU1" s="242"/>
      <c r="TAV1" s="242"/>
      <c r="TAW1" s="242"/>
      <c r="TAX1" s="242"/>
      <c r="TAY1" s="242"/>
      <c r="TAZ1" s="242"/>
      <c r="TBA1" s="242"/>
      <c r="TBB1" s="242"/>
      <c r="TBC1" s="242"/>
      <c r="TBD1" s="242"/>
      <c r="TBE1" s="242"/>
      <c r="TBF1" s="242"/>
      <c r="TBG1" s="242"/>
      <c r="TBH1" s="242"/>
      <c r="TBI1" s="242"/>
      <c r="TBJ1" s="242"/>
      <c r="TBK1" s="242"/>
      <c r="TBL1" s="242"/>
      <c r="TBM1" s="242"/>
      <c r="TBN1" s="242"/>
      <c r="TBO1" s="242"/>
      <c r="TBP1" s="242"/>
      <c r="TBQ1" s="242"/>
      <c r="TBR1" s="242"/>
      <c r="TBS1" s="242"/>
      <c r="TBT1" s="242"/>
      <c r="TBU1" s="242"/>
      <c r="TBV1" s="242"/>
      <c r="TBW1" s="242"/>
      <c r="TBX1" s="242"/>
      <c r="TBY1" s="242"/>
      <c r="TBZ1" s="242"/>
      <c r="TCA1" s="242"/>
      <c r="TCB1" s="242"/>
      <c r="TCC1" s="242"/>
      <c r="TCD1" s="242"/>
      <c r="TCE1" s="242"/>
      <c r="TCF1" s="242"/>
      <c r="TCG1" s="242"/>
      <c r="TCH1" s="242"/>
      <c r="TCI1" s="242"/>
      <c r="TCJ1" s="242"/>
      <c r="TCK1" s="242"/>
      <c r="TCL1" s="242"/>
      <c r="TCM1" s="242"/>
      <c r="TCN1" s="242"/>
      <c r="TCO1" s="242"/>
      <c r="TCP1" s="242"/>
      <c r="TCQ1" s="242"/>
      <c r="TCR1" s="242"/>
      <c r="TCS1" s="242"/>
      <c r="TCT1" s="242"/>
      <c r="TCU1" s="242"/>
      <c r="TCV1" s="242"/>
      <c r="TCW1" s="242"/>
      <c r="TCX1" s="242"/>
      <c r="TCY1" s="242"/>
      <c r="TCZ1" s="242"/>
      <c r="TDA1" s="242"/>
      <c r="TDB1" s="242"/>
      <c r="TDC1" s="242"/>
      <c r="TDD1" s="242"/>
      <c r="TDE1" s="242"/>
      <c r="TDF1" s="242"/>
      <c r="TDG1" s="242"/>
      <c r="TDH1" s="242"/>
      <c r="TDI1" s="242"/>
      <c r="TDJ1" s="242"/>
      <c r="TDK1" s="242"/>
      <c r="TDL1" s="242"/>
      <c r="TDM1" s="242"/>
      <c r="TDN1" s="242"/>
      <c r="TDO1" s="242"/>
      <c r="TDP1" s="242"/>
      <c r="TDQ1" s="242"/>
      <c r="TDR1" s="242"/>
      <c r="TDS1" s="242"/>
      <c r="TDT1" s="242"/>
      <c r="TDU1" s="242"/>
      <c r="TDV1" s="242"/>
      <c r="TDW1" s="242"/>
      <c r="TDX1" s="242"/>
      <c r="TDY1" s="242"/>
      <c r="TDZ1" s="242"/>
      <c r="TEA1" s="242"/>
      <c r="TEB1" s="242"/>
      <c r="TEC1" s="242"/>
      <c r="TED1" s="242"/>
      <c r="TEE1" s="242"/>
      <c r="TEF1" s="242"/>
      <c r="TEG1" s="242"/>
      <c r="TEH1" s="242"/>
      <c r="TEI1" s="242"/>
      <c r="TEJ1" s="242"/>
      <c r="TEK1" s="242"/>
      <c r="TEL1" s="242"/>
      <c r="TEM1" s="242"/>
      <c r="TEN1" s="242"/>
      <c r="TEO1" s="242"/>
      <c r="TEP1" s="242"/>
      <c r="TEQ1" s="242"/>
      <c r="TER1" s="242"/>
      <c r="TES1" s="242"/>
      <c r="TET1" s="242"/>
      <c r="TEU1" s="242"/>
      <c r="TEV1" s="242"/>
      <c r="TEW1" s="242"/>
      <c r="TEX1" s="242"/>
      <c r="TEY1" s="242"/>
      <c r="TEZ1" s="242"/>
      <c r="TFA1" s="242"/>
      <c r="TFB1" s="242"/>
      <c r="TFC1" s="242"/>
      <c r="TFD1" s="242"/>
      <c r="TFE1" s="242"/>
      <c r="TFF1" s="242"/>
      <c r="TFG1" s="242"/>
      <c r="TFH1" s="242"/>
      <c r="TFI1" s="242"/>
      <c r="TFJ1" s="242"/>
      <c r="TFK1" s="242"/>
      <c r="TFL1" s="242"/>
      <c r="TFM1" s="242"/>
      <c r="TFN1" s="242"/>
      <c r="TFO1" s="242"/>
      <c r="TFP1" s="242"/>
      <c r="TFQ1" s="242"/>
      <c r="TFR1" s="242"/>
      <c r="TFS1" s="242"/>
      <c r="TFT1" s="242"/>
      <c r="TFU1" s="242"/>
      <c r="TFV1" s="242"/>
      <c r="TFW1" s="242"/>
      <c r="TFX1" s="242"/>
      <c r="TFY1" s="242"/>
      <c r="TFZ1" s="242"/>
      <c r="TGA1" s="242"/>
      <c r="TGB1" s="242"/>
      <c r="TGC1" s="242"/>
      <c r="TGD1" s="242"/>
      <c r="TGE1" s="242"/>
      <c r="TGF1" s="242"/>
      <c r="TGG1" s="242"/>
      <c r="TGH1" s="242"/>
      <c r="TGI1" s="242"/>
      <c r="TGJ1" s="242"/>
      <c r="TGK1" s="242"/>
      <c r="TGL1" s="242"/>
      <c r="TGM1" s="242"/>
      <c r="TGN1" s="242"/>
      <c r="TGO1" s="242"/>
      <c r="TGP1" s="242"/>
      <c r="TGQ1" s="242"/>
      <c r="TGR1" s="242"/>
      <c r="TGS1" s="242"/>
      <c r="TGT1" s="242"/>
      <c r="TGU1" s="242"/>
      <c r="TGV1" s="242"/>
      <c r="TGW1" s="242"/>
      <c r="TGX1" s="242"/>
      <c r="TGY1" s="242"/>
      <c r="TGZ1" s="242"/>
      <c r="THA1" s="242"/>
      <c r="THB1" s="242"/>
      <c r="THC1" s="242"/>
      <c r="THD1" s="242"/>
      <c r="THE1" s="242"/>
      <c r="THF1" s="242"/>
      <c r="THG1" s="242"/>
      <c r="THH1" s="242"/>
      <c r="THI1" s="242"/>
      <c r="THJ1" s="242"/>
      <c r="THK1" s="242"/>
      <c r="THL1" s="242"/>
      <c r="THM1" s="242"/>
      <c r="THN1" s="242"/>
      <c r="THO1" s="242"/>
      <c r="THP1" s="242"/>
      <c r="THQ1" s="242"/>
      <c r="THR1" s="242"/>
      <c r="THS1" s="242"/>
      <c r="THT1" s="242"/>
      <c r="THU1" s="242"/>
      <c r="THV1" s="242"/>
      <c r="THW1" s="242"/>
      <c r="THX1" s="242"/>
      <c r="THY1" s="242"/>
      <c r="THZ1" s="242"/>
      <c r="TIA1" s="242"/>
      <c r="TIB1" s="242"/>
      <c r="TIC1" s="242"/>
      <c r="TID1" s="242"/>
      <c r="TIE1" s="242"/>
      <c r="TIF1" s="242"/>
      <c r="TIG1" s="242"/>
      <c r="TIH1" s="242"/>
      <c r="TII1" s="242"/>
      <c r="TIJ1" s="242"/>
      <c r="TIK1" s="242"/>
      <c r="TIL1" s="242"/>
      <c r="TIM1" s="242"/>
      <c r="TIN1" s="242"/>
      <c r="TIO1" s="242"/>
      <c r="TIP1" s="242"/>
      <c r="TIQ1" s="242"/>
      <c r="TIR1" s="242"/>
      <c r="TIS1" s="242"/>
      <c r="TIT1" s="242"/>
      <c r="TIU1" s="242"/>
      <c r="TIV1" s="242"/>
      <c r="TIW1" s="242"/>
      <c r="TIX1" s="242"/>
      <c r="TIY1" s="242"/>
      <c r="TIZ1" s="242"/>
      <c r="TJA1" s="242"/>
      <c r="TJB1" s="242"/>
      <c r="TJC1" s="242"/>
      <c r="TJD1" s="242"/>
      <c r="TJE1" s="242"/>
      <c r="TJF1" s="242"/>
      <c r="TJG1" s="242"/>
      <c r="TJH1" s="242"/>
      <c r="TJI1" s="242"/>
      <c r="TJJ1" s="242"/>
      <c r="TJK1" s="242"/>
      <c r="TJL1" s="242"/>
      <c r="TJM1" s="242"/>
      <c r="TJN1" s="242"/>
      <c r="TJO1" s="242"/>
      <c r="TJP1" s="242"/>
      <c r="TJQ1" s="242"/>
      <c r="TJR1" s="242"/>
      <c r="TJS1" s="242"/>
      <c r="TJT1" s="242"/>
      <c r="TJU1" s="242"/>
      <c r="TJV1" s="242"/>
      <c r="TJW1" s="242"/>
      <c r="TJX1" s="242"/>
      <c r="TJY1" s="242"/>
      <c r="TJZ1" s="242"/>
      <c r="TKA1" s="242"/>
      <c r="TKB1" s="242"/>
      <c r="TKC1" s="242"/>
      <c r="TKD1" s="242"/>
      <c r="TKE1" s="242"/>
      <c r="TKF1" s="242"/>
      <c r="TKG1" s="242"/>
      <c r="TKH1" s="242"/>
      <c r="TKI1" s="242"/>
      <c r="TKJ1" s="242"/>
      <c r="TKK1" s="242"/>
      <c r="TKL1" s="242"/>
      <c r="TKM1" s="242"/>
      <c r="TKN1" s="242"/>
      <c r="TKO1" s="242"/>
      <c r="TKP1" s="242"/>
      <c r="TKQ1" s="242"/>
      <c r="TKR1" s="242"/>
      <c r="TKS1" s="242"/>
      <c r="TKT1" s="242"/>
      <c r="TKU1" s="242"/>
      <c r="TKV1" s="242"/>
      <c r="TKW1" s="242"/>
      <c r="TKX1" s="242"/>
      <c r="TKY1" s="242"/>
      <c r="TKZ1" s="242"/>
      <c r="TLA1" s="242"/>
      <c r="TLB1" s="242"/>
      <c r="TLC1" s="242"/>
      <c r="TLD1" s="242"/>
      <c r="TLE1" s="242"/>
      <c r="TLF1" s="242"/>
      <c r="TLG1" s="242"/>
      <c r="TLH1" s="242"/>
      <c r="TLI1" s="242"/>
      <c r="TLJ1" s="242"/>
      <c r="TLK1" s="242"/>
      <c r="TLL1" s="242"/>
      <c r="TLM1" s="242"/>
      <c r="TLN1" s="242"/>
      <c r="TLO1" s="242"/>
      <c r="TLP1" s="242"/>
      <c r="TLQ1" s="242"/>
      <c r="TLR1" s="242"/>
      <c r="TLS1" s="242"/>
      <c r="TLT1" s="242"/>
      <c r="TLU1" s="242"/>
      <c r="TLV1" s="242"/>
      <c r="TLW1" s="242"/>
      <c r="TLX1" s="242"/>
      <c r="TLY1" s="242"/>
      <c r="TLZ1" s="242"/>
      <c r="TMA1" s="242"/>
      <c r="TMB1" s="242"/>
      <c r="TMC1" s="242"/>
      <c r="TMD1" s="242"/>
      <c r="TME1" s="242"/>
      <c r="TMF1" s="242"/>
      <c r="TMG1" s="242"/>
      <c r="TMH1" s="242"/>
      <c r="TMI1" s="242"/>
      <c r="TMJ1" s="242"/>
      <c r="TMK1" s="242"/>
      <c r="TML1" s="242"/>
      <c r="TMM1" s="242"/>
      <c r="TMN1" s="242"/>
      <c r="TMO1" s="242"/>
      <c r="TMP1" s="242"/>
      <c r="TMQ1" s="242"/>
      <c r="TMR1" s="242"/>
      <c r="TMS1" s="242"/>
      <c r="TMT1" s="242"/>
      <c r="TMU1" s="242"/>
      <c r="TMV1" s="242"/>
      <c r="TMW1" s="242"/>
      <c r="TMX1" s="242"/>
      <c r="TMY1" s="242"/>
      <c r="TMZ1" s="242"/>
      <c r="TNA1" s="242"/>
      <c r="TNB1" s="242"/>
      <c r="TNC1" s="242"/>
      <c r="TND1" s="242"/>
      <c r="TNE1" s="242"/>
      <c r="TNF1" s="242"/>
      <c r="TNG1" s="242"/>
      <c r="TNH1" s="242"/>
      <c r="TNI1" s="242"/>
      <c r="TNJ1" s="242"/>
      <c r="TNK1" s="242"/>
      <c r="TNL1" s="242"/>
      <c r="TNM1" s="242"/>
      <c r="TNN1" s="242"/>
      <c r="TNO1" s="242"/>
      <c r="TNP1" s="242"/>
      <c r="TNQ1" s="242"/>
      <c r="TNR1" s="242"/>
      <c r="TNS1" s="242"/>
      <c r="TNT1" s="242"/>
      <c r="TNU1" s="242"/>
      <c r="TNV1" s="242"/>
      <c r="TNW1" s="242"/>
      <c r="TNX1" s="242"/>
      <c r="TNY1" s="242"/>
      <c r="TNZ1" s="242"/>
      <c r="TOA1" s="242"/>
      <c r="TOB1" s="242"/>
      <c r="TOC1" s="242"/>
      <c r="TOD1" s="242"/>
      <c r="TOE1" s="242"/>
      <c r="TOF1" s="242"/>
      <c r="TOG1" s="242"/>
      <c r="TOH1" s="242"/>
      <c r="TOI1" s="242"/>
      <c r="TOJ1" s="242"/>
      <c r="TOK1" s="242"/>
      <c r="TOL1" s="242"/>
      <c r="TOM1" s="242"/>
      <c r="TON1" s="242"/>
      <c r="TOO1" s="242"/>
      <c r="TOP1" s="242"/>
      <c r="TOQ1" s="242"/>
      <c r="TOR1" s="242"/>
      <c r="TOS1" s="242"/>
      <c r="TOT1" s="242"/>
      <c r="TOU1" s="242"/>
      <c r="TOV1" s="242"/>
      <c r="TOW1" s="242"/>
      <c r="TOX1" s="242"/>
      <c r="TOY1" s="242"/>
      <c r="TOZ1" s="242"/>
      <c r="TPA1" s="242"/>
      <c r="TPB1" s="242"/>
      <c r="TPC1" s="242"/>
      <c r="TPD1" s="242"/>
      <c r="TPE1" s="242"/>
      <c r="TPF1" s="242"/>
      <c r="TPG1" s="242"/>
      <c r="TPH1" s="242"/>
      <c r="TPI1" s="242"/>
      <c r="TPJ1" s="242"/>
      <c r="TPK1" s="242"/>
      <c r="TPL1" s="242"/>
      <c r="TPM1" s="242"/>
      <c r="TPN1" s="242"/>
      <c r="TPO1" s="242"/>
      <c r="TPP1" s="242"/>
      <c r="TPQ1" s="242"/>
      <c r="TPR1" s="242"/>
      <c r="TPS1" s="242"/>
      <c r="TPT1" s="242"/>
      <c r="TPU1" s="242"/>
      <c r="TPV1" s="242"/>
      <c r="TPW1" s="242"/>
      <c r="TPX1" s="242"/>
      <c r="TPY1" s="242"/>
      <c r="TPZ1" s="242"/>
      <c r="TQA1" s="242"/>
      <c r="TQB1" s="242"/>
      <c r="TQC1" s="242"/>
      <c r="TQD1" s="242"/>
      <c r="TQE1" s="242"/>
      <c r="TQF1" s="242"/>
      <c r="TQG1" s="242"/>
      <c r="TQH1" s="242"/>
      <c r="TQI1" s="242"/>
      <c r="TQJ1" s="242"/>
      <c r="TQK1" s="242"/>
      <c r="TQL1" s="242"/>
      <c r="TQM1" s="242"/>
      <c r="TQN1" s="242"/>
      <c r="TQO1" s="242"/>
      <c r="TQP1" s="242"/>
      <c r="TQQ1" s="242"/>
      <c r="TQR1" s="242"/>
      <c r="TQS1" s="242"/>
      <c r="TQT1" s="242"/>
      <c r="TQU1" s="242"/>
      <c r="TQV1" s="242"/>
      <c r="TQW1" s="242"/>
      <c r="TQX1" s="242"/>
      <c r="TQY1" s="242"/>
      <c r="TQZ1" s="242"/>
      <c r="TRA1" s="242"/>
      <c r="TRB1" s="242"/>
      <c r="TRC1" s="242"/>
      <c r="TRD1" s="242"/>
      <c r="TRE1" s="242"/>
      <c r="TRF1" s="242"/>
      <c r="TRG1" s="242"/>
      <c r="TRH1" s="242"/>
      <c r="TRI1" s="242"/>
      <c r="TRJ1" s="242"/>
      <c r="TRK1" s="242"/>
      <c r="TRL1" s="242"/>
      <c r="TRM1" s="242"/>
      <c r="TRN1" s="242"/>
      <c r="TRO1" s="242"/>
      <c r="TRP1" s="242"/>
      <c r="TRQ1" s="242"/>
      <c r="TRR1" s="242"/>
      <c r="TRS1" s="242"/>
      <c r="TRT1" s="242"/>
      <c r="TRU1" s="242"/>
      <c r="TRV1" s="242"/>
      <c r="TRW1" s="242"/>
      <c r="TRX1" s="242"/>
      <c r="TRY1" s="242"/>
      <c r="TRZ1" s="242"/>
      <c r="TSA1" s="242"/>
      <c r="TSB1" s="242"/>
      <c r="TSC1" s="242"/>
      <c r="TSD1" s="242"/>
      <c r="TSE1" s="242"/>
      <c r="TSF1" s="242"/>
      <c r="TSG1" s="242"/>
      <c r="TSH1" s="242"/>
      <c r="TSI1" s="242"/>
      <c r="TSJ1" s="242"/>
      <c r="TSK1" s="242"/>
      <c r="TSL1" s="242"/>
      <c r="TSM1" s="242"/>
      <c r="TSN1" s="242"/>
      <c r="TSO1" s="242"/>
      <c r="TSP1" s="242"/>
      <c r="TSQ1" s="242"/>
      <c r="TSR1" s="242"/>
      <c r="TSS1" s="242"/>
      <c r="TST1" s="242"/>
      <c r="TSU1" s="242"/>
      <c r="TSV1" s="242"/>
      <c r="TSW1" s="242"/>
      <c r="TSX1" s="242"/>
      <c r="TSY1" s="242"/>
      <c r="TSZ1" s="242"/>
      <c r="TTA1" s="242"/>
      <c r="TTB1" s="242"/>
      <c r="TTC1" s="242"/>
      <c r="TTD1" s="242"/>
      <c r="TTE1" s="242"/>
      <c r="TTF1" s="242"/>
      <c r="TTG1" s="242"/>
      <c r="TTH1" s="242"/>
      <c r="TTI1" s="242"/>
      <c r="TTJ1" s="242"/>
      <c r="TTK1" s="242"/>
      <c r="TTL1" s="242"/>
      <c r="TTM1" s="242"/>
      <c r="TTN1" s="242"/>
      <c r="TTO1" s="242"/>
      <c r="TTP1" s="242"/>
      <c r="TTQ1" s="242"/>
      <c r="TTR1" s="242"/>
      <c r="TTS1" s="242"/>
      <c r="TTT1" s="242"/>
      <c r="TTU1" s="242"/>
      <c r="TTV1" s="242"/>
      <c r="TTW1" s="242"/>
      <c r="TTX1" s="242"/>
      <c r="TTY1" s="242"/>
      <c r="TTZ1" s="242"/>
      <c r="TUA1" s="242"/>
      <c r="TUB1" s="242"/>
      <c r="TUC1" s="242"/>
      <c r="TUD1" s="242"/>
      <c r="TUE1" s="242"/>
      <c r="TUF1" s="242"/>
      <c r="TUG1" s="242"/>
      <c r="TUH1" s="242"/>
      <c r="TUI1" s="242"/>
      <c r="TUJ1" s="242"/>
      <c r="TUK1" s="242"/>
      <c r="TUL1" s="242"/>
      <c r="TUM1" s="242"/>
      <c r="TUN1" s="242"/>
      <c r="TUO1" s="242"/>
      <c r="TUP1" s="242"/>
      <c r="TUQ1" s="242"/>
      <c r="TUR1" s="242"/>
      <c r="TUS1" s="242"/>
      <c r="TUT1" s="242"/>
      <c r="TUU1" s="242"/>
      <c r="TUV1" s="242"/>
      <c r="TUW1" s="242"/>
      <c r="TUX1" s="242"/>
      <c r="TUY1" s="242"/>
      <c r="TUZ1" s="242"/>
      <c r="TVA1" s="242"/>
      <c r="TVB1" s="242"/>
      <c r="TVC1" s="242"/>
      <c r="TVD1" s="242"/>
      <c r="TVE1" s="242"/>
      <c r="TVF1" s="242"/>
      <c r="TVG1" s="242"/>
      <c r="TVH1" s="242"/>
      <c r="TVI1" s="242"/>
      <c r="TVJ1" s="242"/>
      <c r="TVK1" s="242"/>
      <c r="TVL1" s="242"/>
      <c r="TVM1" s="242"/>
      <c r="TVN1" s="242"/>
      <c r="TVO1" s="242"/>
      <c r="TVP1" s="242"/>
      <c r="TVQ1" s="242"/>
      <c r="TVR1" s="242"/>
      <c r="TVS1" s="242"/>
      <c r="TVT1" s="242"/>
      <c r="TVU1" s="242"/>
      <c r="TVV1" s="242"/>
      <c r="TVW1" s="242"/>
      <c r="TVX1" s="242"/>
      <c r="TVY1" s="242"/>
      <c r="TVZ1" s="242"/>
      <c r="TWA1" s="242"/>
      <c r="TWB1" s="242"/>
      <c r="TWC1" s="242"/>
      <c r="TWD1" s="242"/>
      <c r="TWE1" s="242"/>
      <c r="TWF1" s="242"/>
      <c r="TWG1" s="242"/>
      <c r="TWH1" s="242"/>
      <c r="TWI1" s="242"/>
      <c r="TWJ1" s="242"/>
      <c r="TWK1" s="242"/>
      <c r="TWL1" s="242"/>
      <c r="TWM1" s="242"/>
      <c r="TWN1" s="242"/>
      <c r="TWO1" s="242"/>
      <c r="TWP1" s="242"/>
      <c r="TWQ1" s="242"/>
      <c r="TWR1" s="242"/>
      <c r="TWS1" s="242"/>
      <c r="TWT1" s="242"/>
      <c r="TWU1" s="242"/>
      <c r="TWV1" s="242"/>
      <c r="TWW1" s="242"/>
      <c r="TWX1" s="242"/>
      <c r="TWY1" s="242"/>
      <c r="TWZ1" s="242"/>
      <c r="TXA1" s="242"/>
      <c r="TXB1" s="242"/>
      <c r="TXC1" s="242"/>
      <c r="TXD1" s="242"/>
      <c r="TXE1" s="242"/>
      <c r="TXF1" s="242"/>
      <c r="TXG1" s="242"/>
      <c r="TXH1" s="242"/>
      <c r="TXI1" s="242"/>
      <c r="TXJ1" s="242"/>
      <c r="TXK1" s="242"/>
      <c r="TXL1" s="242"/>
      <c r="TXM1" s="242"/>
      <c r="TXN1" s="242"/>
      <c r="TXO1" s="242"/>
      <c r="TXP1" s="242"/>
      <c r="TXQ1" s="242"/>
      <c r="TXR1" s="242"/>
      <c r="TXS1" s="242"/>
      <c r="TXT1" s="242"/>
      <c r="TXU1" s="242"/>
      <c r="TXV1" s="242"/>
      <c r="TXW1" s="242"/>
      <c r="TXX1" s="242"/>
      <c r="TXY1" s="242"/>
      <c r="TXZ1" s="242"/>
      <c r="TYA1" s="242"/>
      <c r="TYB1" s="242"/>
      <c r="TYC1" s="242"/>
      <c r="TYD1" s="242"/>
      <c r="TYE1" s="242"/>
      <c r="TYF1" s="242"/>
      <c r="TYG1" s="242"/>
      <c r="TYH1" s="242"/>
      <c r="TYI1" s="242"/>
      <c r="TYJ1" s="242"/>
      <c r="TYK1" s="242"/>
      <c r="TYL1" s="242"/>
      <c r="TYM1" s="242"/>
      <c r="TYN1" s="242"/>
      <c r="TYO1" s="242"/>
      <c r="TYP1" s="242"/>
      <c r="TYQ1" s="242"/>
      <c r="TYR1" s="242"/>
      <c r="TYS1" s="242"/>
      <c r="TYT1" s="242"/>
      <c r="TYU1" s="242"/>
      <c r="TYV1" s="242"/>
      <c r="TYW1" s="242"/>
      <c r="TYX1" s="242"/>
      <c r="TYY1" s="242"/>
      <c r="TYZ1" s="242"/>
      <c r="TZA1" s="242"/>
      <c r="TZB1" s="242"/>
      <c r="TZC1" s="242"/>
      <c r="TZD1" s="242"/>
      <c r="TZE1" s="242"/>
      <c r="TZF1" s="242"/>
      <c r="TZG1" s="242"/>
      <c r="TZH1" s="242"/>
      <c r="TZI1" s="242"/>
      <c r="TZJ1" s="242"/>
      <c r="TZK1" s="242"/>
      <c r="TZL1" s="242"/>
      <c r="TZM1" s="242"/>
      <c r="TZN1" s="242"/>
      <c r="TZO1" s="242"/>
      <c r="TZP1" s="242"/>
      <c r="TZQ1" s="242"/>
      <c r="TZR1" s="242"/>
      <c r="TZS1" s="242"/>
      <c r="TZT1" s="242"/>
      <c r="TZU1" s="242"/>
      <c r="TZV1" s="242"/>
      <c r="TZW1" s="242"/>
      <c r="TZX1" s="242"/>
      <c r="TZY1" s="242"/>
      <c r="TZZ1" s="242"/>
      <c r="UAA1" s="242"/>
      <c r="UAB1" s="242"/>
      <c r="UAC1" s="242"/>
      <c r="UAD1" s="242"/>
      <c r="UAE1" s="242"/>
      <c r="UAF1" s="242"/>
      <c r="UAG1" s="242"/>
      <c r="UAH1" s="242"/>
      <c r="UAI1" s="242"/>
      <c r="UAJ1" s="242"/>
      <c r="UAK1" s="242"/>
      <c r="UAL1" s="242"/>
      <c r="UAM1" s="242"/>
      <c r="UAN1" s="242"/>
      <c r="UAO1" s="242"/>
      <c r="UAP1" s="242"/>
      <c r="UAQ1" s="242"/>
      <c r="UAR1" s="242"/>
      <c r="UAS1" s="242"/>
      <c r="UAT1" s="242"/>
      <c r="UAU1" s="242"/>
      <c r="UAV1" s="242"/>
      <c r="UAW1" s="242"/>
      <c r="UAX1" s="242"/>
      <c r="UAY1" s="242"/>
      <c r="UAZ1" s="242"/>
      <c r="UBA1" s="242"/>
      <c r="UBB1" s="242"/>
      <c r="UBC1" s="242"/>
      <c r="UBD1" s="242"/>
      <c r="UBE1" s="242"/>
      <c r="UBF1" s="242"/>
      <c r="UBG1" s="242"/>
      <c r="UBH1" s="242"/>
      <c r="UBI1" s="242"/>
      <c r="UBJ1" s="242"/>
      <c r="UBK1" s="242"/>
      <c r="UBL1" s="242"/>
      <c r="UBM1" s="242"/>
      <c r="UBN1" s="242"/>
      <c r="UBO1" s="242"/>
      <c r="UBP1" s="242"/>
      <c r="UBQ1" s="242"/>
      <c r="UBR1" s="242"/>
      <c r="UBS1" s="242"/>
      <c r="UBT1" s="242"/>
      <c r="UBU1" s="242"/>
      <c r="UBV1" s="242"/>
      <c r="UBW1" s="242"/>
      <c r="UBX1" s="242"/>
      <c r="UBY1" s="242"/>
      <c r="UBZ1" s="242"/>
      <c r="UCA1" s="242"/>
      <c r="UCB1" s="242"/>
      <c r="UCC1" s="242"/>
      <c r="UCD1" s="242"/>
      <c r="UCE1" s="242"/>
      <c r="UCF1" s="242"/>
      <c r="UCG1" s="242"/>
      <c r="UCH1" s="242"/>
      <c r="UCI1" s="242"/>
      <c r="UCJ1" s="242"/>
      <c r="UCK1" s="242"/>
      <c r="UCL1" s="242"/>
      <c r="UCM1" s="242"/>
      <c r="UCN1" s="242"/>
      <c r="UCO1" s="242"/>
      <c r="UCP1" s="242"/>
      <c r="UCQ1" s="242"/>
      <c r="UCR1" s="242"/>
      <c r="UCS1" s="242"/>
      <c r="UCT1" s="242"/>
      <c r="UCU1" s="242"/>
      <c r="UCV1" s="242"/>
      <c r="UCW1" s="242"/>
      <c r="UCX1" s="242"/>
      <c r="UCY1" s="242"/>
      <c r="UCZ1" s="242"/>
      <c r="UDA1" s="242"/>
      <c r="UDB1" s="242"/>
      <c r="UDC1" s="242"/>
      <c r="UDD1" s="242"/>
      <c r="UDE1" s="242"/>
      <c r="UDF1" s="242"/>
      <c r="UDG1" s="242"/>
      <c r="UDH1" s="242"/>
      <c r="UDI1" s="242"/>
      <c r="UDJ1" s="242"/>
      <c r="UDK1" s="242"/>
      <c r="UDL1" s="242"/>
      <c r="UDM1" s="242"/>
      <c r="UDN1" s="242"/>
      <c r="UDO1" s="242"/>
      <c r="UDP1" s="242"/>
      <c r="UDQ1" s="242"/>
      <c r="UDR1" s="242"/>
      <c r="UDS1" s="242"/>
      <c r="UDT1" s="242"/>
      <c r="UDU1" s="242"/>
      <c r="UDV1" s="242"/>
      <c r="UDW1" s="242"/>
      <c r="UDX1" s="242"/>
      <c r="UDY1" s="242"/>
      <c r="UDZ1" s="242"/>
      <c r="UEA1" s="242"/>
      <c r="UEB1" s="242"/>
      <c r="UEC1" s="242"/>
      <c r="UED1" s="242"/>
      <c r="UEE1" s="242"/>
      <c r="UEF1" s="242"/>
      <c r="UEG1" s="242"/>
      <c r="UEH1" s="242"/>
      <c r="UEI1" s="242"/>
      <c r="UEJ1" s="242"/>
      <c r="UEK1" s="242"/>
      <c r="UEL1" s="242"/>
      <c r="UEM1" s="242"/>
      <c r="UEN1" s="242"/>
      <c r="UEO1" s="242"/>
      <c r="UEP1" s="242"/>
      <c r="UEQ1" s="242"/>
      <c r="UER1" s="242"/>
      <c r="UES1" s="242"/>
      <c r="UET1" s="242"/>
      <c r="UEU1" s="242"/>
      <c r="UEV1" s="242"/>
      <c r="UEW1" s="242"/>
      <c r="UEX1" s="242"/>
      <c r="UEY1" s="242"/>
      <c r="UEZ1" s="242"/>
      <c r="UFA1" s="242"/>
      <c r="UFB1" s="242"/>
      <c r="UFC1" s="242"/>
      <c r="UFD1" s="242"/>
      <c r="UFE1" s="242"/>
      <c r="UFF1" s="242"/>
      <c r="UFG1" s="242"/>
      <c r="UFH1" s="242"/>
      <c r="UFI1" s="242"/>
      <c r="UFJ1" s="242"/>
      <c r="UFK1" s="242"/>
      <c r="UFL1" s="242"/>
      <c r="UFM1" s="242"/>
      <c r="UFN1" s="242"/>
      <c r="UFO1" s="242"/>
      <c r="UFP1" s="242"/>
      <c r="UFQ1" s="242"/>
      <c r="UFR1" s="242"/>
      <c r="UFS1" s="242"/>
      <c r="UFT1" s="242"/>
      <c r="UFU1" s="242"/>
      <c r="UFV1" s="242"/>
      <c r="UFW1" s="242"/>
      <c r="UFX1" s="242"/>
      <c r="UFY1" s="242"/>
      <c r="UFZ1" s="242"/>
      <c r="UGA1" s="242"/>
      <c r="UGB1" s="242"/>
      <c r="UGC1" s="242"/>
      <c r="UGD1" s="242"/>
      <c r="UGE1" s="242"/>
      <c r="UGF1" s="242"/>
      <c r="UGG1" s="242"/>
      <c r="UGH1" s="242"/>
      <c r="UGI1" s="242"/>
      <c r="UGJ1" s="242"/>
      <c r="UGK1" s="242"/>
      <c r="UGL1" s="242"/>
      <c r="UGM1" s="242"/>
      <c r="UGN1" s="242"/>
      <c r="UGO1" s="242"/>
      <c r="UGP1" s="242"/>
      <c r="UGQ1" s="242"/>
      <c r="UGR1" s="242"/>
      <c r="UGS1" s="242"/>
      <c r="UGT1" s="242"/>
      <c r="UGU1" s="242"/>
      <c r="UGV1" s="242"/>
      <c r="UGW1" s="242"/>
      <c r="UGX1" s="242"/>
      <c r="UGY1" s="242"/>
      <c r="UGZ1" s="242"/>
      <c r="UHA1" s="242"/>
      <c r="UHB1" s="242"/>
      <c r="UHC1" s="242"/>
      <c r="UHD1" s="242"/>
      <c r="UHE1" s="242"/>
      <c r="UHF1" s="242"/>
      <c r="UHG1" s="242"/>
      <c r="UHH1" s="242"/>
      <c r="UHI1" s="242"/>
      <c r="UHJ1" s="242"/>
      <c r="UHK1" s="242"/>
      <c r="UHL1" s="242"/>
      <c r="UHM1" s="242"/>
      <c r="UHN1" s="242"/>
      <c r="UHO1" s="242"/>
      <c r="UHP1" s="242"/>
      <c r="UHQ1" s="242"/>
      <c r="UHR1" s="242"/>
      <c r="UHS1" s="242"/>
      <c r="UHT1" s="242"/>
      <c r="UHU1" s="242"/>
      <c r="UHV1" s="242"/>
      <c r="UHW1" s="242"/>
      <c r="UHX1" s="242"/>
      <c r="UHY1" s="242"/>
      <c r="UHZ1" s="242"/>
      <c r="UIA1" s="242"/>
      <c r="UIB1" s="242"/>
      <c r="UIC1" s="242"/>
      <c r="UID1" s="242"/>
      <c r="UIE1" s="242"/>
      <c r="UIF1" s="242"/>
      <c r="UIG1" s="242"/>
      <c r="UIH1" s="242"/>
      <c r="UII1" s="242"/>
      <c r="UIJ1" s="242"/>
      <c r="UIK1" s="242"/>
      <c r="UIL1" s="242"/>
      <c r="UIM1" s="242"/>
      <c r="UIN1" s="242"/>
      <c r="UIO1" s="242"/>
      <c r="UIP1" s="242"/>
      <c r="UIQ1" s="242"/>
      <c r="UIR1" s="242"/>
      <c r="UIS1" s="242"/>
      <c r="UIT1" s="242"/>
      <c r="UIU1" s="242"/>
      <c r="UIV1" s="242"/>
      <c r="UIW1" s="242"/>
      <c r="UIX1" s="242"/>
      <c r="UIY1" s="242"/>
      <c r="UIZ1" s="242"/>
      <c r="UJA1" s="242"/>
      <c r="UJB1" s="242"/>
      <c r="UJC1" s="242"/>
      <c r="UJD1" s="242"/>
      <c r="UJE1" s="242"/>
      <c r="UJF1" s="242"/>
      <c r="UJG1" s="242"/>
      <c r="UJH1" s="242"/>
      <c r="UJI1" s="242"/>
      <c r="UJJ1" s="242"/>
      <c r="UJK1" s="242"/>
      <c r="UJL1" s="242"/>
      <c r="UJM1" s="242"/>
      <c r="UJN1" s="242"/>
      <c r="UJO1" s="242"/>
      <c r="UJP1" s="242"/>
      <c r="UJQ1" s="242"/>
      <c r="UJR1" s="242"/>
      <c r="UJS1" s="242"/>
      <c r="UJT1" s="242"/>
      <c r="UJU1" s="242"/>
      <c r="UJV1" s="242"/>
      <c r="UJW1" s="242"/>
      <c r="UJX1" s="242"/>
      <c r="UJY1" s="242"/>
      <c r="UJZ1" s="242"/>
      <c r="UKA1" s="242"/>
      <c r="UKB1" s="242"/>
      <c r="UKC1" s="242"/>
      <c r="UKD1" s="242"/>
      <c r="UKE1" s="242"/>
      <c r="UKF1" s="242"/>
      <c r="UKG1" s="242"/>
      <c r="UKH1" s="242"/>
      <c r="UKI1" s="242"/>
      <c r="UKJ1" s="242"/>
      <c r="UKK1" s="242"/>
      <c r="UKL1" s="242"/>
      <c r="UKM1" s="242"/>
      <c r="UKN1" s="242"/>
      <c r="UKO1" s="242"/>
      <c r="UKP1" s="242"/>
      <c r="UKQ1" s="242"/>
      <c r="UKR1" s="242"/>
      <c r="UKS1" s="242"/>
      <c r="UKT1" s="242"/>
      <c r="UKU1" s="242"/>
      <c r="UKV1" s="242"/>
      <c r="UKW1" s="242"/>
      <c r="UKX1" s="242"/>
      <c r="UKY1" s="242"/>
      <c r="UKZ1" s="242"/>
      <c r="ULA1" s="242"/>
      <c r="ULB1" s="242"/>
      <c r="ULC1" s="242"/>
      <c r="ULD1" s="242"/>
      <c r="ULE1" s="242"/>
      <c r="ULF1" s="242"/>
      <c r="ULG1" s="242"/>
      <c r="ULH1" s="242"/>
      <c r="ULI1" s="242"/>
      <c r="ULJ1" s="242"/>
      <c r="ULK1" s="242"/>
      <c r="ULL1" s="242"/>
      <c r="ULM1" s="242"/>
      <c r="ULN1" s="242"/>
      <c r="ULO1" s="242"/>
      <c r="ULP1" s="242"/>
      <c r="ULQ1" s="242"/>
      <c r="ULR1" s="242"/>
      <c r="ULS1" s="242"/>
      <c r="ULT1" s="242"/>
      <c r="ULU1" s="242"/>
      <c r="ULV1" s="242"/>
      <c r="ULW1" s="242"/>
      <c r="ULX1" s="242"/>
      <c r="ULY1" s="242"/>
      <c r="ULZ1" s="242"/>
      <c r="UMA1" s="242"/>
      <c r="UMB1" s="242"/>
      <c r="UMC1" s="242"/>
      <c r="UMD1" s="242"/>
      <c r="UME1" s="242"/>
      <c r="UMF1" s="242"/>
      <c r="UMG1" s="242"/>
      <c r="UMH1" s="242"/>
      <c r="UMI1" s="242"/>
      <c r="UMJ1" s="242"/>
      <c r="UMK1" s="242"/>
      <c r="UML1" s="242"/>
      <c r="UMM1" s="242"/>
      <c r="UMN1" s="242"/>
      <c r="UMO1" s="242"/>
      <c r="UMP1" s="242"/>
      <c r="UMQ1" s="242"/>
      <c r="UMR1" s="242"/>
      <c r="UMS1" s="242"/>
      <c r="UMT1" s="242"/>
      <c r="UMU1" s="242"/>
      <c r="UMV1" s="242"/>
      <c r="UMW1" s="242"/>
      <c r="UMX1" s="242"/>
      <c r="UMY1" s="242"/>
      <c r="UMZ1" s="242"/>
      <c r="UNA1" s="242"/>
      <c r="UNB1" s="242"/>
      <c r="UNC1" s="242"/>
      <c r="UND1" s="242"/>
      <c r="UNE1" s="242"/>
      <c r="UNF1" s="242"/>
      <c r="UNG1" s="242"/>
      <c r="UNH1" s="242"/>
      <c r="UNI1" s="242"/>
      <c r="UNJ1" s="242"/>
      <c r="UNK1" s="242"/>
      <c r="UNL1" s="242"/>
      <c r="UNM1" s="242"/>
      <c r="UNN1" s="242"/>
      <c r="UNO1" s="242"/>
      <c r="UNP1" s="242"/>
      <c r="UNQ1" s="242"/>
      <c r="UNR1" s="242"/>
      <c r="UNS1" s="242"/>
      <c r="UNT1" s="242"/>
      <c r="UNU1" s="242"/>
      <c r="UNV1" s="242"/>
      <c r="UNW1" s="242"/>
      <c r="UNX1" s="242"/>
      <c r="UNY1" s="242"/>
      <c r="UNZ1" s="242"/>
      <c r="UOA1" s="242"/>
      <c r="UOB1" s="242"/>
      <c r="UOC1" s="242"/>
      <c r="UOD1" s="242"/>
      <c r="UOE1" s="242"/>
      <c r="UOF1" s="242"/>
      <c r="UOG1" s="242"/>
      <c r="UOH1" s="242"/>
      <c r="UOI1" s="242"/>
      <c r="UOJ1" s="242"/>
      <c r="UOK1" s="242"/>
      <c r="UOL1" s="242"/>
      <c r="UOM1" s="242"/>
      <c r="UON1" s="242"/>
      <c r="UOO1" s="242"/>
      <c r="UOP1" s="242"/>
      <c r="UOQ1" s="242"/>
      <c r="UOR1" s="242"/>
      <c r="UOS1" s="242"/>
      <c r="UOT1" s="242"/>
      <c r="UOU1" s="242"/>
      <c r="UOV1" s="242"/>
      <c r="UOW1" s="242"/>
      <c r="UOX1" s="242"/>
      <c r="UOY1" s="242"/>
      <c r="UOZ1" s="242"/>
      <c r="UPA1" s="242"/>
      <c r="UPB1" s="242"/>
      <c r="UPC1" s="242"/>
      <c r="UPD1" s="242"/>
      <c r="UPE1" s="242"/>
      <c r="UPF1" s="242"/>
      <c r="UPG1" s="242"/>
      <c r="UPH1" s="242"/>
      <c r="UPI1" s="242"/>
      <c r="UPJ1" s="242"/>
      <c r="UPK1" s="242"/>
      <c r="UPL1" s="242"/>
      <c r="UPM1" s="242"/>
      <c r="UPN1" s="242"/>
      <c r="UPO1" s="242"/>
      <c r="UPP1" s="242"/>
      <c r="UPQ1" s="242"/>
      <c r="UPR1" s="242"/>
      <c r="UPS1" s="242"/>
      <c r="UPT1" s="242"/>
      <c r="UPU1" s="242"/>
      <c r="UPV1" s="242"/>
      <c r="UPW1" s="242"/>
      <c r="UPX1" s="242"/>
      <c r="UPY1" s="242"/>
      <c r="UPZ1" s="242"/>
      <c r="UQA1" s="242"/>
      <c r="UQB1" s="242"/>
      <c r="UQC1" s="242"/>
      <c r="UQD1" s="242"/>
      <c r="UQE1" s="242"/>
      <c r="UQF1" s="242"/>
      <c r="UQG1" s="242"/>
      <c r="UQH1" s="242"/>
      <c r="UQI1" s="242"/>
      <c r="UQJ1" s="242"/>
      <c r="UQK1" s="242"/>
      <c r="UQL1" s="242"/>
      <c r="UQM1" s="242"/>
      <c r="UQN1" s="242"/>
      <c r="UQO1" s="242"/>
      <c r="UQP1" s="242"/>
      <c r="UQQ1" s="242"/>
      <c r="UQR1" s="242"/>
      <c r="UQS1" s="242"/>
      <c r="UQT1" s="242"/>
      <c r="UQU1" s="242"/>
      <c r="UQV1" s="242"/>
      <c r="UQW1" s="242"/>
      <c r="UQX1" s="242"/>
      <c r="UQY1" s="242"/>
      <c r="UQZ1" s="242"/>
      <c r="URA1" s="242"/>
      <c r="URB1" s="242"/>
      <c r="URC1" s="242"/>
      <c r="URD1" s="242"/>
      <c r="URE1" s="242"/>
      <c r="URF1" s="242"/>
      <c r="URG1" s="242"/>
      <c r="URH1" s="242"/>
      <c r="URI1" s="242"/>
      <c r="URJ1" s="242"/>
      <c r="URK1" s="242"/>
      <c r="URL1" s="242"/>
      <c r="URM1" s="242"/>
      <c r="URN1" s="242"/>
      <c r="URO1" s="242"/>
      <c r="URP1" s="242"/>
      <c r="URQ1" s="242"/>
      <c r="URR1" s="242"/>
      <c r="URS1" s="242"/>
      <c r="URT1" s="242"/>
      <c r="URU1" s="242"/>
      <c r="URV1" s="242"/>
      <c r="URW1" s="242"/>
      <c r="URX1" s="242"/>
      <c r="URY1" s="242"/>
      <c r="URZ1" s="242"/>
      <c r="USA1" s="242"/>
      <c r="USB1" s="242"/>
      <c r="USC1" s="242"/>
      <c r="USD1" s="242"/>
      <c r="USE1" s="242"/>
      <c r="USF1" s="242"/>
      <c r="USG1" s="242"/>
      <c r="USH1" s="242"/>
      <c r="USI1" s="242"/>
      <c r="USJ1" s="242"/>
      <c r="USK1" s="242"/>
      <c r="USL1" s="242"/>
      <c r="USM1" s="242"/>
      <c r="USN1" s="242"/>
      <c r="USO1" s="242"/>
      <c r="USP1" s="242"/>
      <c r="USQ1" s="242"/>
      <c r="USR1" s="242"/>
      <c r="USS1" s="242"/>
      <c r="UST1" s="242"/>
      <c r="USU1" s="242"/>
      <c r="USV1" s="242"/>
      <c r="USW1" s="242"/>
      <c r="USX1" s="242"/>
      <c r="USY1" s="242"/>
      <c r="USZ1" s="242"/>
      <c r="UTA1" s="242"/>
      <c r="UTB1" s="242"/>
      <c r="UTC1" s="242"/>
      <c r="UTD1" s="242"/>
      <c r="UTE1" s="242"/>
      <c r="UTF1" s="242"/>
      <c r="UTG1" s="242"/>
      <c r="UTH1" s="242"/>
      <c r="UTI1" s="242"/>
      <c r="UTJ1" s="242"/>
      <c r="UTK1" s="242"/>
      <c r="UTL1" s="242"/>
      <c r="UTM1" s="242"/>
      <c r="UTN1" s="242"/>
      <c r="UTO1" s="242"/>
      <c r="UTP1" s="242"/>
      <c r="UTQ1" s="242"/>
      <c r="UTR1" s="242"/>
      <c r="UTS1" s="242"/>
      <c r="UTT1" s="242"/>
      <c r="UTU1" s="242"/>
      <c r="UTV1" s="242"/>
      <c r="UTW1" s="242"/>
      <c r="UTX1" s="242"/>
      <c r="UTY1" s="242"/>
      <c r="UTZ1" s="242"/>
      <c r="UUA1" s="242"/>
      <c r="UUB1" s="242"/>
      <c r="UUC1" s="242"/>
      <c r="UUD1" s="242"/>
      <c r="UUE1" s="242"/>
      <c r="UUF1" s="242"/>
      <c r="UUG1" s="242"/>
      <c r="UUH1" s="242"/>
      <c r="UUI1" s="242"/>
      <c r="UUJ1" s="242"/>
      <c r="UUK1" s="242"/>
      <c r="UUL1" s="242"/>
      <c r="UUM1" s="242"/>
      <c r="UUN1" s="242"/>
      <c r="UUO1" s="242"/>
      <c r="UUP1" s="242"/>
      <c r="UUQ1" s="242"/>
      <c r="UUR1" s="242"/>
      <c r="UUS1" s="242"/>
      <c r="UUT1" s="242"/>
      <c r="UUU1" s="242"/>
      <c r="UUV1" s="242"/>
      <c r="UUW1" s="242"/>
      <c r="UUX1" s="242"/>
      <c r="UUY1" s="242"/>
      <c r="UUZ1" s="242"/>
      <c r="UVA1" s="242"/>
      <c r="UVB1" s="242"/>
      <c r="UVC1" s="242"/>
      <c r="UVD1" s="242"/>
      <c r="UVE1" s="242"/>
      <c r="UVF1" s="242"/>
      <c r="UVG1" s="242"/>
      <c r="UVH1" s="242"/>
      <c r="UVI1" s="242"/>
      <c r="UVJ1" s="242"/>
      <c r="UVK1" s="242"/>
      <c r="UVL1" s="242"/>
      <c r="UVM1" s="242"/>
      <c r="UVN1" s="242"/>
      <c r="UVO1" s="242"/>
      <c r="UVP1" s="242"/>
      <c r="UVQ1" s="242"/>
      <c r="UVR1" s="242"/>
      <c r="UVS1" s="242"/>
      <c r="UVT1" s="242"/>
      <c r="UVU1" s="242"/>
      <c r="UVV1" s="242"/>
      <c r="UVW1" s="242"/>
      <c r="UVX1" s="242"/>
      <c r="UVY1" s="242"/>
      <c r="UVZ1" s="242"/>
      <c r="UWA1" s="242"/>
      <c r="UWB1" s="242"/>
      <c r="UWC1" s="242"/>
      <c r="UWD1" s="242"/>
      <c r="UWE1" s="242"/>
      <c r="UWF1" s="242"/>
      <c r="UWG1" s="242"/>
      <c r="UWH1" s="242"/>
      <c r="UWI1" s="242"/>
      <c r="UWJ1" s="242"/>
      <c r="UWK1" s="242"/>
      <c r="UWL1" s="242"/>
      <c r="UWM1" s="242"/>
      <c r="UWN1" s="242"/>
      <c r="UWO1" s="242"/>
      <c r="UWP1" s="242"/>
      <c r="UWQ1" s="242"/>
      <c r="UWR1" s="242"/>
      <c r="UWS1" s="242"/>
      <c r="UWT1" s="242"/>
      <c r="UWU1" s="242"/>
      <c r="UWV1" s="242"/>
      <c r="UWW1" s="242"/>
      <c r="UWX1" s="242"/>
      <c r="UWY1" s="242"/>
      <c r="UWZ1" s="242"/>
      <c r="UXA1" s="242"/>
      <c r="UXB1" s="242"/>
      <c r="UXC1" s="242"/>
      <c r="UXD1" s="242"/>
      <c r="UXE1" s="242"/>
      <c r="UXF1" s="242"/>
      <c r="UXG1" s="242"/>
      <c r="UXH1" s="242"/>
      <c r="UXI1" s="242"/>
      <c r="UXJ1" s="242"/>
      <c r="UXK1" s="242"/>
      <c r="UXL1" s="242"/>
      <c r="UXM1" s="242"/>
      <c r="UXN1" s="242"/>
      <c r="UXO1" s="242"/>
      <c r="UXP1" s="242"/>
      <c r="UXQ1" s="242"/>
      <c r="UXR1" s="242"/>
      <c r="UXS1" s="242"/>
      <c r="UXT1" s="242"/>
      <c r="UXU1" s="242"/>
      <c r="UXV1" s="242"/>
      <c r="UXW1" s="242"/>
      <c r="UXX1" s="242"/>
      <c r="UXY1" s="242"/>
      <c r="UXZ1" s="242"/>
      <c r="UYA1" s="242"/>
      <c r="UYB1" s="242"/>
      <c r="UYC1" s="242"/>
      <c r="UYD1" s="242"/>
      <c r="UYE1" s="242"/>
      <c r="UYF1" s="242"/>
      <c r="UYG1" s="242"/>
      <c r="UYH1" s="242"/>
      <c r="UYI1" s="242"/>
      <c r="UYJ1" s="242"/>
      <c r="UYK1" s="242"/>
      <c r="UYL1" s="242"/>
      <c r="UYM1" s="242"/>
      <c r="UYN1" s="242"/>
      <c r="UYO1" s="242"/>
      <c r="UYP1" s="242"/>
      <c r="UYQ1" s="242"/>
      <c r="UYR1" s="242"/>
      <c r="UYS1" s="242"/>
      <c r="UYT1" s="242"/>
      <c r="UYU1" s="242"/>
      <c r="UYV1" s="242"/>
      <c r="UYW1" s="242"/>
      <c r="UYX1" s="242"/>
      <c r="UYY1" s="242"/>
      <c r="UYZ1" s="242"/>
      <c r="UZA1" s="242"/>
      <c r="UZB1" s="242"/>
      <c r="UZC1" s="242"/>
      <c r="UZD1" s="242"/>
      <c r="UZE1" s="242"/>
      <c r="UZF1" s="242"/>
      <c r="UZG1" s="242"/>
      <c r="UZH1" s="242"/>
      <c r="UZI1" s="242"/>
      <c r="UZJ1" s="242"/>
      <c r="UZK1" s="242"/>
      <c r="UZL1" s="242"/>
      <c r="UZM1" s="242"/>
      <c r="UZN1" s="242"/>
      <c r="UZO1" s="242"/>
      <c r="UZP1" s="242"/>
      <c r="UZQ1" s="242"/>
      <c r="UZR1" s="242"/>
      <c r="UZS1" s="242"/>
      <c r="UZT1" s="242"/>
      <c r="UZU1" s="242"/>
      <c r="UZV1" s="242"/>
      <c r="UZW1" s="242"/>
      <c r="UZX1" s="242"/>
      <c r="UZY1" s="242"/>
      <c r="UZZ1" s="242"/>
      <c r="VAA1" s="242"/>
      <c r="VAB1" s="242"/>
      <c r="VAC1" s="242"/>
      <c r="VAD1" s="242"/>
      <c r="VAE1" s="242"/>
      <c r="VAF1" s="242"/>
      <c r="VAG1" s="242"/>
      <c r="VAH1" s="242"/>
      <c r="VAI1" s="242"/>
      <c r="VAJ1" s="242"/>
      <c r="VAK1" s="242"/>
      <c r="VAL1" s="242"/>
      <c r="VAM1" s="242"/>
      <c r="VAN1" s="242"/>
      <c r="VAO1" s="242"/>
      <c r="VAP1" s="242"/>
      <c r="VAQ1" s="242"/>
      <c r="VAR1" s="242"/>
      <c r="VAS1" s="242"/>
      <c r="VAT1" s="242"/>
      <c r="VAU1" s="242"/>
      <c r="VAV1" s="242"/>
      <c r="VAW1" s="242"/>
      <c r="VAX1" s="242"/>
      <c r="VAY1" s="242"/>
      <c r="VAZ1" s="242"/>
      <c r="VBA1" s="242"/>
      <c r="VBB1" s="242"/>
      <c r="VBC1" s="242"/>
      <c r="VBD1" s="242"/>
      <c r="VBE1" s="242"/>
      <c r="VBF1" s="242"/>
      <c r="VBG1" s="242"/>
      <c r="VBH1" s="242"/>
      <c r="VBI1" s="242"/>
      <c r="VBJ1" s="242"/>
      <c r="VBK1" s="242"/>
      <c r="VBL1" s="242"/>
      <c r="VBM1" s="242"/>
      <c r="VBN1" s="242"/>
      <c r="VBO1" s="242"/>
      <c r="VBP1" s="242"/>
      <c r="VBQ1" s="242"/>
      <c r="VBR1" s="242"/>
      <c r="VBS1" s="242"/>
      <c r="VBT1" s="242"/>
      <c r="VBU1" s="242"/>
      <c r="VBV1" s="242"/>
      <c r="VBW1" s="242"/>
      <c r="VBX1" s="242"/>
      <c r="VBY1" s="242"/>
      <c r="VBZ1" s="242"/>
      <c r="VCA1" s="242"/>
      <c r="VCB1" s="242"/>
      <c r="VCC1" s="242"/>
      <c r="VCD1" s="242"/>
      <c r="VCE1" s="242"/>
      <c r="VCF1" s="242"/>
      <c r="VCG1" s="242"/>
      <c r="VCH1" s="242"/>
      <c r="VCI1" s="242"/>
      <c r="VCJ1" s="242"/>
      <c r="VCK1" s="242"/>
      <c r="VCL1" s="242"/>
      <c r="VCM1" s="242"/>
      <c r="VCN1" s="242"/>
      <c r="VCO1" s="242"/>
      <c r="VCP1" s="242"/>
      <c r="VCQ1" s="242"/>
      <c r="VCR1" s="242"/>
      <c r="VCS1" s="242"/>
      <c r="VCT1" s="242"/>
      <c r="VCU1" s="242"/>
      <c r="VCV1" s="242"/>
      <c r="VCW1" s="242"/>
      <c r="VCX1" s="242"/>
      <c r="VCY1" s="242"/>
      <c r="VCZ1" s="242"/>
      <c r="VDA1" s="242"/>
      <c r="VDB1" s="242"/>
      <c r="VDC1" s="242"/>
      <c r="VDD1" s="242"/>
      <c r="VDE1" s="242"/>
      <c r="VDF1" s="242"/>
      <c r="VDG1" s="242"/>
      <c r="VDH1" s="242"/>
      <c r="VDI1" s="242"/>
      <c r="VDJ1" s="242"/>
      <c r="VDK1" s="242"/>
      <c r="VDL1" s="242"/>
      <c r="VDM1" s="242"/>
      <c r="VDN1" s="242"/>
      <c r="VDO1" s="242"/>
      <c r="VDP1" s="242"/>
      <c r="VDQ1" s="242"/>
      <c r="VDR1" s="242"/>
      <c r="VDS1" s="242"/>
      <c r="VDT1" s="242"/>
      <c r="VDU1" s="242"/>
      <c r="VDV1" s="242"/>
      <c r="VDW1" s="242"/>
      <c r="VDX1" s="242"/>
      <c r="VDY1" s="242"/>
      <c r="VDZ1" s="242"/>
      <c r="VEA1" s="242"/>
      <c r="VEB1" s="242"/>
      <c r="VEC1" s="242"/>
      <c r="VED1" s="242"/>
      <c r="VEE1" s="242"/>
      <c r="VEF1" s="242"/>
      <c r="VEG1" s="242"/>
      <c r="VEH1" s="242"/>
      <c r="VEI1" s="242"/>
      <c r="VEJ1" s="242"/>
      <c r="VEK1" s="242"/>
      <c r="VEL1" s="242"/>
      <c r="VEM1" s="242"/>
      <c r="VEN1" s="242"/>
      <c r="VEO1" s="242"/>
      <c r="VEP1" s="242"/>
      <c r="VEQ1" s="242"/>
      <c r="VER1" s="242"/>
      <c r="VES1" s="242"/>
      <c r="VET1" s="242"/>
      <c r="VEU1" s="242"/>
      <c r="VEV1" s="242"/>
      <c r="VEW1" s="242"/>
      <c r="VEX1" s="242"/>
      <c r="VEY1" s="242"/>
      <c r="VEZ1" s="242"/>
      <c r="VFA1" s="242"/>
      <c r="VFB1" s="242"/>
      <c r="VFC1" s="242"/>
      <c r="VFD1" s="242"/>
      <c r="VFE1" s="242"/>
      <c r="VFF1" s="242"/>
      <c r="VFG1" s="242"/>
      <c r="VFH1" s="242"/>
      <c r="VFI1" s="242"/>
      <c r="VFJ1" s="242"/>
      <c r="VFK1" s="242"/>
      <c r="VFL1" s="242"/>
      <c r="VFM1" s="242"/>
      <c r="VFN1" s="242"/>
      <c r="VFO1" s="242"/>
      <c r="VFP1" s="242"/>
      <c r="VFQ1" s="242"/>
      <c r="VFR1" s="242"/>
      <c r="VFS1" s="242"/>
      <c r="VFT1" s="242"/>
      <c r="VFU1" s="242"/>
      <c r="VFV1" s="242"/>
      <c r="VFW1" s="242"/>
      <c r="VFX1" s="242"/>
      <c r="VFY1" s="242"/>
      <c r="VFZ1" s="242"/>
      <c r="VGA1" s="242"/>
      <c r="VGB1" s="242"/>
      <c r="VGC1" s="242"/>
      <c r="VGD1" s="242"/>
      <c r="VGE1" s="242"/>
      <c r="VGF1" s="242"/>
      <c r="VGG1" s="242"/>
      <c r="VGH1" s="242"/>
      <c r="VGI1" s="242"/>
      <c r="VGJ1" s="242"/>
      <c r="VGK1" s="242"/>
      <c r="VGL1" s="242"/>
      <c r="VGM1" s="242"/>
      <c r="VGN1" s="242"/>
      <c r="VGO1" s="242"/>
      <c r="VGP1" s="242"/>
      <c r="VGQ1" s="242"/>
      <c r="VGR1" s="242"/>
      <c r="VGS1" s="242"/>
      <c r="VGT1" s="242"/>
      <c r="VGU1" s="242"/>
      <c r="VGV1" s="242"/>
      <c r="VGW1" s="242"/>
      <c r="VGX1" s="242"/>
      <c r="VGY1" s="242"/>
      <c r="VGZ1" s="242"/>
      <c r="VHA1" s="242"/>
      <c r="VHB1" s="242"/>
      <c r="VHC1" s="242"/>
      <c r="VHD1" s="242"/>
      <c r="VHE1" s="242"/>
      <c r="VHF1" s="242"/>
      <c r="VHG1" s="242"/>
      <c r="VHH1" s="242"/>
      <c r="VHI1" s="242"/>
      <c r="VHJ1" s="242"/>
      <c r="VHK1" s="242"/>
      <c r="VHL1" s="242"/>
      <c r="VHM1" s="242"/>
      <c r="VHN1" s="242"/>
      <c r="VHO1" s="242"/>
      <c r="VHP1" s="242"/>
      <c r="VHQ1" s="242"/>
      <c r="VHR1" s="242"/>
      <c r="VHS1" s="242"/>
      <c r="VHT1" s="242"/>
      <c r="VHU1" s="242"/>
      <c r="VHV1" s="242"/>
      <c r="VHW1" s="242"/>
      <c r="VHX1" s="242"/>
      <c r="VHY1" s="242"/>
      <c r="VHZ1" s="242"/>
      <c r="VIA1" s="242"/>
      <c r="VIB1" s="242"/>
      <c r="VIC1" s="242"/>
      <c r="VID1" s="242"/>
      <c r="VIE1" s="242"/>
      <c r="VIF1" s="242"/>
      <c r="VIG1" s="242"/>
      <c r="VIH1" s="242"/>
      <c r="VII1" s="242"/>
      <c r="VIJ1" s="242"/>
      <c r="VIK1" s="242"/>
      <c r="VIL1" s="242"/>
      <c r="VIM1" s="242"/>
      <c r="VIN1" s="242"/>
      <c r="VIO1" s="242"/>
      <c r="VIP1" s="242"/>
      <c r="VIQ1" s="242"/>
      <c r="VIR1" s="242"/>
      <c r="VIS1" s="242"/>
      <c r="VIT1" s="242"/>
      <c r="VIU1" s="242"/>
      <c r="VIV1" s="242"/>
      <c r="VIW1" s="242"/>
      <c r="VIX1" s="242"/>
      <c r="VIY1" s="242"/>
      <c r="VIZ1" s="242"/>
      <c r="VJA1" s="242"/>
      <c r="VJB1" s="242"/>
      <c r="VJC1" s="242"/>
      <c r="VJD1" s="242"/>
      <c r="VJE1" s="242"/>
      <c r="VJF1" s="242"/>
      <c r="VJG1" s="242"/>
      <c r="VJH1" s="242"/>
      <c r="VJI1" s="242"/>
      <c r="VJJ1" s="242"/>
      <c r="VJK1" s="242"/>
      <c r="VJL1" s="242"/>
      <c r="VJM1" s="242"/>
      <c r="VJN1" s="242"/>
      <c r="VJO1" s="242"/>
      <c r="VJP1" s="242"/>
      <c r="VJQ1" s="242"/>
      <c r="VJR1" s="242"/>
      <c r="VJS1" s="242"/>
      <c r="VJT1" s="242"/>
      <c r="VJU1" s="242"/>
      <c r="VJV1" s="242"/>
      <c r="VJW1" s="242"/>
      <c r="VJX1" s="242"/>
      <c r="VJY1" s="242"/>
      <c r="VJZ1" s="242"/>
      <c r="VKA1" s="242"/>
      <c r="VKB1" s="242"/>
      <c r="VKC1" s="242"/>
      <c r="VKD1" s="242"/>
      <c r="VKE1" s="242"/>
      <c r="VKF1" s="242"/>
      <c r="VKG1" s="242"/>
      <c r="VKH1" s="242"/>
      <c r="VKI1" s="242"/>
      <c r="VKJ1" s="242"/>
      <c r="VKK1" s="242"/>
      <c r="VKL1" s="242"/>
      <c r="VKM1" s="242"/>
      <c r="VKN1" s="242"/>
      <c r="VKO1" s="242"/>
      <c r="VKP1" s="242"/>
      <c r="VKQ1" s="242"/>
      <c r="VKR1" s="242"/>
      <c r="VKS1" s="242"/>
      <c r="VKT1" s="242"/>
      <c r="VKU1" s="242"/>
      <c r="VKV1" s="242"/>
      <c r="VKW1" s="242"/>
      <c r="VKX1" s="242"/>
      <c r="VKY1" s="242"/>
      <c r="VKZ1" s="242"/>
      <c r="VLA1" s="242"/>
      <c r="VLB1" s="242"/>
      <c r="VLC1" s="242"/>
      <c r="VLD1" s="242"/>
      <c r="VLE1" s="242"/>
      <c r="VLF1" s="242"/>
      <c r="VLG1" s="242"/>
      <c r="VLH1" s="242"/>
      <c r="VLI1" s="242"/>
      <c r="VLJ1" s="242"/>
      <c r="VLK1" s="242"/>
      <c r="VLL1" s="242"/>
      <c r="VLM1" s="242"/>
      <c r="VLN1" s="242"/>
      <c r="VLO1" s="242"/>
      <c r="VLP1" s="242"/>
      <c r="VLQ1" s="242"/>
      <c r="VLR1" s="242"/>
      <c r="VLS1" s="242"/>
      <c r="VLT1" s="242"/>
      <c r="VLU1" s="242"/>
      <c r="VLV1" s="242"/>
      <c r="VLW1" s="242"/>
      <c r="VLX1" s="242"/>
      <c r="VLY1" s="242"/>
      <c r="VLZ1" s="242"/>
      <c r="VMA1" s="242"/>
      <c r="VMB1" s="242"/>
      <c r="VMC1" s="242"/>
      <c r="VMD1" s="242"/>
      <c r="VME1" s="242"/>
      <c r="VMF1" s="242"/>
      <c r="VMG1" s="242"/>
      <c r="VMH1" s="242"/>
      <c r="VMI1" s="242"/>
      <c r="VMJ1" s="242"/>
      <c r="VMK1" s="242"/>
      <c r="VML1" s="242"/>
      <c r="VMM1" s="242"/>
      <c r="VMN1" s="242"/>
      <c r="VMO1" s="242"/>
      <c r="VMP1" s="242"/>
      <c r="VMQ1" s="242"/>
      <c r="VMR1" s="242"/>
      <c r="VMS1" s="242"/>
      <c r="VMT1" s="242"/>
      <c r="VMU1" s="242"/>
      <c r="VMV1" s="242"/>
      <c r="VMW1" s="242"/>
      <c r="VMX1" s="242"/>
      <c r="VMY1" s="242"/>
      <c r="VMZ1" s="242"/>
      <c r="VNA1" s="242"/>
      <c r="VNB1" s="242"/>
      <c r="VNC1" s="242"/>
      <c r="VND1" s="242"/>
      <c r="VNE1" s="242"/>
      <c r="VNF1" s="242"/>
      <c r="VNG1" s="242"/>
      <c r="VNH1" s="242"/>
      <c r="VNI1" s="242"/>
      <c r="VNJ1" s="242"/>
      <c r="VNK1" s="242"/>
      <c r="VNL1" s="242"/>
      <c r="VNM1" s="242"/>
      <c r="VNN1" s="242"/>
      <c r="VNO1" s="242"/>
      <c r="VNP1" s="242"/>
      <c r="VNQ1" s="242"/>
      <c r="VNR1" s="242"/>
      <c r="VNS1" s="242"/>
      <c r="VNT1" s="242"/>
      <c r="VNU1" s="242"/>
      <c r="VNV1" s="242"/>
      <c r="VNW1" s="242"/>
      <c r="VNX1" s="242"/>
      <c r="VNY1" s="242"/>
      <c r="VNZ1" s="242"/>
      <c r="VOA1" s="242"/>
      <c r="VOB1" s="242"/>
      <c r="VOC1" s="242"/>
      <c r="VOD1" s="242"/>
      <c r="VOE1" s="242"/>
      <c r="VOF1" s="242"/>
      <c r="VOG1" s="242"/>
      <c r="VOH1" s="242"/>
      <c r="VOI1" s="242"/>
      <c r="VOJ1" s="242"/>
      <c r="VOK1" s="242"/>
      <c r="VOL1" s="242"/>
      <c r="VOM1" s="242"/>
      <c r="VON1" s="242"/>
      <c r="VOO1" s="242"/>
      <c r="VOP1" s="242"/>
      <c r="VOQ1" s="242"/>
      <c r="VOR1" s="242"/>
      <c r="VOS1" s="242"/>
      <c r="VOT1" s="242"/>
      <c r="VOU1" s="242"/>
      <c r="VOV1" s="242"/>
      <c r="VOW1" s="242"/>
      <c r="VOX1" s="242"/>
      <c r="VOY1" s="242"/>
      <c r="VOZ1" s="242"/>
      <c r="VPA1" s="242"/>
      <c r="VPB1" s="242"/>
      <c r="VPC1" s="242"/>
      <c r="VPD1" s="242"/>
      <c r="VPE1" s="242"/>
      <c r="VPF1" s="242"/>
      <c r="VPG1" s="242"/>
      <c r="VPH1" s="242"/>
      <c r="VPI1" s="242"/>
      <c r="VPJ1" s="242"/>
      <c r="VPK1" s="242"/>
      <c r="VPL1" s="242"/>
      <c r="VPM1" s="242"/>
      <c r="VPN1" s="242"/>
      <c r="VPO1" s="242"/>
      <c r="VPP1" s="242"/>
      <c r="VPQ1" s="242"/>
      <c r="VPR1" s="242"/>
      <c r="VPS1" s="242"/>
      <c r="VPT1" s="242"/>
      <c r="VPU1" s="242"/>
      <c r="VPV1" s="242"/>
      <c r="VPW1" s="242"/>
      <c r="VPX1" s="242"/>
      <c r="VPY1" s="242"/>
      <c r="VPZ1" s="242"/>
      <c r="VQA1" s="242"/>
      <c r="VQB1" s="242"/>
      <c r="VQC1" s="242"/>
      <c r="VQD1" s="242"/>
      <c r="VQE1" s="242"/>
      <c r="VQF1" s="242"/>
      <c r="VQG1" s="242"/>
      <c r="VQH1" s="242"/>
      <c r="VQI1" s="242"/>
      <c r="VQJ1" s="242"/>
      <c r="VQK1" s="242"/>
      <c r="VQL1" s="242"/>
      <c r="VQM1" s="242"/>
      <c r="VQN1" s="242"/>
      <c r="VQO1" s="242"/>
      <c r="VQP1" s="242"/>
      <c r="VQQ1" s="242"/>
      <c r="VQR1" s="242"/>
      <c r="VQS1" s="242"/>
      <c r="VQT1" s="242"/>
      <c r="VQU1" s="242"/>
      <c r="VQV1" s="242"/>
      <c r="VQW1" s="242"/>
      <c r="VQX1" s="242"/>
      <c r="VQY1" s="242"/>
      <c r="VQZ1" s="242"/>
      <c r="VRA1" s="242"/>
      <c r="VRB1" s="242"/>
      <c r="VRC1" s="242"/>
      <c r="VRD1" s="242"/>
      <c r="VRE1" s="242"/>
      <c r="VRF1" s="242"/>
      <c r="VRG1" s="242"/>
      <c r="VRH1" s="242"/>
      <c r="VRI1" s="242"/>
      <c r="VRJ1" s="242"/>
      <c r="VRK1" s="242"/>
      <c r="VRL1" s="242"/>
      <c r="VRM1" s="242"/>
      <c r="VRN1" s="242"/>
      <c r="VRO1" s="242"/>
      <c r="VRP1" s="242"/>
      <c r="VRQ1" s="242"/>
      <c r="VRR1" s="242"/>
      <c r="VRS1" s="242"/>
      <c r="VRT1" s="242"/>
      <c r="VRU1" s="242"/>
      <c r="VRV1" s="242"/>
      <c r="VRW1" s="242"/>
      <c r="VRX1" s="242"/>
      <c r="VRY1" s="242"/>
      <c r="VRZ1" s="242"/>
      <c r="VSA1" s="242"/>
      <c r="VSB1" s="242"/>
      <c r="VSC1" s="242"/>
      <c r="VSD1" s="242"/>
      <c r="VSE1" s="242"/>
      <c r="VSF1" s="242"/>
      <c r="VSG1" s="242"/>
      <c r="VSH1" s="242"/>
      <c r="VSI1" s="242"/>
      <c r="VSJ1" s="242"/>
      <c r="VSK1" s="242"/>
      <c r="VSL1" s="242"/>
      <c r="VSM1" s="242"/>
      <c r="VSN1" s="242"/>
      <c r="VSO1" s="242"/>
      <c r="VSP1" s="242"/>
      <c r="VSQ1" s="242"/>
      <c r="VSR1" s="242"/>
      <c r="VSS1" s="242"/>
      <c r="VST1" s="242"/>
      <c r="VSU1" s="242"/>
      <c r="VSV1" s="242"/>
      <c r="VSW1" s="242"/>
      <c r="VSX1" s="242"/>
      <c r="VSY1" s="242"/>
      <c r="VSZ1" s="242"/>
      <c r="VTA1" s="242"/>
      <c r="VTB1" s="242"/>
      <c r="VTC1" s="242"/>
      <c r="VTD1" s="242"/>
      <c r="VTE1" s="242"/>
      <c r="VTF1" s="242"/>
      <c r="VTG1" s="242"/>
      <c r="VTH1" s="242"/>
      <c r="VTI1" s="242"/>
      <c r="VTJ1" s="242"/>
      <c r="VTK1" s="242"/>
      <c r="VTL1" s="242"/>
      <c r="VTM1" s="242"/>
      <c r="VTN1" s="242"/>
      <c r="VTO1" s="242"/>
      <c r="VTP1" s="242"/>
      <c r="VTQ1" s="242"/>
      <c r="VTR1" s="242"/>
      <c r="VTS1" s="242"/>
      <c r="VTT1" s="242"/>
      <c r="VTU1" s="242"/>
      <c r="VTV1" s="242"/>
      <c r="VTW1" s="242"/>
      <c r="VTX1" s="242"/>
      <c r="VTY1" s="242"/>
      <c r="VTZ1" s="242"/>
      <c r="VUA1" s="242"/>
      <c r="VUB1" s="242"/>
      <c r="VUC1" s="242"/>
      <c r="VUD1" s="242"/>
      <c r="VUE1" s="242"/>
      <c r="VUF1" s="242"/>
      <c r="VUG1" s="242"/>
      <c r="VUH1" s="242"/>
      <c r="VUI1" s="242"/>
      <c r="VUJ1" s="242"/>
      <c r="VUK1" s="242"/>
      <c r="VUL1" s="242"/>
      <c r="VUM1" s="242"/>
      <c r="VUN1" s="242"/>
      <c r="VUO1" s="242"/>
      <c r="VUP1" s="242"/>
      <c r="VUQ1" s="242"/>
      <c r="VUR1" s="242"/>
      <c r="VUS1" s="242"/>
      <c r="VUT1" s="242"/>
      <c r="VUU1" s="242"/>
      <c r="VUV1" s="242"/>
      <c r="VUW1" s="242"/>
      <c r="VUX1" s="242"/>
      <c r="VUY1" s="242"/>
      <c r="VUZ1" s="242"/>
      <c r="VVA1" s="242"/>
      <c r="VVB1" s="242"/>
      <c r="VVC1" s="242"/>
      <c r="VVD1" s="242"/>
      <c r="VVE1" s="242"/>
      <c r="VVF1" s="242"/>
      <c r="VVG1" s="242"/>
      <c r="VVH1" s="242"/>
      <c r="VVI1" s="242"/>
      <c r="VVJ1" s="242"/>
      <c r="VVK1" s="242"/>
      <c r="VVL1" s="242"/>
      <c r="VVM1" s="242"/>
      <c r="VVN1" s="242"/>
      <c r="VVO1" s="242"/>
      <c r="VVP1" s="242"/>
      <c r="VVQ1" s="242"/>
      <c r="VVR1" s="242"/>
      <c r="VVS1" s="242"/>
      <c r="VVT1" s="242"/>
      <c r="VVU1" s="242"/>
      <c r="VVV1" s="242"/>
      <c r="VVW1" s="242"/>
      <c r="VVX1" s="242"/>
      <c r="VVY1" s="242"/>
      <c r="VVZ1" s="242"/>
      <c r="VWA1" s="242"/>
      <c r="VWB1" s="242"/>
      <c r="VWC1" s="242"/>
      <c r="VWD1" s="242"/>
      <c r="VWE1" s="242"/>
      <c r="VWF1" s="242"/>
      <c r="VWG1" s="242"/>
      <c r="VWH1" s="242"/>
      <c r="VWI1" s="242"/>
      <c r="VWJ1" s="242"/>
      <c r="VWK1" s="242"/>
      <c r="VWL1" s="242"/>
      <c r="VWM1" s="242"/>
      <c r="VWN1" s="242"/>
      <c r="VWO1" s="242"/>
      <c r="VWP1" s="242"/>
      <c r="VWQ1" s="242"/>
      <c r="VWR1" s="242"/>
      <c r="VWS1" s="242"/>
      <c r="VWT1" s="242"/>
      <c r="VWU1" s="242"/>
      <c r="VWV1" s="242"/>
      <c r="VWW1" s="242"/>
      <c r="VWX1" s="242"/>
      <c r="VWY1" s="242"/>
      <c r="VWZ1" s="242"/>
      <c r="VXA1" s="242"/>
      <c r="VXB1" s="242"/>
      <c r="VXC1" s="242"/>
      <c r="VXD1" s="242"/>
      <c r="VXE1" s="242"/>
      <c r="VXF1" s="242"/>
      <c r="VXG1" s="242"/>
      <c r="VXH1" s="242"/>
      <c r="VXI1" s="242"/>
      <c r="VXJ1" s="242"/>
      <c r="VXK1" s="242"/>
      <c r="VXL1" s="242"/>
      <c r="VXM1" s="242"/>
      <c r="VXN1" s="242"/>
      <c r="VXO1" s="242"/>
      <c r="VXP1" s="242"/>
      <c r="VXQ1" s="242"/>
      <c r="VXR1" s="242"/>
      <c r="VXS1" s="242"/>
      <c r="VXT1" s="242"/>
      <c r="VXU1" s="242"/>
      <c r="VXV1" s="242"/>
      <c r="VXW1" s="242"/>
      <c r="VXX1" s="242"/>
      <c r="VXY1" s="242"/>
      <c r="VXZ1" s="242"/>
      <c r="VYA1" s="242"/>
      <c r="VYB1" s="242"/>
      <c r="VYC1" s="242"/>
      <c r="VYD1" s="242"/>
      <c r="VYE1" s="242"/>
      <c r="VYF1" s="242"/>
      <c r="VYG1" s="242"/>
      <c r="VYH1" s="242"/>
      <c r="VYI1" s="242"/>
      <c r="VYJ1" s="242"/>
      <c r="VYK1" s="242"/>
      <c r="VYL1" s="242"/>
      <c r="VYM1" s="242"/>
      <c r="VYN1" s="242"/>
      <c r="VYO1" s="242"/>
      <c r="VYP1" s="242"/>
      <c r="VYQ1" s="242"/>
      <c r="VYR1" s="242"/>
      <c r="VYS1" s="242"/>
      <c r="VYT1" s="242"/>
      <c r="VYU1" s="242"/>
      <c r="VYV1" s="242"/>
      <c r="VYW1" s="242"/>
      <c r="VYX1" s="242"/>
      <c r="VYY1" s="242"/>
      <c r="VYZ1" s="242"/>
      <c r="VZA1" s="242"/>
      <c r="VZB1" s="242"/>
      <c r="VZC1" s="242"/>
      <c r="VZD1" s="242"/>
      <c r="VZE1" s="242"/>
      <c r="VZF1" s="242"/>
      <c r="VZG1" s="242"/>
      <c r="VZH1" s="242"/>
      <c r="VZI1" s="242"/>
      <c r="VZJ1" s="242"/>
      <c r="VZK1" s="242"/>
      <c r="VZL1" s="242"/>
      <c r="VZM1" s="242"/>
      <c r="VZN1" s="242"/>
      <c r="VZO1" s="242"/>
      <c r="VZP1" s="242"/>
      <c r="VZQ1" s="242"/>
      <c r="VZR1" s="242"/>
      <c r="VZS1" s="242"/>
      <c r="VZT1" s="242"/>
      <c r="VZU1" s="242"/>
      <c r="VZV1" s="242"/>
      <c r="VZW1" s="242"/>
      <c r="VZX1" s="242"/>
      <c r="VZY1" s="242"/>
      <c r="VZZ1" s="242"/>
      <c r="WAA1" s="242"/>
      <c r="WAB1" s="242"/>
      <c r="WAC1" s="242"/>
      <c r="WAD1" s="242"/>
      <c r="WAE1" s="242"/>
      <c r="WAF1" s="242"/>
      <c r="WAG1" s="242"/>
      <c r="WAH1" s="242"/>
      <c r="WAI1" s="242"/>
      <c r="WAJ1" s="242"/>
      <c r="WAK1" s="242"/>
      <c r="WAL1" s="242"/>
      <c r="WAM1" s="242"/>
      <c r="WAN1" s="242"/>
      <c r="WAO1" s="242"/>
      <c r="WAP1" s="242"/>
      <c r="WAQ1" s="242"/>
      <c r="WAR1" s="242"/>
      <c r="WAS1" s="242"/>
      <c r="WAT1" s="242"/>
      <c r="WAU1" s="242"/>
      <c r="WAV1" s="242"/>
      <c r="WAW1" s="242"/>
      <c r="WAX1" s="242"/>
      <c r="WAY1" s="242"/>
      <c r="WAZ1" s="242"/>
      <c r="WBA1" s="242"/>
      <c r="WBB1" s="242"/>
      <c r="WBC1" s="242"/>
      <c r="WBD1" s="242"/>
      <c r="WBE1" s="242"/>
      <c r="WBF1" s="242"/>
      <c r="WBG1" s="242"/>
      <c r="WBH1" s="242"/>
      <c r="WBI1" s="242"/>
      <c r="WBJ1" s="242"/>
      <c r="WBK1" s="242"/>
      <c r="WBL1" s="242"/>
      <c r="WBM1" s="242"/>
      <c r="WBN1" s="242"/>
      <c r="WBO1" s="242"/>
      <c r="WBP1" s="242"/>
      <c r="WBQ1" s="242"/>
      <c r="WBR1" s="242"/>
      <c r="WBS1" s="242"/>
      <c r="WBT1" s="242"/>
      <c r="WBU1" s="242"/>
      <c r="WBV1" s="242"/>
      <c r="WBW1" s="242"/>
      <c r="WBX1" s="242"/>
      <c r="WBY1" s="242"/>
      <c r="WBZ1" s="242"/>
      <c r="WCA1" s="242"/>
      <c r="WCB1" s="242"/>
      <c r="WCC1" s="242"/>
      <c r="WCD1" s="242"/>
      <c r="WCE1" s="242"/>
      <c r="WCF1" s="242"/>
      <c r="WCG1" s="242"/>
      <c r="WCH1" s="242"/>
      <c r="WCI1" s="242"/>
      <c r="WCJ1" s="242"/>
      <c r="WCK1" s="242"/>
      <c r="WCL1" s="242"/>
      <c r="WCM1" s="242"/>
      <c r="WCN1" s="242"/>
      <c r="WCO1" s="242"/>
      <c r="WCP1" s="242"/>
      <c r="WCQ1" s="242"/>
      <c r="WCR1" s="242"/>
      <c r="WCS1" s="242"/>
      <c r="WCT1" s="242"/>
      <c r="WCU1" s="242"/>
      <c r="WCV1" s="242"/>
      <c r="WCW1" s="242"/>
      <c r="WCX1" s="242"/>
      <c r="WCY1" s="242"/>
      <c r="WCZ1" s="242"/>
      <c r="WDA1" s="242"/>
      <c r="WDB1" s="242"/>
      <c r="WDC1" s="242"/>
      <c r="WDD1" s="242"/>
      <c r="WDE1" s="242"/>
      <c r="WDF1" s="242"/>
      <c r="WDG1" s="242"/>
      <c r="WDH1" s="242"/>
      <c r="WDI1" s="242"/>
      <c r="WDJ1" s="242"/>
      <c r="WDK1" s="242"/>
      <c r="WDL1" s="242"/>
      <c r="WDM1" s="242"/>
      <c r="WDN1" s="242"/>
      <c r="WDO1" s="242"/>
      <c r="WDP1" s="242"/>
      <c r="WDQ1" s="242"/>
      <c r="WDR1" s="242"/>
      <c r="WDS1" s="242"/>
      <c r="WDT1" s="242"/>
      <c r="WDU1" s="242"/>
      <c r="WDV1" s="242"/>
      <c r="WDW1" s="242"/>
      <c r="WDX1" s="242"/>
      <c r="WDY1" s="242"/>
      <c r="WDZ1" s="242"/>
      <c r="WEA1" s="242"/>
      <c r="WEB1" s="242"/>
      <c r="WEC1" s="242"/>
      <c r="WED1" s="242"/>
      <c r="WEE1" s="242"/>
      <c r="WEF1" s="242"/>
      <c r="WEG1" s="242"/>
      <c r="WEH1" s="242"/>
      <c r="WEI1" s="242"/>
      <c r="WEJ1" s="242"/>
      <c r="WEK1" s="242"/>
      <c r="WEL1" s="242"/>
      <c r="WEM1" s="242"/>
      <c r="WEN1" s="242"/>
      <c r="WEO1" s="242"/>
      <c r="WEP1" s="242"/>
      <c r="WEQ1" s="242"/>
      <c r="WER1" s="242"/>
      <c r="WES1" s="242"/>
      <c r="WET1" s="242"/>
      <c r="WEU1" s="242"/>
      <c r="WEV1" s="242"/>
      <c r="WEW1" s="242"/>
      <c r="WEX1" s="242"/>
      <c r="WEY1" s="242"/>
      <c r="WEZ1" s="242"/>
      <c r="WFA1" s="242"/>
      <c r="WFB1" s="242"/>
      <c r="WFC1" s="242"/>
      <c r="WFD1" s="242"/>
      <c r="WFE1" s="242"/>
      <c r="WFF1" s="242"/>
      <c r="WFG1" s="242"/>
      <c r="WFH1" s="242"/>
      <c r="WFI1" s="242"/>
      <c r="WFJ1" s="242"/>
      <c r="WFK1" s="242"/>
      <c r="WFL1" s="242"/>
      <c r="WFM1" s="242"/>
      <c r="WFN1" s="242"/>
      <c r="WFO1" s="242"/>
      <c r="WFP1" s="242"/>
      <c r="WFQ1" s="242"/>
      <c r="WFR1" s="242"/>
      <c r="WFS1" s="242"/>
      <c r="WFT1" s="242"/>
      <c r="WFU1" s="242"/>
      <c r="WFV1" s="242"/>
      <c r="WFW1" s="242"/>
      <c r="WFX1" s="242"/>
      <c r="WFY1" s="242"/>
      <c r="WFZ1" s="242"/>
      <c r="WGA1" s="242"/>
      <c r="WGB1" s="242"/>
      <c r="WGC1" s="242"/>
      <c r="WGD1" s="242"/>
      <c r="WGE1" s="242"/>
      <c r="WGF1" s="242"/>
      <c r="WGG1" s="242"/>
      <c r="WGH1" s="242"/>
      <c r="WGI1" s="242"/>
      <c r="WGJ1" s="242"/>
      <c r="WGK1" s="242"/>
      <c r="WGL1" s="242"/>
      <c r="WGM1" s="242"/>
      <c r="WGN1" s="242"/>
      <c r="WGO1" s="242"/>
      <c r="WGP1" s="242"/>
      <c r="WGQ1" s="242"/>
      <c r="WGR1" s="242"/>
      <c r="WGS1" s="242"/>
      <c r="WGT1" s="242"/>
      <c r="WGU1" s="242"/>
      <c r="WGV1" s="242"/>
      <c r="WGW1" s="242"/>
      <c r="WGX1" s="242"/>
      <c r="WGY1" s="242"/>
      <c r="WGZ1" s="242"/>
      <c r="WHA1" s="242"/>
      <c r="WHB1" s="242"/>
      <c r="WHC1" s="242"/>
      <c r="WHD1" s="242"/>
      <c r="WHE1" s="242"/>
      <c r="WHF1" s="242"/>
      <c r="WHG1" s="242"/>
      <c r="WHH1" s="242"/>
      <c r="WHI1" s="242"/>
      <c r="WHJ1" s="242"/>
      <c r="WHK1" s="242"/>
      <c r="WHL1" s="242"/>
      <c r="WHM1" s="242"/>
      <c r="WHN1" s="242"/>
      <c r="WHO1" s="242"/>
      <c r="WHP1" s="242"/>
      <c r="WHQ1" s="242"/>
      <c r="WHR1" s="242"/>
      <c r="WHS1" s="242"/>
      <c r="WHT1" s="242"/>
      <c r="WHU1" s="242"/>
      <c r="WHV1" s="242"/>
      <c r="WHW1" s="242"/>
      <c r="WHX1" s="242"/>
      <c r="WHY1" s="242"/>
      <c r="WHZ1" s="242"/>
      <c r="WIA1" s="242"/>
      <c r="WIB1" s="242"/>
      <c r="WIC1" s="242"/>
      <c r="WID1" s="242"/>
      <c r="WIE1" s="242"/>
      <c r="WIF1" s="242"/>
      <c r="WIG1" s="242"/>
      <c r="WIH1" s="242"/>
      <c r="WII1" s="242"/>
      <c r="WIJ1" s="242"/>
      <c r="WIK1" s="242"/>
      <c r="WIL1" s="242"/>
      <c r="WIM1" s="242"/>
      <c r="WIN1" s="242"/>
      <c r="WIO1" s="242"/>
      <c r="WIP1" s="242"/>
      <c r="WIQ1" s="242"/>
      <c r="WIR1" s="242"/>
      <c r="WIS1" s="242"/>
      <c r="WIT1" s="242"/>
      <c r="WIU1" s="242"/>
      <c r="WIV1" s="242"/>
      <c r="WIW1" s="242"/>
      <c r="WIX1" s="242"/>
      <c r="WIY1" s="242"/>
      <c r="WIZ1" s="242"/>
      <c r="WJA1" s="242"/>
      <c r="WJB1" s="242"/>
      <c r="WJC1" s="242"/>
      <c r="WJD1" s="242"/>
      <c r="WJE1" s="242"/>
      <c r="WJF1" s="242"/>
      <c r="WJG1" s="242"/>
      <c r="WJH1" s="242"/>
      <c r="WJI1" s="242"/>
      <c r="WJJ1" s="242"/>
      <c r="WJK1" s="242"/>
      <c r="WJL1" s="242"/>
      <c r="WJM1" s="242"/>
      <c r="WJN1" s="242"/>
      <c r="WJO1" s="242"/>
      <c r="WJP1" s="242"/>
      <c r="WJQ1" s="242"/>
      <c r="WJR1" s="242"/>
      <c r="WJS1" s="242"/>
      <c r="WJT1" s="242"/>
      <c r="WJU1" s="242"/>
      <c r="WJV1" s="242"/>
      <c r="WJW1" s="242"/>
      <c r="WJX1" s="242"/>
      <c r="WJY1" s="242"/>
      <c r="WJZ1" s="242"/>
      <c r="WKA1" s="242"/>
      <c r="WKB1" s="242"/>
      <c r="WKC1" s="242"/>
      <c r="WKD1" s="242"/>
      <c r="WKE1" s="242"/>
      <c r="WKF1" s="242"/>
      <c r="WKG1" s="242"/>
      <c r="WKH1" s="242"/>
      <c r="WKI1" s="242"/>
      <c r="WKJ1" s="242"/>
      <c r="WKK1" s="242"/>
      <c r="WKL1" s="242"/>
      <c r="WKM1" s="242"/>
      <c r="WKN1" s="242"/>
      <c r="WKO1" s="242"/>
      <c r="WKP1" s="242"/>
      <c r="WKQ1" s="242"/>
      <c r="WKR1" s="242"/>
      <c r="WKS1" s="242"/>
      <c r="WKT1" s="242"/>
      <c r="WKU1" s="242"/>
      <c r="WKV1" s="242"/>
      <c r="WKW1" s="242"/>
      <c r="WKX1" s="242"/>
      <c r="WKY1" s="242"/>
      <c r="WKZ1" s="242"/>
      <c r="WLA1" s="242"/>
      <c r="WLB1" s="242"/>
      <c r="WLC1" s="242"/>
      <c r="WLD1" s="242"/>
      <c r="WLE1" s="242"/>
      <c r="WLF1" s="242"/>
      <c r="WLG1" s="242"/>
      <c r="WLH1" s="242"/>
      <c r="WLI1" s="242"/>
      <c r="WLJ1" s="242"/>
      <c r="WLK1" s="242"/>
      <c r="WLL1" s="242"/>
      <c r="WLM1" s="242"/>
      <c r="WLN1" s="242"/>
      <c r="WLO1" s="242"/>
      <c r="WLP1" s="242"/>
      <c r="WLQ1" s="242"/>
      <c r="WLR1" s="242"/>
      <c r="WLS1" s="242"/>
      <c r="WLT1" s="242"/>
      <c r="WLU1" s="242"/>
      <c r="WLV1" s="242"/>
      <c r="WLW1" s="242"/>
      <c r="WLX1" s="242"/>
      <c r="WLY1" s="242"/>
      <c r="WLZ1" s="242"/>
      <c r="WMA1" s="242"/>
      <c r="WMB1" s="242"/>
      <c r="WMC1" s="242"/>
      <c r="WMD1" s="242"/>
      <c r="WME1" s="242"/>
      <c r="WMF1" s="242"/>
      <c r="WMG1" s="242"/>
      <c r="WMH1" s="242"/>
      <c r="WMI1" s="242"/>
      <c r="WMJ1" s="242"/>
      <c r="WMK1" s="242"/>
      <c r="WML1" s="242"/>
      <c r="WMM1" s="242"/>
      <c r="WMN1" s="242"/>
      <c r="WMO1" s="242"/>
      <c r="WMP1" s="242"/>
      <c r="WMQ1" s="242"/>
      <c r="WMR1" s="242"/>
      <c r="WMS1" s="242"/>
      <c r="WMT1" s="242"/>
      <c r="WMU1" s="242"/>
      <c r="WMV1" s="242"/>
      <c r="WMW1" s="242"/>
      <c r="WMX1" s="242"/>
      <c r="WMY1" s="242"/>
      <c r="WMZ1" s="242"/>
      <c r="WNA1" s="242"/>
      <c r="WNB1" s="242"/>
      <c r="WNC1" s="242"/>
      <c r="WND1" s="242"/>
      <c r="WNE1" s="242"/>
      <c r="WNF1" s="242"/>
      <c r="WNG1" s="242"/>
      <c r="WNH1" s="242"/>
      <c r="WNI1" s="242"/>
      <c r="WNJ1" s="242"/>
      <c r="WNK1" s="242"/>
      <c r="WNL1" s="242"/>
      <c r="WNM1" s="242"/>
      <c r="WNN1" s="242"/>
      <c r="WNO1" s="242"/>
      <c r="WNP1" s="242"/>
      <c r="WNQ1" s="242"/>
      <c r="WNR1" s="242"/>
      <c r="WNS1" s="242"/>
      <c r="WNT1" s="242"/>
      <c r="WNU1" s="242"/>
      <c r="WNV1" s="242"/>
      <c r="WNW1" s="242"/>
      <c r="WNX1" s="242"/>
      <c r="WNY1" s="242"/>
      <c r="WNZ1" s="242"/>
      <c r="WOA1" s="242"/>
      <c r="WOB1" s="242"/>
      <c r="WOC1" s="242"/>
      <c r="WOD1" s="242"/>
      <c r="WOE1" s="242"/>
      <c r="WOF1" s="242"/>
      <c r="WOG1" s="242"/>
      <c r="WOH1" s="242"/>
      <c r="WOI1" s="242"/>
      <c r="WOJ1" s="242"/>
      <c r="WOK1" s="242"/>
      <c r="WOL1" s="242"/>
      <c r="WOM1" s="242"/>
      <c r="WON1" s="242"/>
      <c r="WOO1" s="242"/>
      <c r="WOP1" s="242"/>
      <c r="WOQ1" s="242"/>
      <c r="WOR1" s="242"/>
      <c r="WOS1" s="242"/>
      <c r="WOT1" s="242"/>
      <c r="WOU1" s="242"/>
      <c r="WOV1" s="242"/>
      <c r="WOW1" s="242"/>
      <c r="WOX1" s="242"/>
      <c r="WOY1" s="242"/>
      <c r="WOZ1" s="242"/>
      <c r="WPA1" s="242"/>
      <c r="WPB1" s="242"/>
      <c r="WPC1" s="242"/>
      <c r="WPD1" s="242"/>
      <c r="WPE1" s="242"/>
      <c r="WPF1" s="242"/>
      <c r="WPG1" s="242"/>
      <c r="WPH1" s="242"/>
      <c r="WPI1" s="242"/>
      <c r="WPJ1" s="242"/>
      <c r="WPK1" s="242"/>
      <c r="WPL1" s="242"/>
      <c r="WPM1" s="242"/>
      <c r="WPN1" s="242"/>
      <c r="WPO1" s="242"/>
      <c r="WPP1" s="242"/>
      <c r="WPQ1" s="242"/>
      <c r="WPR1" s="242"/>
      <c r="WPS1" s="242"/>
      <c r="WPT1" s="242"/>
      <c r="WPU1" s="242"/>
      <c r="WPV1" s="242"/>
      <c r="WPW1" s="242"/>
      <c r="WPX1" s="242"/>
      <c r="WPY1" s="242"/>
      <c r="WPZ1" s="242"/>
      <c r="WQA1" s="242"/>
      <c r="WQB1" s="242"/>
      <c r="WQC1" s="242"/>
      <c r="WQD1" s="242"/>
      <c r="WQE1" s="242"/>
      <c r="WQF1" s="242"/>
      <c r="WQG1" s="242"/>
      <c r="WQH1" s="242"/>
      <c r="WQI1" s="242"/>
      <c r="WQJ1" s="242"/>
      <c r="WQK1" s="242"/>
      <c r="WQL1" s="242"/>
      <c r="WQM1" s="242"/>
      <c r="WQN1" s="242"/>
      <c r="WQO1" s="242"/>
      <c r="WQP1" s="242"/>
      <c r="WQQ1" s="242"/>
      <c r="WQR1" s="242"/>
      <c r="WQS1" s="242"/>
      <c r="WQT1" s="242"/>
      <c r="WQU1" s="242"/>
      <c r="WQV1" s="242"/>
      <c r="WQW1" s="242"/>
      <c r="WQX1" s="242"/>
      <c r="WQY1" s="242"/>
      <c r="WQZ1" s="242"/>
      <c r="WRA1" s="242"/>
      <c r="WRB1" s="242"/>
      <c r="WRC1" s="242"/>
      <c r="WRD1" s="242"/>
      <c r="WRE1" s="242"/>
      <c r="WRF1" s="242"/>
      <c r="WRG1" s="242"/>
      <c r="WRH1" s="242"/>
      <c r="WRI1" s="242"/>
      <c r="WRJ1" s="242"/>
      <c r="WRK1" s="242"/>
      <c r="WRL1" s="242"/>
      <c r="WRM1" s="242"/>
      <c r="WRN1" s="242"/>
      <c r="WRO1" s="242"/>
      <c r="WRP1" s="242"/>
      <c r="WRQ1" s="242"/>
      <c r="WRR1" s="242"/>
      <c r="WRS1" s="242"/>
      <c r="WRT1" s="242"/>
      <c r="WRU1" s="242"/>
      <c r="WRV1" s="242"/>
      <c r="WRW1" s="242"/>
      <c r="WRX1" s="242"/>
      <c r="WRY1" s="242"/>
      <c r="WRZ1" s="242"/>
      <c r="WSA1" s="242"/>
      <c r="WSB1" s="242"/>
      <c r="WSC1" s="242"/>
      <c r="WSD1" s="242"/>
      <c r="WSE1" s="242"/>
      <c r="WSF1" s="242"/>
      <c r="WSG1" s="242"/>
      <c r="WSH1" s="242"/>
      <c r="WSI1" s="242"/>
      <c r="WSJ1" s="242"/>
      <c r="WSK1" s="242"/>
      <c r="WSL1" s="242"/>
      <c r="WSM1" s="242"/>
      <c r="WSN1" s="242"/>
      <c r="WSO1" s="242"/>
      <c r="WSP1" s="242"/>
      <c r="WSQ1" s="242"/>
      <c r="WSR1" s="242"/>
      <c r="WSS1" s="242"/>
      <c r="WST1" s="242"/>
      <c r="WSU1" s="242"/>
      <c r="WSV1" s="242"/>
      <c r="WSW1" s="242"/>
      <c r="WSX1" s="242"/>
      <c r="WSY1" s="242"/>
      <c r="WSZ1" s="242"/>
      <c r="WTA1" s="242"/>
      <c r="WTB1" s="242"/>
      <c r="WTC1" s="242"/>
      <c r="WTD1" s="242"/>
      <c r="WTE1" s="242"/>
      <c r="WTF1" s="242"/>
      <c r="WTG1" s="242"/>
      <c r="WTH1" s="242"/>
      <c r="WTI1" s="242"/>
      <c r="WTJ1" s="242"/>
      <c r="WTK1" s="242"/>
      <c r="WTL1" s="242"/>
      <c r="WTM1" s="242"/>
      <c r="WTN1" s="242"/>
      <c r="WTO1" s="242"/>
      <c r="WTP1" s="242"/>
      <c r="WTQ1" s="242"/>
      <c r="WTR1" s="242"/>
      <c r="WTS1" s="242"/>
      <c r="WTT1" s="242"/>
      <c r="WTU1" s="242"/>
      <c r="WTV1" s="242"/>
      <c r="WTW1" s="242"/>
      <c r="WTX1" s="242"/>
      <c r="WTY1" s="242"/>
      <c r="WTZ1" s="242"/>
      <c r="WUA1" s="242"/>
      <c r="WUB1" s="242"/>
      <c r="WUC1" s="242"/>
      <c r="WUD1" s="242"/>
      <c r="WUE1" s="242"/>
      <c r="WUF1" s="242"/>
      <c r="WUG1" s="242"/>
      <c r="WUH1" s="242"/>
      <c r="WUI1" s="242"/>
      <c r="WUJ1" s="242"/>
      <c r="WUK1" s="242"/>
      <c r="WUL1" s="242"/>
      <c r="WUM1" s="242"/>
      <c r="WUN1" s="242"/>
      <c r="WUO1" s="242"/>
      <c r="WUP1" s="242"/>
      <c r="WUQ1" s="242"/>
      <c r="WUR1" s="242"/>
      <c r="WUS1" s="242"/>
      <c r="WUT1" s="242"/>
      <c r="WUU1" s="242"/>
      <c r="WUV1" s="242"/>
      <c r="WUW1" s="242"/>
      <c r="WUX1" s="242"/>
      <c r="WUY1" s="242"/>
      <c r="WUZ1" s="242"/>
      <c r="WVA1" s="242"/>
      <c r="WVB1" s="242"/>
      <c r="WVC1" s="242"/>
      <c r="WVD1" s="242"/>
      <c r="WVE1" s="242"/>
      <c r="WVF1" s="242"/>
      <c r="WVG1" s="242"/>
      <c r="WVH1" s="242"/>
      <c r="WVI1" s="242"/>
      <c r="WVJ1" s="242"/>
      <c r="WVK1" s="242"/>
      <c r="WVL1" s="242"/>
      <c r="WVM1" s="242"/>
      <c r="WVN1" s="242"/>
      <c r="WVO1" s="242"/>
      <c r="WVP1" s="242"/>
      <c r="WVQ1" s="242"/>
      <c r="WVR1" s="242"/>
      <c r="WVS1" s="242"/>
      <c r="WVT1" s="242"/>
      <c r="WVU1" s="242"/>
      <c r="WVV1" s="242"/>
      <c r="WVW1" s="242"/>
      <c r="WVX1" s="242"/>
      <c r="WVY1" s="242"/>
      <c r="WVZ1" s="242"/>
      <c r="WWA1" s="242"/>
      <c r="WWB1" s="242"/>
      <c r="WWC1" s="242"/>
      <c r="WWD1" s="242"/>
      <c r="WWE1" s="242"/>
      <c r="WWF1" s="242"/>
      <c r="WWG1" s="242"/>
      <c r="WWH1" s="242"/>
      <c r="WWI1" s="242"/>
      <c r="WWJ1" s="242"/>
      <c r="WWK1" s="242"/>
      <c r="WWL1" s="242"/>
      <c r="WWM1" s="242"/>
      <c r="WWN1" s="242"/>
      <c r="WWO1" s="242"/>
      <c r="WWP1" s="242"/>
      <c r="WWQ1" s="242"/>
      <c r="WWR1" s="242"/>
      <c r="WWS1" s="242"/>
      <c r="WWT1" s="242"/>
      <c r="WWU1" s="242"/>
      <c r="WWV1" s="242"/>
      <c r="WWW1" s="242"/>
      <c r="WWX1" s="242"/>
      <c r="WWY1" s="242"/>
      <c r="WWZ1" s="242"/>
      <c r="WXA1" s="242"/>
      <c r="WXB1" s="242"/>
      <c r="WXC1" s="242"/>
      <c r="WXD1" s="242"/>
      <c r="WXE1" s="242"/>
      <c r="WXF1" s="242"/>
      <c r="WXG1" s="242"/>
      <c r="WXH1" s="242"/>
      <c r="WXI1" s="242"/>
      <c r="WXJ1" s="242"/>
      <c r="WXK1" s="242"/>
      <c r="WXL1" s="242"/>
      <c r="WXM1" s="242"/>
      <c r="WXN1" s="242"/>
      <c r="WXO1" s="242"/>
      <c r="WXP1" s="242"/>
      <c r="WXQ1" s="242"/>
      <c r="WXR1" s="242"/>
      <c r="WXS1" s="242"/>
      <c r="WXT1" s="242"/>
      <c r="WXU1" s="242"/>
      <c r="WXV1" s="242"/>
      <c r="WXW1" s="242"/>
      <c r="WXX1" s="242"/>
      <c r="WXY1" s="242"/>
      <c r="WXZ1" s="242"/>
      <c r="WYA1" s="242"/>
      <c r="WYB1" s="242"/>
      <c r="WYC1" s="242"/>
      <c r="WYD1" s="242"/>
      <c r="WYE1" s="242"/>
      <c r="WYF1" s="242"/>
      <c r="WYG1" s="242"/>
      <c r="WYH1" s="242"/>
      <c r="WYI1" s="242"/>
      <c r="WYJ1" s="242"/>
      <c r="WYK1" s="242"/>
      <c r="WYL1" s="242"/>
      <c r="WYM1" s="242"/>
      <c r="WYN1" s="242"/>
      <c r="WYO1" s="242"/>
      <c r="WYP1" s="242"/>
      <c r="WYQ1" s="242"/>
      <c r="WYR1" s="242"/>
      <c r="WYS1" s="242"/>
      <c r="WYT1" s="242"/>
      <c r="WYU1" s="242"/>
      <c r="WYV1" s="242"/>
      <c r="WYW1" s="242"/>
      <c r="WYX1" s="242"/>
      <c r="WYY1" s="242"/>
      <c r="WYZ1" s="242"/>
      <c r="WZA1" s="242"/>
      <c r="WZB1" s="242"/>
      <c r="WZC1" s="242"/>
      <c r="WZD1" s="242"/>
      <c r="WZE1" s="242"/>
      <c r="WZF1" s="242"/>
      <c r="WZG1" s="242"/>
      <c r="WZH1" s="242"/>
      <c r="WZI1" s="242"/>
      <c r="WZJ1" s="242"/>
      <c r="WZK1" s="242"/>
      <c r="WZL1" s="242"/>
      <c r="WZM1" s="242"/>
      <c r="WZN1" s="242"/>
      <c r="WZO1" s="242"/>
      <c r="WZP1" s="242"/>
      <c r="WZQ1" s="242"/>
      <c r="WZR1" s="242"/>
      <c r="WZS1" s="242"/>
      <c r="WZT1" s="242"/>
      <c r="WZU1" s="242"/>
      <c r="WZV1" s="242"/>
      <c r="WZW1" s="242"/>
      <c r="WZX1" s="242"/>
      <c r="WZY1" s="242"/>
      <c r="WZZ1" s="242"/>
      <c r="XAA1" s="242"/>
      <c r="XAB1" s="242"/>
      <c r="XAC1" s="242"/>
      <c r="XAD1" s="242"/>
      <c r="XAE1" s="242"/>
      <c r="XAF1" s="242"/>
      <c r="XAG1" s="242"/>
      <c r="XAH1" s="242"/>
      <c r="XAI1" s="242"/>
      <c r="XAJ1" s="242"/>
      <c r="XAK1" s="242"/>
      <c r="XAL1" s="242"/>
      <c r="XAM1" s="242"/>
      <c r="XAN1" s="242"/>
      <c r="XAO1" s="242"/>
      <c r="XAP1" s="242"/>
      <c r="XAQ1" s="242"/>
      <c r="XAR1" s="242"/>
      <c r="XAS1" s="242"/>
      <c r="XAT1" s="242"/>
      <c r="XAU1" s="242"/>
      <c r="XAV1" s="242"/>
      <c r="XAW1" s="242"/>
      <c r="XAX1" s="242"/>
      <c r="XAY1" s="242"/>
      <c r="XAZ1" s="242"/>
      <c r="XBA1" s="242"/>
      <c r="XBB1" s="242"/>
      <c r="XBC1" s="242"/>
      <c r="XBD1" s="242"/>
      <c r="XBE1" s="242"/>
      <c r="XBF1" s="242"/>
      <c r="XBG1" s="242"/>
      <c r="XBH1" s="242"/>
      <c r="XBI1" s="242"/>
      <c r="XBJ1" s="242"/>
      <c r="XBK1" s="242"/>
      <c r="XBL1" s="242"/>
      <c r="XBM1" s="242"/>
      <c r="XBN1" s="242"/>
      <c r="XBO1" s="242"/>
      <c r="XBP1" s="242"/>
      <c r="XBQ1" s="242"/>
      <c r="XBR1" s="242"/>
      <c r="XBS1" s="242"/>
      <c r="XBT1" s="242"/>
      <c r="XBU1" s="242"/>
      <c r="XBV1" s="242"/>
      <c r="XBW1" s="242"/>
      <c r="XBX1" s="242"/>
      <c r="XBY1" s="242"/>
      <c r="XBZ1" s="242"/>
      <c r="XCA1" s="242"/>
      <c r="XCB1" s="242"/>
      <c r="XCC1" s="242"/>
      <c r="XCD1" s="242"/>
      <c r="XCE1" s="242"/>
      <c r="XCF1" s="242"/>
      <c r="XCG1" s="242"/>
      <c r="XCH1" s="242"/>
      <c r="XCI1" s="242"/>
      <c r="XCJ1" s="242"/>
      <c r="XCK1" s="242"/>
      <c r="XCL1" s="242"/>
      <c r="XCM1" s="242"/>
      <c r="XCN1" s="242"/>
      <c r="XCO1" s="242"/>
      <c r="XCP1" s="242"/>
      <c r="XCQ1" s="242"/>
      <c r="XCR1" s="242"/>
      <c r="XCS1" s="242"/>
      <c r="XCT1" s="242"/>
      <c r="XCU1" s="242"/>
      <c r="XCV1" s="242"/>
      <c r="XCW1" s="242"/>
      <c r="XCX1" s="242"/>
      <c r="XCY1" s="242"/>
      <c r="XCZ1" s="242"/>
      <c r="XDA1" s="242"/>
      <c r="XDB1" s="242"/>
      <c r="XDC1" s="242"/>
      <c r="XDD1" s="242"/>
      <c r="XDE1" s="242"/>
      <c r="XDF1" s="242"/>
      <c r="XDG1" s="242"/>
      <c r="XDH1" s="242"/>
      <c r="XDI1" s="242"/>
      <c r="XDJ1" s="242"/>
      <c r="XDK1" s="242"/>
      <c r="XDL1" s="242"/>
      <c r="XDM1" s="242"/>
      <c r="XDN1" s="242"/>
      <c r="XDO1" s="242"/>
      <c r="XDP1" s="242"/>
      <c r="XDQ1" s="242"/>
      <c r="XDR1" s="242"/>
      <c r="XDS1" s="242"/>
      <c r="XDT1" s="243"/>
      <c r="XDU1" s="243"/>
      <c r="XDV1" s="243"/>
      <c r="XDW1" s="243"/>
      <c r="XDX1" s="243"/>
      <c r="XDY1" s="243"/>
      <c r="XDZ1" s="243"/>
      <c r="XEA1" s="243"/>
    </row>
    <row r="2" spans="1:16355" s="245" customFormat="1" ht="15" customHeight="1">
      <c r="A2" s="302" t="s">
        <v>0</v>
      </c>
      <c r="B2" s="302" t="s">
        <v>665</v>
      </c>
      <c r="C2" s="303" t="s">
        <v>666</v>
      </c>
      <c r="D2" s="302" t="s">
        <v>667</v>
      </c>
      <c r="E2" s="302" t="s">
        <v>668</v>
      </c>
      <c r="F2" s="302" t="s">
        <v>669</v>
      </c>
      <c r="G2" s="303" t="s">
        <v>670</v>
      </c>
      <c r="H2" s="303"/>
      <c r="I2" s="304"/>
      <c r="J2" s="303" t="s">
        <v>671</v>
      </c>
      <c r="K2" s="303"/>
      <c r="L2" s="303"/>
      <c r="XDT2" s="246"/>
      <c r="XDU2" s="246"/>
      <c r="XDV2" s="246"/>
      <c r="XDW2" s="246"/>
      <c r="XDX2" s="246"/>
      <c r="XDY2" s="246"/>
      <c r="XDZ2" s="246"/>
      <c r="XEA2" s="246"/>
    </row>
    <row r="3" spans="1:16355" s="245" customFormat="1" ht="15" customHeight="1">
      <c r="A3" s="302"/>
      <c r="B3" s="302"/>
      <c r="C3" s="303"/>
      <c r="D3" s="302"/>
      <c r="E3" s="302"/>
      <c r="F3" s="302"/>
      <c r="G3" s="247" t="s">
        <v>672</v>
      </c>
      <c r="H3" s="247" t="s">
        <v>581</v>
      </c>
      <c r="I3" s="248" t="s">
        <v>673</v>
      </c>
      <c r="J3" s="247" t="s">
        <v>672</v>
      </c>
      <c r="K3" s="247" t="s">
        <v>581</v>
      </c>
      <c r="L3" s="247" t="s">
        <v>673</v>
      </c>
      <c r="XDT3" s="246"/>
      <c r="XDU3" s="246"/>
      <c r="XDV3" s="246"/>
      <c r="XDW3" s="246"/>
      <c r="XDX3" s="246"/>
      <c r="XDY3" s="246"/>
      <c r="XDZ3" s="246"/>
      <c r="XEA3" s="246"/>
    </row>
    <row r="4" spans="1:16355" s="251" customFormat="1" ht="24.95" customHeight="1">
      <c r="A4" s="249" t="s">
        <v>674</v>
      </c>
      <c r="B4" s="249" t="s">
        <v>582</v>
      </c>
      <c r="C4" s="303" t="s">
        <v>25</v>
      </c>
      <c r="D4" s="303"/>
      <c r="E4" s="303"/>
      <c r="F4" s="247"/>
      <c r="G4" s="250"/>
      <c r="H4" s="250"/>
      <c r="I4" s="250">
        <f>I20+I31</f>
        <v>3554399.5830000001</v>
      </c>
      <c r="J4" s="250">
        <f>J20+J31</f>
        <v>0</v>
      </c>
      <c r="K4" s="250">
        <f>K20+K31</f>
        <v>0</v>
      </c>
      <c r="L4" s="250">
        <f>L20+L31</f>
        <v>1302093.6299999999</v>
      </c>
    </row>
    <row r="5" spans="1:16355" s="255" customFormat="1" ht="24.95" customHeight="1">
      <c r="A5" s="307">
        <v>1</v>
      </c>
      <c r="B5" s="307" t="s">
        <v>675</v>
      </c>
      <c r="C5" s="306" t="s">
        <v>676</v>
      </c>
      <c r="D5" s="307" t="s">
        <v>677</v>
      </c>
      <c r="E5" s="252" t="s">
        <v>678</v>
      </c>
      <c r="F5" s="305" t="s">
        <v>679</v>
      </c>
      <c r="G5" s="253">
        <v>22</v>
      </c>
      <c r="H5" s="253">
        <v>600</v>
      </c>
      <c r="I5" s="254">
        <f t="shared" ref="I5:I16" si="0">G5*H5</f>
        <v>13200</v>
      </c>
      <c r="J5" s="253">
        <v>80</v>
      </c>
      <c r="K5" s="253">
        <v>45</v>
      </c>
      <c r="L5" s="253">
        <f>J5*K5</f>
        <v>3600</v>
      </c>
    </row>
    <row r="6" spans="1:16355" s="255" customFormat="1" ht="24.95" customHeight="1">
      <c r="A6" s="307"/>
      <c r="B6" s="307"/>
      <c r="C6" s="306"/>
      <c r="D6" s="307"/>
      <c r="E6" s="252" t="s">
        <v>680</v>
      </c>
      <c r="F6" s="305"/>
      <c r="G6" s="256"/>
      <c r="H6" s="256"/>
      <c r="I6" s="257"/>
      <c r="J6" s="253">
        <v>22</v>
      </c>
      <c r="K6" s="253">
        <v>170</v>
      </c>
      <c r="L6" s="253">
        <f>J6*K6</f>
        <v>3740</v>
      </c>
    </row>
    <row r="7" spans="1:16355" s="255" customFormat="1" ht="24.95" customHeight="1">
      <c r="A7" s="307"/>
      <c r="B7" s="307"/>
      <c r="C7" s="258" t="s">
        <v>681</v>
      </c>
      <c r="D7" s="252" t="s">
        <v>682</v>
      </c>
      <c r="E7" s="252" t="s">
        <v>683</v>
      </c>
      <c r="F7" s="259" t="s">
        <v>679</v>
      </c>
      <c r="G7" s="253">
        <v>68</v>
      </c>
      <c r="H7" s="253">
        <v>400</v>
      </c>
      <c r="I7" s="254">
        <f t="shared" si="0"/>
        <v>27200</v>
      </c>
      <c r="J7" s="253">
        <v>68</v>
      </c>
      <c r="K7" s="253">
        <v>400</v>
      </c>
      <c r="L7" s="253">
        <f t="shared" ref="L7:L16" si="1">J7*K7</f>
        <v>27200</v>
      </c>
    </row>
    <row r="8" spans="1:16355" s="255" customFormat="1" ht="24.95" customHeight="1">
      <c r="A8" s="307"/>
      <c r="B8" s="307"/>
      <c r="C8" s="306" t="s">
        <v>684</v>
      </c>
      <c r="D8" s="307" t="s">
        <v>685</v>
      </c>
      <c r="E8" s="252" t="s">
        <v>686</v>
      </c>
      <c r="F8" s="259" t="s">
        <v>679</v>
      </c>
      <c r="G8" s="253">
        <v>1163.4000000000001</v>
      </c>
      <c r="H8" s="253">
        <v>60</v>
      </c>
      <c r="I8" s="254">
        <f t="shared" si="0"/>
        <v>69804</v>
      </c>
      <c r="J8" s="253">
        <v>1163.4000000000001</v>
      </c>
      <c r="K8" s="253">
        <v>60</v>
      </c>
      <c r="L8" s="253">
        <f t="shared" si="1"/>
        <v>69804</v>
      </c>
    </row>
    <row r="9" spans="1:16355" s="255" customFormat="1" ht="24.95" customHeight="1">
      <c r="A9" s="307"/>
      <c r="B9" s="307"/>
      <c r="C9" s="306"/>
      <c r="D9" s="307"/>
      <c r="E9" s="252" t="s">
        <v>687</v>
      </c>
      <c r="F9" s="259" t="s">
        <v>679</v>
      </c>
      <c r="G9" s="253">
        <v>1163.4000000000001</v>
      </c>
      <c r="H9" s="253">
        <v>300</v>
      </c>
      <c r="I9" s="254">
        <f t="shared" si="0"/>
        <v>349020</v>
      </c>
      <c r="J9" s="253">
        <v>1163.4000000000001</v>
      </c>
      <c r="K9" s="253">
        <v>300</v>
      </c>
      <c r="L9" s="253">
        <f t="shared" si="1"/>
        <v>349020</v>
      </c>
    </row>
    <row r="10" spans="1:16355" s="255" customFormat="1" ht="24.95" customHeight="1">
      <c r="A10" s="307"/>
      <c r="B10" s="307"/>
      <c r="C10" s="306"/>
      <c r="D10" s="307" t="s">
        <v>688</v>
      </c>
      <c r="E10" s="252" t="s">
        <v>686</v>
      </c>
      <c r="F10" s="259" t="s">
        <v>679</v>
      </c>
      <c r="G10" s="253">
        <v>708.74</v>
      </c>
      <c r="H10" s="253">
        <v>60</v>
      </c>
      <c r="I10" s="254">
        <f t="shared" si="0"/>
        <v>42524.4</v>
      </c>
      <c r="J10" s="253">
        <v>708.74</v>
      </c>
      <c r="K10" s="253">
        <v>60</v>
      </c>
      <c r="L10" s="253">
        <f t="shared" si="1"/>
        <v>42524.4</v>
      </c>
    </row>
    <row r="11" spans="1:16355" s="255" customFormat="1" ht="24.95" customHeight="1">
      <c r="A11" s="307"/>
      <c r="B11" s="307"/>
      <c r="C11" s="306"/>
      <c r="D11" s="307"/>
      <c r="E11" s="252" t="s">
        <v>689</v>
      </c>
      <c r="F11" s="259" t="s">
        <v>679</v>
      </c>
      <c r="G11" s="253">
        <v>708.74</v>
      </c>
      <c r="H11" s="253">
        <v>230</v>
      </c>
      <c r="I11" s="254">
        <f t="shared" si="0"/>
        <v>163010.20000000001</v>
      </c>
      <c r="J11" s="253">
        <v>708.74</v>
      </c>
      <c r="K11" s="253">
        <v>170</v>
      </c>
      <c r="L11" s="253">
        <f t="shared" si="1"/>
        <v>120485.8</v>
      </c>
    </row>
    <row r="12" spans="1:16355" s="255" customFormat="1" ht="24.95" customHeight="1">
      <c r="A12" s="307"/>
      <c r="B12" s="307"/>
      <c r="C12" s="306"/>
      <c r="D12" s="307" t="s">
        <v>690</v>
      </c>
      <c r="E12" s="252" t="s">
        <v>686</v>
      </c>
      <c r="F12" s="259" t="s">
        <v>679</v>
      </c>
      <c r="G12" s="253">
        <v>1483</v>
      </c>
      <c r="H12" s="253">
        <v>60</v>
      </c>
      <c r="I12" s="254">
        <f t="shared" si="0"/>
        <v>88980</v>
      </c>
      <c r="J12" s="253"/>
      <c r="K12" s="253"/>
      <c r="L12" s="253">
        <f t="shared" si="1"/>
        <v>0</v>
      </c>
    </row>
    <row r="13" spans="1:16355" s="255" customFormat="1" ht="24.95" customHeight="1">
      <c r="A13" s="307"/>
      <c r="B13" s="307"/>
      <c r="C13" s="306"/>
      <c r="D13" s="307"/>
      <c r="E13" s="252" t="s">
        <v>691</v>
      </c>
      <c r="F13" s="259" t="s">
        <v>679</v>
      </c>
      <c r="G13" s="253">
        <v>1483</v>
      </c>
      <c r="H13" s="253">
        <v>300</v>
      </c>
      <c r="I13" s="254">
        <f t="shared" si="0"/>
        <v>444900</v>
      </c>
      <c r="J13" s="253"/>
      <c r="K13" s="253"/>
      <c r="L13" s="253">
        <f t="shared" si="1"/>
        <v>0</v>
      </c>
    </row>
    <row r="14" spans="1:16355" s="255" customFormat="1" ht="24.95" customHeight="1">
      <c r="A14" s="307"/>
      <c r="B14" s="307"/>
      <c r="C14" s="306" t="s">
        <v>692</v>
      </c>
      <c r="D14" s="252" t="s">
        <v>682</v>
      </c>
      <c r="E14" s="252" t="s">
        <v>693</v>
      </c>
      <c r="F14" s="259" t="s">
        <v>679</v>
      </c>
      <c r="G14" s="253">
        <v>371</v>
      </c>
      <c r="H14" s="253">
        <v>2000</v>
      </c>
      <c r="I14" s="254">
        <f t="shared" si="0"/>
        <v>742000</v>
      </c>
      <c r="J14" s="253"/>
      <c r="K14" s="253"/>
      <c r="L14" s="253">
        <f t="shared" si="1"/>
        <v>0</v>
      </c>
    </row>
    <row r="15" spans="1:16355" s="255" customFormat="1" ht="24.95" customHeight="1">
      <c r="A15" s="307"/>
      <c r="B15" s="307"/>
      <c r="C15" s="306"/>
      <c r="D15" s="252" t="s">
        <v>694</v>
      </c>
      <c r="E15" s="252" t="s">
        <v>695</v>
      </c>
      <c r="F15" s="259" t="s">
        <v>696</v>
      </c>
      <c r="G15" s="253">
        <v>70</v>
      </c>
      <c r="H15" s="253">
        <v>650</v>
      </c>
      <c r="I15" s="254">
        <f t="shared" si="0"/>
        <v>45500</v>
      </c>
      <c r="J15" s="253">
        <v>70</v>
      </c>
      <c r="K15" s="253">
        <v>300</v>
      </c>
      <c r="L15" s="253">
        <f t="shared" si="1"/>
        <v>21000</v>
      </c>
    </row>
    <row r="16" spans="1:16355" s="255" customFormat="1" ht="24.95" customHeight="1">
      <c r="A16" s="307"/>
      <c r="B16" s="307"/>
      <c r="C16" s="306"/>
      <c r="D16" s="252" t="s">
        <v>697</v>
      </c>
      <c r="E16" s="252" t="s">
        <v>698</v>
      </c>
      <c r="F16" s="259" t="s">
        <v>679</v>
      </c>
      <c r="G16" s="253">
        <v>80</v>
      </c>
      <c r="H16" s="253">
        <v>1650</v>
      </c>
      <c r="I16" s="254">
        <f t="shared" si="0"/>
        <v>132000</v>
      </c>
      <c r="J16" s="253"/>
      <c r="K16" s="253"/>
      <c r="L16" s="253">
        <f t="shared" si="1"/>
        <v>0</v>
      </c>
    </row>
    <row r="17" spans="1:12 16348:16355" s="255" customFormat="1" ht="24.95" customHeight="1">
      <c r="A17" s="307"/>
      <c r="B17" s="307"/>
      <c r="C17" s="309" t="s">
        <v>699</v>
      </c>
      <c r="D17" s="309"/>
      <c r="E17" s="309"/>
      <c r="F17" s="260"/>
      <c r="G17" s="261"/>
      <c r="H17" s="262"/>
      <c r="I17" s="263">
        <f>SUM(I5:I16)</f>
        <v>2118138.6</v>
      </c>
      <c r="J17" s="253"/>
      <c r="K17" s="253"/>
      <c r="L17" s="263">
        <f>SUM(L5:L16)</f>
        <v>637374.20000000007</v>
      </c>
    </row>
    <row r="18" spans="1:12 16348:16355" s="255" customFormat="1" ht="24.95" customHeight="1">
      <c r="A18" s="307"/>
      <c r="B18" s="307"/>
      <c r="C18" s="307" t="s">
        <v>700</v>
      </c>
      <c r="D18" s="307"/>
      <c r="E18" s="307"/>
      <c r="F18" s="252"/>
      <c r="G18" s="253"/>
      <c r="H18" s="262"/>
      <c r="I18" s="264">
        <f>I17*10%+80000+25000+60000</f>
        <v>376813.86</v>
      </c>
      <c r="J18" s="253"/>
      <c r="K18" s="253"/>
      <c r="L18" s="264">
        <f>L17*10%+30000+25000+5000</f>
        <v>123737.42000000001</v>
      </c>
    </row>
    <row r="19" spans="1:12 16348:16355" s="255" customFormat="1" ht="24.95" customHeight="1">
      <c r="A19" s="307"/>
      <c r="B19" s="307"/>
      <c r="C19" s="307" t="s">
        <v>701</v>
      </c>
      <c r="D19" s="307"/>
      <c r="E19" s="307"/>
      <c r="F19" s="252"/>
      <c r="G19" s="253"/>
      <c r="H19" s="262"/>
      <c r="I19" s="264">
        <f>(I17+I18)*5%</f>
        <v>124747.62300000001</v>
      </c>
      <c r="J19" s="253"/>
      <c r="K19" s="253"/>
      <c r="L19" s="264">
        <f>SUM(L17:L18)*5%</f>
        <v>38055.581000000006</v>
      </c>
    </row>
    <row r="20" spans="1:12 16348:16355" s="245" customFormat="1" ht="24.95" customHeight="1">
      <c r="A20" s="259"/>
      <c r="B20" s="259"/>
      <c r="C20" s="310" t="s">
        <v>702</v>
      </c>
      <c r="D20" s="310"/>
      <c r="E20" s="310"/>
      <c r="F20" s="259"/>
      <c r="G20" s="253"/>
      <c r="H20" s="253"/>
      <c r="I20" s="265">
        <f>SUM(I17:I19)</f>
        <v>2619700.0830000001</v>
      </c>
      <c r="J20" s="253"/>
      <c r="K20" s="253"/>
      <c r="L20" s="265">
        <f>ROUND(SUM(L17:L19),2)</f>
        <v>799167.2</v>
      </c>
      <c r="XDT20" s="246"/>
      <c r="XDU20" s="246"/>
      <c r="XDV20" s="246"/>
      <c r="XDW20" s="246"/>
      <c r="XDX20" s="246"/>
      <c r="XDY20" s="246"/>
      <c r="XDZ20" s="246"/>
      <c r="XEA20" s="246"/>
    </row>
    <row r="21" spans="1:12 16348:16355" s="255" customFormat="1" ht="24.95" customHeight="1">
      <c r="A21" s="307">
        <v>2</v>
      </c>
      <c r="B21" s="307" t="s">
        <v>703</v>
      </c>
      <c r="C21" s="308" t="s">
        <v>676</v>
      </c>
      <c r="D21" s="307" t="s">
        <v>704</v>
      </c>
      <c r="E21" s="252" t="s">
        <v>705</v>
      </c>
      <c r="F21" s="259" t="s">
        <v>679</v>
      </c>
      <c r="G21" s="311">
        <v>794</v>
      </c>
      <c r="H21" s="312">
        <v>600</v>
      </c>
      <c r="I21" s="313">
        <f>G21*H21</f>
        <v>476400</v>
      </c>
      <c r="J21" s="253">
        <v>720</v>
      </c>
      <c r="K21" s="253">
        <v>220</v>
      </c>
      <c r="L21" s="311">
        <f>J21*K21+J22*K22+J23*K23+J24*K24+J25*K25+J26*K26</f>
        <v>415070.5</v>
      </c>
    </row>
    <row r="22" spans="1:12 16348:16355" s="255" customFormat="1" ht="24.95" customHeight="1">
      <c r="A22" s="307"/>
      <c r="B22" s="307"/>
      <c r="C22" s="308"/>
      <c r="D22" s="307"/>
      <c r="E22" s="252" t="s">
        <v>706</v>
      </c>
      <c r="F22" s="259" t="s">
        <v>679</v>
      </c>
      <c r="G22" s="311"/>
      <c r="H22" s="312"/>
      <c r="I22" s="313"/>
      <c r="J22" s="253">
        <v>240</v>
      </c>
      <c r="K22" s="253">
        <v>160</v>
      </c>
      <c r="L22" s="311"/>
    </row>
    <row r="23" spans="1:12 16348:16355" s="255" customFormat="1" ht="24.95" customHeight="1">
      <c r="A23" s="307"/>
      <c r="B23" s="307"/>
      <c r="C23" s="308"/>
      <c r="D23" s="307"/>
      <c r="E23" s="252" t="s">
        <v>707</v>
      </c>
      <c r="F23" s="259" t="s">
        <v>679</v>
      </c>
      <c r="G23" s="311"/>
      <c r="H23" s="312"/>
      <c r="I23" s="313"/>
      <c r="J23" s="253">
        <v>800</v>
      </c>
      <c r="K23" s="253">
        <v>45</v>
      </c>
      <c r="L23" s="311"/>
    </row>
    <row r="24" spans="1:12 16348:16355" s="255" customFormat="1" ht="24.95" customHeight="1">
      <c r="A24" s="307"/>
      <c r="B24" s="307"/>
      <c r="C24" s="308"/>
      <c r="D24" s="307"/>
      <c r="E24" s="252" t="s">
        <v>708</v>
      </c>
      <c r="F24" s="259" t="s">
        <v>679</v>
      </c>
      <c r="G24" s="311"/>
      <c r="H24" s="312"/>
      <c r="I24" s="313"/>
      <c r="J24" s="253">
        <v>900</v>
      </c>
      <c r="K24" s="253">
        <v>57</v>
      </c>
      <c r="L24" s="311"/>
    </row>
    <row r="25" spans="1:12 16348:16355" s="255" customFormat="1" ht="24.95" customHeight="1">
      <c r="A25" s="307"/>
      <c r="B25" s="307"/>
      <c r="C25" s="308"/>
      <c r="D25" s="307"/>
      <c r="E25" s="252" t="s">
        <v>709</v>
      </c>
      <c r="F25" s="259" t="s">
        <v>679</v>
      </c>
      <c r="G25" s="311"/>
      <c r="H25" s="312"/>
      <c r="I25" s="313"/>
      <c r="J25" s="253">
        <v>71.73</v>
      </c>
      <c r="K25" s="253">
        <v>850</v>
      </c>
      <c r="L25" s="311"/>
    </row>
    <row r="26" spans="1:12 16348:16355" s="255" customFormat="1" ht="24.95" customHeight="1">
      <c r="A26" s="307"/>
      <c r="B26" s="307"/>
      <c r="C26" s="308"/>
      <c r="D26" s="307"/>
      <c r="E26" s="252" t="s">
        <v>710</v>
      </c>
      <c r="F26" s="259" t="s">
        <v>711</v>
      </c>
      <c r="G26" s="311"/>
      <c r="H26" s="312"/>
      <c r="I26" s="313"/>
      <c r="J26" s="253">
        <v>1</v>
      </c>
      <c r="K26" s="253">
        <v>70000</v>
      </c>
      <c r="L26" s="311"/>
    </row>
    <row r="27" spans="1:12 16348:16355" s="255" customFormat="1" ht="24.95" customHeight="1">
      <c r="A27" s="307"/>
      <c r="B27" s="307"/>
      <c r="C27" s="308"/>
      <c r="D27" s="252" t="s">
        <v>712</v>
      </c>
      <c r="E27" s="252" t="s">
        <v>713</v>
      </c>
      <c r="F27" s="259" t="s">
        <v>679</v>
      </c>
      <c r="G27" s="253">
        <v>125</v>
      </c>
      <c r="H27" s="262">
        <v>2500</v>
      </c>
      <c r="I27" s="266">
        <f>H27*G27</f>
        <v>312500</v>
      </c>
      <c r="J27" s="253"/>
      <c r="K27" s="253"/>
      <c r="L27" s="253">
        <f t="shared" ref="L27" si="2">J27*K27</f>
        <v>0</v>
      </c>
    </row>
    <row r="28" spans="1:12 16348:16355" s="255" customFormat="1" ht="24.95" customHeight="1">
      <c r="A28" s="307"/>
      <c r="B28" s="307"/>
      <c r="C28" s="309" t="s">
        <v>699</v>
      </c>
      <c r="D28" s="309"/>
      <c r="E28" s="309"/>
      <c r="F28" s="260"/>
      <c r="G28" s="261"/>
      <c r="H28" s="262"/>
      <c r="I28" s="265">
        <f>SUM(I21:I27)</f>
        <v>788900</v>
      </c>
      <c r="J28" s="253"/>
      <c r="K28" s="253"/>
      <c r="L28" s="265">
        <f>SUM(L21:L27)</f>
        <v>415070.5</v>
      </c>
    </row>
    <row r="29" spans="1:12 16348:16355" s="255" customFormat="1" ht="24.95" customHeight="1">
      <c r="A29" s="307"/>
      <c r="B29" s="307"/>
      <c r="C29" s="307" t="s">
        <v>700</v>
      </c>
      <c r="D29" s="307"/>
      <c r="E29" s="307"/>
      <c r="F29" s="260"/>
      <c r="G29" s="261"/>
      <c r="H29" s="262"/>
      <c r="I29" s="266">
        <f>I28*0.1+9600+12800</f>
        <v>101290</v>
      </c>
      <c r="J29" s="253"/>
      <c r="K29" s="253"/>
      <c r="L29" s="266">
        <f>L28*0.1+9600+12800</f>
        <v>63907.05</v>
      </c>
    </row>
    <row r="30" spans="1:12 16348:16355" s="255" customFormat="1" ht="24.95" customHeight="1">
      <c r="A30" s="307"/>
      <c r="B30" s="307"/>
      <c r="C30" s="307" t="s">
        <v>701</v>
      </c>
      <c r="D30" s="307"/>
      <c r="E30" s="307"/>
      <c r="F30" s="260"/>
      <c r="G30" s="261"/>
      <c r="H30" s="262"/>
      <c r="I30" s="266">
        <f>(I28+I29)*5%</f>
        <v>44509.5</v>
      </c>
      <c r="J30" s="253"/>
      <c r="K30" s="253"/>
      <c r="L30" s="266">
        <f>(L28+L29)*5%</f>
        <v>23948.877500000002</v>
      </c>
    </row>
    <row r="31" spans="1:12 16348:16355" s="245" customFormat="1" ht="24.95" customHeight="1">
      <c r="A31" s="259"/>
      <c r="B31" s="259"/>
      <c r="C31" s="310" t="s">
        <v>702</v>
      </c>
      <c r="D31" s="310"/>
      <c r="E31" s="310"/>
      <c r="F31" s="259"/>
      <c r="G31" s="253"/>
      <c r="H31" s="253"/>
      <c r="I31" s="265">
        <f>SUM(I28:I30)</f>
        <v>934699.5</v>
      </c>
      <c r="J31" s="253"/>
      <c r="K31" s="253"/>
      <c r="L31" s="265">
        <f>ROUND(SUM(L28:L30),2)</f>
        <v>502926.43</v>
      </c>
      <c r="XDT31" s="246"/>
      <c r="XDU31" s="246"/>
      <c r="XDV31" s="246"/>
      <c r="XDW31" s="246"/>
      <c r="XDX31" s="246"/>
      <c r="XDY31" s="246"/>
      <c r="XDZ31" s="246"/>
      <c r="XEA31" s="246"/>
    </row>
  </sheetData>
  <mergeCells count="36">
    <mergeCell ref="L21:L26"/>
    <mergeCell ref="C28:E28"/>
    <mergeCell ref="C29:E29"/>
    <mergeCell ref="C20:E20"/>
    <mergeCell ref="C31:E31"/>
    <mergeCell ref="G21:G26"/>
    <mergeCell ref="H21:H26"/>
    <mergeCell ref="I21:I26"/>
    <mergeCell ref="A21:A30"/>
    <mergeCell ref="B21:B30"/>
    <mergeCell ref="C21:C27"/>
    <mergeCell ref="D21:D26"/>
    <mergeCell ref="C30:E30"/>
    <mergeCell ref="C4:E4"/>
    <mergeCell ref="A5:A19"/>
    <mergeCell ref="B5:B19"/>
    <mergeCell ref="C5:C6"/>
    <mergeCell ref="D5:D6"/>
    <mergeCell ref="C14:C16"/>
    <mergeCell ref="C17:E17"/>
    <mergeCell ref="C18:E18"/>
    <mergeCell ref="C19:E19"/>
    <mergeCell ref="F5:F6"/>
    <mergeCell ref="C8:C13"/>
    <mergeCell ref="D8:D9"/>
    <mergeCell ref="D10:D11"/>
    <mergeCell ref="D12:D13"/>
    <mergeCell ref="A1:L1"/>
    <mergeCell ref="A2:A3"/>
    <mergeCell ref="B2:B3"/>
    <mergeCell ref="C2:C3"/>
    <mergeCell ref="D2:D3"/>
    <mergeCell ref="E2:E3"/>
    <mergeCell ref="F2:F3"/>
    <mergeCell ref="G2:I2"/>
    <mergeCell ref="J2:L2"/>
  </mergeCells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A6" sqref="A6:XFD18"/>
    </sheetView>
  </sheetViews>
  <sheetFormatPr defaultRowHeight="13.5" outlineLevelRow="2"/>
  <cols>
    <col min="1" max="1" width="16.75" style="269" customWidth="1"/>
    <col min="2" max="2" width="19.75" style="269" customWidth="1"/>
    <col min="3" max="3" width="17.375" style="269" customWidth="1"/>
    <col min="4" max="4" width="26.5" style="269" customWidth="1"/>
    <col min="5" max="5" width="9" style="269"/>
    <col min="6" max="6" width="12.625" style="269" customWidth="1"/>
    <col min="7" max="7" width="14.625" style="269" customWidth="1"/>
    <col min="8" max="16384" width="9" style="269"/>
  </cols>
  <sheetData>
    <row r="1" spans="1:7" ht="24" customHeight="1">
      <c r="A1" s="314" t="s">
        <v>715</v>
      </c>
      <c r="B1" s="315"/>
      <c r="C1" s="315"/>
      <c r="D1" s="315"/>
      <c r="E1" s="315"/>
      <c r="F1" s="315"/>
      <c r="G1" s="315"/>
    </row>
    <row r="2" spans="1:7" s="272" customFormat="1" ht="15" customHeight="1">
      <c r="A2" s="239" t="s">
        <v>4</v>
      </c>
      <c r="B2" s="270" t="s">
        <v>716</v>
      </c>
      <c r="C2" s="270" t="s">
        <v>178</v>
      </c>
      <c r="D2" s="270" t="s">
        <v>717</v>
      </c>
      <c r="E2" s="270" t="s">
        <v>580</v>
      </c>
      <c r="F2" s="271" t="s">
        <v>581</v>
      </c>
      <c r="G2" s="271" t="s">
        <v>718</v>
      </c>
    </row>
    <row r="3" spans="1:7" s="272" customFormat="1" ht="15" customHeight="1" outlineLevel="2">
      <c r="A3" s="239" t="s">
        <v>721</v>
      </c>
      <c r="B3" s="273" t="s">
        <v>722</v>
      </c>
      <c r="C3" s="274" t="s">
        <v>723</v>
      </c>
      <c r="D3" s="274" t="s">
        <v>724</v>
      </c>
      <c r="E3" s="275">
        <v>1</v>
      </c>
      <c r="F3" s="276">
        <v>10000</v>
      </c>
      <c r="G3" s="276">
        <f t="shared" ref="G3" si="0">E3*F3</f>
        <v>10000</v>
      </c>
    </row>
    <row r="4" spans="1:7" s="272" customFormat="1" ht="15" customHeight="1" outlineLevel="2">
      <c r="A4" s="239" t="s">
        <v>721</v>
      </c>
      <c r="B4" s="273" t="s">
        <v>725</v>
      </c>
      <c r="C4" s="274" t="s">
        <v>719</v>
      </c>
      <c r="D4" s="274" t="s">
        <v>720</v>
      </c>
      <c r="E4" s="277">
        <v>1</v>
      </c>
      <c r="F4" s="277">
        <v>20000</v>
      </c>
      <c r="G4" s="277">
        <f>E4*F4</f>
        <v>20000</v>
      </c>
    </row>
    <row r="5" spans="1:7" s="272" customFormat="1" ht="15" customHeight="1" outlineLevel="1">
      <c r="A5" s="278" t="s">
        <v>726</v>
      </c>
      <c r="B5" s="273"/>
      <c r="C5" s="274"/>
      <c r="D5" s="274"/>
      <c r="E5" s="277"/>
      <c r="F5" s="277"/>
      <c r="G5" s="277">
        <f>SUBTOTAL(9,G3:G4)</f>
        <v>30000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"/>
    </sheetView>
  </sheetViews>
  <sheetFormatPr defaultRowHeight="13.5"/>
  <cols>
    <col min="1" max="1" width="15.125" customWidth="1"/>
    <col min="2" max="2" width="15.625" customWidth="1"/>
    <col min="3" max="3" width="19.375" customWidth="1"/>
  </cols>
  <sheetData>
    <row r="1" spans="1:3" ht="20.25">
      <c r="A1" s="281" t="s">
        <v>134</v>
      </c>
      <c r="B1" s="281"/>
      <c r="C1" s="281"/>
    </row>
    <row r="2" spans="1:3" ht="24.95" customHeight="1">
      <c r="A2" s="22" t="s">
        <v>4</v>
      </c>
      <c r="B2" s="22" t="s">
        <v>135</v>
      </c>
      <c r="C2" s="22" t="s">
        <v>136</v>
      </c>
    </row>
    <row r="3" spans="1:3" ht="24.95" customHeight="1">
      <c r="A3" s="4" t="s">
        <v>1</v>
      </c>
      <c r="B3" s="5">
        <v>252206</v>
      </c>
      <c r="C3" s="2">
        <f>B3*3</f>
        <v>756618</v>
      </c>
    </row>
    <row r="4" spans="1:3" ht="24.95" customHeight="1">
      <c r="A4" s="4" t="s">
        <v>5</v>
      </c>
      <c r="B4" s="5">
        <v>120044</v>
      </c>
      <c r="C4" s="2">
        <f t="shared" ref="C4:C12" si="0">B4*3</f>
        <v>360132</v>
      </c>
    </row>
    <row r="5" spans="1:3" ht="24.95" customHeight="1">
      <c r="A5" s="4" t="s">
        <v>6</v>
      </c>
      <c r="B5" s="5">
        <v>270670</v>
      </c>
      <c r="C5" s="2">
        <f t="shared" si="0"/>
        <v>812010</v>
      </c>
    </row>
    <row r="6" spans="1:3" ht="24.95" customHeight="1">
      <c r="A6" s="4" t="s">
        <v>7</v>
      </c>
      <c r="B6" s="5">
        <v>298341</v>
      </c>
      <c r="C6" s="2">
        <f t="shared" si="0"/>
        <v>895023</v>
      </c>
    </row>
    <row r="7" spans="1:3" ht="24.95" customHeight="1">
      <c r="A7" s="4" t="s">
        <v>8</v>
      </c>
      <c r="B7" s="5">
        <v>296597</v>
      </c>
      <c r="C7" s="2">
        <f t="shared" si="0"/>
        <v>889791</v>
      </c>
    </row>
    <row r="8" spans="1:3" ht="24.95" customHeight="1">
      <c r="A8" s="4" t="s">
        <v>9</v>
      </c>
      <c r="B8" s="5">
        <v>118136</v>
      </c>
      <c r="C8" s="2">
        <f t="shared" si="0"/>
        <v>354408</v>
      </c>
    </row>
    <row r="9" spans="1:3" ht="24.95" customHeight="1">
      <c r="A9" s="4" t="s">
        <v>2</v>
      </c>
      <c r="B9" s="5">
        <v>223550</v>
      </c>
      <c r="C9" s="2">
        <f t="shared" si="0"/>
        <v>670650</v>
      </c>
    </row>
    <row r="10" spans="1:3" ht="24.95" customHeight="1">
      <c r="A10" s="4" t="s">
        <v>10</v>
      </c>
      <c r="B10" s="5">
        <v>180227</v>
      </c>
      <c r="C10" s="2">
        <f t="shared" si="0"/>
        <v>540681</v>
      </c>
    </row>
    <row r="11" spans="1:3" ht="24.95" customHeight="1">
      <c r="A11" s="4" t="s">
        <v>11</v>
      </c>
      <c r="B11" s="5">
        <v>132326</v>
      </c>
      <c r="C11" s="2">
        <f t="shared" si="0"/>
        <v>396978</v>
      </c>
    </row>
    <row r="12" spans="1:3" ht="24.95" customHeight="1">
      <c r="A12" s="4" t="s">
        <v>12</v>
      </c>
      <c r="B12" s="5">
        <v>61933</v>
      </c>
      <c r="C12" s="2">
        <f t="shared" si="0"/>
        <v>185799</v>
      </c>
    </row>
    <row r="13" spans="1:3" ht="24.95" customHeight="1">
      <c r="A13" s="6" t="s">
        <v>3</v>
      </c>
      <c r="B13" s="7">
        <f>SUM(B3:B12)</f>
        <v>1954030</v>
      </c>
      <c r="C13" s="7">
        <f>SUM(C3:C12)</f>
        <v>5862090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3"/>
    </sheetView>
  </sheetViews>
  <sheetFormatPr defaultRowHeight="13.5"/>
  <cols>
    <col min="1" max="1" width="14" style="13" customWidth="1"/>
    <col min="2" max="2" width="26.75" style="1" customWidth="1"/>
    <col min="3" max="3" width="24" style="14" customWidth="1"/>
    <col min="4" max="16384" width="9" style="1"/>
  </cols>
  <sheetData>
    <row r="1" spans="1:3" ht="20.25">
      <c r="A1" s="282" t="s">
        <v>137</v>
      </c>
      <c r="B1" s="282"/>
      <c r="C1" s="282"/>
    </row>
    <row r="2" spans="1:3" ht="24.95" customHeight="1">
      <c r="A2" s="23" t="s">
        <v>13</v>
      </c>
      <c r="B2" s="23" t="s">
        <v>138</v>
      </c>
      <c r="C2" s="24" t="s">
        <v>139</v>
      </c>
    </row>
    <row r="3" spans="1:3" ht="24.95" customHeight="1">
      <c r="A3" s="3">
        <v>1</v>
      </c>
      <c r="B3" s="9" t="s">
        <v>14</v>
      </c>
      <c r="C3" s="10">
        <v>40000</v>
      </c>
    </row>
    <row r="4" spans="1:3" ht="24.95" customHeight="1">
      <c r="A4" s="3">
        <v>2</v>
      </c>
      <c r="B4" s="9" t="s">
        <v>15</v>
      </c>
      <c r="C4" s="10">
        <v>40000</v>
      </c>
    </row>
    <row r="5" spans="1:3" ht="24.95" customHeight="1">
      <c r="A5" s="3">
        <v>3</v>
      </c>
      <c r="B5" s="9" t="s">
        <v>16</v>
      </c>
      <c r="C5" s="10">
        <v>40000</v>
      </c>
    </row>
    <row r="6" spans="1:3" ht="24.95" customHeight="1">
      <c r="A6" s="3">
        <v>4</v>
      </c>
      <c r="B6" s="9" t="s">
        <v>17</v>
      </c>
      <c r="C6" s="10">
        <v>40000</v>
      </c>
    </row>
    <row r="7" spans="1:3" ht="24.95" customHeight="1">
      <c r="A7" s="3">
        <v>5</v>
      </c>
      <c r="B7" s="9" t="s">
        <v>18</v>
      </c>
      <c r="C7" s="10">
        <v>40000</v>
      </c>
    </row>
    <row r="8" spans="1:3" ht="24.95" customHeight="1">
      <c r="A8" s="3">
        <v>6</v>
      </c>
      <c r="B8" s="9" t="s">
        <v>19</v>
      </c>
      <c r="C8" s="10">
        <v>40000</v>
      </c>
    </row>
    <row r="9" spans="1:3" ht="24.95" customHeight="1">
      <c r="A9" s="3">
        <v>7</v>
      </c>
      <c r="B9" s="9" t="s">
        <v>20</v>
      </c>
      <c r="C9" s="10">
        <v>40000</v>
      </c>
    </row>
    <row r="10" spans="1:3" ht="24.95" customHeight="1">
      <c r="A10" s="3">
        <v>8</v>
      </c>
      <c r="B10" s="9" t="s">
        <v>21</v>
      </c>
      <c r="C10" s="10">
        <v>40000</v>
      </c>
    </row>
    <row r="11" spans="1:3" ht="24.95" customHeight="1">
      <c r="A11" s="3">
        <v>9</v>
      </c>
      <c r="B11" s="9" t="s">
        <v>22</v>
      </c>
      <c r="C11" s="10">
        <v>40000</v>
      </c>
    </row>
    <row r="12" spans="1:3" ht="24.95" customHeight="1">
      <c r="A12" s="3">
        <v>10</v>
      </c>
      <c r="B12" s="9" t="s">
        <v>23</v>
      </c>
      <c r="C12" s="10">
        <v>40000</v>
      </c>
    </row>
    <row r="13" spans="1:3" ht="24.95" customHeight="1">
      <c r="A13" s="8"/>
      <c r="B13" s="11" t="s">
        <v>24</v>
      </c>
      <c r="C13" s="12">
        <f>SUM(C3:C12)</f>
        <v>400000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opLeftCell="A91" workbookViewId="0">
      <selection activeCell="G3" sqref="G3"/>
    </sheetView>
  </sheetViews>
  <sheetFormatPr defaultRowHeight="13.5"/>
  <cols>
    <col min="1" max="2" width="9" style="15"/>
    <col min="3" max="3" width="14.5" style="15" customWidth="1"/>
    <col min="4" max="4" width="11.125" style="29" customWidth="1"/>
    <col min="5" max="6" width="9" style="15"/>
    <col min="7" max="7" width="17.875" style="15" customWidth="1"/>
    <col min="8" max="16384" width="9" style="15"/>
  </cols>
  <sheetData>
    <row r="1" spans="1:7" ht="18.75" customHeight="1" thickBot="1">
      <c r="A1" s="283" t="s">
        <v>143</v>
      </c>
      <c r="B1" s="284"/>
      <c r="C1" s="284"/>
      <c r="D1" s="284"/>
      <c r="E1" s="284"/>
      <c r="F1" s="284"/>
      <c r="G1" s="284"/>
    </row>
    <row r="2" spans="1:7" ht="14.25" thickBot="1">
      <c r="A2" s="16" t="s">
        <v>140</v>
      </c>
      <c r="B2" s="16" t="s">
        <v>0</v>
      </c>
      <c r="C2" s="16" t="s">
        <v>144</v>
      </c>
      <c r="D2" s="21" t="s">
        <v>25</v>
      </c>
      <c r="E2" s="16" t="s">
        <v>141</v>
      </c>
      <c r="F2" s="16" t="s">
        <v>142</v>
      </c>
      <c r="G2" s="16" t="s">
        <v>145</v>
      </c>
    </row>
    <row r="3" spans="1:7" s="20" customFormat="1" ht="12.75" customHeight="1" thickBot="1">
      <c r="A3" s="18" t="s">
        <v>129</v>
      </c>
      <c r="B3" s="18" t="s">
        <v>146</v>
      </c>
      <c r="C3" s="25" t="s">
        <v>147</v>
      </c>
      <c r="D3" s="26">
        <v>129</v>
      </c>
      <c r="E3" s="18">
        <v>150261</v>
      </c>
      <c r="F3" s="18">
        <v>10000</v>
      </c>
      <c r="G3" s="19">
        <f>D3*(E3+F3)</f>
        <v>20673669</v>
      </c>
    </row>
    <row r="4" spans="1:7" s="20" customFormat="1" ht="14.25" thickBot="1">
      <c r="A4" s="18" t="s">
        <v>129</v>
      </c>
      <c r="B4" s="18" t="s">
        <v>148</v>
      </c>
      <c r="C4" s="18" t="s">
        <v>26</v>
      </c>
      <c r="D4" s="26">
        <v>55</v>
      </c>
      <c r="E4" s="18">
        <v>139020</v>
      </c>
      <c r="F4" s="18">
        <v>10000</v>
      </c>
      <c r="G4" s="19">
        <f t="shared" ref="G4:G7" si="0">D4*(E4+F4)</f>
        <v>8196100</v>
      </c>
    </row>
    <row r="5" spans="1:7" s="20" customFormat="1" ht="14.25" thickBot="1">
      <c r="A5" s="18" t="s">
        <v>129</v>
      </c>
      <c r="B5" s="18" t="s">
        <v>148</v>
      </c>
      <c r="C5" s="18" t="s">
        <v>27</v>
      </c>
      <c r="D5" s="27">
        <v>45</v>
      </c>
      <c r="E5" s="18">
        <v>139020</v>
      </c>
      <c r="F5" s="18">
        <v>10000</v>
      </c>
      <c r="G5" s="19">
        <f t="shared" si="0"/>
        <v>6705900</v>
      </c>
    </row>
    <row r="6" spans="1:7" s="20" customFormat="1" ht="14.25" thickBot="1">
      <c r="A6" s="18" t="s">
        <v>129</v>
      </c>
      <c r="B6" s="18" t="s">
        <v>148</v>
      </c>
      <c r="C6" s="18" t="s">
        <v>28</v>
      </c>
      <c r="D6" s="27">
        <v>10</v>
      </c>
      <c r="E6" s="18">
        <v>139020</v>
      </c>
      <c r="F6" s="18">
        <v>10000</v>
      </c>
      <c r="G6" s="19">
        <f t="shared" si="0"/>
        <v>1490200</v>
      </c>
    </row>
    <row r="7" spans="1:7" s="20" customFormat="1" ht="14.25" thickBot="1">
      <c r="A7" s="18" t="s">
        <v>129</v>
      </c>
      <c r="B7" s="18" t="s">
        <v>149</v>
      </c>
      <c r="C7" s="18" t="s">
        <v>29</v>
      </c>
      <c r="D7" s="27">
        <v>6</v>
      </c>
      <c r="E7" s="18">
        <v>137449</v>
      </c>
      <c r="F7" s="18">
        <v>10000</v>
      </c>
      <c r="G7" s="19">
        <f t="shared" si="0"/>
        <v>884694</v>
      </c>
    </row>
    <row r="8" spans="1:7" ht="14.25" thickBot="1">
      <c r="A8" s="16"/>
      <c r="B8" s="16" t="s">
        <v>30</v>
      </c>
      <c r="C8" s="16"/>
      <c r="D8" s="28">
        <f>SUM(D3:D7)</f>
        <v>245</v>
      </c>
      <c r="E8" s="16"/>
      <c r="F8" s="16"/>
      <c r="G8" s="17">
        <f>SUM(G3:G7)</f>
        <v>37950563</v>
      </c>
    </row>
    <row r="9" spans="1:7" s="20" customFormat="1" ht="14.25" thickBot="1">
      <c r="A9" s="18" t="s">
        <v>150</v>
      </c>
      <c r="B9" s="18" t="s">
        <v>151</v>
      </c>
      <c r="C9" s="18" t="s">
        <v>31</v>
      </c>
      <c r="D9" s="26">
        <v>83</v>
      </c>
      <c r="E9" s="18">
        <v>150261</v>
      </c>
      <c r="F9" s="18">
        <v>10000</v>
      </c>
      <c r="G9" s="19">
        <f>D9*(E9+F9)</f>
        <v>13301663</v>
      </c>
    </row>
    <row r="10" spans="1:7" s="20" customFormat="1" ht="14.25" thickBot="1">
      <c r="A10" s="18" t="s">
        <v>150</v>
      </c>
      <c r="B10" s="18" t="s">
        <v>152</v>
      </c>
      <c r="C10" s="18" t="s">
        <v>32</v>
      </c>
      <c r="D10" s="27">
        <v>71</v>
      </c>
      <c r="E10" s="18">
        <v>150261</v>
      </c>
      <c r="F10" s="18">
        <v>10000</v>
      </c>
      <c r="G10" s="19">
        <f t="shared" ref="G10:G15" si="1">D10*(E10+F10)</f>
        <v>11378531</v>
      </c>
    </row>
    <row r="11" spans="1:7" s="20" customFormat="1" ht="14.25" thickBot="1">
      <c r="A11" s="18" t="s">
        <v>150</v>
      </c>
      <c r="B11" s="18" t="s">
        <v>152</v>
      </c>
      <c r="C11" s="18" t="s">
        <v>33</v>
      </c>
      <c r="D11" s="27">
        <v>19</v>
      </c>
      <c r="E11" s="18">
        <v>150261</v>
      </c>
      <c r="F11" s="18">
        <v>10000</v>
      </c>
      <c r="G11" s="19">
        <f t="shared" si="1"/>
        <v>3044959</v>
      </c>
    </row>
    <row r="12" spans="1:7" s="20" customFormat="1" ht="14.25" thickBot="1">
      <c r="A12" s="18" t="s">
        <v>150</v>
      </c>
      <c r="B12" s="18" t="s">
        <v>148</v>
      </c>
      <c r="C12" s="18" t="s">
        <v>34</v>
      </c>
      <c r="D12" s="26">
        <v>16</v>
      </c>
      <c r="E12" s="18">
        <v>139020</v>
      </c>
      <c r="F12" s="18">
        <v>10000</v>
      </c>
      <c r="G12" s="19">
        <f t="shared" si="1"/>
        <v>2384320</v>
      </c>
    </row>
    <row r="13" spans="1:7" s="20" customFormat="1" ht="14.25" thickBot="1">
      <c r="A13" s="18" t="s">
        <v>150</v>
      </c>
      <c r="B13" s="18" t="s">
        <v>148</v>
      </c>
      <c r="C13" s="18" t="s">
        <v>35</v>
      </c>
      <c r="D13" s="27">
        <v>37</v>
      </c>
      <c r="E13" s="18">
        <v>139020</v>
      </c>
      <c r="F13" s="18">
        <v>10000</v>
      </c>
      <c r="G13" s="19">
        <f t="shared" si="1"/>
        <v>5513740</v>
      </c>
    </row>
    <row r="14" spans="1:7" s="20" customFormat="1" ht="14.25" thickBot="1">
      <c r="A14" s="18" t="s">
        <v>150</v>
      </c>
      <c r="B14" s="18" t="s">
        <v>148</v>
      </c>
      <c r="C14" s="18" t="s">
        <v>36</v>
      </c>
      <c r="D14" s="27">
        <v>44</v>
      </c>
      <c r="E14" s="18">
        <v>139020</v>
      </c>
      <c r="F14" s="18">
        <v>10000</v>
      </c>
      <c r="G14" s="19">
        <f t="shared" si="1"/>
        <v>6556880</v>
      </c>
    </row>
    <row r="15" spans="1:7" s="20" customFormat="1" ht="14.25" thickBot="1">
      <c r="A15" s="18" t="s">
        <v>150</v>
      </c>
      <c r="B15" s="18" t="s">
        <v>149</v>
      </c>
      <c r="C15" s="18" t="s">
        <v>37</v>
      </c>
      <c r="D15" s="27">
        <v>4</v>
      </c>
      <c r="E15" s="18">
        <v>137449</v>
      </c>
      <c r="F15" s="18">
        <v>10000</v>
      </c>
      <c r="G15" s="19">
        <f t="shared" si="1"/>
        <v>589796</v>
      </c>
    </row>
    <row r="16" spans="1:7" ht="14.25" thickBot="1">
      <c r="A16" s="16"/>
      <c r="B16" s="16" t="s">
        <v>153</v>
      </c>
      <c r="C16" s="16"/>
      <c r="D16" s="28">
        <f>SUM(D9:D15)</f>
        <v>274</v>
      </c>
      <c r="E16" s="16"/>
      <c r="F16" s="16"/>
      <c r="G16" s="16">
        <f>SUM(G9:G15)</f>
        <v>42769889</v>
      </c>
    </row>
    <row r="17" spans="1:7" s="20" customFormat="1" ht="14.25" thickBot="1">
      <c r="A17" s="18" t="s">
        <v>130</v>
      </c>
      <c r="B17" s="18" t="s">
        <v>151</v>
      </c>
      <c r="C17" s="18" t="s">
        <v>38</v>
      </c>
      <c r="D17" s="27">
        <v>83</v>
      </c>
      <c r="E17" s="18">
        <v>150261</v>
      </c>
      <c r="F17" s="18">
        <v>10000</v>
      </c>
      <c r="G17" s="19">
        <f>D17*(E17+F17)</f>
        <v>13301663</v>
      </c>
    </row>
    <row r="18" spans="1:7" s="20" customFormat="1" ht="14.25" thickBot="1">
      <c r="A18" s="18" t="s">
        <v>130</v>
      </c>
      <c r="B18" s="18" t="s">
        <v>151</v>
      </c>
      <c r="C18" s="18" t="s">
        <v>39</v>
      </c>
      <c r="D18" s="27"/>
      <c r="E18" s="18">
        <v>150261</v>
      </c>
      <c r="F18" s="18">
        <v>10000</v>
      </c>
      <c r="G18" s="19">
        <f t="shared" ref="G18:G33" si="2">D18*(E18+F18)</f>
        <v>0</v>
      </c>
    </row>
    <row r="19" spans="1:7" s="20" customFormat="1" ht="14.25" thickBot="1">
      <c r="A19" s="18" t="s">
        <v>130</v>
      </c>
      <c r="B19" s="18" t="s">
        <v>151</v>
      </c>
      <c r="C19" s="18" t="s">
        <v>40</v>
      </c>
      <c r="D19" s="27">
        <v>255</v>
      </c>
      <c r="E19" s="18">
        <v>150261</v>
      </c>
      <c r="F19" s="18">
        <v>10000</v>
      </c>
      <c r="G19" s="19">
        <f t="shared" si="2"/>
        <v>40866555</v>
      </c>
    </row>
    <row r="20" spans="1:7" s="20" customFormat="1" ht="14.25" thickBot="1">
      <c r="A20" s="18" t="s">
        <v>130</v>
      </c>
      <c r="B20" s="18" t="s">
        <v>151</v>
      </c>
      <c r="C20" s="18" t="s">
        <v>41</v>
      </c>
      <c r="D20" s="27">
        <v>86</v>
      </c>
      <c r="E20" s="18">
        <v>150261</v>
      </c>
      <c r="F20" s="18">
        <v>10000</v>
      </c>
      <c r="G20" s="19">
        <f t="shared" si="2"/>
        <v>13782446</v>
      </c>
    </row>
    <row r="21" spans="1:7" s="20" customFormat="1" ht="14.25" thickBot="1">
      <c r="A21" s="18" t="s">
        <v>130</v>
      </c>
      <c r="B21" s="18" t="s">
        <v>151</v>
      </c>
      <c r="C21" s="18" t="s">
        <v>42</v>
      </c>
      <c r="D21" s="27">
        <v>90</v>
      </c>
      <c r="E21" s="18">
        <v>150261</v>
      </c>
      <c r="F21" s="18">
        <v>10000</v>
      </c>
      <c r="G21" s="19">
        <f t="shared" si="2"/>
        <v>14423490</v>
      </c>
    </row>
    <row r="22" spans="1:7" s="20" customFormat="1" ht="14.25" thickBot="1">
      <c r="A22" s="18" t="s">
        <v>130</v>
      </c>
      <c r="B22" s="18" t="s">
        <v>152</v>
      </c>
      <c r="C22" s="18" t="s">
        <v>43</v>
      </c>
      <c r="D22" s="27">
        <v>62</v>
      </c>
      <c r="E22" s="18">
        <v>150261</v>
      </c>
      <c r="F22" s="18">
        <v>10000</v>
      </c>
      <c r="G22" s="19">
        <f t="shared" si="2"/>
        <v>9936182</v>
      </c>
    </row>
    <row r="23" spans="1:7" s="20" customFormat="1" ht="14.25" thickBot="1">
      <c r="A23" s="18" t="s">
        <v>130</v>
      </c>
      <c r="B23" s="18" t="s">
        <v>152</v>
      </c>
      <c r="C23" s="18" t="s">
        <v>44</v>
      </c>
      <c r="D23" s="27">
        <v>288</v>
      </c>
      <c r="E23" s="18">
        <v>150261</v>
      </c>
      <c r="F23" s="18">
        <v>10000</v>
      </c>
      <c r="G23" s="19">
        <f t="shared" si="2"/>
        <v>46155168</v>
      </c>
    </row>
    <row r="24" spans="1:7" s="20" customFormat="1" ht="14.25" thickBot="1">
      <c r="A24" s="18" t="s">
        <v>130</v>
      </c>
      <c r="B24" s="18" t="s">
        <v>152</v>
      </c>
      <c r="C24" s="18" t="s">
        <v>45</v>
      </c>
      <c r="D24" s="27">
        <v>63</v>
      </c>
      <c r="E24" s="18">
        <v>150261</v>
      </c>
      <c r="F24" s="18">
        <v>10000</v>
      </c>
      <c r="G24" s="19">
        <f t="shared" si="2"/>
        <v>10096443</v>
      </c>
    </row>
    <row r="25" spans="1:7" s="20" customFormat="1" ht="14.25" thickBot="1">
      <c r="A25" s="18" t="s">
        <v>130</v>
      </c>
      <c r="B25" s="18" t="s">
        <v>152</v>
      </c>
      <c r="C25" s="18" t="s">
        <v>46</v>
      </c>
      <c r="D25" s="27">
        <v>116</v>
      </c>
      <c r="E25" s="18">
        <v>150261</v>
      </c>
      <c r="F25" s="18">
        <v>10000</v>
      </c>
      <c r="G25" s="19">
        <f t="shared" si="2"/>
        <v>18590276</v>
      </c>
    </row>
    <row r="26" spans="1:7" s="20" customFormat="1" ht="14.25" thickBot="1">
      <c r="A26" s="18" t="s">
        <v>130</v>
      </c>
      <c r="B26" s="18" t="s">
        <v>152</v>
      </c>
      <c r="C26" s="18" t="s">
        <v>47</v>
      </c>
      <c r="D26" s="26">
        <v>109</v>
      </c>
      <c r="E26" s="18">
        <v>150261</v>
      </c>
      <c r="F26" s="18">
        <v>10000</v>
      </c>
      <c r="G26" s="19">
        <f t="shared" si="2"/>
        <v>17468449</v>
      </c>
    </row>
    <row r="27" spans="1:7" s="20" customFormat="1" ht="14.25" thickBot="1">
      <c r="A27" s="18" t="s">
        <v>130</v>
      </c>
      <c r="B27" s="18" t="s">
        <v>148</v>
      </c>
      <c r="C27" s="18" t="s">
        <v>48</v>
      </c>
      <c r="D27" s="27">
        <v>45</v>
      </c>
      <c r="E27" s="18">
        <v>139020</v>
      </c>
      <c r="F27" s="18">
        <v>10000</v>
      </c>
      <c r="G27" s="19">
        <f t="shared" si="2"/>
        <v>6705900</v>
      </c>
    </row>
    <row r="28" spans="1:7" s="20" customFormat="1" ht="14.25" thickBot="1">
      <c r="A28" s="18" t="s">
        <v>130</v>
      </c>
      <c r="B28" s="18" t="s">
        <v>148</v>
      </c>
      <c r="C28" s="18" t="s">
        <v>49</v>
      </c>
      <c r="D28" s="27">
        <v>167</v>
      </c>
      <c r="E28" s="18">
        <v>139020</v>
      </c>
      <c r="F28" s="18">
        <v>10000</v>
      </c>
      <c r="G28" s="19">
        <f t="shared" si="2"/>
        <v>24886340</v>
      </c>
    </row>
    <row r="29" spans="1:7" s="20" customFormat="1" ht="14.25" thickBot="1">
      <c r="A29" s="18" t="s">
        <v>130</v>
      </c>
      <c r="B29" s="18" t="s">
        <v>148</v>
      </c>
      <c r="C29" s="18" t="s">
        <v>50</v>
      </c>
      <c r="D29" s="27">
        <v>46</v>
      </c>
      <c r="E29" s="18">
        <v>139020</v>
      </c>
      <c r="F29" s="18">
        <v>10000</v>
      </c>
      <c r="G29" s="19">
        <f t="shared" si="2"/>
        <v>6854920</v>
      </c>
    </row>
    <row r="30" spans="1:7" s="20" customFormat="1" ht="14.25" thickBot="1">
      <c r="A30" s="18" t="s">
        <v>130</v>
      </c>
      <c r="B30" s="18" t="s">
        <v>148</v>
      </c>
      <c r="C30" s="18" t="s">
        <v>51</v>
      </c>
      <c r="D30" s="27">
        <v>36</v>
      </c>
      <c r="E30" s="18">
        <v>139020</v>
      </c>
      <c r="F30" s="18">
        <v>10000</v>
      </c>
      <c r="G30" s="19">
        <f t="shared" si="2"/>
        <v>5364720</v>
      </c>
    </row>
    <row r="31" spans="1:7" s="20" customFormat="1" ht="14.25" thickBot="1">
      <c r="A31" s="18" t="s">
        <v>130</v>
      </c>
      <c r="B31" s="18" t="s">
        <v>148</v>
      </c>
      <c r="C31" s="18" t="s">
        <v>52</v>
      </c>
      <c r="D31" s="27">
        <v>28</v>
      </c>
      <c r="E31" s="18">
        <v>139020</v>
      </c>
      <c r="F31" s="18">
        <v>10000</v>
      </c>
      <c r="G31" s="19">
        <f t="shared" si="2"/>
        <v>4172560</v>
      </c>
    </row>
    <row r="32" spans="1:7" s="20" customFormat="1" ht="14.25" thickBot="1">
      <c r="A32" s="18" t="s">
        <v>130</v>
      </c>
      <c r="B32" s="18" t="s">
        <v>148</v>
      </c>
      <c r="C32" s="18" t="s">
        <v>154</v>
      </c>
      <c r="D32" s="27">
        <v>4</v>
      </c>
      <c r="E32" s="18">
        <v>139020</v>
      </c>
      <c r="F32" s="18">
        <v>10000</v>
      </c>
      <c r="G32" s="19">
        <f t="shared" si="2"/>
        <v>596080</v>
      </c>
    </row>
    <row r="33" spans="1:7" s="20" customFormat="1" ht="14.25" thickBot="1">
      <c r="A33" s="18" t="s">
        <v>130</v>
      </c>
      <c r="B33" s="18" t="s">
        <v>149</v>
      </c>
      <c r="C33" s="18" t="s">
        <v>53</v>
      </c>
      <c r="D33" s="27">
        <v>7</v>
      </c>
      <c r="E33" s="18">
        <v>137449</v>
      </c>
      <c r="F33" s="18">
        <v>10000</v>
      </c>
      <c r="G33" s="19">
        <f t="shared" si="2"/>
        <v>1032143</v>
      </c>
    </row>
    <row r="34" spans="1:7" ht="14.25" thickBot="1">
      <c r="A34" s="16"/>
      <c r="B34" s="16" t="s">
        <v>155</v>
      </c>
      <c r="C34" s="16"/>
      <c r="D34" s="28">
        <f>SUM(D17:D33)</f>
        <v>1485</v>
      </c>
      <c r="E34" s="16"/>
      <c r="F34" s="16"/>
      <c r="G34" s="17">
        <f>SUM(G17:G33)</f>
        <v>234233335</v>
      </c>
    </row>
    <row r="35" spans="1:7" s="20" customFormat="1" ht="14.25" thickBot="1">
      <c r="A35" s="18" t="s">
        <v>131</v>
      </c>
      <c r="B35" s="18" t="s">
        <v>151</v>
      </c>
      <c r="C35" s="18" t="s">
        <v>54</v>
      </c>
      <c r="D35" s="26">
        <v>87</v>
      </c>
      <c r="E35" s="18">
        <v>150261</v>
      </c>
      <c r="F35" s="18">
        <v>10000</v>
      </c>
      <c r="G35" s="19">
        <f>D35*(E35+F35)</f>
        <v>13942707</v>
      </c>
    </row>
    <row r="36" spans="1:7" s="20" customFormat="1" ht="14.25" thickBot="1">
      <c r="A36" s="18" t="s">
        <v>131</v>
      </c>
      <c r="B36" s="18" t="s">
        <v>151</v>
      </c>
      <c r="C36" s="18" t="s">
        <v>55</v>
      </c>
      <c r="D36" s="26">
        <v>84</v>
      </c>
      <c r="E36" s="18">
        <v>150261</v>
      </c>
      <c r="F36" s="18">
        <v>10000</v>
      </c>
      <c r="G36" s="19">
        <f t="shared" ref="G36:G51" si="3">D36*(E36+F36)</f>
        <v>13461924</v>
      </c>
    </row>
    <row r="37" spans="1:7" s="20" customFormat="1" ht="14.25" thickBot="1">
      <c r="A37" s="18" t="s">
        <v>131</v>
      </c>
      <c r="B37" s="18" t="s">
        <v>151</v>
      </c>
      <c r="C37" s="18" t="s">
        <v>156</v>
      </c>
      <c r="D37" s="27">
        <v>61</v>
      </c>
      <c r="E37" s="18">
        <v>150261</v>
      </c>
      <c r="F37" s="18">
        <v>10000</v>
      </c>
      <c r="G37" s="19">
        <f t="shared" si="3"/>
        <v>9775921</v>
      </c>
    </row>
    <row r="38" spans="1:7" s="20" customFormat="1" ht="14.25" thickBot="1">
      <c r="A38" s="18" t="s">
        <v>131</v>
      </c>
      <c r="B38" s="18" t="s">
        <v>152</v>
      </c>
      <c r="C38" s="18" t="s">
        <v>56</v>
      </c>
      <c r="D38" s="27">
        <v>83</v>
      </c>
      <c r="E38" s="18">
        <v>150261</v>
      </c>
      <c r="F38" s="18">
        <v>10000</v>
      </c>
      <c r="G38" s="19">
        <f t="shared" si="3"/>
        <v>13301663</v>
      </c>
    </row>
    <row r="39" spans="1:7" s="20" customFormat="1" ht="14.25" thickBot="1">
      <c r="A39" s="18" t="s">
        <v>131</v>
      </c>
      <c r="B39" s="18" t="s">
        <v>152</v>
      </c>
      <c r="C39" s="18" t="s">
        <v>57</v>
      </c>
      <c r="D39" s="27">
        <v>78</v>
      </c>
      <c r="E39" s="18">
        <v>150261</v>
      </c>
      <c r="F39" s="18">
        <v>10000</v>
      </c>
      <c r="G39" s="19">
        <f t="shared" si="3"/>
        <v>12500358</v>
      </c>
    </row>
    <row r="40" spans="1:7" s="20" customFormat="1" ht="14.25" thickBot="1">
      <c r="A40" s="18" t="s">
        <v>131</v>
      </c>
      <c r="B40" s="18" t="s">
        <v>152</v>
      </c>
      <c r="C40" s="18" t="s">
        <v>58</v>
      </c>
      <c r="D40" s="27">
        <v>86</v>
      </c>
      <c r="E40" s="18">
        <v>150261</v>
      </c>
      <c r="F40" s="18">
        <v>10000</v>
      </c>
      <c r="G40" s="19">
        <f t="shared" si="3"/>
        <v>13782446</v>
      </c>
    </row>
    <row r="41" spans="1:7" s="20" customFormat="1" ht="14.25" thickBot="1">
      <c r="A41" s="18" t="s">
        <v>131</v>
      </c>
      <c r="B41" s="18" t="s">
        <v>152</v>
      </c>
      <c r="C41" s="18" t="s">
        <v>59</v>
      </c>
      <c r="D41" s="27">
        <v>40</v>
      </c>
      <c r="E41" s="18">
        <v>150261</v>
      </c>
      <c r="F41" s="18">
        <v>10000</v>
      </c>
      <c r="G41" s="19">
        <f t="shared" si="3"/>
        <v>6410440</v>
      </c>
    </row>
    <row r="42" spans="1:7" s="20" customFormat="1" ht="14.25" thickBot="1">
      <c r="A42" s="18" t="s">
        <v>131</v>
      </c>
      <c r="B42" s="18" t="s">
        <v>152</v>
      </c>
      <c r="C42" s="18" t="s">
        <v>60</v>
      </c>
      <c r="D42" s="27">
        <v>48</v>
      </c>
      <c r="E42" s="18">
        <v>150261</v>
      </c>
      <c r="F42" s="18">
        <v>10000</v>
      </c>
      <c r="G42" s="19">
        <f t="shared" si="3"/>
        <v>7692528</v>
      </c>
    </row>
    <row r="43" spans="1:7" s="20" customFormat="1" ht="14.25" thickBot="1">
      <c r="A43" s="18" t="s">
        <v>131</v>
      </c>
      <c r="B43" s="18" t="s">
        <v>146</v>
      </c>
      <c r="C43" s="18" t="s">
        <v>157</v>
      </c>
      <c r="D43" s="26">
        <v>18</v>
      </c>
      <c r="E43" s="18">
        <v>150261</v>
      </c>
      <c r="F43" s="18">
        <v>10000</v>
      </c>
      <c r="G43" s="19">
        <f t="shared" si="3"/>
        <v>2884698</v>
      </c>
    </row>
    <row r="44" spans="1:7" s="20" customFormat="1" ht="14.25" thickBot="1">
      <c r="A44" s="18" t="s">
        <v>131</v>
      </c>
      <c r="B44" s="18" t="s">
        <v>148</v>
      </c>
      <c r="C44" s="18" t="s">
        <v>61</v>
      </c>
      <c r="D44" s="27">
        <v>58</v>
      </c>
      <c r="E44" s="18">
        <v>139020</v>
      </c>
      <c r="F44" s="18">
        <v>10000</v>
      </c>
      <c r="G44" s="19">
        <f t="shared" si="3"/>
        <v>8643160</v>
      </c>
    </row>
    <row r="45" spans="1:7" s="20" customFormat="1" ht="14.25" thickBot="1">
      <c r="A45" s="18" t="s">
        <v>131</v>
      </c>
      <c r="B45" s="18" t="s">
        <v>148</v>
      </c>
      <c r="C45" s="18" t="s">
        <v>62</v>
      </c>
      <c r="D45" s="27">
        <v>64</v>
      </c>
      <c r="E45" s="18">
        <v>139020</v>
      </c>
      <c r="F45" s="18">
        <v>10000</v>
      </c>
      <c r="G45" s="19">
        <f t="shared" si="3"/>
        <v>9537280</v>
      </c>
    </row>
    <row r="46" spans="1:7" s="20" customFormat="1" ht="14.25" thickBot="1">
      <c r="A46" s="18" t="s">
        <v>131</v>
      </c>
      <c r="B46" s="18" t="s">
        <v>148</v>
      </c>
      <c r="C46" s="18" t="s">
        <v>63</v>
      </c>
      <c r="D46" s="27">
        <v>11</v>
      </c>
      <c r="E46" s="18">
        <v>139020</v>
      </c>
      <c r="F46" s="18">
        <v>10000</v>
      </c>
      <c r="G46" s="19">
        <f t="shared" si="3"/>
        <v>1639220</v>
      </c>
    </row>
    <row r="47" spans="1:7" s="20" customFormat="1" ht="14.25" thickBot="1">
      <c r="A47" s="18" t="s">
        <v>131</v>
      </c>
      <c r="B47" s="18" t="s">
        <v>148</v>
      </c>
      <c r="C47" s="18" t="s">
        <v>64</v>
      </c>
      <c r="D47" s="27">
        <v>64</v>
      </c>
      <c r="E47" s="18">
        <v>139020</v>
      </c>
      <c r="F47" s="18">
        <v>10000</v>
      </c>
      <c r="G47" s="19">
        <f t="shared" si="3"/>
        <v>9537280</v>
      </c>
    </row>
    <row r="48" spans="1:7" s="20" customFormat="1" ht="14.25" thickBot="1">
      <c r="A48" s="18" t="s">
        <v>131</v>
      </c>
      <c r="B48" s="18" t="s">
        <v>148</v>
      </c>
      <c r="C48" s="18" t="s">
        <v>65</v>
      </c>
      <c r="D48" s="27">
        <v>30</v>
      </c>
      <c r="E48" s="18">
        <v>139020</v>
      </c>
      <c r="F48" s="18">
        <v>10000</v>
      </c>
      <c r="G48" s="19">
        <f t="shared" si="3"/>
        <v>4470600</v>
      </c>
    </row>
    <row r="49" spans="1:7" s="20" customFormat="1" ht="14.25" thickBot="1">
      <c r="A49" s="18" t="s">
        <v>131</v>
      </c>
      <c r="B49" s="18" t="s">
        <v>148</v>
      </c>
      <c r="C49" s="18" t="s">
        <v>66</v>
      </c>
      <c r="D49" s="27">
        <v>22</v>
      </c>
      <c r="E49" s="18">
        <v>139020</v>
      </c>
      <c r="F49" s="18">
        <v>10000</v>
      </c>
      <c r="G49" s="19">
        <f t="shared" si="3"/>
        <v>3278440</v>
      </c>
    </row>
    <row r="50" spans="1:7" s="20" customFormat="1" ht="14.25" thickBot="1">
      <c r="A50" s="18" t="s">
        <v>131</v>
      </c>
      <c r="B50" s="18" t="s">
        <v>148</v>
      </c>
      <c r="C50" s="18" t="s">
        <v>67</v>
      </c>
      <c r="D50" s="27">
        <v>41</v>
      </c>
      <c r="E50" s="18">
        <v>139020</v>
      </c>
      <c r="F50" s="18">
        <v>10000</v>
      </c>
      <c r="G50" s="19">
        <f t="shared" si="3"/>
        <v>6109820</v>
      </c>
    </row>
    <row r="51" spans="1:7" s="20" customFormat="1" ht="14.25" thickBot="1">
      <c r="A51" s="18" t="s">
        <v>131</v>
      </c>
      <c r="B51" s="18" t="s">
        <v>149</v>
      </c>
      <c r="C51" s="18" t="s">
        <v>68</v>
      </c>
      <c r="D51" s="27">
        <v>6</v>
      </c>
      <c r="E51" s="18">
        <v>137449</v>
      </c>
      <c r="F51" s="18">
        <v>10000</v>
      </c>
      <c r="G51" s="19">
        <f t="shared" si="3"/>
        <v>884694</v>
      </c>
    </row>
    <row r="52" spans="1:7" ht="14.25" thickBot="1">
      <c r="A52" s="16"/>
      <c r="B52" s="16" t="s">
        <v>158</v>
      </c>
      <c r="C52" s="16"/>
      <c r="D52" s="28">
        <f>SUM(D35:D51)</f>
        <v>881</v>
      </c>
      <c r="E52" s="16"/>
      <c r="F52" s="16"/>
      <c r="G52" s="17">
        <f>SUM(G35:G51)</f>
        <v>137853179</v>
      </c>
    </row>
    <row r="53" spans="1:7" s="20" customFormat="1" ht="14.25" thickBot="1">
      <c r="A53" s="18" t="s">
        <v>133</v>
      </c>
      <c r="B53" s="18" t="s">
        <v>151</v>
      </c>
      <c r="C53" s="18" t="s">
        <v>69</v>
      </c>
      <c r="D53" s="27">
        <v>67</v>
      </c>
      <c r="E53" s="18">
        <v>150261</v>
      </c>
      <c r="F53" s="18">
        <v>10000</v>
      </c>
      <c r="G53" s="19">
        <f>D53*(E53+F53)</f>
        <v>10737487</v>
      </c>
    </row>
    <row r="54" spans="1:7" s="20" customFormat="1" ht="14.25" thickBot="1">
      <c r="A54" s="18" t="s">
        <v>133</v>
      </c>
      <c r="B54" s="18" t="s">
        <v>151</v>
      </c>
      <c r="C54" s="18" t="s">
        <v>70</v>
      </c>
      <c r="D54" s="27">
        <v>67</v>
      </c>
      <c r="E54" s="18">
        <v>150261</v>
      </c>
      <c r="F54" s="18">
        <v>10000</v>
      </c>
      <c r="G54" s="19">
        <f t="shared" ref="G54:G70" si="4">D54*(E54+F54)</f>
        <v>10737487</v>
      </c>
    </row>
    <row r="55" spans="1:7" s="20" customFormat="1" ht="14.25" thickBot="1">
      <c r="A55" s="18" t="s">
        <v>133</v>
      </c>
      <c r="B55" s="18" t="s">
        <v>151</v>
      </c>
      <c r="C55" s="18" t="s">
        <v>71</v>
      </c>
      <c r="D55" s="27">
        <v>69</v>
      </c>
      <c r="E55" s="18">
        <v>150261</v>
      </c>
      <c r="F55" s="18">
        <v>10000</v>
      </c>
      <c r="G55" s="19">
        <f t="shared" si="4"/>
        <v>11058009</v>
      </c>
    </row>
    <row r="56" spans="1:7" s="20" customFormat="1" ht="14.25" thickBot="1">
      <c r="A56" s="18" t="s">
        <v>133</v>
      </c>
      <c r="B56" s="18" t="s">
        <v>151</v>
      </c>
      <c r="C56" s="18" t="s">
        <v>72</v>
      </c>
      <c r="D56" s="27">
        <v>66</v>
      </c>
      <c r="E56" s="18">
        <v>150261</v>
      </c>
      <c r="F56" s="18">
        <v>10000</v>
      </c>
      <c r="G56" s="19">
        <f t="shared" si="4"/>
        <v>10577226</v>
      </c>
    </row>
    <row r="57" spans="1:7" s="20" customFormat="1" ht="14.25" thickBot="1">
      <c r="A57" s="18" t="s">
        <v>133</v>
      </c>
      <c r="B57" s="18" t="s">
        <v>152</v>
      </c>
      <c r="C57" s="18" t="s">
        <v>73</v>
      </c>
      <c r="D57" s="27">
        <v>75</v>
      </c>
      <c r="E57" s="18">
        <v>150261</v>
      </c>
      <c r="F57" s="18">
        <v>10000</v>
      </c>
      <c r="G57" s="19">
        <f t="shared" si="4"/>
        <v>12019575</v>
      </c>
    </row>
    <row r="58" spans="1:7" s="20" customFormat="1" ht="14.25" thickBot="1">
      <c r="A58" s="18" t="s">
        <v>133</v>
      </c>
      <c r="B58" s="18" t="s">
        <v>152</v>
      </c>
      <c r="C58" s="18" t="s">
        <v>74</v>
      </c>
      <c r="D58" s="27">
        <v>67</v>
      </c>
      <c r="E58" s="18">
        <v>150261</v>
      </c>
      <c r="F58" s="18">
        <v>10000</v>
      </c>
      <c r="G58" s="19">
        <f t="shared" si="4"/>
        <v>10737487</v>
      </c>
    </row>
    <row r="59" spans="1:7" s="20" customFormat="1" ht="14.25" thickBot="1">
      <c r="A59" s="18" t="s">
        <v>133</v>
      </c>
      <c r="B59" s="18" t="s">
        <v>152</v>
      </c>
      <c r="C59" s="18" t="s">
        <v>75</v>
      </c>
      <c r="D59" s="27">
        <v>117</v>
      </c>
      <c r="E59" s="18">
        <v>150261</v>
      </c>
      <c r="F59" s="18">
        <v>10000</v>
      </c>
      <c r="G59" s="19">
        <f t="shared" si="4"/>
        <v>18750537</v>
      </c>
    </row>
    <row r="60" spans="1:7" s="20" customFormat="1" ht="14.25" thickBot="1">
      <c r="A60" s="18" t="s">
        <v>133</v>
      </c>
      <c r="B60" s="18" t="s">
        <v>146</v>
      </c>
      <c r="C60" s="18" t="s">
        <v>159</v>
      </c>
      <c r="D60" s="26">
        <v>18</v>
      </c>
      <c r="E60" s="18">
        <v>150261</v>
      </c>
      <c r="F60" s="18">
        <v>10000</v>
      </c>
      <c r="G60" s="19">
        <f t="shared" si="4"/>
        <v>2884698</v>
      </c>
    </row>
    <row r="61" spans="1:7" s="20" customFormat="1" ht="14.25" thickBot="1">
      <c r="A61" s="18" t="s">
        <v>133</v>
      </c>
      <c r="B61" s="18" t="s">
        <v>152</v>
      </c>
      <c r="C61" s="18" t="s">
        <v>76</v>
      </c>
      <c r="D61" s="27">
        <v>86</v>
      </c>
      <c r="E61" s="18">
        <v>150261</v>
      </c>
      <c r="F61" s="18">
        <v>10000</v>
      </c>
      <c r="G61" s="19">
        <f t="shared" si="4"/>
        <v>13782446</v>
      </c>
    </row>
    <row r="62" spans="1:7" s="20" customFormat="1" ht="14.25" thickBot="1">
      <c r="A62" s="18" t="s">
        <v>133</v>
      </c>
      <c r="B62" s="18" t="s">
        <v>148</v>
      </c>
      <c r="C62" s="18" t="s">
        <v>77</v>
      </c>
      <c r="D62" s="27">
        <v>58</v>
      </c>
      <c r="E62" s="18">
        <v>139020</v>
      </c>
      <c r="F62" s="18">
        <v>10000</v>
      </c>
      <c r="G62" s="19">
        <f t="shared" si="4"/>
        <v>8643160</v>
      </c>
    </row>
    <row r="63" spans="1:7" s="20" customFormat="1" ht="14.25" thickBot="1">
      <c r="A63" s="18" t="s">
        <v>133</v>
      </c>
      <c r="B63" s="18" t="s">
        <v>148</v>
      </c>
      <c r="C63" s="18" t="s">
        <v>78</v>
      </c>
      <c r="D63" s="27">
        <v>47</v>
      </c>
      <c r="E63" s="18">
        <v>139020</v>
      </c>
      <c r="F63" s="18">
        <v>10000</v>
      </c>
      <c r="G63" s="19">
        <f t="shared" si="4"/>
        <v>7003940</v>
      </c>
    </row>
    <row r="64" spans="1:7" s="20" customFormat="1" ht="14.25" thickBot="1">
      <c r="A64" s="18" t="s">
        <v>133</v>
      </c>
      <c r="B64" s="18" t="s">
        <v>148</v>
      </c>
      <c r="C64" s="18" t="s">
        <v>79</v>
      </c>
      <c r="D64" s="26">
        <v>60</v>
      </c>
      <c r="E64" s="18">
        <v>139020</v>
      </c>
      <c r="F64" s="18">
        <v>10000</v>
      </c>
      <c r="G64" s="19">
        <f t="shared" si="4"/>
        <v>8941200</v>
      </c>
    </row>
    <row r="65" spans="1:7" s="20" customFormat="1" ht="14.25" thickBot="1">
      <c r="A65" s="18" t="s">
        <v>133</v>
      </c>
      <c r="B65" s="18" t="s">
        <v>148</v>
      </c>
      <c r="C65" s="18" t="s">
        <v>80</v>
      </c>
      <c r="D65" s="27">
        <v>51</v>
      </c>
      <c r="E65" s="18">
        <v>139020</v>
      </c>
      <c r="F65" s="18">
        <v>10000</v>
      </c>
      <c r="G65" s="19">
        <f t="shared" si="4"/>
        <v>7600020</v>
      </c>
    </row>
    <row r="66" spans="1:7" s="20" customFormat="1" ht="14.25" thickBot="1">
      <c r="A66" s="18" t="s">
        <v>133</v>
      </c>
      <c r="B66" s="18" t="s">
        <v>148</v>
      </c>
      <c r="C66" s="18" t="s">
        <v>81</v>
      </c>
      <c r="D66" s="27">
        <v>25</v>
      </c>
      <c r="E66" s="18">
        <v>139020</v>
      </c>
      <c r="F66" s="18">
        <v>10000</v>
      </c>
      <c r="G66" s="19">
        <f t="shared" si="4"/>
        <v>3725500</v>
      </c>
    </row>
    <row r="67" spans="1:7" s="20" customFormat="1" ht="14.25" thickBot="1">
      <c r="A67" s="18" t="s">
        <v>133</v>
      </c>
      <c r="B67" s="18" t="s">
        <v>148</v>
      </c>
      <c r="C67" s="18" t="s">
        <v>82</v>
      </c>
      <c r="D67" s="27">
        <v>23</v>
      </c>
      <c r="E67" s="18">
        <v>139020</v>
      </c>
      <c r="F67" s="18">
        <v>10000</v>
      </c>
      <c r="G67" s="19">
        <f t="shared" si="4"/>
        <v>3427460</v>
      </c>
    </row>
    <row r="68" spans="1:7" s="20" customFormat="1" ht="14.25" thickBot="1">
      <c r="A68" s="18" t="s">
        <v>133</v>
      </c>
      <c r="B68" s="18" t="s">
        <v>148</v>
      </c>
      <c r="C68" s="18" t="s">
        <v>83</v>
      </c>
      <c r="D68" s="27">
        <v>35</v>
      </c>
      <c r="E68" s="18">
        <v>139020</v>
      </c>
      <c r="F68" s="18">
        <v>10000</v>
      </c>
      <c r="G68" s="19">
        <f t="shared" si="4"/>
        <v>5215700</v>
      </c>
    </row>
    <row r="69" spans="1:7" s="20" customFormat="1" ht="14.25" thickBot="1">
      <c r="A69" s="18" t="s">
        <v>133</v>
      </c>
      <c r="B69" s="18" t="s">
        <v>148</v>
      </c>
      <c r="C69" s="18" t="s">
        <v>160</v>
      </c>
      <c r="D69" s="27">
        <v>7</v>
      </c>
      <c r="E69" s="18">
        <v>139020</v>
      </c>
      <c r="F69" s="18">
        <v>10000</v>
      </c>
      <c r="G69" s="19">
        <f t="shared" si="4"/>
        <v>1043140</v>
      </c>
    </row>
    <row r="70" spans="1:7" s="20" customFormat="1" ht="14.25" thickBot="1">
      <c r="A70" s="18" t="s">
        <v>133</v>
      </c>
      <c r="B70" s="18" t="s">
        <v>149</v>
      </c>
      <c r="C70" s="18" t="s">
        <v>84</v>
      </c>
      <c r="D70" s="27">
        <v>4</v>
      </c>
      <c r="E70" s="18">
        <v>137449</v>
      </c>
      <c r="F70" s="18">
        <v>10000</v>
      </c>
      <c r="G70" s="19">
        <f t="shared" si="4"/>
        <v>589796</v>
      </c>
    </row>
    <row r="71" spans="1:7" ht="14.25" thickBot="1">
      <c r="A71" s="16"/>
      <c r="B71" s="16" t="s">
        <v>161</v>
      </c>
      <c r="C71" s="16"/>
      <c r="D71" s="28">
        <f>SUM(D53:D70)</f>
        <v>942</v>
      </c>
      <c r="E71" s="16"/>
      <c r="F71" s="16"/>
      <c r="G71" s="17">
        <f>SUM(G53:G70)</f>
        <v>147474868</v>
      </c>
    </row>
    <row r="72" spans="1:7" s="20" customFormat="1" ht="14.25" thickBot="1">
      <c r="A72" s="18" t="s">
        <v>132</v>
      </c>
      <c r="B72" s="18" t="s">
        <v>151</v>
      </c>
      <c r="C72" s="18" t="s">
        <v>85</v>
      </c>
      <c r="D72" s="27">
        <v>75</v>
      </c>
      <c r="E72" s="18">
        <v>150261</v>
      </c>
      <c r="F72" s="18">
        <v>10000</v>
      </c>
      <c r="G72" s="19">
        <f>D72*(E72+F72)</f>
        <v>12019575</v>
      </c>
    </row>
    <row r="73" spans="1:7" s="20" customFormat="1" ht="14.25" thickBot="1">
      <c r="A73" s="18" t="s">
        <v>132</v>
      </c>
      <c r="B73" s="18" t="s">
        <v>146</v>
      </c>
      <c r="C73" s="18" t="s">
        <v>86</v>
      </c>
      <c r="D73" s="26">
        <v>175</v>
      </c>
      <c r="E73" s="18">
        <v>150261</v>
      </c>
      <c r="F73" s="18">
        <v>10000</v>
      </c>
      <c r="G73" s="19">
        <f t="shared" ref="G73:G83" si="5">D73*(E73+F73)</f>
        <v>28045675</v>
      </c>
    </row>
    <row r="74" spans="1:7" s="20" customFormat="1" ht="14.25" thickBot="1">
      <c r="A74" s="18" t="s">
        <v>132</v>
      </c>
      <c r="B74" s="18" t="s">
        <v>152</v>
      </c>
      <c r="C74" s="18" t="s">
        <v>87</v>
      </c>
      <c r="D74" s="27">
        <v>75</v>
      </c>
      <c r="E74" s="18">
        <v>150261</v>
      </c>
      <c r="F74" s="18">
        <v>10000</v>
      </c>
      <c r="G74" s="19">
        <f t="shared" si="5"/>
        <v>12019575</v>
      </c>
    </row>
    <row r="75" spans="1:7" s="20" customFormat="1" ht="14.25" thickBot="1">
      <c r="A75" s="18" t="s">
        <v>132</v>
      </c>
      <c r="B75" s="18" t="s">
        <v>152</v>
      </c>
      <c r="C75" s="18" t="s">
        <v>88</v>
      </c>
      <c r="D75" s="27">
        <v>94</v>
      </c>
      <c r="E75" s="18">
        <v>150261</v>
      </c>
      <c r="F75" s="18">
        <v>10000</v>
      </c>
      <c r="G75" s="19">
        <f t="shared" si="5"/>
        <v>15064534</v>
      </c>
    </row>
    <row r="76" spans="1:7" s="20" customFormat="1" ht="14.25" thickBot="1">
      <c r="A76" s="18" t="s">
        <v>132</v>
      </c>
      <c r="B76" s="18" t="s">
        <v>148</v>
      </c>
      <c r="C76" s="18" t="s">
        <v>89</v>
      </c>
      <c r="D76" s="27">
        <v>29</v>
      </c>
      <c r="E76" s="18">
        <v>139020</v>
      </c>
      <c r="F76" s="18">
        <v>10000</v>
      </c>
      <c r="G76" s="19">
        <f t="shared" si="5"/>
        <v>4321580</v>
      </c>
    </row>
    <row r="77" spans="1:7" s="20" customFormat="1" ht="14.25" thickBot="1">
      <c r="A77" s="18" t="s">
        <v>132</v>
      </c>
      <c r="B77" s="18" t="s">
        <v>148</v>
      </c>
      <c r="C77" s="18" t="s">
        <v>90</v>
      </c>
      <c r="D77" s="27">
        <v>23</v>
      </c>
      <c r="E77" s="18">
        <v>139020</v>
      </c>
      <c r="F77" s="18">
        <v>10000</v>
      </c>
      <c r="G77" s="19">
        <f t="shared" si="5"/>
        <v>3427460</v>
      </c>
    </row>
    <row r="78" spans="1:7" s="20" customFormat="1" ht="14.25" thickBot="1">
      <c r="A78" s="18" t="s">
        <v>132</v>
      </c>
      <c r="B78" s="18" t="s">
        <v>148</v>
      </c>
      <c r="C78" s="18" t="s">
        <v>91</v>
      </c>
      <c r="D78" s="27">
        <v>27</v>
      </c>
      <c r="E78" s="18">
        <v>139020</v>
      </c>
      <c r="F78" s="18">
        <v>10000</v>
      </c>
      <c r="G78" s="19">
        <f t="shared" si="5"/>
        <v>4023540</v>
      </c>
    </row>
    <row r="79" spans="1:7" s="20" customFormat="1" ht="14.25" thickBot="1">
      <c r="A79" s="18" t="s">
        <v>132</v>
      </c>
      <c r="B79" s="18" t="s">
        <v>148</v>
      </c>
      <c r="C79" s="18" t="s">
        <v>92</v>
      </c>
      <c r="D79" s="27">
        <v>48</v>
      </c>
      <c r="E79" s="18">
        <v>139020</v>
      </c>
      <c r="F79" s="18">
        <v>10000</v>
      </c>
      <c r="G79" s="19">
        <f t="shared" si="5"/>
        <v>7152960</v>
      </c>
    </row>
    <row r="80" spans="1:7" s="20" customFormat="1" ht="14.25" thickBot="1">
      <c r="A80" s="18" t="s">
        <v>132</v>
      </c>
      <c r="B80" s="18" t="s">
        <v>148</v>
      </c>
      <c r="C80" s="18" t="s">
        <v>93</v>
      </c>
      <c r="D80" s="27">
        <v>24</v>
      </c>
      <c r="E80" s="18">
        <v>139020</v>
      </c>
      <c r="F80" s="18">
        <v>10000</v>
      </c>
      <c r="G80" s="19">
        <f t="shared" si="5"/>
        <v>3576480</v>
      </c>
    </row>
    <row r="81" spans="1:7" s="20" customFormat="1" ht="14.25" thickBot="1">
      <c r="A81" s="18" t="s">
        <v>132</v>
      </c>
      <c r="B81" s="18" t="s">
        <v>148</v>
      </c>
      <c r="C81" s="18" t="s">
        <v>94</v>
      </c>
      <c r="D81" s="27">
        <v>16</v>
      </c>
      <c r="E81" s="18">
        <v>139020</v>
      </c>
      <c r="F81" s="18">
        <v>10000</v>
      </c>
      <c r="G81" s="19">
        <f t="shared" si="5"/>
        <v>2384320</v>
      </c>
    </row>
    <row r="82" spans="1:7" s="20" customFormat="1" ht="14.25" thickBot="1">
      <c r="A82" s="18" t="s">
        <v>132</v>
      </c>
      <c r="B82" s="18" t="s">
        <v>148</v>
      </c>
      <c r="C82" s="18" t="s">
        <v>162</v>
      </c>
      <c r="D82" s="27">
        <v>5</v>
      </c>
      <c r="E82" s="18">
        <v>139020</v>
      </c>
      <c r="F82" s="18">
        <v>10000</v>
      </c>
      <c r="G82" s="19">
        <f t="shared" si="5"/>
        <v>745100</v>
      </c>
    </row>
    <row r="83" spans="1:7" s="20" customFormat="1" ht="14.25" thickBot="1">
      <c r="A83" s="18" t="s">
        <v>132</v>
      </c>
      <c r="B83" s="18" t="s">
        <v>149</v>
      </c>
      <c r="C83" s="18" t="s">
        <v>95</v>
      </c>
      <c r="D83" s="27">
        <v>9</v>
      </c>
      <c r="E83" s="18">
        <v>137449</v>
      </c>
      <c r="F83" s="18">
        <v>10000</v>
      </c>
      <c r="G83" s="19">
        <f t="shared" si="5"/>
        <v>1327041</v>
      </c>
    </row>
    <row r="84" spans="1:7" ht="14.25" thickBot="1">
      <c r="A84" s="16"/>
      <c r="B84" s="16" t="s">
        <v>96</v>
      </c>
      <c r="C84" s="16"/>
      <c r="D84" s="28">
        <f>SUM(D72:D83)</f>
        <v>600</v>
      </c>
      <c r="E84" s="16"/>
      <c r="F84" s="16"/>
      <c r="G84" s="16">
        <f>SUM(G72:G83)</f>
        <v>94107840</v>
      </c>
    </row>
    <row r="85" spans="1:7" s="20" customFormat="1" ht="14.25" thickBot="1">
      <c r="A85" s="18" t="s">
        <v>163</v>
      </c>
      <c r="B85" s="18" t="s">
        <v>146</v>
      </c>
      <c r="C85" s="18" t="s">
        <v>97</v>
      </c>
      <c r="D85" s="26">
        <v>122</v>
      </c>
      <c r="E85" s="18">
        <v>150261</v>
      </c>
      <c r="F85" s="18">
        <v>10000</v>
      </c>
      <c r="G85" s="19">
        <f>D85*(E85+F85)</f>
        <v>19551842</v>
      </c>
    </row>
    <row r="86" spans="1:7" s="20" customFormat="1" ht="14.25" thickBot="1">
      <c r="A86" s="18" t="s">
        <v>163</v>
      </c>
      <c r="B86" s="18" t="s">
        <v>146</v>
      </c>
      <c r="C86" s="18" t="s">
        <v>164</v>
      </c>
      <c r="D86" s="26">
        <v>149</v>
      </c>
      <c r="E86" s="18">
        <v>150261</v>
      </c>
      <c r="F86" s="18">
        <v>10000</v>
      </c>
      <c r="G86" s="19">
        <f t="shared" ref="G86:G92" si="6">D86*(E86+F86)</f>
        <v>23878889</v>
      </c>
    </row>
    <row r="87" spans="1:7" s="20" customFormat="1" ht="14.25" thickBot="1">
      <c r="A87" s="18" t="s">
        <v>163</v>
      </c>
      <c r="B87" s="18" t="s">
        <v>146</v>
      </c>
      <c r="C87" s="18" t="s">
        <v>165</v>
      </c>
      <c r="D87" s="26">
        <v>150</v>
      </c>
      <c r="E87" s="18">
        <v>150261</v>
      </c>
      <c r="F87" s="18">
        <v>10000</v>
      </c>
      <c r="G87" s="19">
        <f t="shared" si="6"/>
        <v>24039150</v>
      </c>
    </row>
    <row r="88" spans="1:7" s="20" customFormat="1" ht="14.25" thickBot="1">
      <c r="A88" s="18" t="s">
        <v>163</v>
      </c>
      <c r="B88" s="18" t="s">
        <v>148</v>
      </c>
      <c r="C88" s="18" t="s">
        <v>98</v>
      </c>
      <c r="D88" s="27">
        <v>41</v>
      </c>
      <c r="E88" s="18">
        <v>139020</v>
      </c>
      <c r="F88" s="18">
        <v>10000</v>
      </c>
      <c r="G88" s="19">
        <f t="shared" si="6"/>
        <v>6109820</v>
      </c>
    </row>
    <row r="89" spans="1:7" s="20" customFormat="1" ht="14.25" thickBot="1">
      <c r="A89" s="18" t="s">
        <v>163</v>
      </c>
      <c r="B89" s="18" t="s">
        <v>148</v>
      </c>
      <c r="C89" s="18" t="s">
        <v>99</v>
      </c>
      <c r="D89" s="27">
        <v>57</v>
      </c>
      <c r="E89" s="18">
        <v>139020</v>
      </c>
      <c r="F89" s="18">
        <v>10000</v>
      </c>
      <c r="G89" s="19">
        <f t="shared" si="6"/>
        <v>8494140</v>
      </c>
    </row>
    <row r="90" spans="1:7" s="20" customFormat="1" ht="14.25" thickBot="1">
      <c r="A90" s="18" t="s">
        <v>163</v>
      </c>
      <c r="B90" s="18" t="s">
        <v>148</v>
      </c>
      <c r="C90" s="18" t="s">
        <v>100</v>
      </c>
      <c r="D90" s="27">
        <v>29</v>
      </c>
      <c r="E90" s="18">
        <v>139020</v>
      </c>
      <c r="F90" s="18">
        <v>10000</v>
      </c>
      <c r="G90" s="19">
        <f t="shared" si="6"/>
        <v>4321580</v>
      </c>
    </row>
    <row r="91" spans="1:7" s="20" customFormat="1" ht="14.25" thickBot="1">
      <c r="A91" s="18" t="s">
        <v>163</v>
      </c>
      <c r="B91" s="18" t="s">
        <v>148</v>
      </c>
      <c r="C91" s="18" t="s">
        <v>101</v>
      </c>
      <c r="D91" s="27">
        <v>43</v>
      </c>
      <c r="E91" s="18">
        <v>139020</v>
      </c>
      <c r="F91" s="18">
        <v>10000</v>
      </c>
      <c r="G91" s="19">
        <f t="shared" si="6"/>
        <v>6407860</v>
      </c>
    </row>
    <row r="92" spans="1:7" s="20" customFormat="1" ht="14.25" thickBot="1">
      <c r="A92" s="18" t="s">
        <v>163</v>
      </c>
      <c r="B92" s="18" t="s">
        <v>149</v>
      </c>
      <c r="C92" s="18" t="s">
        <v>102</v>
      </c>
      <c r="D92" s="27">
        <v>7</v>
      </c>
      <c r="E92" s="18">
        <v>137449</v>
      </c>
      <c r="F92" s="18">
        <v>10000</v>
      </c>
      <c r="G92" s="19">
        <f t="shared" si="6"/>
        <v>1032143</v>
      </c>
    </row>
    <row r="93" spans="1:7" ht="14.25" thickBot="1">
      <c r="A93" s="16"/>
      <c r="B93" s="16" t="s">
        <v>103</v>
      </c>
      <c r="C93" s="16"/>
      <c r="D93" s="28">
        <f>SUM(D85:D92)</f>
        <v>598</v>
      </c>
      <c r="E93" s="16"/>
      <c r="F93" s="16"/>
      <c r="G93" s="16">
        <f>SUM(G85:G92)</f>
        <v>93835424</v>
      </c>
    </row>
    <row r="94" spans="1:7" s="20" customFormat="1" ht="14.25" thickBot="1">
      <c r="A94" s="18" t="s">
        <v>166</v>
      </c>
      <c r="B94" s="18" t="s">
        <v>151</v>
      </c>
      <c r="C94" s="18" t="s">
        <v>104</v>
      </c>
      <c r="D94" s="27">
        <v>122</v>
      </c>
      <c r="E94" s="18">
        <v>150261</v>
      </c>
      <c r="F94" s="18">
        <v>10000</v>
      </c>
      <c r="G94" s="19">
        <f>D94*(E94+F94)</f>
        <v>19551842</v>
      </c>
    </row>
    <row r="95" spans="1:7" s="20" customFormat="1" ht="14.25" thickBot="1">
      <c r="A95" s="18" t="s">
        <v>166</v>
      </c>
      <c r="B95" s="18" t="s">
        <v>151</v>
      </c>
      <c r="C95" s="18" t="s">
        <v>105</v>
      </c>
      <c r="D95" s="26">
        <v>70</v>
      </c>
      <c r="E95" s="18">
        <v>150261</v>
      </c>
      <c r="F95" s="18">
        <v>10000</v>
      </c>
      <c r="G95" s="19">
        <f t="shared" ref="G95:G107" si="7">D95*(E95+F95)</f>
        <v>11218270</v>
      </c>
    </row>
    <row r="96" spans="1:7" s="20" customFormat="1" ht="14.25" thickBot="1">
      <c r="A96" s="18" t="s">
        <v>166</v>
      </c>
      <c r="B96" s="18" t="s">
        <v>151</v>
      </c>
      <c r="C96" s="18" t="s">
        <v>106</v>
      </c>
      <c r="D96" s="27">
        <v>35</v>
      </c>
      <c r="E96" s="18">
        <v>150261</v>
      </c>
      <c r="F96" s="18">
        <v>10000</v>
      </c>
      <c r="G96" s="19">
        <f t="shared" si="7"/>
        <v>5609135</v>
      </c>
    </row>
    <row r="97" spans="1:7" s="20" customFormat="1" ht="14.25" thickBot="1">
      <c r="A97" s="18" t="s">
        <v>166</v>
      </c>
      <c r="B97" s="18" t="s">
        <v>146</v>
      </c>
      <c r="C97" s="18" t="s">
        <v>167</v>
      </c>
      <c r="D97" s="26">
        <v>150</v>
      </c>
      <c r="E97" s="18">
        <v>150261</v>
      </c>
      <c r="F97" s="18">
        <v>10000</v>
      </c>
      <c r="G97" s="19">
        <f t="shared" si="7"/>
        <v>24039150</v>
      </c>
    </row>
    <row r="98" spans="1:7" s="20" customFormat="1" ht="14.25" thickBot="1">
      <c r="A98" s="18" t="s">
        <v>166</v>
      </c>
      <c r="B98" s="18" t="s">
        <v>152</v>
      </c>
      <c r="C98" s="18" t="s">
        <v>107</v>
      </c>
      <c r="D98" s="27">
        <v>84</v>
      </c>
      <c r="E98" s="18">
        <v>150261</v>
      </c>
      <c r="F98" s="18">
        <v>10000</v>
      </c>
      <c r="G98" s="19">
        <f t="shared" si="7"/>
        <v>13461924</v>
      </c>
    </row>
    <row r="99" spans="1:7" s="20" customFormat="1" ht="14.25" thickBot="1">
      <c r="A99" s="18" t="s">
        <v>166</v>
      </c>
      <c r="B99" s="18" t="s">
        <v>152</v>
      </c>
      <c r="C99" s="18" t="s">
        <v>108</v>
      </c>
      <c r="D99" s="27">
        <v>198</v>
      </c>
      <c r="E99" s="18">
        <v>150261</v>
      </c>
      <c r="F99" s="18">
        <v>10000</v>
      </c>
      <c r="G99" s="19">
        <f t="shared" si="7"/>
        <v>31731678</v>
      </c>
    </row>
    <row r="100" spans="1:7" s="20" customFormat="1" ht="14.25" thickBot="1">
      <c r="A100" s="18" t="s">
        <v>166</v>
      </c>
      <c r="B100" s="18" t="s">
        <v>152</v>
      </c>
      <c r="C100" s="18" t="s">
        <v>109</v>
      </c>
      <c r="D100" s="27">
        <v>94</v>
      </c>
      <c r="E100" s="18">
        <v>150261</v>
      </c>
      <c r="F100" s="18">
        <v>10000</v>
      </c>
      <c r="G100" s="19">
        <f t="shared" si="7"/>
        <v>15064534</v>
      </c>
    </row>
    <row r="101" spans="1:7" s="20" customFormat="1" ht="14.25" thickBot="1">
      <c r="A101" s="18" t="s">
        <v>166</v>
      </c>
      <c r="B101" s="18" t="s">
        <v>152</v>
      </c>
      <c r="C101" s="18" t="s">
        <v>110</v>
      </c>
      <c r="D101" s="27">
        <v>33</v>
      </c>
      <c r="E101" s="18">
        <v>150261</v>
      </c>
      <c r="F101" s="18">
        <v>10000</v>
      </c>
      <c r="G101" s="19">
        <f t="shared" si="7"/>
        <v>5288613</v>
      </c>
    </row>
    <row r="102" spans="1:7" s="20" customFormat="1" ht="14.25" thickBot="1">
      <c r="A102" s="18" t="s">
        <v>166</v>
      </c>
      <c r="B102" s="18" t="s">
        <v>148</v>
      </c>
      <c r="C102" s="18" t="s">
        <v>111</v>
      </c>
      <c r="D102" s="27">
        <v>51</v>
      </c>
      <c r="E102" s="18">
        <v>139020</v>
      </c>
      <c r="F102" s="18">
        <v>10000</v>
      </c>
      <c r="G102" s="19">
        <f t="shared" si="7"/>
        <v>7600020</v>
      </c>
    </row>
    <row r="103" spans="1:7" s="20" customFormat="1" ht="14.25" thickBot="1">
      <c r="A103" s="18" t="s">
        <v>166</v>
      </c>
      <c r="B103" s="18" t="s">
        <v>148</v>
      </c>
      <c r="C103" s="18" t="s">
        <v>112</v>
      </c>
      <c r="D103" s="27">
        <v>53</v>
      </c>
      <c r="E103" s="18">
        <v>139020</v>
      </c>
      <c r="F103" s="18">
        <v>10000</v>
      </c>
      <c r="G103" s="19">
        <f t="shared" si="7"/>
        <v>7898060</v>
      </c>
    </row>
    <row r="104" spans="1:7" s="20" customFormat="1" ht="14.25" thickBot="1">
      <c r="A104" s="18" t="s">
        <v>166</v>
      </c>
      <c r="B104" s="18" t="s">
        <v>148</v>
      </c>
      <c r="C104" s="18" t="s">
        <v>113</v>
      </c>
      <c r="D104" s="27">
        <v>39</v>
      </c>
      <c r="E104" s="18">
        <v>139020</v>
      </c>
      <c r="F104" s="18">
        <v>10000</v>
      </c>
      <c r="G104" s="19">
        <f t="shared" si="7"/>
        <v>5811780</v>
      </c>
    </row>
    <row r="105" spans="1:7" s="20" customFormat="1" ht="14.25" thickBot="1">
      <c r="A105" s="18" t="s">
        <v>166</v>
      </c>
      <c r="B105" s="18" t="s">
        <v>148</v>
      </c>
      <c r="C105" s="18" t="s">
        <v>114</v>
      </c>
      <c r="D105" s="27">
        <v>43</v>
      </c>
      <c r="E105" s="18">
        <v>139020</v>
      </c>
      <c r="F105" s="18">
        <v>10000</v>
      </c>
      <c r="G105" s="19">
        <f t="shared" si="7"/>
        <v>6407860</v>
      </c>
    </row>
    <row r="106" spans="1:7" s="20" customFormat="1" ht="14.25" thickBot="1">
      <c r="A106" s="18" t="s">
        <v>166</v>
      </c>
      <c r="B106" s="18" t="s">
        <v>148</v>
      </c>
      <c r="C106" s="18" t="s">
        <v>115</v>
      </c>
      <c r="D106" s="27">
        <v>31</v>
      </c>
      <c r="E106" s="18">
        <v>139020</v>
      </c>
      <c r="F106" s="18">
        <v>10000</v>
      </c>
      <c r="G106" s="19">
        <f t="shared" si="7"/>
        <v>4619620</v>
      </c>
    </row>
    <row r="107" spans="1:7" s="20" customFormat="1" ht="14.25" thickBot="1">
      <c r="A107" s="18" t="s">
        <v>166</v>
      </c>
      <c r="B107" s="18" t="s">
        <v>149</v>
      </c>
      <c r="C107" s="18" t="s">
        <v>116</v>
      </c>
      <c r="D107" s="27">
        <v>5</v>
      </c>
      <c r="E107" s="18">
        <v>137449</v>
      </c>
      <c r="F107" s="18">
        <v>10000</v>
      </c>
      <c r="G107" s="19">
        <f t="shared" si="7"/>
        <v>737245</v>
      </c>
    </row>
    <row r="108" spans="1:7" ht="14.25" thickBot="1">
      <c r="A108" s="16"/>
      <c r="B108" s="16" t="s">
        <v>168</v>
      </c>
      <c r="C108" s="16"/>
      <c r="D108" s="28">
        <f>SUM(D94:D107)</f>
        <v>1008</v>
      </c>
      <c r="E108" s="16"/>
      <c r="F108" s="16"/>
      <c r="G108" s="17">
        <f>SUM(G94:G107)</f>
        <v>159039731</v>
      </c>
    </row>
    <row r="109" spans="1:7" s="20" customFormat="1" ht="14.25" thickBot="1">
      <c r="A109" s="18" t="s">
        <v>117</v>
      </c>
      <c r="B109" s="18" t="s">
        <v>151</v>
      </c>
      <c r="C109" s="18" t="s">
        <v>118</v>
      </c>
      <c r="D109" s="27">
        <v>85</v>
      </c>
      <c r="E109" s="18">
        <v>150261</v>
      </c>
      <c r="F109" s="18">
        <v>10000</v>
      </c>
      <c r="G109" s="19">
        <f>D109*(E109+F109)</f>
        <v>13622185</v>
      </c>
    </row>
    <row r="110" spans="1:7" s="20" customFormat="1" ht="14.25" thickBot="1">
      <c r="A110" s="18" t="s">
        <v>117</v>
      </c>
      <c r="B110" s="18" t="s">
        <v>151</v>
      </c>
      <c r="C110" s="18" t="s">
        <v>119</v>
      </c>
      <c r="D110" s="27">
        <v>64</v>
      </c>
      <c r="E110" s="18">
        <v>150261</v>
      </c>
      <c r="F110" s="18">
        <v>10000</v>
      </c>
      <c r="G110" s="19">
        <f t="shared" ref="G110:G118" si="8">D110*(E110+F110)</f>
        <v>10256704</v>
      </c>
    </row>
    <row r="111" spans="1:7" s="20" customFormat="1" ht="14.25" thickBot="1">
      <c r="A111" s="18" t="s">
        <v>117</v>
      </c>
      <c r="B111" s="18" t="s">
        <v>146</v>
      </c>
      <c r="C111" s="18" t="s">
        <v>169</v>
      </c>
      <c r="D111" s="26">
        <v>118</v>
      </c>
      <c r="E111" s="18">
        <v>150261</v>
      </c>
      <c r="F111" s="18">
        <v>10000</v>
      </c>
      <c r="G111" s="19">
        <f t="shared" si="8"/>
        <v>18910798</v>
      </c>
    </row>
    <row r="112" spans="1:7" s="20" customFormat="1" ht="14.25" thickBot="1">
      <c r="A112" s="18" t="s">
        <v>117</v>
      </c>
      <c r="B112" s="18" t="s">
        <v>152</v>
      </c>
      <c r="C112" s="18" t="s">
        <v>120</v>
      </c>
      <c r="D112" s="27">
        <v>86</v>
      </c>
      <c r="E112" s="18">
        <v>150261</v>
      </c>
      <c r="F112" s="18">
        <v>10000</v>
      </c>
      <c r="G112" s="19">
        <f t="shared" si="8"/>
        <v>13782446</v>
      </c>
    </row>
    <row r="113" spans="1:7" s="20" customFormat="1" ht="14.25" thickBot="1">
      <c r="A113" s="18" t="s">
        <v>117</v>
      </c>
      <c r="B113" s="18" t="s">
        <v>152</v>
      </c>
      <c r="C113" s="18" t="s">
        <v>121</v>
      </c>
      <c r="D113" s="27">
        <v>65</v>
      </c>
      <c r="E113" s="18">
        <v>150261</v>
      </c>
      <c r="F113" s="18">
        <v>10000</v>
      </c>
      <c r="G113" s="19">
        <f t="shared" si="8"/>
        <v>10416965</v>
      </c>
    </row>
    <row r="114" spans="1:7" s="20" customFormat="1" ht="14.25" thickBot="1">
      <c r="A114" s="18" t="s">
        <v>117</v>
      </c>
      <c r="B114" s="18" t="s">
        <v>148</v>
      </c>
      <c r="C114" s="18" t="s">
        <v>122</v>
      </c>
      <c r="D114" s="27">
        <v>52</v>
      </c>
      <c r="E114" s="18">
        <v>139020</v>
      </c>
      <c r="F114" s="18">
        <v>10000</v>
      </c>
      <c r="G114" s="19">
        <f t="shared" si="8"/>
        <v>7749040</v>
      </c>
    </row>
    <row r="115" spans="1:7" s="20" customFormat="1" ht="14.25" thickBot="1">
      <c r="A115" s="18" t="s">
        <v>117</v>
      </c>
      <c r="B115" s="18" t="s">
        <v>148</v>
      </c>
      <c r="C115" s="18" t="s">
        <v>123</v>
      </c>
      <c r="D115" s="27">
        <v>48</v>
      </c>
      <c r="E115" s="18">
        <v>139020</v>
      </c>
      <c r="F115" s="18">
        <v>10000</v>
      </c>
      <c r="G115" s="19">
        <f t="shared" si="8"/>
        <v>7152960</v>
      </c>
    </row>
    <row r="116" spans="1:7" s="20" customFormat="1" ht="14.25" thickBot="1">
      <c r="A116" s="18" t="s">
        <v>117</v>
      </c>
      <c r="B116" s="18" t="s">
        <v>148</v>
      </c>
      <c r="C116" s="18" t="s">
        <v>124</v>
      </c>
      <c r="D116" s="27">
        <v>40</v>
      </c>
      <c r="E116" s="18">
        <v>139020</v>
      </c>
      <c r="F116" s="18">
        <v>10000</v>
      </c>
      <c r="G116" s="19">
        <f t="shared" si="8"/>
        <v>5960800</v>
      </c>
    </row>
    <row r="117" spans="1:7" s="20" customFormat="1" ht="14.25" thickBot="1">
      <c r="A117" s="18" t="s">
        <v>117</v>
      </c>
      <c r="B117" s="18" t="s">
        <v>148</v>
      </c>
      <c r="C117" s="18" t="s">
        <v>125</v>
      </c>
      <c r="D117" s="27">
        <v>47</v>
      </c>
      <c r="E117" s="18">
        <v>139020</v>
      </c>
      <c r="F117" s="18">
        <v>10000</v>
      </c>
      <c r="G117" s="19">
        <f t="shared" si="8"/>
        <v>7003940</v>
      </c>
    </row>
    <row r="118" spans="1:7" s="20" customFormat="1" ht="14.25" thickBot="1">
      <c r="A118" s="18" t="s">
        <v>117</v>
      </c>
      <c r="B118" s="18" t="s">
        <v>149</v>
      </c>
      <c r="C118" s="18" t="s">
        <v>126</v>
      </c>
      <c r="D118" s="27">
        <v>1</v>
      </c>
      <c r="E118" s="18">
        <v>137449</v>
      </c>
      <c r="F118" s="18">
        <v>10000</v>
      </c>
      <c r="G118" s="19">
        <f t="shared" si="8"/>
        <v>147449</v>
      </c>
    </row>
    <row r="119" spans="1:7" ht="14.25" thickBot="1">
      <c r="A119" s="16"/>
      <c r="B119" s="16" t="s">
        <v>127</v>
      </c>
      <c r="C119" s="16"/>
      <c r="D119" s="28">
        <f>SUM(D109:D118)</f>
        <v>606</v>
      </c>
      <c r="E119" s="16"/>
      <c r="F119" s="16"/>
      <c r="G119" s="16">
        <f>SUM(G109:G118)</f>
        <v>95003287</v>
      </c>
    </row>
    <row r="120" spans="1:7" ht="14.25" thickBot="1">
      <c r="A120" s="16"/>
      <c r="B120" s="16" t="s">
        <v>3</v>
      </c>
      <c r="C120" s="16"/>
      <c r="D120" s="28">
        <f>SUM(D119,D108,D93,D84,D71,D52,D34,D16,D8)</f>
        <v>6639</v>
      </c>
      <c r="E120" s="16"/>
      <c r="F120" s="16"/>
      <c r="G120" s="17">
        <f>SUM(G119,G108,G93,G84,G71,G52,G34,G16,G8)</f>
        <v>1042268116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topLeftCell="I1" workbookViewId="0">
      <selection activeCell="AD4" sqref="AD4"/>
    </sheetView>
  </sheetViews>
  <sheetFormatPr defaultRowHeight="12"/>
  <cols>
    <col min="1" max="1" width="18.625" style="66" customWidth="1"/>
    <col min="2" max="2" width="7.125" style="66" customWidth="1"/>
    <col min="3" max="3" width="8.375" style="66" customWidth="1"/>
    <col min="4" max="4" width="7.625" style="66" customWidth="1"/>
    <col min="5" max="5" width="6.375" style="66" customWidth="1"/>
    <col min="6" max="6" width="10.75" style="85" customWidth="1"/>
    <col min="7" max="7" width="15.75" style="86" customWidth="1"/>
    <col min="8" max="8" width="6.625" style="66" customWidth="1"/>
    <col min="9" max="9" width="10.75" style="66" customWidth="1"/>
    <col min="10" max="10" width="11" style="66" customWidth="1"/>
    <col min="11" max="11" width="12.5" style="66" customWidth="1"/>
    <col min="12" max="12" width="12.25" style="66" customWidth="1"/>
    <col min="13" max="15" width="9" style="66"/>
    <col min="16" max="16" width="10" style="66" bestFit="1" customWidth="1"/>
    <col min="17" max="23" width="9" style="66"/>
    <col min="24" max="24" width="12.625" style="66" customWidth="1"/>
    <col min="25" max="25" width="12" style="66" customWidth="1"/>
    <col min="26" max="28" width="9" style="66"/>
    <col min="29" max="29" width="10.5" style="66" bestFit="1" customWidth="1"/>
    <col min="30" max="30" width="10" style="66" bestFit="1" customWidth="1"/>
    <col min="31" max="16384" width="9" style="66"/>
  </cols>
  <sheetData>
    <row r="1" spans="1:30" ht="31.5" customHeight="1">
      <c r="A1" s="287" t="s">
        <v>494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</row>
    <row r="2" spans="1:30" s="65" customFormat="1" ht="39.950000000000003" customHeight="1">
      <c r="A2" s="285" t="s">
        <v>495</v>
      </c>
      <c r="B2" s="286"/>
      <c r="C2" s="67" t="s">
        <v>496</v>
      </c>
      <c r="D2" s="68" t="s">
        <v>497</v>
      </c>
      <c r="E2" s="68" t="s">
        <v>498</v>
      </c>
      <c r="F2" s="69" t="s">
        <v>481</v>
      </c>
      <c r="G2" s="70" t="s">
        <v>482</v>
      </c>
      <c r="H2" s="71" t="s">
        <v>483</v>
      </c>
      <c r="I2" s="71" t="s">
        <v>499</v>
      </c>
      <c r="J2" s="71" t="s">
        <v>484</v>
      </c>
      <c r="K2" s="71" t="s">
        <v>500</v>
      </c>
      <c r="L2" s="72" t="s">
        <v>501</v>
      </c>
      <c r="M2" s="73" t="s">
        <v>502</v>
      </c>
      <c r="N2" s="68" t="s">
        <v>503</v>
      </c>
      <c r="O2" s="68" t="s">
        <v>504</v>
      </c>
      <c r="P2" s="74" t="s">
        <v>505</v>
      </c>
      <c r="Q2" s="68" t="s">
        <v>506</v>
      </c>
      <c r="R2" s="68" t="s">
        <v>498</v>
      </c>
      <c r="S2" s="69" t="s">
        <v>481</v>
      </c>
      <c r="T2" s="70" t="s">
        <v>482</v>
      </c>
      <c r="U2" s="71" t="s">
        <v>483</v>
      </c>
      <c r="V2" s="71" t="s">
        <v>507</v>
      </c>
      <c r="W2" s="71" t="s">
        <v>484</v>
      </c>
      <c r="X2" s="71" t="s">
        <v>500</v>
      </c>
      <c r="Y2" s="71" t="s">
        <v>508</v>
      </c>
      <c r="Z2" s="71" t="s">
        <v>509</v>
      </c>
      <c r="AA2" s="71" t="s">
        <v>510</v>
      </c>
      <c r="AB2" s="71" t="s">
        <v>484</v>
      </c>
      <c r="AC2" s="75" t="s">
        <v>511</v>
      </c>
      <c r="AD2" s="75" t="s">
        <v>512</v>
      </c>
    </row>
    <row r="3" spans="1:30" ht="26.1" customHeight="1">
      <c r="A3" s="293" t="s">
        <v>513</v>
      </c>
      <c r="B3" s="293"/>
      <c r="C3" s="84" t="s">
        <v>514</v>
      </c>
      <c r="D3" s="76">
        <v>1</v>
      </c>
      <c r="E3" s="81">
        <v>5</v>
      </c>
      <c r="F3" s="77">
        <f t="shared" ref="F3:F5" si="0">72000/12*3</f>
        <v>18000</v>
      </c>
      <c r="G3" s="77">
        <f t="shared" ref="G3" si="1">F3*E3</f>
        <v>90000</v>
      </c>
      <c r="H3" s="76">
        <v>0</v>
      </c>
      <c r="I3" s="76">
        <f t="shared" ref="I3" si="2">H3*45</f>
        <v>0</v>
      </c>
      <c r="J3" s="83">
        <f t="shared" ref="J3" si="3">ROUND(I3*7*33,2)</f>
        <v>0</v>
      </c>
      <c r="K3" s="83">
        <f t="shared" ref="K3" si="4">ROUND(G3+J3,2)</f>
        <v>90000</v>
      </c>
      <c r="L3" s="79"/>
      <c r="M3" s="79"/>
      <c r="N3" s="79"/>
      <c r="O3" s="79"/>
      <c r="P3" s="80">
        <f t="shared" ref="P3" si="5">K3+O3</f>
        <v>90000</v>
      </c>
      <c r="Q3" s="76">
        <v>1</v>
      </c>
      <c r="R3" s="81">
        <v>5</v>
      </c>
      <c r="S3" s="77">
        <f t="shared" ref="S3" si="6">74872/12*9</f>
        <v>56154</v>
      </c>
      <c r="T3" s="77">
        <f t="shared" ref="T3" si="7">S3*R3</f>
        <v>280770</v>
      </c>
      <c r="U3" s="76">
        <v>0</v>
      </c>
      <c r="V3" s="76">
        <f t="shared" ref="V3" si="8">U3*165</f>
        <v>0</v>
      </c>
      <c r="W3" s="78">
        <f t="shared" ref="W3" si="9">ROUND(V3*7*34.6,2)</f>
        <v>0</v>
      </c>
      <c r="X3" s="83">
        <f t="shared" ref="X3" si="10">ROUND(T3+W3,2)</f>
        <v>280770</v>
      </c>
      <c r="Y3" s="79"/>
      <c r="Z3" s="79"/>
      <c r="AA3" s="79"/>
      <c r="AB3" s="79"/>
      <c r="AC3" s="80">
        <f t="shared" ref="AC3" si="11">X3+AB3</f>
        <v>280770</v>
      </c>
      <c r="AD3" s="80">
        <f t="shared" ref="AD3" si="12">P3+AC3</f>
        <v>370770</v>
      </c>
    </row>
    <row r="4" spans="1:30" ht="26.1" customHeight="1">
      <c r="A4" s="290" t="s">
        <v>515</v>
      </c>
      <c r="B4" s="291"/>
      <c r="C4" s="291"/>
      <c r="D4" s="82">
        <f>SUM(D3:D3)</f>
        <v>1</v>
      </c>
      <c r="E4" s="82">
        <f>SUM(E3:E3)</f>
        <v>5</v>
      </c>
      <c r="F4" s="82">
        <v>18000</v>
      </c>
      <c r="G4" s="82">
        <f t="shared" ref="G4:AD4" si="13">SUM(G3:G3)</f>
        <v>90000</v>
      </c>
      <c r="H4" s="82">
        <f t="shared" si="13"/>
        <v>0</v>
      </c>
      <c r="I4" s="82">
        <f t="shared" si="13"/>
        <v>0</v>
      </c>
      <c r="J4" s="82">
        <f t="shared" si="13"/>
        <v>0</v>
      </c>
      <c r="K4" s="82">
        <f t="shared" si="13"/>
        <v>90000</v>
      </c>
      <c r="L4" s="82">
        <f t="shared" si="13"/>
        <v>0</v>
      </c>
      <c r="M4" s="82">
        <f t="shared" si="13"/>
        <v>0</v>
      </c>
      <c r="N4" s="82">
        <f t="shared" si="13"/>
        <v>0</v>
      </c>
      <c r="O4" s="82">
        <f t="shared" si="13"/>
        <v>0</v>
      </c>
      <c r="P4" s="82">
        <f t="shared" si="13"/>
        <v>90000</v>
      </c>
      <c r="Q4" s="82">
        <f t="shared" si="13"/>
        <v>1</v>
      </c>
      <c r="R4" s="82">
        <f t="shared" si="13"/>
        <v>5</v>
      </c>
      <c r="S4" s="82">
        <f t="shared" si="13"/>
        <v>56154</v>
      </c>
      <c r="T4" s="82">
        <f t="shared" si="13"/>
        <v>280770</v>
      </c>
      <c r="U4" s="82">
        <f t="shared" si="13"/>
        <v>0</v>
      </c>
      <c r="V4" s="82">
        <f t="shared" si="13"/>
        <v>0</v>
      </c>
      <c r="W4" s="82">
        <f t="shared" si="13"/>
        <v>0</v>
      </c>
      <c r="X4" s="82">
        <f t="shared" si="13"/>
        <v>280770</v>
      </c>
      <c r="Y4" s="82">
        <f t="shared" si="13"/>
        <v>0</v>
      </c>
      <c r="Z4" s="82">
        <f t="shared" si="13"/>
        <v>0</v>
      </c>
      <c r="AA4" s="82">
        <f t="shared" si="13"/>
        <v>0</v>
      </c>
      <c r="AB4" s="82">
        <f t="shared" si="13"/>
        <v>0</v>
      </c>
      <c r="AC4" s="82">
        <f t="shared" si="13"/>
        <v>280770</v>
      </c>
      <c r="AD4" s="82">
        <f t="shared" si="13"/>
        <v>370770</v>
      </c>
    </row>
    <row r="5" spans="1:30" ht="26.1" customHeight="1">
      <c r="A5" s="292" t="s">
        <v>517</v>
      </c>
      <c r="B5" s="293"/>
      <c r="C5" s="84" t="s">
        <v>514</v>
      </c>
      <c r="D5" s="76">
        <v>1</v>
      </c>
      <c r="E5" s="81">
        <v>5</v>
      </c>
      <c r="F5" s="77">
        <f t="shared" si="0"/>
        <v>18000</v>
      </c>
      <c r="G5" s="77">
        <f t="shared" ref="G5" si="14">F5*E5</f>
        <v>90000</v>
      </c>
      <c r="H5" s="81">
        <v>0</v>
      </c>
      <c r="I5" s="76">
        <f t="shared" ref="I5" si="15">H5*45</f>
        <v>0</v>
      </c>
      <c r="J5" s="83">
        <f t="shared" ref="J5" si="16">ROUND(I5*7*33,2)</f>
        <v>0</v>
      </c>
      <c r="K5" s="83">
        <f t="shared" ref="K5" si="17">ROUND(G5+J5,2)</f>
        <v>90000</v>
      </c>
      <c r="L5" s="79"/>
      <c r="M5" s="79"/>
      <c r="N5" s="79"/>
      <c r="O5" s="79"/>
      <c r="P5" s="80">
        <f t="shared" ref="P5" si="18">K5+O5</f>
        <v>90000</v>
      </c>
      <c r="Q5" s="76">
        <v>1</v>
      </c>
      <c r="R5" s="81">
        <v>5</v>
      </c>
      <c r="S5" s="77">
        <f t="shared" ref="S5" si="19">74872/12*9</f>
        <v>56154</v>
      </c>
      <c r="T5" s="77">
        <f t="shared" ref="T5" si="20">S5*R5</f>
        <v>280770</v>
      </c>
      <c r="U5" s="81">
        <v>0</v>
      </c>
      <c r="V5" s="76">
        <f t="shared" ref="V5" si="21">U5*165</f>
        <v>0</v>
      </c>
      <c r="W5" s="78">
        <f t="shared" ref="W5" si="22">ROUND(V5*7*34.6,2)</f>
        <v>0</v>
      </c>
      <c r="X5" s="83">
        <f t="shared" ref="X5" si="23">ROUND(T5+W5,2)</f>
        <v>280770</v>
      </c>
      <c r="Y5" s="79"/>
      <c r="Z5" s="79"/>
      <c r="AA5" s="79"/>
      <c r="AB5" s="79"/>
      <c r="AC5" s="80">
        <f t="shared" ref="AC5" si="24">X5+AB5</f>
        <v>280770</v>
      </c>
      <c r="AD5" s="80">
        <f t="shared" ref="AD5" si="25">P5+AC5</f>
        <v>370770</v>
      </c>
    </row>
    <row r="6" spans="1:30" ht="26.1" customHeight="1">
      <c r="A6" s="290" t="s">
        <v>516</v>
      </c>
      <c r="B6" s="291"/>
      <c r="C6" s="291"/>
      <c r="D6" s="82">
        <f>SUM(D5:D5)</f>
        <v>1</v>
      </c>
      <c r="E6" s="82">
        <f>SUM(E5:E5)</f>
        <v>5</v>
      </c>
      <c r="F6" s="82">
        <v>18000</v>
      </c>
      <c r="G6" s="82">
        <f t="shared" ref="G6:AD6" si="26">SUM(G5:G5)</f>
        <v>90000</v>
      </c>
      <c r="H6" s="82">
        <f t="shared" si="26"/>
        <v>0</v>
      </c>
      <c r="I6" s="82">
        <f t="shared" si="26"/>
        <v>0</v>
      </c>
      <c r="J6" s="82">
        <f t="shared" si="26"/>
        <v>0</v>
      </c>
      <c r="K6" s="82">
        <f t="shared" si="26"/>
        <v>90000</v>
      </c>
      <c r="L6" s="82">
        <f t="shared" si="26"/>
        <v>0</v>
      </c>
      <c r="M6" s="82">
        <f t="shared" si="26"/>
        <v>0</v>
      </c>
      <c r="N6" s="82">
        <f t="shared" si="26"/>
        <v>0</v>
      </c>
      <c r="O6" s="82">
        <f t="shared" si="26"/>
        <v>0</v>
      </c>
      <c r="P6" s="82">
        <f t="shared" si="26"/>
        <v>90000</v>
      </c>
      <c r="Q6" s="82">
        <f t="shared" si="26"/>
        <v>1</v>
      </c>
      <c r="R6" s="82">
        <f t="shared" si="26"/>
        <v>5</v>
      </c>
      <c r="S6" s="82">
        <f t="shared" si="26"/>
        <v>56154</v>
      </c>
      <c r="T6" s="82">
        <f t="shared" si="26"/>
        <v>280770</v>
      </c>
      <c r="U6" s="82">
        <f t="shared" si="26"/>
        <v>0</v>
      </c>
      <c r="V6" s="82">
        <f t="shared" si="26"/>
        <v>0</v>
      </c>
      <c r="W6" s="82">
        <f t="shared" si="26"/>
        <v>0</v>
      </c>
      <c r="X6" s="82">
        <f t="shared" si="26"/>
        <v>280770</v>
      </c>
      <c r="Y6" s="82">
        <f t="shared" si="26"/>
        <v>0</v>
      </c>
      <c r="Z6" s="82">
        <f t="shared" si="26"/>
        <v>0</v>
      </c>
      <c r="AA6" s="82">
        <f t="shared" si="26"/>
        <v>0</v>
      </c>
      <c r="AB6" s="82">
        <f t="shared" si="26"/>
        <v>0</v>
      </c>
      <c r="AC6" s="82">
        <f t="shared" si="26"/>
        <v>280770</v>
      </c>
      <c r="AD6" s="82">
        <f t="shared" si="26"/>
        <v>370770</v>
      </c>
    </row>
    <row r="7" spans="1:30" s="88" customFormat="1" ht="26.1" customHeight="1">
      <c r="A7" s="289"/>
      <c r="B7" s="289"/>
      <c r="C7" s="289"/>
      <c r="D7" s="87">
        <f>D4+D6</f>
        <v>2</v>
      </c>
      <c r="E7" s="87">
        <f t="shared" ref="E7:AC7" si="27">E4+E6</f>
        <v>10</v>
      </c>
      <c r="F7" s="87">
        <v>18000</v>
      </c>
      <c r="G7" s="87">
        <f t="shared" si="27"/>
        <v>180000</v>
      </c>
      <c r="H7" s="87">
        <f t="shared" si="27"/>
        <v>0</v>
      </c>
      <c r="I7" s="87">
        <f t="shared" si="27"/>
        <v>0</v>
      </c>
      <c r="J7" s="87">
        <f t="shared" si="27"/>
        <v>0</v>
      </c>
      <c r="K7" s="87">
        <f t="shared" si="27"/>
        <v>180000</v>
      </c>
      <c r="L7" s="87">
        <f t="shared" si="27"/>
        <v>0</v>
      </c>
      <c r="M7" s="87">
        <f t="shared" si="27"/>
        <v>0</v>
      </c>
      <c r="N7" s="87">
        <f t="shared" si="27"/>
        <v>0</v>
      </c>
      <c r="O7" s="87">
        <f t="shared" si="27"/>
        <v>0</v>
      </c>
      <c r="P7" s="87">
        <f t="shared" si="27"/>
        <v>180000</v>
      </c>
      <c r="Q7" s="87">
        <f t="shared" si="27"/>
        <v>2</v>
      </c>
      <c r="R7" s="87">
        <f t="shared" si="27"/>
        <v>10</v>
      </c>
      <c r="S7" s="87">
        <v>56154</v>
      </c>
      <c r="T7" s="87">
        <f t="shared" si="27"/>
        <v>561540</v>
      </c>
      <c r="U7" s="87">
        <f t="shared" si="27"/>
        <v>0</v>
      </c>
      <c r="V7" s="87">
        <f t="shared" si="27"/>
        <v>0</v>
      </c>
      <c r="W7" s="87">
        <f t="shared" si="27"/>
        <v>0</v>
      </c>
      <c r="X7" s="87">
        <f t="shared" si="27"/>
        <v>561540</v>
      </c>
      <c r="Y7" s="87">
        <f t="shared" si="27"/>
        <v>0</v>
      </c>
      <c r="Z7" s="87">
        <f t="shared" si="27"/>
        <v>0</v>
      </c>
      <c r="AA7" s="87">
        <f t="shared" si="27"/>
        <v>0</v>
      </c>
      <c r="AB7" s="87">
        <f t="shared" si="27"/>
        <v>0</v>
      </c>
      <c r="AC7" s="87">
        <f t="shared" si="27"/>
        <v>561540</v>
      </c>
      <c r="AD7" s="87">
        <f>AD4+AD6</f>
        <v>741540</v>
      </c>
    </row>
  </sheetData>
  <mergeCells count="7">
    <mergeCell ref="A2:B2"/>
    <mergeCell ref="A1:AD1"/>
    <mergeCell ref="A7:C7"/>
    <mergeCell ref="A6:C6"/>
    <mergeCell ref="A5:B5"/>
    <mergeCell ref="A4:C4"/>
    <mergeCell ref="A3:B3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workbookViewId="0">
      <selection activeCell="J3" sqref="J3:J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0" ht="25.5">
      <c r="A1" s="279" t="s">
        <v>435</v>
      </c>
      <c r="B1" s="280"/>
      <c r="C1" s="280"/>
      <c r="D1" s="280"/>
      <c r="E1" s="280"/>
      <c r="F1" s="280"/>
      <c r="G1" s="280"/>
      <c r="H1" s="280"/>
      <c r="I1" s="280"/>
      <c r="J1" s="280"/>
    </row>
    <row r="2" spans="1:10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176</v>
      </c>
      <c r="F2" s="32" t="s">
        <v>436</v>
      </c>
      <c r="G2" s="32" t="s">
        <v>27</v>
      </c>
      <c r="H2" s="32" t="s">
        <v>437</v>
      </c>
      <c r="I2" s="32" t="s">
        <v>427</v>
      </c>
      <c r="J2" s="32" t="s">
        <v>25</v>
      </c>
    </row>
    <row r="3" spans="1:10">
      <c r="A3" s="33" t="s">
        <v>181</v>
      </c>
      <c r="B3" s="34" t="s">
        <v>182</v>
      </c>
      <c r="C3" s="34"/>
      <c r="D3" s="35" t="s">
        <v>183</v>
      </c>
      <c r="E3" s="36">
        <f>E4+E31+E52</f>
        <v>4227669.5999999996</v>
      </c>
      <c r="F3" s="36">
        <f>F4+F31+F52</f>
        <v>18932579.25</v>
      </c>
      <c r="G3" s="36">
        <f>G4+G31+G52</f>
        <v>15021335</v>
      </c>
      <c r="H3" s="36">
        <f>H4+H31+H52</f>
        <v>47346658.700000003</v>
      </c>
      <c r="I3" s="36">
        <f>I4+I31+I52</f>
        <v>2278797</v>
      </c>
      <c r="J3" s="36">
        <f t="shared" ref="J3:J66" si="0">SUM(E3:I3)</f>
        <v>87807039.550000012</v>
      </c>
    </row>
    <row r="4" spans="1:10">
      <c r="A4" s="33" t="s">
        <v>184</v>
      </c>
      <c r="B4" s="34" t="s">
        <v>128</v>
      </c>
      <c r="C4" s="34"/>
      <c r="D4" s="35" t="s">
        <v>183</v>
      </c>
      <c r="E4" s="36">
        <f>E5+E8+E13+E17+E20+E22+E25+E27+E29+E30</f>
        <v>3145124</v>
      </c>
      <c r="F4" s="36">
        <f>F5+F8+F13+F17+F20+F22+F25+F27+F29+F30</f>
        <v>16313877</v>
      </c>
      <c r="G4" s="36">
        <f>G5+G8+G13+G17+G20+G22+G25+G27+G29+G30</f>
        <v>13006329</v>
      </c>
      <c r="H4" s="36">
        <f>H5+H8+H13+H17+H20+H22+H25+H27+H29+H30</f>
        <v>41571364</v>
      </c>
      <c r="I4" s="36">
        <f>I5+I8+I13+I17+I20+I22+I25+I27+I29+I30</f>
        <v>1913961</v>
      </c>
      <c r="J4" s="36">
        <f t="shared" si="0"/>
        <v>75950655</v>
      </c>
    </row>
    <row r="5" spans="1:10">
      <c r="A5" s="33" t="s">
        <v>185</v>
      </c>
      <c r="B5" s="34" t="s">
        <v>186</v>
      </c>
      <c r="C5" s="34"/>
      <c r="D5" s="35" t="s">
        <v>183</v>
      </c>
      <c r="E5" s="36">
        <f>E6+E7</f>
        <v>564364</v>
      </c>
      <c r="F5" s="36">
        <f>F6+F7</f>
        <v>2316776</v>
      </c>
      <c r="G5" s="36">
        <f>G6+G7</f>
        <v>1657395</v>
      </c>
      <c r="H5" s="36">
        <f>H6+H7</f>
        <v>6438293</v>
      </c>
      <c r="I5" s="36">
        <f>I6+I7</f>
        <v>306875</v>
      </c>
      <c r="J5" s="36">
        <f t="shared" si="0"/>
        <v>11283703</v>
      </c>
    </row>
    <row r="6" spans="1:10">
      <c r="A6" s="33" t="s">
        <v>187</v>
      </c>
      <c r="B6" s="34" t="s">
        <v>188</v>
      </c>
      <c r="C6" s="34" t="s">
        <v>189</v>
      </c>
      <c r="D6" s="35" t="s">
        <v>190</v>
      </c>
      <c r="E6" s="37">
        <v>416364</v>
      </c>
      <c r="F6" s="37">
        <v>1385560</v>
      </c>
      <c r="G6" s="37">
        <v>1083865</v>
      </c>
      <c r="H6" s="37">
        <v>3401318</v>
      </c>
      <c r="I6" s="37">
        <v>154451</v>
      </c>
      <c r="J6" s="36">
        <f t="shared" si="0"/>
        <v>6441558</v>
      </c>
    </row>
    <row r="7" spans="1:10">
      <c r="A7" s="33" t="s">
        <v>191</v>
      </c>
      <c r="B7" s="34" t="s">
        <v>192</v>
      </c>
      <c r="C7" s="34" t="s">
        <v>189</v>
      </c>
      <c r="D7" s="35" t="s">
        <v>190</v>
      </c>
      <c r="E7" s="37">
        <v>148000</v>
      </c>
      <c r="F7" s="37">
        <v>931216</v>
      </c>
      <c r="G7" s="37">
        <v>573530</v>
      </c>
      <c r="H7" s="37">
        <v>3036975</v>
      </c>
      <c r="I7" s="37">
        <v>152424</v>
      </c>
      <c r="J7" s="36">
        <f t="shared" si="0"/>
        <v>4842145</v>
      </c>
    </row>
    <row r="8" spans="1:10">
      <c r="A8" s="33" t="s">
        <v>193</v>
      </c>
      <c r="B8" s="34" t="s">
        <v>194</v>
      </c>
      <c r="C8" s="34"/>
      <c r="D8" s="35" t="s">
        <v>183</v>
      </c>
      <c r="E8" s="36">
        <f>E9+E10</f>
        <v>54060</v>
      </c>
      <c r="F8" s="36">
        <f>F9+F10</f>
        <v>298896</v>
      </c>
      <c r="G8" s="36">
        <f>G9+G10</f>
        <v>242884</v>
      </c>
      <c r="H8" s="36">
        <f>H9+H10</f>
        <v>710547</v>
      </c>
      <c r="I8" s="36">
        <f>I9+I10</f>
        <v>33612</v>
      </c>
      <c r="J8" s="36">
        <f t="shared" si="0"/>
        <v>1339999</v>
      </c>
    </row>
    <row r="9" spans="1:10">
      <c r="A9" s="33" t="s">
        <v>195</v>
      </c>
      <c r="B9" s="34" t="s">
        <v>196</v>
      </c>
      <c r="C9" s="34" t="s">
        <v>189</v>
      </c>
      <c r="D9" s="35" t="s">
        <v>190</v>
      </c>
      <c r="E9" s="37">
        <v>540</v>
      </c>
      <c r="F9" s="37">
        <v>4536</v>
      </c>
      <c r="G9" s="37">
        <v>2044</v>
      </c>
      <c r="H9" s="37">
        <v>20139</v>
      </c>
      <c r="I9" s="37">
        <v>1500</v>
      </c>
      <c r="J9" s="36">
        <f t="shared" si="0"/>
        <v>28759</v>
      </c>
    </row>
    <row r="10" spans="1:10">
      <c r="A10" s="33" t="s">
        <v>197</v>
      </c>
      <c r="B10" s="34" t="s">
        <v>198</v>
      </c>
      <c r="C10" s="34"/>
      <c r="D10" s="35" t="s">
        <v>183</v>
      </c>
      <c r="E10" s="36">
        <f>E11+E12</f>
        <v>53520</v>
      </c>
      <c r="F10" s="36">
        <f>F11+F12</f>
        <v>294360</v>
      </c>
      <c r="G10" s="36">
        <f>G11+G12</f>
        <v>240840</v>
      </c>
      <c r="H10" s="36">
        <f>H11+H12</f>
        <v>690408</v>
      </c>
      <c r="I10" s="36">
        <f>I11+I12</f>
        <v>32112</v>
      </c>
      <c r="J10" s="36">
        <f t="shared" si="0"/>
        <v>1311240</v>
      </c>
    </row>
    <row r="11" spans="1:10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720</v>
      </c>
      <c r="F11" s="36">
        <f>72*F96</f>
        <v>3960</v>
      </c>
      <c r="G11" s="36">
        <f>72*G96</f>
        <v>3240</v>
      </c>
      <c r="H11" s="36">
        <f>72*H96</f>
        <v>9288</v>
      </c>
      <c r="I11" s="36">
        <f>72*I96</f>
        <v>432</v>
      </c>
      <c r="J11" s="36">
        <f t="shared" si="0"/>
        <v>17640</v>
      </c>
    </row>
    <row r="12" spans="1:10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52800</v>
      </c>
      <c r="F12" s="36">
        <f>440*12*F96</f>
        <v>290400</v>
      </c>
      <c r="G12" s="36">
        <f>440*12*G96</f>
        <v>237600</v>
      </c>
      <c r="H12" s="36">
        <f>440*12*H96</f>
        <v>681120</v>
      </c>
      <c r="I12" s="36">
        <f>440*12*I96</f>
        <v>31680</v>
      </c>
      <c r="J12" s="36">
        <f t="shared" si="0"/>
        <v>1293600</v>
      </c>
    </row>
    <row r="13" spans="1:10">
      <c r="A13" s="33" t="s">
        <v>203</v>
      </c>
      <c r="B13" s="34" t="s">
        <v>204</v>
      </c>
      <c r="C13" s="34"/>
      <c r="D13" s="35" t="s">
        <v>205</v>
      </c>
      <c r="E13" s="36">
        <f>E14+E15+E16</f>
        <v>49500</v>
      </c>
      <c r="F13" s="36">
        <f>F14+F15+F16</f>
        <v>261795</v>
      </c>
      <c r="G13" s="36">
        <f>G14+G15+G16</f>
        <v>208850</v>
      </c>
      <c r="H13" s="36">
        <f>H14+H15+H16</f>
        <v>658445</v>
      </c>
      <c r="I13" s="36">
        <f>I14+I15+I16</f>
        <v>33220</v>
      </c>
      <c r="J13" s="36">
        <f t="shared" si="0"/>
        <v>1211810</v>
      </c>
    </row>
    <row r="14" spans="1:10" s="40" customFormat="1">
      <c r="A14" s="33" t="s">
        <v>206</v>
      </c>
      <c r="B14" s="38" t="s">
        <v>438</v>
      </c>
      <c r="C14" s="38" t="s">
        <v>189</v>
      </c>
      <c r="D14" s="39" t="s">
        <v>208</v>
      </c>
      <c r="E14" s="36">
        <f>E16*3</f>
        <v>29700</v>
      </c>
      <c r="F14" s="36">
        <f>F16*3</f>
        <v>157077</v>
      </c>
      <c r="G14" s="36">
        <f>G16*3</f>
        <v>125310</v>
      </c>
      <c r="H14" s="36">
        <f>H16*3</f>
        <v>395067</v>
      </c>
      <c r="I14" s="36">
        <f>I16*3</f>
        <v>19932</v>
      </c>
      <c r="J14" s="36">
        <f t="shared" si="0"/>
        <v>727086</v>
      </c>
    </row>
    <row r="15" spans="1:10" s="40" customFormat="1">
      <c r="A15" s="33" t="s">
        <v>209</v>
      </c>
      <c r="B15" s="38" t="s">
        <v>439</v>
      </c>
      <c r="C15" s="38" t="s">
        <v>189</v>
      </c>
      <c r="D15" s="39" t="s">
        <v>208</v>
      </c>
      <c r="E15" s="36">
        <f>E16</f>
        <v>9900</v>
      </c>
      <c r="F15" s="36">
        <f>F16</f>
        <v>52359</v>
      </c>
      <c r="G15" s="36">
        <f>G16</f>
        <v>41770</v>
      </c>
      <c r="H15" s="36">
        <f>H16</f>
        <v>131689</v>
      </c>
      <c r="I15" s="36">
        <f>I16</f>
        <v>6644</v>
      </c>
      <c r="J15" s="36">
        <f t="shared" si="0"/>
        <v>242362</v>
      </c>
    </row>
    <row r="16" spans="1:10" s="40" customFormat="1">
      <c r="A16" s="33" t="s">
        <v>211</v>
      </c>
      <c r="B16" s="38" t="s">
        <v>440</v>
      </c>
      <c r="C16" s="38" t="s">
        <v>189</v>
      </c>
      <c r="D16" s="39" t="s">
        <v>208</v>
      </c>
      <c r="E16" s="144">
        <v>9900</v>
      </c>
      <c r="F16" s="37">
        <v>52359</v>
      </c>
      <c r="G16" s="37">
        <v>41770</v>
      </c>
      <c r="H16" s="37">
        <v>131689</v>
      </c>
      <c r="I16" s="37">
        <v>6644</v>
      </c>
      <c r="J16" s="36">
        <f t="shared" si="0"/>
        <v>242362</v>
      </c>
    </row>
    <row r="17" spans="1:10">
      <c r="A17" s="33" t="s">
        <v>213</v>
      </c>
      <c r="B17" s="34" t="s">
        <v>214</v>
      </c>
      <c r="C17" s="34"/>
      <c r="D17" s="35" t="s">
        <v>183</v>
      </c>
      <c r="E17" s="36">
        <v>1490200</v>
      </c>
      <c r="F17" s="36">
        <v>8196100</v>
      </c>
      <c r="G17" s="36">
        <v>6705900</v>
      </c>
      <c r="H17" s="36">
        <v>20673669</v>
      </c>
      <c r="I17" s="36">
        <v>884694</v>
      </c>
      <c r="J17" s="36">
        <f t="shared" si="0"/>
        <v>37950563</v>
      </c>
    </row>
    <row r="18" spans="1:10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1490200</v>
      </c>
      <c r="F18" s="43">
        <f>F17-F19</f>
        <v>7877224</v>
      </c>
      <c r="G18" s="43">
        <f>G17-G19</f>
        <v>6552324</v>
      </c>
      <c r="H18" s="43">
        <f>H17-H19</f>
        <v>20188773</v>
      </c>
      <c r="I18" s="43">
        <f>I17-I19</f>
        <v>884694</v>
      </c>
      <c r="J18" s="36">
        <f t="shared" si="0"/>
        <v>36993215</v>
      </c>
    </row>
    <row r="19" spans="1:10">
      <c r="A19" s="33" t="s">
        <v>218</v>
      </c>
      <c r="B19" s="41" t="s">
        <v>219</v>
      </c>
      <c r="C19" s="41" t="s">
        <v>189</v>
      </c>
      <c r="D19" s="42" t="s">
        <v>220</v>
      </c>
      <c r="E19" s="43"/>
      <c r="F19" s="43">
        <v>318876</v>
      </c>
      <c r="G19" s="43">
        <v>153576</v>
      </c>
      <c r="H19" s="43">
        <v>484896</v>
      </c>
      <c r="I19" s="43"/>
      <c r="J19" s="36">
        <f t="shared" si="0"/>
        <v>957348</v>
      </c>
    </row>
    <row r="20" spans="1:10">
      <c r="A20" s="33" t="s">
        <v>221</v>
      </c>
      <c r="B20" s="34" t="s">
        <v>222</v>
      </c>
      <c r="C20" s="34"/>
      <c r="D20" s="42" t="s">
        <v>183</v>
      </c>
      <c r="E20" s="45">
        <f>E21</f>
        <v>198000</v>
      </c>
      <c r="F20" s="45">
        <f>F21</f>
        <v>1047180</v>
      </c>
      <c r="G20" s="45">
        <f>G21</f>
        <v>835400</v>
      </c>
      <c r="H20" s="45">
        <f>H21</f>
        <v>2633780</v>
      </c>
      <c r="I20" s="45">
        <f>I21</f>
        <v>132880</v>
      </c>
      <c r="J20" s="36">
        <f t="shared" si="0"/>
        <v>4847240</v>
      </c>
    </row>
    <row r="21" spans="1:10">
      <c r="A21" s="33" t="s">
        <v>223</v>
      </c>
      <c r="B21" s="34" t="s">
        <v>441</v>
      </c>
      <c r="C21" s="34" t="s">
        <v>225</v>
      </c>
      <c r="D21" s="42" t="s">
        <v>183</v>
      </c>
      <c r="E21" s="45">
        <f>E16*20</f>
        <v>198000</v>
      </c>
      <c r="F21" s="45">
        <f>F16*20</f>
        <v>1047180</v>
      </c>
      <c r="G21" s="45">
        <f>G16*20</f>
        <v>835400</v>
      </c>
      <c r="H21" s="45">
        <f>H16*20</f>
        <v>2633780</v>
      </c>
      <c r="I21" s="45">
        <f>I16*20</f>
        <v>132880</v>
      </c>
      <c r="J21" s="36">
        <f t="shared" si="0"/>
        <v>4847240</v>
      </c>
    </row>
    <row r="22" spans="1:10">
      <c r="A22" s="33" t="s">
        <v>226</v>
      </c>
      <c r="B22" s="34" t="s">
        <v>227</v>
      </c>
      <c r="C22" s="34"/>
      <c r="D22" s="42" t="s">
        <v>208</v>
      </c>
      <c r="E22" s="45">
        <f>E23+E24</f>
        <v>79200</v>
      </c>
      <c r="F22" s="45">
        <f>F23+F24</f>
        <v>418872</v>
      </c>
      <c r="G22" s="45">
        <f>G23+G24</f>
        <v>334160</v>
      </c>
      <c r="H22" s="45">
        <f>H23+H24</f>
        <v>1053512</v>
      </c>
      <c r="I22" s="45">
        <f>I23+I24</f>
        <v>53152</v>
      </c>
      <c r="J22" s="36">
        <f t="shared" si="0"/>
        <v>1938896</v>
      </c>
    </row>
    <row r="23" spans="1:10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39600</v>
      </c>
      <c r="F23" s="45">
        <f>F16*4</f>
        <v>209436</v>
      </c>
      <c r="G23" s="45">
        <f>G16*4</f>
        <v>167080</v>
      </c>
      <c r="H23" s="45">
        <f>H16*4</f>
        <v>526756</v>
      </c>
      <c r="I23" s="45">
        <f>I16*4</f>
        <v>26576</v>
      </c>
      <c r="J23" s="36">
        <f t="shared" si="0"/>
        <v>969448</v>
      </c>
    </row>
    <row r="24" spans="1:10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39600</v>
      </c>
      <c r="F24" s="45">
        <f>F16*4</f>
        <v>209436</v>
      </c>
      <c r="G24" s="45">
        <f>G16*4</f>
        <v>167080</v>
      </c>
      <c r="H24" s="45">
        <f>H16*4</f>
        <v>526756</v>
      </c>
      <c r="I24" s="45">
        <f>I16*4</f>
        <v>26576</v>
      </c>
      <c r="J24" s="36">
        <f t="shared" si="0"/>
        <v>969448</v>
      </c>
    </row>
    <row r="25" spans="1:10">
      <c r="A25" s="33" t="s">
        <v>233</v>
      </c>
      <c r="B25" s="34" t="s">
        <v>234</v>
      </c>
      <c r="C25" s="34"/>
      <c r="D25" s="35" t="s">
        <v>183</v>
      </c>
      <c r="E25" s="36">
        <f>E26</f>
        <v>316800</v>
      </c>
      <c r="F25" s="36">
        <f>F26</f>
        <v>1675488</v>
      </c>
      <c r="G25" s="36">
        <f>G26</f>
        <v>1336640</v>
      </c>
      <c r="H25" s="36">
        <f>H26</f>
        <v>4214048</v>
      </c>
      <c r="I25" s="36">
        <f>I26</f>
        <v>212608</v>
      </c>
      <c r="J25" s="36">
        <f t="shared" si="0"/>
        <v>7755584</v>
      </c>
    </row>
    <row r="26" spans="1:10" s="40" customFormat="1">
      <c r="A26" s="33" t="s">
        <v>235</v>
      </c>
      <c r="B26" s="38" t="s">
        <v>442</v>
      </c>
      <c r="C26" s="38" t="s">
        <v>237</v>
      </c>
      <c r="D26" s="39" t="s">
        <v>208</v>
      </c>
      <c r="E26" s="36">
        <f>E16*32</f>
        <v>316800</v>
      </c>
      <c r="F26" s="36">
        <f>F16*32</f>
        <v>1675488</v>
      </c>
      <c r="G26" s="36">
        <f>G16*32</f>
        <v>1336640</v>
      </c>
      <c r="H26" s="36">
        <f>H16*32</f>
        <v>4214048</v>
      </c>
      <c r="I26" s="36">
        <f>I16*32</f>
        <v>212608</v>
      </c>
      <c r="J26" s="36">
        <f t="shared" si="0"/>
        <v>7755584</v>
      </c>
    </row>
    <row r="27" spans="1:10">
      <c r="A27" s="33" t="s">
        <v>238</v>
      </c>
      <c r="B27" s="34" t="s">
        <v>239</v>
      </c>
      <c r="C27" s="34"/>
      <c r="D27" s="35" t="s">
        <v>183</v>
      </c>
      <c r="E27" s="36">
        <f>E28</f>
        <v>158400</v>
      </c>
      <c r="F27" s="36">
        <f>F28</f>
        <v>837744</v>
      </c>
      <c r="G27" s="36">
        <f>G28</f>
        <v>668320</v>
      </c>
      <c r="H27" s="36">
        <f>H28</f>
        <v>2107024</v>
      </c>
      <c r="I27" s="36">
        <f>I28</f>
        <v>106304</v>
      </c>
      <c r="J27" s="36">
        <f t="shared" si="0"/>
        <v>3877792</v>
      </c>
    </row>
    <row r="28" spans="1:10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158400</v>
      </c>
      <c r="F28" s="36">
        <f>F16*16</f>
        <v>837744</v>
      </c>
      <c r="G28" s="36">
        <f>G16*16</f>
        <v>668320</v>
      </c>
      <c r="H28" s="36">
        <f>H16*16</f>
        <v>2107024</v>
      </c>
      <c r="I28" s="36">
        <f>I16*16</f>
        <v>106304</v>
      </c>
      <c r="J28" s="36">
        <f t="shared" si="0"/>
        <v>3877792</v>
      </c>
    </row>
    <row r="29" spans="1:10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96000</v>
      </c>
      <c r="F29" s="36">
        <f>9600*F96</f>
        <v>528000</v>
      </c>
      <c r="G29" s="36">
        <f>9600*G96</f>
        <v>432000</v>
      </c>
      <c r="H29" s="36">
        <f>9600*H96</f>
        <v>1238400</v>
      </c>
      <c r="I29" s="36">
        <f>9600*I96</f>
        <v>57600</v>
      </c>
      <c r="J29" s="36">
        <f t="shared" si="0"/>
        <v>2352000</v>
      </c>
    </row>
    <row r="30" spans="1:10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138600</v>
      </c>
      <c r="F30" s="45">
        <f>F16*14</f>
        <v>733026</v>
      </c>
      <c r="G30" s="45">
        <f>G16*14</f>
        <v>584780</v>
      </c>
      <c r="H30" s="45">
        <f>H16*14</f>
        <v>1843646</v>
      </c>
      <c r="I30" s="45">
        <f>I16*14</f>
        <v>93016</v>
      </c>
      <c r="J30" s="36">
        <f t="shared" si="0"/>
        <v>3393068</v>
      </c>
    </row>
    <row r="31" spans="1:10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3240</v>
      </c>
      <c r="F31" s="36">
        <f>F32+F40+F42+F45+F47</f>
        <v>19200</v>
      </c>
      <c r="G31" s="36">
        <f>G32+G40+G42+G45+G47</f>
        <v>14280</v>
      </c>
      <c r="H31" s="36">
        <f>H32+H40+H42+H45+H47</f>
        <v>29640</v>
      </c>
      <c r="I31" s="36">
        <f>I32+I40+I42+I45+I47</f>
        <v>0</v>
      </c>
      <c r="J31" s="36">
        <f t="shared" si="0"/>
        <v>66360</v>
      </c>
    </row>
    <row r="32" spans="1:10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>F33+F34+F35+F36+F37+F38+F39</f>
        <v>0</v>
      </c>
      <c r="G32" s="36">
        <f>G33+G34+G35+G36+G37+G38+G39</f>
        <v>0</v>
      </c>
      <c r="H32" s="36">
        <f>H33+H34+H35+H36+H37+H38+H39</f>
        <v>0</v>
      </c>
      <c r="I32" s="36">
        <f>I33+I34+I35+I36+I37+I38+I39</f>
        <v>0</v>
      </c>
      <c r="J32" s="36">
        <f t="shared" si="0"/>
        <v>0</v>
      </c>
    </row>
    <row r="33" spans="1:10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36">
        <f t="shared" si="0"/>
        <v>0</v>
      </c>
    </row>
    <row r="34" spans="1:10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36">
        <f t="shared" si="0"/>
        <v>0</v>
      </c>
    </row>
    <row r="35" spans="1:10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36">
        <f t="shared" si="0"/>
        <v>0</v>
      </c>
    </row>
    <row r="36" spans="1:10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36">
        <f t="shared" si="0"/>
        <v>0</v>
      </c>
    </row>
    <row r="37" spans="1:10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36">
        <f t="shared" si="0"/>
        <v>0</v>
      </c>
    </row>
    <row r="38" spans="1:10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36">
        <f t="shared" si="0"/>
        <v>0</v>
      </c>
    </row>
    <row r="39" spans="1:10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36">
        <f t="shared" si="0"/>
        <v>0</v>
      </c>
    </row>
    <row r="40" spans="1:10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>F41</f>
        <v>0</v>
      </c>
      <c r="G40" s="36">
        <f>G41</f>
        <v>0</v>
      </c>
      <c r="H40" s="36">
        <f>H41</f>
        <v>0</v>
      </c>
      <c r="I40" s="36">
        <f>I41</f>
        <v>0</v>
      </c>
      <c r="J40" s="36">
        <f t="shared" si="0"/>
        <v>0</v>
      </c>
    </row>
    <row r="41" spans="1:10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36">
        <f t="shared" si="0"/>
        <v>0</v>
      </c>
    </row>
    <row r="42" spans="1:10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>F43+F44</f>
        <v>0</v>
      </c>
      <c r="G42" s="36">
        <f>G43+G44</f>
        <v>0</v>
      </c>
      <c r="H42" s="36">
        <f>H43+H44</f>
        <v>0</v>
      </c>
      <c r="I42" s="36">
        <f>I43+I44</f>
        <v>0</v>
      </c>
      <c r="J42" s="36">
        <f t="shared" si="0"/>
        <v>0</v>
      </c>
    </row>
    <row r="43" spans="1:10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36">
        <f t="shared" si="0"/>
        <v>0</v>
      </c>
    </row>
    <row r="44" spans="1:10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36">
        <f t="shared" si="0"/>
        <v>0</v>
      </c>
    </row>
    <row r="45" spans="1:10">
      <c r="A45" s="33" t="s">
        <v>280</v>
      </c>
      <c r="B45" s="34" t="s">
        <v>281</v>
      </c>
      <c r="C45" s="34"/>
      <c r="D45" s="35" t="s">
        <v>183</v>
      </c>
      <c r="E45" s="36">
        <f>E46</f>
        <v>1440</v>
      </c>
      <c r="F45" s="36">
        <f>F46</f>
        <v>7200</v>
      </c>
      <c r="G45" s="36">
        <f>G46</f>
        <v>5280</v>
      </c>
      <c r="H45" s="36">
        <f>H46</f>
        <v>9690</v>
      </c>
      <c r="I45" s="36">
        <f>I46</f>
        <v>0</v>
      </c>
      <c r="J45" s="36">
        <f t="shared" si="0"/>
        <v>23610</v>
      </c>
    </row>
    <row r="46" spans="1:10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1440</v>
      </c>
      <c r="F46" s="37">
        <v>7200</v>
      </c>
      <c r="G46" s="37">
        <v>5280</v>
      </c>
      <c r="H46" s="37">
        <v>9690</v>
      </c>
      <c r="I46" s="37"/>
      <c r="J46" s="36">
        <f t="shared" si="0"/>
        <v>23610</v>
      </c>
    </row>
    <row r="47" spans="1:10">
      <c r="A47" s="33" t="s">
        <v>284</v>
      </c>
      <c r="B47" s="34" t="s">
        <v>285</v>
      </c>
      <c r="C47" s="34"/>
      <c r="D47" s="35" t="s">
        <v>183</v>
      </c>
      <c r="E47" s="36">
        <f>SUM(E48:E51)</f>
        <v>1800</v>
      </c>
      <c r="F47" s="36">
        <f>SUM(F48:F51)</f>
        <v>12000</v>
      </c>
      <c r="G47" s="36">
        <f>SUM(G48:G51)</f>
        <v>9000</v>
      </c>
      <c r="H47" s="36">
        <f>SUM(H48:H51)</f>
        <v>19950</v>
      </c>
      <c r="I47" s="36">
        <f>SUM(I48:I51)</f>
        <v>0</v>
      </c>
      <c r="J47" s="36">
        <f t="shared" si="0"/>
        <v>42750</v>
      </c>
    </row>
    <row r="48" spans="1:10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1800</v>
      </c>
      <c r="F48" s="37">
        <v>12000</v>
      </c>
      <c r="G48" s="37">
        <v>9000</v>
      </c>
      <c r="H48" s="37">
        <v>19950</v>
      </c>
      <c r="I48" s="37"/>
      <c r="J48" s="36">
        <f t="shared" si="0"/>
        <v>42750</v>
      </c>
    </row>
    <row r="49" spans="1:10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36">
        <f t="shared" si="0"/>
        <v>0</v>
      </c>
    </row>
    <row r="50" spans="1:10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36">
        <f t="shared" si="0"/>
        <v>0</v>
      </c>
    </row>
    <row r="51" spans="1:10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36">
        <f t="shared" si="0"/>
        <v>0</v>
      </c>
    </row>
    <row r="52" spans="1:10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1079305.6000000001</v>
      </c>
      <c r="F52" s="36">
        <f>F53+F71+F73+F75+F77+F79+F81+F83+F85+F93</f>
        <v>2599502.25</v>
      </c>
      <c r="G52" s="36">
        <f>G53+G71+G73+G75+G77+G79+G81+G83+G85+G93</f>
        <v>2000726</v>
      </c>
      <c r="H52" s="36">
        <f>H53+H71+H73+H75+H77+H79+H81+H83+H85+H93</f>
        <v>5745654.7000000002</v>
      </c>
      <c r="I52" s="36">
        <f>I53+I71+I73+I75+I77+I79+I81+I83+I85+I93</f>
        <v>364836</v>
      </c>
      <c r="J52" s="36">
        <f t="shared" si="0"/>
        <v>11790024.550000001</v>
      </c>
    </row>
    <row r="53" spans="1:10">
      <c r="A53" s="33" t="s">
        <v>299</v>
      </c>
      <c r="B53" s="34" t="s">
        <v>300</v>
      </c>
      <c r="C53" s="34"/>
      <c r="D53" s="35" t="s">
        <v>301</v>
      </c>
      <c r="E53" s="36">
        <f>SUM(E54:E70)</f>
        <v>798000</v>
      </c>
      <c r="F53" s="36">
        <f>SUM(F54:F70)</f>
        <v>1936980</v>
      </c>
      <c r="G53" s="36">
        <f>SUM(G54:G70)</f>
        <v>1492260</v>
      </c>
      <c r="H53" s="36">
        <f>SUM(H54:H70)</f>
        <v>3572900</v>
      </c>
      <c r="I53" s="36">
        <f>SUM(I54:I70)</f>
        <v>192000</v>
      </c>
      <c r="J53" s="36">
        <f t="shared" si="0"/>
        <v>7992140</v>
      </c>
    </row>
    <row r="54" spans="1:10">
      <c r="A54" s="33" t="s">
        <v>302</v>
      </c>
      <c r="B54" s="34" t="s">
        <v>303</v>
      </c>
      <c r="C54" s="34" t="s">
        <v>189</v>
      </c>
      <c r="D54" s="47"/>
      <c r="E54" s="37">
        <v>788025</v>
      </c>
      <c r="F54" s="37">
        <v>346044</v>
      </c>
      <c r="G54" s="37">
        <v>80300</v>
      </c>
      <c r="H54" s="37">
        <v>227268</v>
      </c>
      <c r="I54" s="37">
        <v>5000</v>
      </c>
      <c r="J54" s="36">
        <f t="shared" si="0"/>
        <v>1446637</v>
      </c>
    </row>
    <row r="55" spans="1:10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>
        <v>5000</v>
      </c>
      <c r="H55" s="37">
        <v>41946.5</v>
      </c>
      <c r="I55" s="37"/>
      <c r="J55" s="36">
        <f t="shared" si="0"/>
        <v>46946.5</v>
      </c>
    </row>
    <row r="56" spans="1:10">
      <c r="A56" s="33" t="s">
        <v>306</v>
      </c>
      <c r="B56" s="34" t="s">
        <v>307</v>
      </c>
      <c r="C56" s="34" t="s">
        <v>189</v>
      </c>
      <c r="D56" s="47"/>
      <c r="E56" s="37"/>
      <c r="F56" s="37">
        <v>12000</v>
      </c>
      <c r="G56" s="37">
        <v>50000</v>
      </c>
      <c r="H56" s="37">
        <v>50000</v>
      </c>
      <c r="I56" s="37"/>
      <c r="J56" s="36">
        <f t="shared" si="0"/>
        <v>112000</v>
      </c>
    </row>
    <row r="57" spans="1:10">
      <c r="A57" s="33" t="s">
        <v>308</v>
      </c>
      <c r="B57" s="34" t="s">
        <v>309</v>
      </c>
      <c r="C57" s="34" t="s">
        <v>189</v>
      </c>
      <c r="D57" s="47"/>
      <c r="E57" s="37"/>
      <c r="F57" s="37">
        <v>50000</v>
      </c>
      <c r="G57" s="37">
        <v>50000</v>
      </c>
      <c r="H57" s="37">
        <v>300000</v>
      </c>
      <c r="I57" s="37">
        <v>5000</v>
      </c>
      <c r="J57" s="36">
        <f t="shared" si="0"/>
        <v>405000</v>
      </c>
    </row>
    <row r="58" spans="1:10">
      <c r="A58" s="33" t="s">
        <v>310</v>
      </c>
      <c r="B58" s="34" t="s">
        <v>311</v>
      </c>
      <c r="C58" s="34" t="s">
        <v>189</v>
      </c>
      <c r="D58" s="47"/>
      <c r="E58" s="37"/>
      <c r="F58" s="37">
        <v>140000</v>
      </c>
      <c r="G58" s="37">
        <v>150000</v>
      </c>
      <c r="H58" s="37">
        <v>280000</v>
      </c>
      <c r="I58" s="37">
        <v>25000</v>
      </c>
      <c r="J58" s="36">
        <f t="shared" si="0"/>
        <v>595000</v>
      </c>
    </row>
    <row r="59" spans="1:10">
      <c r="A59" s="33" t="s">
        <v>312</v>
      </c>
      <c r="B59" s="34" t="s">
        <v>313</v>
      </c>
      <c r="C59" s="34" t="s">
        <v>189</v>
      </c>
      <c r="D59" s="47"/>
      <c r="E59" s="37"/>
      <c r="F59" s="37">
        <v>25000</v>
      </c>
      <c r="G59" s="37">
        <v>20000</v>
      </c>
      <c r="H59" s="37">
        <v>9000</v>
      </c>
      <c r="I59" s="37">
        <v>15000</v>
      </c>
      <c r="J59" s="36">
        <f t="shared" si="0"/>
        <v>69000</v>
      </c>
    </row>
    <row r="60" spans="1:10">
      <c r="A60" s="33" t="s">
        <v>314</v>
      </c>
      <c r="B60" s="34" t="s">
        <v>315</v>
      </c>
      <c r="C60" s="34" t="s">
        <v>189</v>
      </c>
      <c r="D60" s="47"/>
      <c r="E60" s="37"/>
      <c r="F60" s="37">
        <v>20000</v>
      </c>
      <c r="G60" s="37">
        <v>12000</v>
      </c>
      <c r="H60" s="37">
        <v>25000</v>
      </c>
      <c r="I60" s="37">
        <v>1000</v>
      </c>
      <c r="J60" s="36">
        <f t="shared" si="0"/>
        <v>58000</v>
      </c>
    </row>
    <row r="61" spans="1:10">
      <c r="A61" s="33" t="s">
        <v>316</v>
      </c>
      <c r="B61" s="34" t="s">
        <v>317</v>
      </c>
      <c r="C61" s="34" t="s">
        <v>189</v>
      </c>
      <c r="D61" s="47"/>
      <c r="E61" s="37"/>
      <c r="F61" s="37">
        <v>220000</v>
      </c>
      <c r="G61" s="37">
        <v>296347</v>
      </c>
      <c r="H61" s="37">
        <v>290000</v>
      </c>
      <c r="I61" s="37">
        <v>20000</v>
      </c>
      <c r="J61" s="36">
        <f t="shared" si="0"/>
        <v>826347</v>
      </c>
    </row>
    <row r="62" spans="1:10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6">
        <f t="shared" si="0"/>
        <v>0</v>
      </c>
    </row>
    <row r="63" spans="1:10">
      <c r="A63" s="33" t="s">
        <v>320</v>
      </c>
      <c r="B63" s="34" t="s">
        <v>443</v>
      </c>
      <c r="C63" s="34" t="s">
        <v>189</v>
      </c>
      <c r="D63" s="47" t="s">
        <v>444</v>
      </c>
      <c r="E63" s="37">
        <v>9975</v>
      </c>
      <c r="F63" s="37">
        <v>96849</v>
      </c>
      <c r="G63" s="37">
        <v>74613</v>
      </c>
      <c r="H63" s="37">
        <v>178645</v>
      </c>
      <c r="I63" s="37">
        <v>9600</v>
      </c>
      <c r="J63" s="36">
        <f t="shared" si="0"/>
        <v>369682</v>
      </c>
    </row>
    <row r="64" spans="1:10">
      <c r="A64" s="33" t="s">
        <v>324</v>
      </c>
      <c r="B64" s="34" t="s">
        <v>325</v>
      </c>
      <c r="C64" s="34" t="s">
        <v>189</v>
      </c>
      <c r="D64" s="47"/>
      <c r="E64" s="37"/>
      <c r="F64" s="37"/>
      <c r="G64" s="37"/>
      <c r="H64" s="37"/>
      <c r="I64" s="37"/>
      <c r="J64" s="36">
        <f t="shared" si="0"/>
        <v>0</v>
      </c>
    </row>
    <row r="65" spans="1:10">
      <c r="A65" s="33" t="s">
        <v>326</v>
      </c>
      <c r="B65" s="34" t="s">
        <v>327</v>
      </c>
      <c r="C65" s="34" t="s">
        <v>189</v>
      </c>
      <c r="D65" s="47"/>
      <c r="E65" s="37"/>
      <c r="F65" s="37">
        <v>400000</v>
      </c>
      <c r="G65" s="37">
        <v>355000</v>
      </c>
      <c r="H65" s="37">
        <v>551070</v>
      </c>
      <c r="I65" s="37">
        <v>40000</v>
      </c>
      <c r="J65" s="36">
        <f t="shared" si="0"/>
        <v>1346070</v>
      </c>
    </row>
    <row r="66" spans="1:10">
      <c r="A66" s="33" t="s">
        <v>328</v>
      </c>
      <c r="B66" s="34" t="s">
        <v>329</v>
      </c>
      <c r="C66" s="34" t="s">
        <v>189</v>
      </c>
      <c r="D66" s="47"/>
      <c r="E66" s="37"/>
      <c r="F66" s="37">
        <v>10000</v>
      </c>
      <c r="G66" s="37">
        <v>50000</v>
      </c>
      <c r="H66" s="37">
        <v>490000</v>
      </c>
      <c r="I66" s="37">
        <v>10000</v>
      </c>
      <c r="J66" s="36">
        <f t="shared" si="0"/>
        <v>560000</v>
      </c>
    </row>
    <row r="67" spans="1:10">
      <c r="A67" s="33" t="s">
        <v>330</v>
      </c>
      <c r="B67" s="34" t="s">
        <v>331</v>
      </c>
      <c r="C67" s="34" t="s">
        <v>189</v>
      </c>
      <c r="D67" s="47"/>
      <c r="E67" s="37"/>
      <c r="F67" s="37">
        <v>200000</v>
      </c>
      <c r="G67" s="37">
        <v>150000</v>
      </c>
      <c r="H67" s="37">
        <v>520000</v>
      </c>
      <c r="I67" s="37">
        <v>39000</v>
      </c>
      <c r="J67" s="36">
        <f t="shared" ref="J67:J109" si="1">SUM(E67:I67)</f>
        <v>909000</v>
      </c>
    </row>
    <row r="68" spans="1:10">
      <c r="A68" s="33" t="s">
        <v>332</v>
      </c>
      <c r="B68" s="34" t="s">
        <v>333</v>
      </c>
      <c r="C68" s="34" t="s">
        <v>189</v>
      </c>
      <c r="D68" s="47"/>
      <c r="E68" s="37"/>
      <c r="F68" s="37">
        <v>335529</v>
      </c>
      <c r="G68" s="37">
        <v>44000</v>
      </c>
      <c r="H68" s="37">
        <v>260000</v>
      </c>
      <c r="I68" s="37">
        <v>5000</v>
      </c>
      <c r="J68" s="36">
        <f t="shared" si="1"/>
        <v>644529</v>
      </c>
    </row>
    <row r="69" spans="1:10">
      <c r="A69" s="33" t="s">
        <v>334</v>
      </c>
      <c r="B69" s="34" t="s">
        <v>335</v>
      </c>
      <c r="C69" s="34" t="s">
        <v>189</v>
      </c>
      <c r="D69" s="47"/>
      <c r="E69" s="37"/>
      <c r="F69" s="37">
        <v>50000</v>
      </c>
      <c r="G69" s="37">
        <v>100000</v>
      </c>
      <c r="H69" s="37">
        <v>200000</v>
      </c>
      <c r="I69" s="37">
        <v>17400</v>
      </c>
      <c r="J69" s="36">
        <f t="shared" si="1"/>
        <v>367400</v>
      </c>
    </row>
    <row r="70" spans="1:10">
      <c r="A70" s="33" t="s">
        <v>336</v>
      </c>
      <c r="B70" s="34" t="s">
        <v>337</v>
      </c>
      <c r="C70" s="34" t="s">
        <v>189</v>
      </c>
      <c r="D70" s="47"/>
      <c r="E70" s="37"/>
      <c r="F70" s="37">
        <v>31558</v>
      </c>
      <c r="G70" s="37">
        <v>55000</v>
      </c>
      <c r="H70" s="37">
        <v>149970.5</v>
      </c>
      <c r="I70" s="37"/>
      <c r="J70" s="36">
        <f t="shared" si="1"/>
        <v>236528.5</v>
      </c>
    </row>
    <row r="71" spans="1:10">
      <c r="A71" s="33" t="s">
        <v>338</v>
      </c>
      <c r="B71" s="34" t="s">
        <v>339</v>
      </c>
      <c r="C71" s="34"/>
      <c r="D71" s="35"/>
      <c r="E71" s="36">
        <f>E72</f>
        <v>4000</v>
      </c>
      <c r="F71" s="36">
        <f>F72</f>
        <v>22000</v>
      </c>
      <c r="G71" s="36">
        <f>G72</f>
        <v>18000</v>
      </c>
      <c r="H71" s="36">
        <f>H72</f>
        <v>51600</v>
      </c>
      <c r="I71" s="36">
        <f>I72</f>
        <v>2400</v>
      </c>
      <c r="J71" s="36">
        <f t="shared" si="1"/>
        <v>98000</v>
      </c>
    </row>
    <row r="72" spans="1:10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4000</v>
      </c>
      <c r="F72" s="36">
        <f>F96*400</f>
        <v>22000</v>
      </c>
      <c r="G72" s="36">
        <f>G96*400</f>
        <v>18000</v>
      </c>
      <c r="H72" s="36">
        <f>H96*400</f>
        <v>51600</v>
      </c>
      <c r="I72" s="36">
        <f>I96*400</f>
        <v>2400</v>
      </c>
      <c r="J72" s="36">
        <f t="shared" si="1"/>
        <v>98000</v>
      </c>
    </row>
    <row r="73" spans="1:10">
      <c r="A73" s="33" t="s">
        <v>343</v>
      </c>
      <c r="B73" s="34" t="s">
        <v>344</v>
      </c>
      <c r="C73" s="34"/>
      <c r="D73" s="35" t="s">
        <v>183</v>
      </c>
      <c r="E73" s="36">
        <f>E74</f>
        <v>133521.60000000001</v>
      </c>
      <c r="F73" s="36">
        <f>F74</f>
        <v>97286.25</v>
      </c>
      <c r="G73" s="36">
        <f>G74</f>
        <v>77250</v>
      </c>
      <c r="H73" s="36">
        <f>H74</f>
        <v>438638.7</v>
      </c>
      <c r="I73" s="36">
        <f>I74</f>
        <v>54900</v>
      </c>
      <c r="J73" s="36">
        <f t="shared" si="1"/>
        <v>801596.55</v>
      </c>
    </row>
    <row r="74" spans="1:10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133521.60000000001</v>
      </c>
      <c r="F74" s="36">
        <f>F108*15</f>
        <v>97286.25</v>
      </c>
      <c r="G74" s="36">
        <f>G108*15</f>
        <v>77250</v>
      </c>
      <c r="H74" s="36">
        <f>H108*15</f>
        <v>438638.7</v>
      </c>
      <c r="I74" s="36">
        <f>I108*15</f>
        <v>54900</v>
      </c>
      <c r="J74" s="36">
        <f t="shared" si="1"/>
        <v>801596.55</v>
      </c>
    </row>
    <row r="75" spans="1:10">
      <c r="A75" s="33" t="s">
        <v>348</v>
      </c>
      <c r="B75" s="34" t="s">
        <v>349</v>
      </c>
      <c r="C75" s="34"/>
      <c r="D75" s="35" t="s">
        <v>183</v>
      </c>
      <c r="E75" s="36">
        <f>E76</f>
        <v>28984</v>
      </c>
      <c r="F75" s="36">
        <f>F76</f>
        <v>12000</v>
      </c>
      <c r="G75" s="36">
        <f>G76</f>
        <v>19736</v>
      </c>
      <c r="H75" s="36">
        <f>H76</f>
        <v>165280</v>
      </c>
      <c r="I75" s="36">
        <f>I76</f>
        <v>21600</v>
      </c>
      <c r="J75" s="36">
        <f t="shared" si="1"/>
        <v>247600</v>
      </c>
    </row>
    <row r="76" spans="1:10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28984</v>
      </c>
      <c r="F76" s="36">
        <f>F109*8</f>
        <v>12000</v>
      </c>
      <c r="G76" s="36">
        <f>G109*8</f>
        <v>19736</v>
      </c>
      <c r="H76" s="36">
        <f>H109*8</f>
        <v>165280</v>
      </c>
      <c r="I76" s="36">
        <f>I109*8</f>
        <v>21600</v>
      </c>
      <c r="J76" s="36">
        <f t="shared" si="1"/>
        <v>247600</v>
      </c>
    </row>
    <row r="77" spans="1:10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>F78</f>
        <v>0</v>
      </c>
      <c r="G77" s="36">
        <f>G78</f>
        <v>0</v>
      </c>
      <c r="H77" s="36">
        <f>H78</f>
        <v>0</v>
      </c>
      <c r="I77" s="36">
        <f>I78</f>
        <v>0</v>
      </c>
      <c r="J77" s="36">
        <f t="shared" si="1"/>
        <v>0</v>
      </c>
    </row>
    <row r="78" spans="1:10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36">
        <f t="shared" si="1"/>
        <v>0</v>
      </c>
    </row>
    <row r="79" spans="1:10">
      <c r="A79" s="33" t="s">
        <v>357</v>
      </c>
      <c r="B79" s="34" t="s">
        <v>358</v>
      </c>
      <c r="C79" s="34"/>
      <c r="D79" s="35" t="s">
        <v>183</v>
      </c>
      <c r="E79" s="36">
        <f>E80</f>
        <v>43200</v>
      </c>
      <c r="F79" s="36">
        <f>F80</f>
        <v>237600</v>
      </c>
      <c r="G79" s="36">
        <f>G80</f>
        <v>194400</v>
      </c>
      <c r="H79" s="36">
        <f>H80</f>
        <v>557280</v>
      </c>
      <c r="I79" s="36">
        <f>I80</f>
        <v>25920</v>
      </c>
      <c r="J79" s="36">
        <f t="shared" si="1"/>
        <v>1058400</v>
      </c>
    </row>
    <row r="80" spans="1:10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43200</v>
      </c>
      <c r="F80" s="36">
        <f>F96*4320</f>
        <v>237600</v>
      </c>
      <c r="G80" s="36">
        <f>G96*4320</f>
        <v>194400</v>
      </c>
      <c r="H80" s="36">
        <f>H96*4320</f>
        <v>557280</v>
      </c>
      <c r="I80" s="36">
        <f>I96*4320</f>
        <v>25920</v>
      </c>
      <c r="J80" s="36">
        <f t="shared" si="1"/>
        <v>1058400</v>
      </c>
    </row>
    <row r="81" spans="1:10">
      <c r="A81" s="33" t="s">
        <v>362</v>
      </c>
      <c r="B81" s="34" t="s">
        <v>363</v>
      </c>
      <c r="C81" s="34"/>
      <c r="D81" s="35" t="s">
        <v>183</v>
      </c>
      <c r="E81" s="36">
        <f>E82</f>
        <v>39600</v>
      </c>
      <c r="F81" s="36">
        <f>F82</f>
        <v>209436</v>
      </c>
      <c r="G81" s="36">
        <f>G82</f>
        <v>167080</v>
      </c>
      <c r="H81" s="36">
        <f>H82</f>
        <v>526756</v>
      </c>
      <c r="I81" s="36">
        <f>I82</f>
        <v>26576</v>
      </c>
      <c r="J81" s="36">
        <f t="shared" si="1"/>
        <v>969448</v>
      </c>
    </row>
    <row r="82" spans="1:10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39600</v>
      </c>
      <c r="F82" s="36">
        <f>F16*4</f>
        <v>209436</v>
      </c>
      <c r="G82" s="36">
        <f>G16*4</f>
        <v>167080</v>
      </c>
      <c r="H82" s="36">
        <f>H16*4</f>
        <v>526756</v>
      </c>
      <c r="I82" s="36">
        <f>I16*4</f>
        <v>26576</v>
      </c>
      <c r="J82" s="36">
        <f t="shared" si="1"/>
        <v>969448</v>
      </c>
    </row>
    <row r="83" spans="1:10">
      <c r="A83" s="33" t="s">
        <v>366</v>
      </c>
      <c r="B83" s="34" t="s">
        <v>367</v>
      </c>
      <c r="C83" s="34"/>
      <c r="D83" s="35" t="s">
        <v>183</v>
      </c>
      <c r="E83" s="36">
        <f>E84</f>
        <v>0</v>
      </c>
      <c r="F83" s="36">
        <f>F84</f>
        <v>32000</v>
      </c>
      <c r="G83" s="36">
        <f>G84</f>
        <v>0</v>
      </c>
      <c r="H83" s="36">
        <f>H84</f>
        <v>32000</v>
      </c>
      <c r="I83" s="36">
        <f>I84</f>
        <v>0</v>
      </c>
      <c r="J83" s="36">
        <f t="shared" si="1"/>
        <v>64000</v>
      </c>
    </row>
    <row r="84" spans="1:10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/>
      <c r="F84" s="37">
        <v>32000</v>
      </c>
      <c r="G84" s="37"/>
      <c r="H84" s="37">
        <v>32000</v>
      </c>
      <c r="I84" s="37"/>
      <c r="J84" s="36">
        <f t="shared" si="1"/>
        <v>64000</v>
      </c>
    </row>
    <row r="85" spans="1:10">
      <c r="A85" s="33" t="s">
        <v>371</v>
      </c>
      <c r="B85" s="34" t="s">
        <v>372</v>
      </c>
      <c r="C85" s="34"/>
      <c r="D85" s="35" t="s">
        <v>183</v>
      </c>
      <c r="E85" s="36">
        <f>E86+E89+E92</f>
        <v>0</v>
      </c>
      <c r="F85" s="36">
        <f>F86+F89+F92</f>
        <v>47200</v>
      </c>
      <c r="G85" s="36">
        <f>G86+G89+G92</f>
        <v>0</v>
      </c>
      <c r="H85" s="36">
        <f>H86+H89+H92</f>
        <v>401200</v>
      </c>
      <c r="I85" s="36">
        <f>I86+I89+I92</f>
        <v>9440</v>
      </c>
      <c r="J85" s="36">
        <f t="shared" si="1"/>
        <v>457840</v>
      </c>
    </row>
    <row r="86" spans="1:10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>F87+F88</f>
        <v>0</v>
      </c>
      <c r="G86" s="36">
        <f>G87+G88</f>
        <v>0</v>
      </c>
      <c r="H86" s="36">
        <f>H87+H88</f>
        <v>0</v>
      </c>
      <c r="I86" s="36">
        <f>I87+I88</f>
        <v>0</v>
      </c>
      <c r="J86" s="36">
        <f t="shared" si="1"/>
        <v>0</v>
      </c>
    </row>
    <row r="87" spans="1:10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36">
        <f t="shared" si="1"/>
        <v>0</v>
      </c>
    </row>
    <row r="88" spans="1:10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36">
        <f t="shared" si="1"/>
        <v>0</v>
      </c>
    </row>
    <row r="89" spans="1:10">
      <c r="A89" s="33" t="s">
        <v>380</v>
      </c>
      <c r="B89" s="34" t="s">
        <v>381</v>
      </c>
      <c r="C89" s="34"/>
      <c r="D89" s="35" t="s">
        <v>183</v>
      </c>
      <c r="E89" s="36">
        <f>E90+E91</f>
        <v>0</v>
      </c>
      <c r="F89" s="36">
        <f>F90+F91</f>
        <v>47200</v>
      </c>
      <c r="G89" s="36">
        <f>G90+G91</f>
        <v>0</v>
      </c>
      <c r="H89" s="36">
        <f>H90+H91</f>
        <v>401200</v>
      </c>
      <c r="I89" s="36">
        <f>I90+I91</f>
        <v>9440</v>
      </c>
      <c r="J89" s="36">
        <f t="shared" si="1"/>
        <v>457840</v>
      </c>
    </row>
    <row r="90" spans="1:10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0</v>
      </c>
      <c r="F90" s="36">
        <f>F107*400</f>
        <v>4000</v>
      </c>
      <c r="G90" s="36">
        <f>G107*400</f>
        <v>0</v>
      </c>
      <c r="H90" s="36">
        <f>H107*400</f>
        <v>34000</v>
      </c>
      <c r="I90" s="36">
        <f>I107*400</f>
        <v>800</v>
      </c>
      <c r="J90" s="36">
        <f t="shared" si="1"/>
        <v>38800</v>
      </c>
    </row>
    <row r="91" spans="1:10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0</v>
      </c>
      <c r="F91" s="36">
        <f>F107*4320</f>
        <v>43200</v>
      </c>
      <c r="G91" s="36">
        <f>G107*4320</f>
        <v>0</v>
      </c>
      <c r="H91" s="36">
        <f>H107*4320</f>
        <v>367200</v>
      </c>
      <c r="I91" s="36">
        <f>I107*4320</f>
        <v>8640</v>
      </c>
      <c r="J91" s="36">
        <f t="shared" si="1"/>
        <v>419040</v>
      </c>
    </row>
    <row r="92" spans="1:10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36">
        <f t="shared" si="1"/>
        <v>0</v>
      </c>
    </row>
    <row r="93" spans="1:10">
      <c r="A93" s="33" t="s">
        <v>390</v>
      </c>
      <c r="B93" s="34" t="s">
        <v>391</v>
      </c>
      <c r="C93" s="34"/>
      <c r="D93" s="35" t="s">
        <v>183</v>
      </c>
      <c r="E93" s="36">
        <f>E94</f>
        <v>32000</v>
      </c>
      <c r="F93" s="36">
        <f>F94</f>
        <v>5000</v>
      </c>
      <c r="G93" s="36">
        <f>G94</f>
        <v>32000</v>
      </c>
      <c r="H93" s="36">
        <f>H94</f>
        <v>0</v>
      </c>
      <c r="I93" s="36">
        <f>I94</f>
        <v>32000</v>
      </c>
      <c r="J93" s="36">
        <f t="shared" si="1"/>
        <v>101000</v>
      </c>
    </row>
    <row r="94" spans="1:10" ht="57" thickBot="1">
      <c r="A94" s="33" t="s">
        <v>392</v>
      </c>
      <c r="B94" s="50" t="s">
        <v>393</v>
      </c>
      <c r="C94" s="34" t="s">
        <v>189</v>
      </c>
      <c r="D94" s="51" t="s">
        <v>532</v>
      </c>
      <c r="E94" s="52">
        <v>32000</v>
      </c>
      <c r="F94" s="52">
        <v>5000</v>
      </c>
      <c r="G94" s="52">
        <v>32000</v>
      </c>
      <c r="H94" s="52"/>
      <c r="I94" s="52">
        <v>32000</v>
      </c>
      <c r="J94" s="36">
        <f t="shared" si="1"/>
        <v>101000</v>
      </c>
    </row>
    <row r="95" spans="1:10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36">
        <f t="shared" si="1"/>
        <v>0</v>
      </c>
    </row>
    <row r="96" spans="1:10" ht="22.5">
      <c r="A96" s="33" t="s">
        <v>397</v>
      </c>
      <c r="B96" s="34" t="s">
        <v>398</v>
      </c>
      <c r="C96" s="34"/>
      <c r="D96" s="35" t="s">
        <v>445</v>
      </c>
      <c r="E96" s="36">
        <f>E97+E98+E99+E100</f>
        <v>10</v>
      </c>
      <c r="F96" s="36">
        <f>F97+F98+F99+F100</f>
        <v>55</v>
      </c>
      <c r="G96" s="36">
        <f>G97+G98+G99+G100</f>
        <v>45</v>
      </c>
      <c r="H96" s="36">
        <f>H97+H98+H99+H100</f>
        <v>129</v>
      </c>
      <c r="I96" s="36">
        <f>I97+I98+I99+I100</f>
        <v>6</v>
      </c>
      <c r="J96" s="36">
        <f t="shared" si="1"/>
        <v>245</v>
      </c>
    </row>
    <row r="97" spans="1:10">
      <c r="A97" s="33" t="s">
        <v>400</v>
      </c>
      <c r="B97" s="56" t="s">
        <v>401</v>
      </c>
      <c r="C97" s="56"/>
      <c r="D97" s="42"/>
      <c r="E97" s="43"/>
      <c r="F97" s="43"/>
      <c r="G97" s="43"/>
      <c r="H97" s="43">
        <v>60</v>
      </c>
      <c r="I97" s="43"/>
      <c r="J97" s="36">
        <f t="shared" si="1"/>
        <v>60</v>
      </c>
    </row>
    <row r="98" spans="1:10">
      <c r="A98" s="33" t="s">
        <v>402</v>
      </c>
      <c r="B98" s="56" t="s">
        <v>403</v>
      </c>
      <c r="C98" s="56"/>
      <c r="D98" s="35"/>
      <c r="E98" s="37"/>
      <c r="F98" s="37"/>
      <c r="G98" s="37"/>
      <c r="H98" s="37">
        <v>69</v>
      </c>
      <c r="I98" s="37"/>
      <c r="J98" s="36">
        <f t="shared" si="1"/>
        <v>69</v>
      </c>
    </row>
    <row r="99" spans="1:10">
      <c r="A99" s="33" t="s">
        <v>404</v>
      </c>
      <c r="B99" s="56" t="s">
        <v>405</v>
      </c>
      <c r="C99" s="56"/>
      <c r="D99" s="42"/>
      <c r="E99" s="43">
        <v>10</v>
      </c>
      <c r="F99" s="43">
        <v>55</v>
      </c>
      <c r="G99" s="43">
        <v>45</v>
      </c>
      <c r="H99" s="43"/>
      <c r="I99" s="43"/>
      <c r="J99" s="36">
        <f t="shared" si="1"/>
        <v>110</v>
      </c>
    </row>
    <row r="100" spans="1:10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>
        <v>6</v>
      </c>
      <c r="J100" s="36">
        <f t="shared" si="1"/>
        <v>6</v>
      </c>
    </row>
    <row r="101" spans="1:10" ht="33.75">
      <c r="A101" s="33" t="s">
        <v>408</v>
      </c>
      <c r="B101" s="34" t="s">
        <v>409</v>
      </c>
      <c r="C101" s="34"/>
      <c r="D101" s="35" t="s">
        <v>446</v>
      </c>
      <c r="E101" s="36">
        <f>E102+E103+E104+E105</f>
        <v>75</v>
      </c>
      <c r="F101" s="36">
        <f>F102+F103+F104+F105</f>
        <v>726</v>
      </c>
      <c r="G101" s="36">
        <f>G102+G103+G104+G105</f>
        <v>561</v>
      </c>
      <c r="H101" s="36">
        <f>H102+H103+H104+H105</f>
        <v>1281</v>
      </c>
      <c r="I101" s="36">
        <f>I102+I103+I104+I105</f>
        <v>0</v>
      </c>
      <c r="J101" s="36">
        <f t="shared" si="1"/>
        <v>2643</v>
      </c>
    </row>
    <row r="102" spans="1:10">
      <c r="A102" s="33" t="s">
        <v>411</v>
      </c>
      <c r="B102" s="56" t="s">
        <v>401</v>
      </c>
      <c r="C102" s="56"/>
      <c r="D102" s="42"/>
      <c r="E102" s="43"/>
      <c r="F102" s="43"/>
      <c r="G102" s="43"/>
      <c r="H102" s="43">
        <v>537</v>
      </c>
      <c r="I102" s="43"/>
      <c r="J102" s="36">
        <f t="shared" si="1"/>
        <v>537</v>
      </c>
    </row>
    <row r="103" spans="1:10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>
        <v>744</v>
      </c>
      <c r="I103" s="37"/>
      <c r="J103" s="36">
        <f t="shared" si="1"/>
        <v>744</v>
      </c>
    </row>
    <row r="104" spans="1:10">
      <c r="A104" s="33" t="s">
        <v>413</v>
      </c>
      <c r="B104" s="56" t="s">
        <v>405</v>
      </c>
      <c r="C104" s="56"/>
      <c r="D104" s="42"/>
      <c r="E104" s="43">
        <v>75</v>
      </c>
      <c r="F104" s="43">
        <v>726</v>
      </c>
      <c r="G104" s="43">
        <v>561</v>
      </c>
      <c r="H104" s="43"/>
      <c r="I104" s="43"/>
      <c r="J104" s="36">
        <f t="shared" si="1"/>
        <v>1362</v>
      </c>
    </row>
    <row r="105" spans="1:10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36">
        <f t="shared" si="1"/>
        <v>0</v>
      </c>
    </row>
    <row r="106" spans="1:10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36">
        <f t="shared" si="1"/>
        <v>0</v>
      </c>
    </row>
    <row r="107" spans="1:10">
      <c r="A107" s="33" t="s">
        <v>417</v>
      </c>
      <c r="B107" s="34" t="s">
        <v>418</v>
      </c>
      <c r="C107" s="34"/>
      <c r="D107" s="35"/>
      <c r="E107" s="37"/>
      <c r="F107" s="37">
        <v>10</v>
      </c>
      <c r="G107" s="37"/>
      <c r="H107" s="37">
        <v>85</v>
      </c>
      <c r="I107" s="37">
        <v>2</v>
      </c>
      <c r="J107" s="36">
        <f t="shared" si="1"/>
        <v>97</v>
      </c>
    </row>
    <row r="108" spans="1:10">
      <c r="A108" s="33" t="s">
        <v>419</v>
      </c>
      <c r="B108" s="56" t="s">
        <v>420</v>
      </c>
      <c r="C108" s="56"/>
      <c r="D108" s="47"/>
      <c r="E108" s="37">
        <v>8901.44</v>
      </c>
      <c r="F108" s="37">
        <v>6485.75</v>
      </c>
      <c r="G108" s="37">
        <v>5150</v>
      </c>
      <c r="H108" s="37">
        <v>29242.58</v>
      </c>
      <c r="I108" s="37">
        <v>3660</v>
      </c>
      <c r="J108" s="36">
        <f t="shared" si="1"/>
        <v>53439.770000000004</v>
      </c>
    </row>
    <row r="109" spans="1:10">
      <c r="A109" s="33" t="s">
        <v>421</v>
      </c>
      <c r="B109" s="56" t="s">
        <v>422</v>
      </c>
      <c r="C109" s="56"/>
      <c r="D109" s="47"/>
      <c r="E109" s="37">
        <v>3623</v>
      </c>
      <c r="F109" s="37">
        <v>1500</v>
      </c>
      <c r="G109" s="37">
        <v>2467</v>
      </c>
      <c r="H109" s="37">
        <v>20660</v>
      </c>
      <c r="I109" s="37">
        <v>2700</v>
      </c>
      <c r="J109" s="36">
        <f t="shared" si="1"/>
        <v>30950</v>
      </c>
    </row>
  </sheetData>
  <protectedRanges>
    <protectedRange password="E9C1" sqref="B31:D109 A4:D12 A2:J3 B13:D28 A13:A109 J4:J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J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9"/>
  <sheetViews>
    <sheetView workbookViewId="0">
      <selection activeCell="L3" sqref="L3:L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2" ht="25.5">
      <c r="A1" s="279" t="s">
        <v>177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</row>
    <row r="2" spans="1:12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429</v>
      </c>
      <c r="F2" s="32" t="s">
        <v>430</v>
      </c>
      <c r="G2" s="32" t="s">
        <v>431</v>
      </c>
      <c r="H2" s="32" t="s">
        <v>175</v>
      </c>
      <c r="I2" s="32" t="s">
        <v>432</v>
      </c>
      <c r="J2" s="32" t="s">
        <v>433</v>
      </c>
      <c r="K2" s="32" t="s">
        <v>434</v>
      </c>
      <c r="L2" s="32" t="s">
        <v>25</v>
      </c>
    </row>
    <row r="3" spans="1:12">
      <c r="A3" s="33" t="s">
        <v>181</v>
      </c>
      <c r="B3" s="34" t="s">
        <v>182</v>
      </c>
      <c r="C3" s="34"/>
      <c r="D3" s="35" t="s">
        <v>183</v>
      </c>
      <c r="E3" s="36">
        <f>E4+E31+E52</f>
        <v>30135162</v>
      </c>
      <c r="F3" s="36">
        <f t="shared" ref="F3:K3" si="0">F4+F31+F52</f>
        <v>25497133.420000002</v>
      </c>
      <c r="G3" s="36">
        <f t="shared" si="0"/>
        <v>7772961.5999999996</v>
      </c>
      <c r="H3" s="36">
        <f t="shared" si="0"/>
        <v>5618645</v>
      </c>
      <c r="I3" s="36">
        <f t="shared" si="0"/>
        <v>12200759.1</v>
      </c>
      <c r="J3" s="36">
        <f t="shared" si="0"/>
        <v>14325853.199999999</v>
      </c>
      <c r="K3" s="36">
        <f t="shared" si="0"/>
        <v>1551425.2</v>
      </c>
      <c r="L3" s="36">
        <f t="shared" ref="L3:L66" si="1">SUM(E3:K3)</f>
        <v>97101939.520000011</v>
      </c>
    </row>
    <row r="4" spans="1:12">
      <c r="A4" s="33" t="s">
        <v>184</v>
      </c>
      <c r="B4" s="34" t="s">
        <v>128</v>
      </c>
      <c r="C4" s="34"/>
      <c r="D4" s="35" t="s">
        <v>183</v>
      </c>
      <c r="E4" s="36">
        <f t="shared" ref="E4:K4" si="2">E5+E8+E13+E17+E20+E22+E25+E27+E29+E30</f>
        <v>26499309</v>
      </c>
      <c r="F4" s="36">
        <f t="shared" si="2"/>
        <v>21976487.600000001</v>
      </c>
      <c r="G4" s="36">
        <f t="shared" si="2"/>
        <v>5574417</v>
      </c>
      <c r="H4" s="36">
        <f t="shared" si="2"/>
        <v>4589320</v>
      </c>
      <c r="I4" s="36">
        <f t="shared" si="2"/>
        <v>10669234</v>
      </c>
      <c r="J4" s="36">
        <f t="shared" si="2"/>
        <v>12047063</v>
      </c>
      <c r="K4" s="36">
        <f t="shared" si="2"/>
        <v>1285262</v>
      </c>
      <c r="L4" s="36">
        <f t="shared" si="1"/>
        <v>82641092.599999994</v>
      </c>
    </row>
    <row r="5" spans="1:12">
      <c r="A5" s="33" t="s">
        <v>185</v>
      </c>
      <c r="B5" s="34" t="s">
        <v>186</v>
      </c>
      <c r="C5" s="34"/>
      <c r="D5" s="35" t="s">
        <v>183</v>
      </c>
      <c r="E5" s="36">
        <f>E6+E7</f>
        <v>3819953</v>
      </c>
      <c r="F5" s="36">
        <f t="shared" ref="F5:K5" si="3">F6+F7</f>
        <v>3145152</v>
      </c>
      <c r="G5" s="36">
        <f t="shared" si="3"/>
        <v>673844</v>
      </c>
      <c r="H5" s="36">
        <f t="shared" si="3"/>
        <v>653652</v>
      </c>
      <c r="I5" s="36">
        <f t="shared" si="3"/>
        <v>1379784</v>
      </c>
      <c r="J5" s="36">
        <f t="shared" si="3"/>
        <v>1315632</v>
      </c>
      <c r="K5" s="36">
        <f t="shared" si="3"/>
        <v>200988</v>
      </c>
      <c r="L5" s="36">
        <f t="shared" si="1"/>
        <v>11189005</v>
      </c>
    </row>
    <row r="6" spans="1:12">
      <c r="A6" s="33" t="s">
        <v>187</v>
      </c>
      <c r="B6" s="34" t="s">
        <v>188</v>
      </c>
      <c r="C6" s="34" t="s">
        <v>189</v>
      </c>
      <c r="D6" s="35" t="s">
        <v>190</v>
      </c>
      <c r="E6" s="37">
        <v>2177849</v>
      </c>
      <c r="F6" s="37">
        <v>1749528</v>
      </c>
      <c r="G6" s="37">
        <v>454224</v>
      </c>
      <c r="H6" s="37">
        <f>31955*12</f>
        <v>383460</v>
      </c>
      <c r="I6" s="37">
        <v>882504</v>
      </c>
      <c r="J6" s="91">
        <v>858201</v>
      </c>
      <c r="K6" s="37">
        <v>99000</v>
      </c>
      <c r="L6" s="36">
        <f t="shared" si="1"/>
        <v>6604766</v>
      </c>
    </row>
    <row r="7" spans="1:12">
      <c r="A7" s="33" t="s">
        <v>191</v>
      </c>
      <c r="B7" s="34" t="s">
        <v>192</v>
      </c>
      <c r="C7" s="34" t="s">
        <v>189</v>
      </c>
      <c r="D7" s="35" t="s">
        <v>190</v>
      </c>
      <c r="E7" s="37">
        <v>1642104</v>
      </c>
      <c r="F7" s="37">
        <v>1395624</v>
      </c>
      <c r="G7" s="37">
        <v>219620</v>
      </c>
      <c r="H7" s="37">
        <f>22516*12</f>
        <v>270192</v>
      </c>
      <c r="I7" s="37">
        <v>497280</v>
      </c>
      <c r="J7" s="91">
        <v>457431</v>
      </c>
      <c r="K7" s="37">
        <v>101988</v>
      </c>
      <c r="L7" s="36">
        <f t="shared" si="1"/>
        <v>4584239</v>
      </c>
    </row>
    <row r="8" spans="1:12">
      <c r="A8" s="33" t="s">
        <v>193</v>
      </c>
      <c r="B8" s="34" t="s">
        <v>194</v>
      </c>
      <c r="C8" s="34"/>
      <c r="D8" s="35" t="s">
        <v>183</v>
      </c>
      <c r="E8" s="36">
        <f>E9+E10</f>
        <v>450508</v>
      </c>
      <c r="F8" s="36">
        <f t="shared" ref="F8:K8" si="4">F9+F10</f>
        <v>385392</v>
      </c>
      <c r="G8" s="36">
        <f t="shared" si="4"/>
        <v>102636</v>
      </c>
      <c r="H8" s="36">
        <f t="shared" si="4"/>
        <v>86748</v>
      </c>
      <c r="I8" s="36">
        <f t="shared" si="4"/>
        <v>200352</v>
      </c>
      <c r="J8" s="36">
        <f t="shared" si="4"/>
        <v>237151</v>
      </c>
      <c r="K8" s="36">
        <f t="shared" si="4"/>
        <v>21852</v>
      </c>
      <c r="L8" s="36">
        <f t="shared" si="1"/>
        <v>1484639</v>
      </c>
    </row>
    <row r="9" spans="1:12">
      <c r="A9" s="33" t="s">
        <v>195</v>
      </c>
      <c r="B9" s="34" t="s">
        <v>196</v>
      </c>
      <c r="C9" s="34" t="s">
        <v>189</v>
      </c>
      <c r="D9" s="35" t="s">
        <v>190</v>
      </c>
      <c r="E9" s="37">
        <v>6292</v>
      </c>
      <c r="F9" s="37">
        <v>5400</v>
      </c>
      <c r="G9" s="37">
        <v>948</v>
      </c>
      <c r="H9" s="37">
        <f>93*12</f>
        <v>1116</v>
      </c>
      <c r="I9" s="37">
        <v>2328</v>
      </c>
      <c r="J9" s="91">
        <v>1663</v>
      </c>
      <c r="K9" s="37">
        <v>444</v>
      </c>
      <c r="L9" s="36">
        <f t="shared" si="1"/>
        <v>18191</v>
      </c>
    </row>
    <row r="10" spans="1:12">
      <c r="A10" s="33" t="s">
        <v>197</v>
      </c>
      <c r="B10" s="34" t="s">
        <v>198</v>
      </c>
      <c r="C10" s="34"/>
      <c r="D10" s="35" t="s">
        <v>183</v>
      </c>
      <c r="E10" s="36">
        <f>E11+E12</f>
        <v>444216</v>
      </c>
      <c r="F10" s="36">
        <f t="shared" ref="F10:K10" si="5">F11+F12</f>
        <v>379992</v>
      </c>
      <c r="G10" s="36">
        <f t="shared" si="5"/>
        <v>101688</v>
      </c>
      <c r="H10" s="36">
        <f t="shared" si="5"/>
        <v>85632</v>
      </c>
      <c r="I10" s="36">
        <f t="shared" si="5"/>
        <v>198024</v>
      </c>
      <c r="J10" s="36">
        <f t="shared" si="5"/>
        <v>235488</v>
      </c>
      <c r="K10" s="36">
        <f t="shared" si="5"/>
        <v>21408</v>
      </c>
      <c r="L10" s="36">
        <f t="shared" si="1"/>
        <v>1466448</v>
      </c>
    </row>
    <row r="11" spans="1:12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5976</v>
      </c>
      <c r="F11" s="36">
        <f t="shared" ref="F11:K11" si="6">72*F96</f>
        <v>5112</v>
      </c>
      <c r="G11" s="36">
        <f t="shared" si="6"/>
        <v>1368</v>
      </c>
      <c r="H11" s="36">
        <f t="shared" si="6"/>
        <v>1152</v>
      </c>
      <c r="I11" s="36">
        <f t="shared" si="6"/>
        <v>2664</v>
      </c>
      <c r="J11" s="36">
        <f t="shared" si="6"/>
        <v>3168</v>
      </c>
      <c r="K11" s="36">
        <f t="shared" si="6"/>
        <v>288</v>
      </c>
      <c r="L11" s="36">
        <f t="shared" si="1"/>
        <v>19728</v>
      </c>
    </row>
    <row r="12" spans="1:12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438240</v>
      </c>
      <c r="F12" s="36">
        <f t="shared" ref="F12:K12" si="7">440*12*F96</f>
        <v>374880</v>
      </c>
      <c r="G12" s="36">
        <f t="shared" si="7"/>
        <v>100320</v>
      </c>
      <c r="H12" s="36">
        <f t="shared" si="7"/>
        <v>84480</v>
      </c>
      <c r="I12" s="36">
        <f t="shared" si="7"/>
        <v>195360</v>
      </c>
      <c r="J12" s="36">
        <f t="shared" si="7"/>
        <v>232320</v>
      </c>
      <c r="K12" s="36">
        <f t="shared" si="7"/>
        <v>21120</v>
      </c>
      <c r="L12" s="36">
        <f t="shared" si="1"/>
        <v>1446720</v>
      </c>
    </row>
    <row r="13" spans="1:12">
      <c r="A13" s="33" t="s">
        <v>203</v>
      </c>
      <c r="B13" s="34" t="s">
        <v>204</v>
      </c>
      <c r="C13" s="34"/>
      <c r="D13" s="35" t="s">
        <v>205</v>
      </c>
      <c r="E13" s="36">
        <f>E14+E15+E16</f>
        <v>427915</v>
      </c>
      <c r="F13" s="36">
        <f t="shared" ref="F13:K13" si="8">F14+F15+F16</f>
        <v>336095.4</v>
      </c>
      <c r="G13" s="36">
        <f t="shared" si="8"/>
        <v>82662</v>
      </c>
      <c r="H13" s="36">
        <f t="shared" si="8"/>
        <v>69000</v>
      </c>
      <c r="I13" s="36">
        <f t="shared" si="8"/>
        <v>169482</v>
      </c>
      <c r="J13" s="36">
        <f t="shared" si="8"/>
        <v>185000</v>
      </c>
      <c r="K13" s="36">
        <f t="shared" si="8"/>
        <v>22854</v>
      </c>
      <c r="L13" s="36">
        <f t="shared" si="1"/>
        <v>1293008.3999999999</v>
      </c>
    </row>
    <row r="14" spans="1:12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256749</v>
      </c>
      <c r="F14" s="36">
        <f t="shared" ref="F14:K14" si="9">F16*3</f>
        <v>201657.24</v>
      </c>
      <c r="G14" s="36">
        <f t="shared" si="9"/>
        <v>49597.200000000004</v>
      </c>
      <c r="H14" s="36">
        <f t="shared" si="9"/>
        <v>41400</v>
      </c>
      <c r="I14" s="36">
        <f t="shared" si="9"/>
        <v>101689.20000000001</v>
      </c>
      <c r="J14" s="36">
        <f t="shared" si="9"/>
        <v>111000</v>
      </c>
      <c r="K14" s="36">
        <f t="shared" si="9"/>
        <v>13712.400000000001</v>
      </c>
      <c r="L14" s="36">
        <f t="shared" si="1"/>
        <v>775805.03999999992</v>
      </c>
    </row>
    <row r="15" spans="1:12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85583</v>
      </c>
      <c r="F15" s="36">
        <f t="shared" ref="F15:K15" si="10">F16</f>
        <v>67219.08</v>
      </c>
      <c r="G15" s="36">
        <f t="shared" si="10"/>
        <v>16532.400000000001</v>
      </c>
      <c r="H15" s="36">
        <f t="shared" si="10"/>
        <v>13800</v>
      </c>
      <c r="I15" s="36">
        <f t="shared" si="10"/>
        <v>33896.400000000001</v>
      </c>
      <c r="J15" s="36">
        <f t="shared" si="10"/>
        <v>37000</v>
      </c>
      <c r="K15" s="36">
        <f t="shared" si="10"/>
        <v>4570.8</v>
      </c>
      <c r="L15" s="36">
        <f t="shared" si="1"/>
        <v>258601.68</v>
      </c>
    </row>
    <row r="16" spans="1:12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85583</v>
      </c>
      <c r="F16" s="37">
        <v>67219.08</v>
      </c>
      <c r="G16" s="37">
        <v>16532.400000000001</v>
      </c>
      <c r="H16" s="37">
        <f>12*1150</f>
        <v>13800</v>
      </c>
      <c r="I16" s="37">
        <v>33896.400000000001</v>
      </c>
      <c r="J16" s="91">
        <v>37000</v>
      </c>
      <c r="K16" s="37">
        <v>4570.8</v>
      </c>
      <c r="L16" s="36">
        <f t="shared" si="1"/>
        <v>258601.68</v>
      </c>
    </row>
    <row r="17" spans="1:12">
      <c r="A17" s="33" t="s">
        <v>213</v>
      </c>
      <c r="B17" s="34" t="s">
        <v>214</v>
      </c>
      <c r="C17" s="34"/>
      <c r="D17" s="35" t="s">
        <v>183</v>
      </c>
      <c r="E17" s="36">
        <v>13301663</v>
      </c>
      <c r="F17" s="36">
        <v>11378531</v>
      </c>
      <c r="G17" s="36">
        <v>3044959</v>
      </c>
      <c r="H17" s="36">
        <v>2384320</v>
      </c>
      <c r="I17" s="36">
        <v>5513740</v>
      </c>
      <c r="J17" s="36">
        <v>6556880</v>
      </c>
      <c r="K17" s="36">
        <v>589796</v>
      </c>
      <c r="L17" s="36">
        <f t="shared" si="1"/>
        <v>42769889</v>
      </c>
    </row>
    <row r="18" spans="1:12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12961419</v>
      </c>
      <c r="F18" s="43">
        <f t="shared" ref="F18:K18" si="11">F17-F19</f>
        <v>10998631</v>
      </c>
      <c r="G18" s="43">
        <f t="shared" si="11"/>
        <v>3044959</v>
      </c>
      <c r="H18" s="43">
        <f t="shared" si="11"/>
        <v>2384320</v>
      </c>
      <c r="I18" s="43">
        <f t="shared" si="11"/>
        <v>5303740</v>
      </c>
      <c r="J18" s="43">
        <f t="shared" si="11"/>
        <v>6391302</v>
      </c>
      <c r="K18" s="43">
        <f t="shared" si="11"/>
        <v>589796</v>
      </c>
      <c r="L18" s="36">
        <f t="shared" si="1"/>
        <v>41674167</v>
      </c>
    </row>
    <row r="19" spans="1:12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340244</v>
      </c>
      <c r="F19" s="43">
        <v>379900</v>
      </c>
      <c r="G19" s="43"/>
      <c r="H19" s="43"/>
      <c r="I19" s="43">
        <v>210000</v>
      </c>
      <c r="J19" s="43">
        <v>165578</v>
      </c>
      <c r="K19" s="43"/>
      <c r="L19" s="36">
        <f t="shared" si="1"/>
        <v>1095722</v>
      </c>
    </row>
    <row r="20" spans="1:12">
      <c r="A20" s="33" t="s">
        <v>221</v>
      </c>
      <c r="B20" s="34" t="s">
        <v>222</v>
      </c>
      <c r="C20" s="34"/>
      <c r="D20" s="42" t="s">
        <v>183</v>
      </c>
      <c r="E20" s="45">
        <f>E21</f>
        <v>1711660</v>
      </c>
      <c r="F20" s="45">
        <f t="shared" ref="F20:K20" si="12">F21</f>
        <v>1344381.6</v>
      </c>
      <c r="G20" s="45">
        <f t="shared" si="12"/>
        <v>330648</v>
      </c>
      <c r="H20" s="45">
        <f t="shared" si="12"/>
        <v>276000</v>
      </c>
      <c r="I20" s="45">
        <f t="shared" si="12"/>
        <v>677928</v>
      </c>
      <c r="J20" s="45">
        <f t="shared" si="12"/>
        <v>740000</v>
      </c>
      <c r="K20" s="45">
        <f t="shared" si="12"/>
        <v>91416</v>
      </c>
      <c r="L20" s="36">
        <f t="shared" si="1"/>
        <v>5172033.5999999996</v>
      </c>
    </row>
    <row r="21" spans="1:12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1711660</v>
      </c>
      <c r="F21" s="45">
        <f t="shared" ref="F21:K21" si="13">F16*20</f>
        <v>1344381.6</v>
      </c>
      <c r="G21" s="45">
        <f t="shared" si="13"/>
        <v>330648</v>
      </c>
      <c r="H21" s="45">
        <f t="shared" si="13"/>
        <v>276000</v>
      </c>
      <c r="I21" s="45">
        <f t="shared" si="13"/>
        <v>677928</v>
      </c>
      <c r="J21" s="45">
        <f t="shared" si="13"/>
        <v>740000</v>
      </c>
      <c r="K21" s="45">
        <f t="shared" si="13"/>
        <v>91416</v>
      </c>
      <c r="L21" s="36">
        <f t="shared" si="1"/>
        <v>5172033.5999999996</v>
      </c>
    </row>
    <row r="22" spans="1:12">
      <c r="A22" s="33" t="s">
        <v>226</v>
      </c>
      <c r="B22" s="34" t="s">
        <v>227</v>
      </c>
      <c r="C22" s="34"/>
      <c r="D22" s="42" t="s">
        <v>208</v>
      </c>
      <c r="E22" s="45">
        <f>E23+E24</f>
        <v>684664</v>
      </c>
      <c r="F22" s="45">
        <f t="shared" ref="F22:K22" si="14">F23+F24</f>
        <v>537752.64</v>
      </c>
      <c r="G22" s="45">
        <f t="shared" si="14"/>
        <v>132259.20000000001</v>
      </c>
      <c r="H22" s="45">
        <f t="shared" si="14"/>
        <v>110400</v>
      </c>
      <c r="I22" s="45">
        <f t="shared" si="14"/>
        <v>271171.20000000001</v>
      </c>
      <c r="J22" s="45">
        <f t="shared" si="14"/>
        <v>296000</v>
      </c>
      <c r="K22" s="45">
        <f t="shared" si="14"/>
        <v>36566.400000000001</v>
      </c>
      <c r="L22" s="36">
        <f t="shared" si="1"/>
        <v>2068813.44</v>
      </c>
    </row>
    <row r="23" spans="1:12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342332</v>
      </c>
      <c r="F23" s="45">
        <f t="shared" ref="F23:K23" si="15">F16*4</f>
        <v>268876.32</v>
      </c>
      <c r="G23" s="45">
        <f t="shared" si="15"/>
        <v>66129.600000000006</v>
      </c>
      <c r="H23" s="45">
        <f t="shared" si="15"/>
        <v>55200</v>
      </c>
      <c r="I23" s="45">
        <f t="shared" si="15"/>
        <v>135585.60000000001</v>
      </c>
      <c r="J23" s="45">
        <f t="shared" si="15"/>
        <v>148000</v>
      </c>
      <c r="K23" s="45">
        <f t="shared" si="15"/>
        <v>18283.2</v>
      </c>
      <c r="L23" s="36">
        <f t="shared" si="1"/>
        <v>1034406.72</v>
      </c>
    </row>
    <row r="24" spans="1:12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342332</v>
      </c>
      <c r="F24" s="45">
        <f t="shared" ref="F24:K24" si="16">F16*4</f>
        <v>268876.32</v>
      </c>
      <c r="G24" s="45">
        <f t="shared" si="16"/>
        <v>66129.600000000006</v>
      </c>
      <c r="H24" s="45">
        <f t="shared" si="16"/>
        <v>55200</v>
      </c>
      <c r="I24" s="45">
        <f t="shared" si="16"/>
        <v>135585.60000000001</v>
      </c>
      <c r="J24" s="45">
        <f t="shared" si="16"/>
        <v>148000</v>
      </c>
      <c r="K24" s="45">
        <f t="shared" si="16"/>
        <v>18283.2</v>
      </c>
      <c r="L24" s="36">
        <f t="shared" si="1"/>
        <v>1034406.72</v>
      </c>
    </row>
    <row r="25" spans="1:12">
      <c r="A25" s="33" t="s">
        <v>233</v>
      </c>
      <c r="B25" s="34" t="s">
        <v>234</v>
      </c>
      <c r="C25" s="34"/>
      <c r="D25" s="35" t="s">
        <v>183</v>
      </c>
      <c r="E25" s="36">
        <f>E26</f>
        <v>2738656</v>
      </c>
      <c r="F25" s="36">
        <f t="shared" ref="F25:K25" si="17">F26</f>
        <v>2151010.56</v>
      </c>
      <c r="G25" s="36">
        <f t="shared" si="17"/>
        <v>529036.80000000005</v>
      </c>
      <c r="H25" s="36">
        <f t="shared" si="17"/>
        <v>441600</v>
      </c>
      <c r="I25" s="36">
        <f t="shared" si="17"/>
        <v>1084684.8</v>
      </c>
      <c r="J25" s="36">
        <f t="shared" si="17"/>
        <v>1184000</v>
      </c>
      <c r="K25" s="36">
        <f t="shared" si="17"/>
        <v>146265.60000000001</v>
      </c>
      <c r="L25" s="36">
        <f t="shared" si="1"/>
        <v>8275253.7599999998</v>
      </c>
    </row>
    <row r="26" spans="1:12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2738656</v>
      </c>
      <c r="F26" s="36">
        <f t="shared" ref="F26:K26" si="18">F16*32</f>
        <v>2151010.56</v>
      </c>
      <c r="G26" s="36">
        <f t="shared" si="18"/>
        <v>529036.80000000005</v>
      </c>
      <c r="H26" s="36">
        <f t="shared" si="18"/>
        <v>441600</v>
      </c>
      <c r="I26" s="36">
        <f t="shared" si="18"/>
        <v>1084684.8</v>
      </c>
      <c r="J26" s="36">
        <f t="shared" si="18"/>
        <v>1184000</v>
      </c>
      <c r="K26" s="36">
        <f t="shared" si="18"/>
        <v>146265.60000000001</v>
      </c>
      <c r="L26" s="36">
        <f t="shared" si="1"/>
        <v>8275253.7599999998</v>
      </c>
    </row>
    <row r="27" spans="1:12">
      <c r="A27" s="33" t="s">
        <v>238</v>
      </c>
      <c r="B27" s="34" t="s">
        <v>239</v>
      </c>
      <c r="C27" s="34"/>
      <c r="D27" s="35" t="s">
        <v>183</v>
      </c>
      <c r="E27" s="36">
        <f>E28</f>
        <v>1369328</v>
      </c>
      <c r="F27" s="36">
        <f t="shared" ref="F27:K27" si="19">F28</f>
        <v>1075505.28</v>
      </c>
      <c r="G27" s="36">
        <f t="shared" si="19"/>
        <v>264518.40000000002</v>
      </c>
      <c r="H27" s="36">
        <f t="shared" si="19"/>
        <v>220800</v>
      </c>
      <c r="I27" s="36">
        <f t="shared" si="19"/>
        <v>542342.40000000002</v>
      </c>
      <c r="J27" s="36">
        <f t="shared" si="19"/>
        <v>592000</v>
      </c>
      <c r="K27" s="36">
        <f t="shared" si="19"/>
        <v>73132.800000000003</v>
      </c>
      <c r="L27" s="36">
        <f t="shared" si="1"/>
        <v>4137626.88</v>
      </c>
    </row>
    <row r="28" spans="1:12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1369328</v>
      </c>
      <c r="F28" s="36">
        <f t="shared" ref="F28:K28" si="20">F16*16</f>
        <v>1075505.28</v>
      </c>
      <c r="G28" s="36">
        <f t="shared" si="20"/>
        <v>264518.40000000002</v>
      </c>
      <c r="H28" s="36">
        <f t="shared" si="20"/>
        <v>220800</v>
      </c>
      <c r="I28" s="36">
        <f t="shared" si="20"/>
        <v>542342.40000000002</v>
      </c>
      <c r="J28" s="36">
        <f t="shared" si="20"/>
        <v>592000</v>
      </c>
      <c r="K28" s="36">
        <f t="shared" si="20"/>
        <v>73132.800000000003</v>
      </c>
      <c r="L28" s="36">
        <f t="shared" si="1"/>
        <v>4137626.88</v>
      </c>
    </row>
    <row r="29" spans="1:12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796800</v>
      </c>
      <c r="F29" s="36">
        <f t="shared" ref="F29:K29" si="21">9600*F96</f>
        <v>681600</v>
      </c>
      <c r="G29" s="36">
        <f t="shared" si="21"/>
        <v>182400</v>
      </c>
      <c r="H29" s="36">
        <f t="shared" si="21"/>
        <v>153600</v>
      </c>
      <c r="I29" s="36">
        <f t="shared" si="21"/>
        <v>355200</v>
      </c>
      <c r="J29" s="36">
        <f t="shared" si="21"/>
        <v>422400</v>
      </c>
      <c r="K29" s="36">
        <f t="shared" si="21"/>
        <v>38400</v>
      </c>
      <c r="L29" s="36">
        <f t="shared" si="1"/>
        <v>2630400</v>
      </c>
    </row>
    <row r="30" spans="1:12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1198162</v>
      </c>
      <c r="F30" s="45">
        <f t="shared" ref="F30:K30" si="22">F16*14</f>
        <v>941067.12</v>
      </c>
      <c r="G30" s="45">
        <f t="shared" si="22"/>
        <v>231453.60000000003</v>
      </c>
      <c r="H30" s="45">
        <f t="shared" si="22"/>
        <v>193200</v>
      </c>
      <c r="I30" s="45">
        <f t="shared" si="22"/>
        <v>474549.60000000003</v>
      </c>
      <c r="J30" s="45">
        <f t="shared" si="22"/>
        <v>518000</v>
      </c>
      <c r="K30" s="45">
        <f t="shared" si="22"/>
        <v>63991.200000000004</v>
      </c>
      <c r="L30" s="36">
        <f t="shared" si="1"/>
        <v>3620423.5200000005</v>
      </c>
    </row>
    <row r="31" spans="1:12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13770</v>
      </c>
      <c r="F31" s="36">
        <f t="shared" ref="F31:K31" si="23">F32+F40+F42+F45+F47</f>
        <v>7680</v>
      </c>
      <c r="G31" s="36">
        <f t="shared" si="23"/>
        <v>6240</v>
      </c>
      <c r="H31" s="36">
        <f t="shared" si="23"/>
        <v>1800</v>
      </c>
      <c r="I31" s="36">
        <f t="shared" si="23"/>
        <v>9000</v>
      </c>
      <c r="J31" s="36">
        <f t="shared" si="23"/>
        <v>4080</v>
      </c>
      <c r="K31" s="36">
        <f t="shared" si="23"/>
        <v>0</v>
      </c>
      <c r="L31" s="36">
        <f t="shared" si="1"/>
        <v>42570</v>
      </c>
    </row>
    <row r="32" spans="1:12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K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1"/>
        <v>0</v>
      </c>
    </row>
    <row r="33" spans="1:12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36">
        <f t="shared" si="1"/>
        <v>0</v>
      </c>
    </row>
    <row r="34" spans="1:12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36">
        <f t="shared" si="1"/>
        <v>0</v>
      </c>
    </row>
    <row r="35" spans="1:12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36">
        <f t="shared" si="1"/>
        <v>0</v>
      </c>
    </row>
    <row r="36" spans="1:12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36">
        <f t="shared" si="1"/>
        <v>0</v>
      </c>
    </row>
    <row r="37" spans="1:12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36">
        <f t="shared" si="1"/>
        <v>0</v>
      </c>
    </row>
    <row r="38" spans="1:12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36">
        <f t="shared" si="1"/>
        <v>0</v>
      </c>
    </row>
    <row r="39" spans="1:12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36">
        <f t="shared" si="1"/>
        <v>0</v>
      </c>
    </row>
    <row r="40" spans="1:12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K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1"/>
        <v>0</v>
      </c>
    </row>
    <row r="41" spans="1:12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36">
        <f t="shared" si="1"/>
        <v>0</v>
      </c>
    </row>
    <row r="42" spans="1:12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K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1"/>
        <v>0</v>
      </c>
    </row>
    <row r="43" spans="1:12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36">
        <f t="shared" si="1"/>
        <v>0</v>
      </c>
    </row>
    <row r="44" spans="1:12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36">
        <f t="shared" si="1"/>
        <v>0</v>
      </c>
    </row>
    <row r="45" spans="1:12">
      <c r="A45" s="33" t="s">
        <v>280</v>
      </c>
      <c r="B45" s="34" t="s">
        <v>281</v>
      </c>
      <c r="C45" s="34"/>
      <c r="D45" s="35" t="s">
        <v>183</v>
      </c>
      <c r="E45" s="36">
        <f>E46</f>
        <v>5970</v>
      </c>
      <c r="F45" s="36">
        <f t="shared" ref="F45:K45" si="27">F46</f>
        <v>4680</v>
      </c>
      <c r="G45" s="36">
        <f t="shared" si="27"/>
        <v>1440</v>
      </c>
      <c r="H45" s="36">
        <f t="shared" si="27"/>
        <v>1800</v>
      </c>
      <c r="I45" s="36">
        <f t="shared" si="27"/>
        <v>6000</v>
      </c>
      <c r="J45" s="36">
        <f t="shared" si="27"/>
        <v>1080</v>
      </c>
      <c r="K45" s="36">
        <f t="shared" si="27"/>
        <v>0</v>
      </c>
      <c r="L45" s="36">
        <f t="shared" si="1"/>
        <v>20970</v>
      </c>
    </row>
    <row r="46" spans="1:12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5970</v>
      </c>
      <c r="F46" s="37">
        <v>4680</v>
      </c>
      <c r="G46" s="37">
        <v>1440</v>
      </c>
      <c r="H46" s="37">
        <f>150*12</f>
        <v>1800</v>
      </c>
      <c r="I46" s="37">
        <v>6000</v>
      </c>
      <c r="J46" s="91">
        <f>3*30*12</f>
        <v>1080</v>
      </c>
      <c r="K46" s="37"/>
      <c r="L46" s="36">
        <f t="shared" si="1"/>
        <v>20970</v>
      </c>
    </row>
    <row r="47" spans="1:12">
      <c r="A47" s="33" t="s">
        <v>284</v>
      </c>
      <c r="B47" s="34" t="s">
        <v>285</v>
      </c>
      <c r="C47" s="34"/>
      <c r="D47" s="35" t="s">
        <v>183</v>
      </c>
      <c r="E47" s="36">
        <f>SUM(E48:E51)</f>
        <v>7800</v>
      </c>
      <c r="F47" s="36">
        <f t="shared" ref="F47:K47" si="28">SUM(F48:F51)</f>
        <v>3000</v>
      </c>
      <c r="G47" s="36">
        <f t="shared" si="28"/>
        <v>4800</v>
      </c>
      <c r="H47" s="36">
        <f t="shared" si="28"/>
        <v>0</v>
      </c>
      <c r="I47" s="36">
        <f t="shared" si="28"/>
        <v>3000</v>
      </c>
      <c r="J47" s="36">
        <f t="shared" si="28"/>
        <v>3000</v>
      </c>
      <c r="K47" s="36">
        <f t="shared" si="28"/>
        <v>0</v>
      </c>
      <c r="L47" s="36">
        <f t="shared" si="1"/>
        <v>21600</v>
      </c>
    </row>
    <row r="48" spans="1:12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7800</v>
      </c>
      <c r="F48" s="37">
        <v>3000</v>
      </c>
      <c r="G48" s="37">
        <v>4800</v>
      </c>
      <c r="H48" s="37"/>
      <c r="I48" s="37">
        <v>3000</v>
      </c>
      <c r="J48" s="91">
        <f>5*50*12</f>
        <v>3000</v>
      </c>
      <c r="K48" s="37"/>
      <c r="L48" s="36">
        <f t="shared" si="1"/>
        <v>21600</v>
      </c>
    </row>
    <row r="49" spans="1:12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36">
        <f t="shared" si="1"/>
        <v>0</v>
      </c>
    </row>
    <row r="50" spans="1:12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36">
        <f t="shared" si="1"/>
        <v>0</v>
      </c>
    </row>
    <row r="51" spans="1:12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36">
        <f t="shared" si="1"/>
        <v>0</v>
      </c>
    </row>
    <row r="52" spans="1:12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3622083</v>
      </c>
      <c r="F52" s="36">
        <f t="shared" ref="F52:K52" si="29">F53+F71+F73+F75+F77+F79+F81+F83+F85+F93</f>
        <v>3512965.82</v>
      </c>
      <c r="G52" s="36">
        <f t="shared" si="29"/>
        <v>2192304.6</v>
      </c>
      <c r="H52" s="36">
        <f t="shared" si="29"/>
        <v>1027525</v>
      </c>
      <c r="I52" s="36">
        <f t="shared" si="29"/>
        <v>1522525.1</v>
      </c>
      <c r="J52" s="36">
        <f t="shared" si="29"/>
        <v>2274710.2000000002</v>
      </c>
      <c r="K52" s="36">
        <f t="shared" si="29"/>
        <v>266163.20000000001</v>
      </c>
      <c r="L52" s="36">
        <f t="shared" si="1"/>
        <v>14418276.919999998</v>
      </c>
    </row>
    <row r="53" spans="1:12">
      <c r="A53" s="33" t="s">
        <v>299</v>
      </c>
      <c r="B53" s="34" t="s">
        <v>300</v>
      </c>
      <c r="C53" s="34"/>
      <c r="D53" s="35" t="s">
        <v>301</v>
      </c>
      <c r="E53" s="36">
        <f>SUM(E54:E70)</f>
        <v>1904560</v>
      </c>
      <c r="F53" s="36">
        <f t="shared" ref="F53:K53" si="30">SUM(F54:F70)</f>
        <v>2391410</v>
      </c>
      <c r="G53" s="36">
        <f t="shared" si="30"/>
        <v>1614000</v>
      </c>
      <c r="H53" s="36">
        <f t="shared" si="30"/>
        <v>798000</v>
      </c>
      <c r="I53" s="36">
        <f t="shared" si="30"/>
        <v>1056020</v>
      </c>
      <c r="J53" s="36">
        <f t="shared" si="30"/>
        <v>1596000</v>
      </c>
      <c r="K53" s="36">
        <f t="shared" si="30"/>
        <v>128000</v>
      </c>
      <c r="L53" s="36">
        <f t="shared" si="1"/>
        <v>9487990</v>
      </c>
    </row>
    <row r="54" spans="1:12">
      <c r="A54" s="33" t="s">
        <v>302</v>
      </c>
      <c r="B54" s="34" t="s">
        <v>303</v>
      </c>
      <c r="C54" s="34" t="s">
        <v>189</v>
      </c>
      <c r="D54" s="47"/>
      <c r="E54" s="37">
        <v>726103</v>
      </c>
      <c r="F54" s="37">
        <v>400000</v>
      </c>
      <c r="G54" s="37">
        <v>150000</v>
      </c>
      <c r="H54" s="37">
        <v>325030</v>
      </c>
      <c r="I54" s="37">
        <v>274680</v>
      </c>
      <c r="J54" s="91">
        <v>594403</v>
      </c>
      <c r="K54" s="37">
        <v>121600</v>
      </c>
      <c r="L54" s="36">
        <f t="shared" si="1"/>
        <v>2591816</v>
      </c>
    </row>
    <row r="55" spans="1:12">
      <c r="A55" s="33" t="s">
        <v>304</v>
      </c>
      <c r="B55" s="34" t="s">
        <v>305</v>
      </c>
      <c r="C55" s="34" t="s">
        <v>189</v>
      </c>
      <c r="D55" s="47"/>
      <c r="E55" s="37">
        <v>70000</v>
      </c>
      <c r="F55" s="37">
        <v>70000</v>
      </c>
      <c r="G55" s="37"/>
      <c r="H55" s="37">
        <v>0</v>
      </c>
      <c r="I55" s="37"/>
      <c r="J55" s="91"/>
      <c r="K55" s="37"/>
      <c r="L55" s="36">
        <f t="shared" si="1"/>
        <v>140000</v>
      </c>
    </row>
    <row r="56" spans="1:12">
      <c r="A56" s="33" t="s">
        <v>306</v>
      </c>
      <c r="B56" s="34" t="s">
        <v>307</v>
      </c>
      <c r="C56" s="34" t="s">
        <v>189</v>
      </c>
      <c r="D56" s="47"/>
      <c r="E56" s="37">
        <v>15000</v>
      </c>
      <c r="F56" s="37"/>
      <c r="G56" s="37"/>
      <c r="H56" s="37">
        <v>5000</v>
      </c>
      <c r="I56" s="37"/>
      <c r="J56" s="91"/>
      <c r="K56" s="37"/>
      <c r="L56" s="36">
        <f t="shared" si="1"/>
        <v>20000</v>
      </c>
    </row>
    <row r="57" spans="1:12">
      <c r="A57" s="33" t="s">
        <v>308</v>
      </c>
      <c r="B57" s="34" t="s">
        <v>309</v>
      </c>
      <c r="C57" s="34" t="s">
        <v>189</v>
      </c>
      <c r="D57" s="47"/>
      <c r="E57" s="37">
        <v>65000</v>
      </c>
      <c r="F57" s="37">
        <v>50000</v>
      </c>
      <c r="G57" s="37">
        <v>20000</v>
      </c>
      <c r="H57" s="37">
        <v>8000</v>
      </c>
      <c r="I57" s="37">
        <v>25000</v>
      </c>
      <c r="J57" s="91">
        <v>60000</v>
      </c>
      <c r="K57" s="37"/>
      <c r="L57" s="36">
        <f t="shared" si="1"/>
        <v>228000</v>
      </c>
    </row>
    <row r="58" spans="1:12">
      <c r="A58" s="33" t="s">
        <v>310</v>
      </c>
      <c r="B58" s="34" t="s">
        <v>311</v>
      </c>
      <c r="C58" s="34" t="s">
        <v>189</v>
      </c>
      <c r="D58" s="47"/>
      <c r="E58" s="37">
        <v>200000</v>
      </c>
      <c r="F58" s="37">
        <v>90000</v>
      </c>
      <c r="G58" s="37">
        <v>40000</v>
      </c>
      <c r="H58" s="37">
        <v>40000</v>
      </c>
      <c r="I58" s="37">
        <v>80000</v>
      </c>
      <c r="J58" s="91">
        <v>160000</v>
      </c>
      <c r="K58" s="37"/>
      <c r="L58" s="36">
        <f t="shared" si="1"/>
        <v>610000</v>
      </c>
    </row>
    <row r="59" spans="1:12">
      <c r="A59" s="33" t="s">
        <v>312</v>
      </c>
      <c r="B59" s="34" t="s">
        <v>313</v>
      </c>
      <c r="C59" s="34" t="s">
        <v>189</v>
      </c>
      <c r="D59" s="47"/>
      <c r="E59" s="37">
        <v>10000</v>
      </c>
      <c r="F59" s="37">
        <v>5000</v>
      </c>
      <c r="G59" s="37">
        <v>5000</v>
      </c>
      <c r="H59" s="37">
        <v>5000</v>
      </c>
      <c r="I59" s="37">
        <v>4500</v>
      </c>
      <c r="J59" s="91">
        <v>8000</v>
      </c>
      <c r="K59" s="37"/>
      <c r="L59" s="36">
        <f t="shared" si="1"/>
        <v>37500</v>
      </c>
    </row>
    <row r="60" spans="1:12">
      <c r="A60" s="33" t="s">
        <v>314</v>
      </c>
      <c r="B60" s="34" t="s">
        <v>315</v>
      </c>
      <c r="C60" s="34" t="s">
        <v>189</v>
      </c>
      <c r="D60" s="47"/>
      <c r="E60" s="37">
        <v>50000</v>
      </c>
      <c r="F60" s="37">
        <v>20000</v>
      </c>
      <c r="G60" s="37">
        <v>5000</v>
      </c>
      <c r="H60" s="37">
        <v>20000</v>
      </c>
      <c r="I60" s="37">
        <v>15000</v>
      </c>
      <c r="J60" s="91">
        <v>10000</v>
      </c>
      <c r="K60" s="37"/>
      <c r="L60" s="36">
        <f t="shared" si="1"/>
        <v>120000</v>
      </c>
    </row>
    <row r="61" spans="1:12">
      <c r="A61" s="33" t="s">
        <v>316</v>
      </c>
      <c r="B61" s="34" t="s">
        <v>317</v>
      </c>
      <c r="C61" s="34" t="s">
        <v>189</v>
      </c>
      <c r="D61" s="47"/>
      <c r="E61" s="37">
        <v>60000</v>
      </c>
      <c r="F61" s="37">
        <v>160000</v>
      </c>
      <c r="G61" s="37">
        <v>200000</v>
      </c>
      <c r="H61" s="37">
        <v>30000</v>
      </c>
      <c r="I61" s="37">
        <v>100000</v>
      </c>
      <c r="J61" s="91">
        <v>250000</v>
      </c>
      <c r="K61" s="37"/>
      <c r="L61" s="36">
        <f t="shared" si="1"/>
        <v>800000</v>
      </c>
    </row>
    <row r="62" spans="1:12">
      <c r="A62" s="33" t="s">
        <v>318</v>
      </c>
      <c r="B62" s="34" t="s">
        <v>319</v>
      </c>
      <c r="C62" s="34" t="s">
        <v>189</v>
      </c>
      <c r="D62" s="47"/>
      <c r="E62" s="37">
        <v>0</v>
      </c>
      <c r="F62" s="37">
        <v>10000</v>
      </c>
      <c r="G62" s="37"/>
      <c r="H62" s="37">
        <v>0</v>
      </c>
      <c r="I62" s="37"/>
      <c r="J62" s="91">
        <v>1000</v>
      </c>
      <c r="K62" s="37"/>
      <c r="L62" s="36">
        <f t="shared" si="1"/>
        <v>11000</v>
      </c>
    </row>
    <row r="63" spans="1:12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95228</v>
      </c>
      <c r="F63" s="37">
        <v>119570.5</v>
      </c>
      <c r="G63" s="37">
        <v>17619.5</v>
      </c>
      <c r="H63" s="37">
        <v>11970</v>
      </c>
      <c r="I63" s="37">
        <v>52801</v>
      </c>
      <c r="J63" s="91">
        <v>67697</v>
      </c>
      <c r="K63" s="37">
        <v>6400</v>
      </c>
      <c r="L63" s="36">
        <f t="shared" si="1"/>
        <v>371286</v>
      </c>
    </row>
    <row r="64" spans="1:12">
      <c r="A64" s="33" t="s">
        <v>324</v>
      </c>
      <c r="B64" s="34" t="s">
        <v>325</v>
      </c>
      <c r="C64" s="34" t="s">
        <v>189</v>
      </c>
      <c r="D64" s="47"/>
      <c r="E64" s="37">
        <v>10000</v>
      </c>
      <c r="F64" s="37">
        <v>20000</v>
      </c>
      <c r="G64" s="37">
        <v>5000</v>
      </c>
      <c r="H64" s="37">
        <v>2000</v>
      </c>
      <c r="I64" s="37">
        <v>2000</v>
      </c>
      <c r="J64" s="91">
        <v>1000</v>
      </c>
      <c r="K64" s="37"/>
      <c r="L64" s="36">
        <f t="shared" si="1"/>
        <v>40000</v>
      </c>
    </row>
    <row r="65" spans="1:12">
      <c r="A65" s="33" t="s">
        <v>326</v>
      </c>
      <c r="B65" s="34" t="s">
        <v>327</v>
      </c>
      <c r="C65" s="34" t="s">
        <v>189</v>
      </c>
      <c r="D65" s="47"/>
      <c r="E65" s="37">
        <v>80000</v>
      </c>
      <c r="F65" s="37">
        <v>200000</v>
      </c>
      <c r="G65" s="37"/>
      <c r="H65" s="37">
        <v>0</v>
      </c>
      <c r="I65" s="37"/>
      <c r="J65" s="91"/>
      <c r="K65" s="37"/>
      <c r="L65" s="36">
        <f t="shared" si="1"/>
        <v>280000</v>
      </c>
    </row>
    <row r="66" spans="1:12">
      <c r="A66" s="33" t="s">
        <v>328</v>
      </c>
      <c r="B66" s="34" t="s">
        <v>329</v>
      </c>
      <c r="C66" s="34" t="s">
        <v>189</v>
      </c>
      <c r="D66" s="47"/>
      <c r="E66" s="37">
        <v>30000</v>
      </c>
      <c r="F66" s="37">
        <v>20000</v>
      </c>
      <c r="G66" s="37">
        <v>10000</v>
      </c>
      <c r="H66" s="37">
        <v>10000</v>
      </c>
      <c r="I66" s="37">
        <v>10000</v>
      </c>
      <c r="J66" s="91">
        <v>10000</v>
      </c>
      <c r="K66" s="37"/>
      <c r="L66" s="36">
        <f t="shared" si="1"/>
        <v>90000</v>
      </c>
    </row>
    <row r="67" spans="1:12">
      <c r="A67" s="33" t="s">
        <v>330</v>
      </c>
      <c r="B67" s="34" t="s">
        <v>331</v>
      </c>
      <c r="C67" s="34" t="s">
        <v>189</v>
      </c>
      <c r="D67" s="47"/>
      <c r="E67" s="37">
        <v>200000</v>
      </c>
      <c r="F67" s="37">
        <v>550000</v>
      </c>
      <c r="G67" s="37">
        <v>565279.5</v>
      </c>
      <c r="H67" s="37">
        <v>50000</v>
      </c>
      <c r="I67" s="37">
        <v>160000</v>
      </c>
      <c r="J67" s="91">
        <v>79500</v>
      </c>
      <c r="K67" s="37"/>
      <c r="L67" s="36">
        <f t="shared" ref="L67:L109" si="31">SUM(E67:K67)</f>
        <v>1604779.5</v>
      </c>
    </row>
    <row r="68" spans="1:12">
      <c r="A68" s="33" t="s">
        <v>332</v>
      </c>
      <c r="B68" s="34" t="s">
        <v>333</v>
      </c>
      <c r="C68" s="34" t="s">
        <v>189</v>
      </c>
      <c r="D68" s="47"/>
      <c r="E68" s="37">
        <v>123229</v>
      </c>
      <c r="F68" s="37">
        <v>176839.5</v>
      </c>
      <c r="G68" s="37">
        <v>8000</v>
      </c>
      <c r="H68" s="37">
        <f>1000+120000+10000</f>
        <v>131000</v>
      </c>
      <c r="I68" s="37">
        <v>32039</v>
      </c>
      <c r="J68" s="91">
        <v>239400</v>
      </c>
      <c r="K68" s="37"/>
      <c r="L68" s="36">
        <f t="shared" si="31"/>
        <v>710507.5</v>
      </c>
    </row>
    <row r="69" spans="1:12">
      <c r="A69" s="33" t="s">
        <v>334</v>
      </c>
      <c r="B69" s="34" t="s">
        <v>335</v>
      </c>
      <c r="C69" s="34" t="s">
        <v>189</v>
      </c>
      <c r="D69" s="47"/>
      <c r="E69" s="37">
        <v>120000</v>
      </c>
      <c r="F69" s="37">
        <v>500000</v>
      </c>
      <c r="G69" s="37"/>
      <c r="H69" s="37">
        <v>110000</v>
      </c>
      <c r="I69" s="37">
        <v>300000</v>
      </c>
      <c r="J69" s="91">
        <v>40000</v>
      </c>
      <c r="K69" s="37"/>
      <c r="L69" s="36">
        <f t="shared" si="31"/>
        <v>1070000</v>
      </c>
    </row>
    <row r="70" spans="1:12">
      <c r="A70" s="33" t="s">
        <v>336</v>
      </c>
      <c r="B70" s="34" t="s">
        <v>337</v>
      </c>
      <c r="C70" s="34" t="s">
        <v>189</v>
      </c>
      <c r="D70" s="47"/>
      <c r="E70" s="37">
        <v>50000</v>
      </c>
      <c r="F70" s="37"/>
      <c r="G70" s="37">
        <v>588101</v>
      </c>
      <c r="H70" s="37">
        <v>50000</v>
      </c>
      <c r="I70" s="37"/>
      <c r="J70" s="91">
        <v>75000</v>
      </c>
      <c r="K70" s="37"/>
      <c r="L70" s="36">
        <f t="shared" si="31"/>
        <v>763101</v>
      </c>
    </row>
    <row r="71" spans="1:12">
      <c r="A71" s="33" t="s">
        <v>338</v>
      </c>
      <c r="B71" s="34" t="s">
        <v>339</v>
      </c>
      <c r="C71" s="34"/>
      <c r="D71" s="35"/>
      <c r="E71" s="36">
        <f>E72</f>
        <v>33200</v>
      </c>
      <c r="F71" s="36">
        <f t="shared" ref="F71:K71" si="32">F72</f>
        <v>28400</v>
      </c>
      <c r="G71" s="36">
        <f t="shared" si="32"/>
        <v>7600</v>
      </c>
      <c r="H71" s="36">
        <f t="shared" si="32"/>
        <v>6400</v>
      </c>
      <c r="I71" s="36">
        <f t="shared" si="32"/>
        <v>14800</v>
      </c>
      <c r="J71" s="36">
        <f t="shared" si="32"/>
        <v>17600</v>
      </c>
      <c r="K71" s="36">
        <f t="shared" si="32"/>
        <v>1600</v>
      </c>
      <c r="L71" s="36">
        <f t="shared" si="31"/>
        <v>109600</v>
      </c>
    </row>
    <row r="72" spans="1:12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33200</v>
      </c>
      <c r="F72" s="36">
        <f t="shared" ref="F72:K72" si="33">F96*400</f>
        <v>28400</v>
      </c>
      <c r="G72" s="36">
        <f t="shared" si="33"/>
        <v>7600</v>
      </c>
      <c r="H72" s="36">
        <f t="shared" si="33"/>
        <v>6400</v>
      </c>
      <c r="I72" s="36">
        <f t="shared" si="33"/>
        <v>14800</v>
      </c>
      <c r="J72" s="36">
        <f t="shared" si="33"/>
        <v>17600</v>
      </c>
      <c r="K72" s="36">
        <f t="shared" si="33"/>
        <v>1600</v>
      </c>
      <c r="L72" s="36">
        <f t="shared" si="31"/>
        <v>109600</v>
      </c>
    </row>
    <row r="73" spans="1:12">
      <c r="A73" s="33" t="s">
        <v>343</v>
      </c>
      <c r="B73" s="34" t="s">
        <v>344</v>
      </c>
      <c r="C73" s="34"/>
      <c r="D73" s="35" t="s">
        <v>183</v>
      </c>
      <c r="E73" s="36">
        <f>E74</f>
        <v>512967.00000000006</v>
      </c>
      <c r="F73" s="36">
        <f t="shared" ref="F73:K73" si="34">F74</f>
        <v>100471.5</v>
      </c>
      <c r="G73" s="36">
        <f t="shared" si="34"/>
        <v>297375</v>
      </c>
      <c r="H73" s="36">
        <f t="shared" si="34"/>
        <v>22725</v>
      </c>
      <c r="I73" s="36">
        <f t="shared" si="34"/>
        <v>86839.5</v>
      </c>
      <c r="J73" s="36">
        <f t="shared" si="34"/>
        <v>224590.2</v>
      </c>
      <c r="K73" s="36">
        <f t="shared" si="34"/>
        <v>45000</v>
      </c>
      <c r="L73" s="36">
        <f t="shared" si="31"/>
        <v>1289968.2</v>
      </c>
    </row>
    <row r="74" spans="1:12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512967.00000000006</v>
      </c>
      <c r="F74" s="36">
        <f t="shared" ref="F74:K74" si="35">F108*15</f>
        <v>100471.5</v>
      </c>
      <c r="G74" s="36">
        <f t="shared" si="35"/>
        <v>297375</v>
      </c>
      <c r="H74" s="36">
        <f t="shared" si="35"/>
        <v>22725</v>
      </c>
      <c r="I74" s="36">
        <f t="shared" si="35"/>
        <v>86839.5</v>
      </c>
      <c r="J74" s="36">
        <f t="shared" si="35"/>
        <v>224590.2</v>
      </c>
      <c r="K74" s="36">
        <f t="shared" si="35"/>
        <v>45000</v>
      </c>
      <c r="L74" s="36">
        <f t="shared" si="31"/>
        <v>1289968.2</v>
      </c>
    </row>
    <row r="75" spans="1:12">
      <c r="A75" s="33" t="s">
        <v>348</v>
      </c>
      <c r="B75" s="34" t="s">
        <v>349</v>
      </c>
      <c r="C75" s="34"/>
      <c r="D75" s="35" t="s">
        <v>183</v>
      </c>
      <c r="E75" s="36">
        <f>E76</f>
        <v>178864</v>
      </c>
      <c r="F75" s="36">
        <f t="shared" ref="F75:K75" si="36">F76</f>
        <v>40528</v>
      </c>
      <c r="G75" s="36">
        <f t="shared" si="36"/>
        <v>93120</v>
      </c>
      <c r="H75" s="36">
        <f t="shared" si="36"/>
        <v>1600</v>
      </c>
      <c r="I75" s="36">
        <f t="shared" si="36"/>
        <v>28000</v>
      </c>
      <c r="J75" s="36">
        <f t="shared" si="36"/>
        <v>66440</v>
      </c>
      <c r="K75" s="36">
        <f t="shared" si="36"/>
        <v>24000</v>
      </c>
      <c r="L75" s="36">
        <f t="shared" si="31"/>
        <v>432552</v>
      </c>
    </row>
    <row r="76" spans="1:12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178864</v>
      </c>
      <c r="F76" s="36">
        <f t="shared" ref="F76:K76" si="37">F109*8</f>
        <v>40528</v>
      </c>
      <c r="G76" s="36">
        <f t="shared" si="37"/>
        <v>93120</v>
      </c>
      <c r="H76" s="36">
        <f t="shared" si="37"/>
        <v>1600</v>
      </c>
      <c r="I76" s="36">
        <f t="shared" si="37"/>
        <v>28000</v>
      </c>
      <c r="J76" s="36">
        <f t="shared" si="37"/>
        <v>66440</v>
      </c>
      <c r="K76" s="36">
        <f t="shared" si="37"/>
        <v>24000</v>
      </c>
      <c r="L76" s="36">
        <f t="shared" si="31"/>
        <v>432552</v>
      </c>
    </row>
    <row r="77" spans="1:12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K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1"/>
        <v>0</v>
      </c>
    </row>
    <row r="78" spans="1:12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36">
        <f t="shared" si="31"/>
        <v>0</v>
      </c>
    </row>
    <row r="79" spans="1:12">
      <c r="A79" s="33" t="s">
        <v>357</v>
      </c>
      <c r="B79" s="34" t="s">
        <v>358</v>
      </c>
      <c r="C79" s="34"/>
      <c r="D79" s="35" t="s">
        <v>183</v>
      </c>
      <c r="E79" s="36">
        <f>E80</f>
        <v>358560</v>
      </c>
      <c r="F79" s="36">
        <f t="shared" ref="F79:K79" si="39">F80</f>
        <v>306720</v>
      </c>
      <c r="G79" s="36">
        <f t="shared" si="39"/>
        <v>82080</v>
      </c>
      <c r="H79" s="36">
        <f t="shared" si="39"/>
        <v>69120</v>
      </c>
      <c r="I79" s="36">
        <f t="shared" si="39"/>
        <v>159840</v>
      </c>
      <c r="J79" s="36">
        <f t="shared" si="39"/>
        <v>190080</v>
      </c>
      <c r="K79" s="36">
        <f t="shared" si="39"/>
        <v>17280</v>
      </c>
      <c r="L79" s="36">
        <f t="shared" si="31"/>
        <v>1183680</v>
      </c>
    </row>
    <row r="80" spans="1:12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358560</v>
      </c>
      <c r="F80" s="36">
        <f t="shared" ref="F80:K80" si="40">F96*4320</f>
        <v>306720</v>
      </c>
      <c r="G80" s="36">
        <f t="shared" si="40"/>
        <v>82080</v>
      </c>
      <c r="H80" s="36">
        <f t="shared" si="40"/>
        <v>69120</v>
      </c>
      <c r="I80" s="36">
        <f t="shared" si="40"/>
        <v>159840</v>
      </c>
      <c r="J80" s="36">
        <f t="shared" si="40"/>
        <v>190080</v>
      </c>
      <c r="K80" s="36">
        <f t="shared" si="40"/>
        <v>17280</v>
      </c>
      <c r="L80" s="36">
        <f t="shared" si="31"/>
        <v>1183680</v>
      </c>
    </row>
    <row r="81" spans="1:12">
      <c r="A81" s="33" t="s">
        <v>362</v>
      </c>
      <c r="B81" s="34" t="s">
        <v>363</v>
      </c>
      <c r="C81" s="34"/>
      <c r="D81" s="35" t="s">
        <v>183</v>
      </c>
      <c r="E81" s="36">
        <f>E82</f>
        <v>342332</v>
      </c>
      <c r="F81" s="36">
        <f t="shared" ref="F81:K81" si="41">F82</f>
        <v>268876.32</v>
      </c>
      <c r="G81" s="36">
        <f t="shared" si="41"/>
        <v>66129.600000000006</v>
      </c>
      <c r="H81" s="36">
        <f t="shared" si="41"/>
        <v>55200</v>
      </c>
      <c r="I81" s="36">
        <f t="shared" si="41"/>
        <v>135585.60000000001</v>
      </c>
      <c r="J81" s="36">
        <f t="shared" si="41"/>
        <v>148000</v>
      </c>
      <c r="K81" s="36">
        <f t="shared" si="41"/>
        <v>18283.2</v>
      </c>
      <c r="L81" s="36">
        <f t="shared" si="31"/>
        <v>1034406.72</v>
      </c>
    </row>
    <row r="82" spans="1:12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342332</v>
      </c>
      <c r="F82" s="36">
        <f t="shared" ref="F82:K82" si="42">F16*4</f>
        <v>268876.32</v>
      </c>
      <c r="G82" s="36">
        <f t="shared" si="42"/>
        <v>66129.600000000006</v>
      </c>
      <c r="H82" s="36">
        <f t="shared" si="42"/>
        <v>55200</v>
      </c>
      <c r="I82" s="36">
        <f t="shared" si="42"/>
        <v>135585.60000000001</v>
      </c>
      <c r="J82" s="36">
        <f t="shared" si="42"/>
        <v>148000</v>
      </c>
      <c r="K82" s="36">
        <f t="shared" si="42"/>
        <v>18283.2</v>
      </c>
      <c r="L82" s="36">
        <f t="shared" si="31"/>
        <v>1034406.72</v>
      </c>
    </row>
    <row r="83" spans="1:12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K83" si="43">F84</f>
        <v>32000</v>
      </c>
      <c r="G83" s="36">
        <f t="shared" si="43"/>
        <v>0</v>
      </c>
      <c r="H83" s="36">
        <f t="shared" si="43"/>
        <v>0</v>
      </c>
      <c r="I83" s="36">
        <f t="shared" si="43"/>
        <v>0</v>
      </c>
      <c r="J83" s="36">
        <f t="shared" si="43"/>
        <v>0</v>
      </c>
      <c r="K83" s="36">
        <f t="shared" si="43"/>
        <v>0</v>
      </c>
      <c r="L83" s="36">
        <f t="shared" si="31"/>
        <v>64000</v>
      </c>
    </row>
    <row r="84" spans="1:1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/>
      <c r="H84" s="37"/>
      <c r="I84" s="37"/>
      <c r="J84" s="37"/>
      <c r="K84" s="37"/>
      <c r="L84" s="36">
        <f t="shared" si="31"/>
        <v>64000</v>
      </c>
    </row>
    <row r="85" spans="1:12">
      <c r="A85" s="33" t="s">
        <v>371</v>
      </c>
      <c r="B85" s="34" t="s">
        <v>372</v>
      </c>
      <c r="C85" s="34"/>
      <c r="D85" s="35" t="s">
        <v>183</v>
      </c>
      <c r="E85" s="36">
        <f>E86+E89+E92</f>
        <v>259600</v>
      </c>
      <c r="F85" s="36">
        <f t="shared" ref="F85:K85" si="44">F86+F89+F92</f>
        <v>344560</v>
      </c>
      <c r="G85" s="36">
        <f t="shared" si="44"/>
        <v>0</v>
      </c>
      <c r="H85" s="36">
        <f t="shared" si="44"/>
        <v>42480</v>
      </c>
      <c r="I85" s="36">
        <f t="shared" si="44"/>
        <v>9440</v>
      </c>
      <c r="J85" s="36">
        <f t="shared" si="44"/>
        <v>0</v>
      </c>
      <c r="K85" s="36">
        <f t="shared" si="44"/>
        <v>0</v>
      </c>
      <c r="L85" s="36">
        <f t="shared" si="31"/>
        <v>656080</v>
      </c>
    </row>
    <row r="86" spans="1:12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K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31"/>
        <v>0</v>
      </c>
    </row>
    <row r="87" spans="1:12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36">
        <f t="shared" si="31"/>
        <v>0</v>
      </c>
    </row>
    <row r="88" spans="1:12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36">
        <f t="shared" si="31"/>
        <v>0</v>
      </c>
    </row>
    <row r="89" spans="1:12">
      <c r="A89" s="33" t="s">
        <v>380</v>
      </c>
      <c r="B89" s="34" t="s">
        <v>381</v>
      </c>
      <c r="C89" s="34"/>
      <c r="D89" s="35" t="s">
        <v>183</v>
      </c>
      <c r="E89" s="36">
        <f>E90+E91</f>
        <v>259600</v>
      </c>
      <c r="F89" s="36">
        <f t="shared" ref="F89:K89" si="46">F90+F91</f>
        <v>344560</v>
      </c>
      <c r="G89" s="36">
        <f t="shared" si="46"/>
        <v>0</v>
      </c>
      <c r="H89" s="36">
        <f t="shared" si="46"/>
        <v>42480</v>
      </c>
      <c r="I89" s="36">
        <f t="shared" si="46"/>
        <v>9440</v>
      </c>
      <c r="J89" s="36">
        <f t="shared" si="46"/>
        <v>0</v>
      </c>
      <c r="K89" s="36">
        <f t="shared" si="46"/>
        <v>0</v>
      </c>
      <c r="L89" s="36">
        <f t="shared" si="31"/>
        <v>656080</v>
      </c>
    </row>
    <row r="90" spans="1:12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22000</v>
      </c>
      <c r="F90" s="36">
        <f t="shared" ref="F90:K90" si="47">F107*400</f>
        <v>29200</v>
      </c>
      <c r="G90" s="36">
        <f t="shared" si="47"/>
        <v>0</v>
      </c>
      <c r="H90" s="36">
        <f t="shared" si="47"/>
        <v>3600</v>
      </c>
      <c r="I90" s="36">
        <f t="shared" si="47"/>
        <v>800</v>
      </c>
      <c r="J90" s="36">
        <f t="shared" si="47"/>
        <v>0</v>
      </c>
      <c r="K90" s="36">
        <f t="shared" si="47"/>
        <v>0</v>
      </c>
      <c r="L90" s="36">
        <f t="shared" si="31"/>
        <v>55600</v>
      </c>
    </row>
    <row r="91" spans="1:12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237600</v>
      </c>
      <c r="F91" s="36">
        <f t="shared" ref="F91:K91" si="48">F107*4320</f>
        <v>315360</v>
      </c>
      <c r="G91" s="36">
        <f t="shared" si="48"/>
        <v>0</v>
      </c>
      <c r="H91" s="36">
        <f t="shared" si="48"/>
        <v>38880</v>
      </c>
      <c r="I91" s="36">
        <f t="shared" si="48"/>
        <v>8640</v>
      </c>
      <c r="J91" s="36">
        <f t="shared" si="48"/>
        <v>0</v>
      </c>
      <c r="K91" s="36">
        <f t="shared" si="48"/>
        <v>0</v>
      </c>
      <c r="L91" s="36">
        <f t="shared" si="31"/>
        <v>600480</v>
      </c>
    </row>
    <row r="92" spans="1:12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36">
        <f t="shared" si="31"/>
        <v>0</v>
      </c>
    </row>
    <row r="93" spans="1:12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K93" si="49">F94</f>
        <v>0</v>
      </c>
      <c r="G93" s="36">
        <f t="shared" si="49"/>
        <v>32000</v>
      </c>
      <c r="H93" s="36">
        <f t="shared" si="49"/>
        <v>32000</v>
      </c>
      <c r="I93" s="36">
        <f t="shared" si="49"/>
        <v>32000</v>
      </c>
      <c r="J93" s="36">
        <f t="shared" si="49"/>
        <v>32000</v>
      </c>
      <c r="K93" s="36">
        <f t="shared" si="49"/>
        <v>32000</v>
      </c>
      <c r="L93" s="36">
        <f t="shared" si="31"/>
        <v>160000</v>
      </c>
    </row>
    <row r="94" spans="1:12" ht="57" thickBot="1">
      <c r="A94" s="33" t="s">
        <v>392</v>
      </c>
      <c r="B94" s="50" t="s">
        <v>393</v>
      </c>
      <c r="C94" s="34" t="s">
        <v>189</v>
      </c>
      <c r="D94" s="51" t="s">
        <v>521</v>
      </c>
      <c r="E94" s="52"/>
      <c r="F94" s="52"/>
      <c r="G94" s="37">
        <v>32000</v>
      </c>
      <c r="H94" s="37">
        <v>32000</v>
      </c>
      <c r="I94" s="37">
        <v>32000</v>
      </c>
      <c r="J94" s="37">
        <v>32000</v>
      </c>
      <c r="K94" s="37">
        <v>32000</v>
      </c>
      <c r="L94" s="36">
        <f t="shared" si="31"/>
        <v>160000</v>
      </c>
    </row>
    <row r="95" spans="1:1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36">
        <f t="shared" si="31"/>
        <v>0</v>
      </c>
    </row>
    <row r="96" spans="1:12" ht="22.5">
      <c r="A96" s="33" t="s">
        <v>397</v>
      </c>
      <c r="B96" s="34" t="s">
        <v>398</v>
      </c>
      <c r="C96" s="34"/>
      <c r="D96" s="35" t="s">
        <v>522</v>
      </c>
      <c r="E96" s="36">
        <f>E97+E98+E99+E100</f>
        <v>83</v>
      </c>
      <c r="F96" s="36">
        <f t="shared" ref="F96:K96" si="50">F97+F98+F99+F100</f>
        <v>71</v>
      </c>
      <c r="G96" s="36">
        <f t="shared" si="50"/>
        <v>19</v>
      </c>
      <c r="H96" s="36">
        <f t="shared" si="50"/>
        <v>16</v>
      </c>
      <c r="I96" s="36">
        <f t="shared" si="50"/>
        <v>37</v>
      </c>
      <c r="J96" s="36">
        <f t="shared" si="50"/>
        <v>44</v>
      </c>
      <c r="K96" s="36">
        <f t="shared" si="50"/>
        <v>4</v>
      </c>
      <c r="L96" s="36">
        <f t="shared" si="31"/>
        <v>274</v>
      </c>
    </row>
    <row r="97" spans="1:12">
      <c r="A97" s="33" t="s">
        <v>400</v>
      </c>
      <c r="B97" s="56" t="s">
        <v>401</v>
      </c>
      <c r="C97" s="56"/>
      <c r="D97" s="42"/>
      <c r="E97" s="43">
        <v>83</v>
      </c>
      <c r="F97" s="43"/>
      <c r="G97" s="43"/>
      <c r="H97" s="43"/>
      <c r="I97" s="43"/>
      <c r="J97" s="43"/>
      <c r="K97" s="43"/>
      <c r="L97" s="36">
        <f t="shared" si="31"/>
        <v>83</v>
      </c>
    </row>
    <row r="98" spans="1:12">
      <c r="A98" s="33" t="s">
        <v>402</v>
      </c>
      <c r="B98" s="56" t="s">
        <v>403</v>
      </c>
      <c r="C98" s="56"/>
      <c r="D98" s="35"/>
      <c r="E98" s="37"/>
      <c r="F98" s="37">
        <v>71</v>
      </c>
      <c r="G98" s="37">
        <v>19</v>
      </c>
      <c r="H98" s="37"/>
      <c r="I98" s="37"/>
      <c r="J98" s="37"/>
      <c r="K98" s="37"/>
      <c r="L98" s="36">
        <f t="shared" si="31"/>
        <v>90</v>
      </c>
    </row>
    <row r="99" spans="1:12">
      <c r="A99" s="33" t="s">
        <v>404</v>
      </c>
      <c r="B99" s="56" t="s">
        <v>405</v>
      </c>
      <c r="C99" s="56"/>
      <c r="D99" s="42"/>
      <c r="E99" s="43"/>
      <c r="F99" s="43"/>
      <c r="G99" s="43"/>
      <c r="H99" s="43">
        <v>16</v>
      </c>
      <c r="I99" s="43">
        <v>37</v>
      </c>
      <c r="J99" s="92">
        <v>44</v>
      </c>
      <c r="K99" s="43"/>
      <c r="L99" s="36">
        <f t="shared" si="31"/>
        <v>97</v>
      </c>
    </row>
    <row r="100" spans="1:12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>
        <v>4</v>
      </c>
      <c r="L100" s="36">
        <f t="shared" si="31"/>
        <v>4</v>
      </c>
    </row>
    <row r="101" spans="1:12" ht="33.75">
      <c r="A101" s="33" t="s">
        <v>408</v>
      </c>
      <c r="B101" s="34" t="s">
        <v>409</v>
      </c>
      <c r="C101" s="34"/>
      <c r="D101" s="35" t="s">
        <v>523</v>
      </c>
      <c r="E101" s="36">
        <f>E102+E103+E104+E105</f>
        <v>667</v>
      </c>
      <c r="F101" s="36">
        <f t="shared" ref="F101:K101" si="51">F102+F103+F104+F105</f>
        <v>889</v>
      </c>
      <c r="G101" s="36">
        <f t="shared" si="51"/>
        <v>131</v>
      </c>
      <c r="H101" s="36">
        <f t="shared" si="51"/>
        <v>90</v>
      </c>
      <c r="I101" s="36">
        <f t="shared" si="51"/>
        <v>397</v>
      </c>
      <c r="J101" s="36">
        <f t="shared" si="51"/>
        <v>509</v>
      </c>
      <c r="K101" s="36">
        <f t="shared" si="51"/>
        <v>0</v>
      </c>
      <c r="L101" s="36">
        <f t="shared" si="31"/>
        <v>2683</v>
      </c>
    </row>
    <row r="102" spans="1:12">
      <c r="A102" s="33" t="s">
        <v>411</v>
      </c>
      <c r="B102" s="56" t="s">
        <v>401</v>
      </c>
      <c r="C102" s="56"/>
      <c r="D102" s="42"/>
      <c r="E102" s="43">
        <v>667</v>
      </c>
      <c r="F102" s="43"/>
      <c r="G102" s="43"/>
      <c r="H102" s="43"/>
      <c r="I102" s="43"/>
      <c r="J102" s="43"/>
      <c r="K102" s="43"/>
      <c r="L102" s="36">
        <f t="shared" si="31"/>
        <v>667</v>
      </c>
    </row>
    <row r="103" spans="1:12">
      <c r="A103" s="33" t="s">
        <v>412</v>
      </c>
      <c r="B103" s="56" t="s">
        <v>403</v>
      </c>
      <c r="C103" s="56"/>
      <c r="D103" s="35"/>
      <c r="E103" s="37"/>
      <c r="F103" s="37">
        <v>889</v>
      </c>
      <c r="G103" s="37">
        <v>131</v>
      </c>
      <c r="H103" s="37"/>
      <c r="I103" s="37"/>
      <c r="J103" s="37"/>
      <c r="K103" s="37"/>
      <c r="L103" s="36">
        <f t="shared" si="31"/>
        <v>1020</v>
      </c>
    </row>
    <row r="104" spans="1:12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>
        <v>90</v>
      </c>
      <c r="I104" s="43">
        <v>397</v>
      </c>
      <c r="J104" s="92">
        <v>509</v>
      </c>
      <c r="K104" s="43"/>
      <c r="L104" s="36">
        <f t="shared" si="31"/>
        <v>996</v>
      </c>
    </row>
    <row r="105" spans="1:12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36">
        <f t="shared" si="31"/>
        <v>0</v>
      </c>
    </row>
    <row r="106" spans="1:12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36">
        <f t="shared" si="31"/>
        <v>0</v>
      </c>
    </row>
    <row r="107" spans="1:12">
      <c r="A107" s="33" t="s">
        <v>417</v>
      </c>
      <c r="B107" s="34" t="s">
        <v>418</v>
      </c>
      <c r="C107" s="34"/>
      <c r="D107" s="35"/>
      <c r="E107" s="37">
        <v>55</v>
      </c>
      <c r="F107" s="37">
        <v>73</v>
      </c>
      <c r="G107" s="37"/>
      <c r="H107" s="37">
        <v>9</v>
      </c>
      <c r="I107" s="37">
        <v>2</v>
      </c>
      <c r="J107" s="37"/>
      <c r="K107" s="37"/>
      <c r="L107" s="36">
        <f t="shared" si="31"/>
        <v>139</v>
      </c>
    </row>
    <row r="108" spans="1:12">
      <c r="A108" s="33" t="s">
        <v>419</v>
      </c>
      <c r="B108" s="56" t="s">
        <v>420</v>
      </c>
      <c r="C108" s="56"/>
      <c r="D108" s="47"/>
      <c r="E108" s="37">
        <v>34197.800000000003</v>
      </c>
      <c r="F108" s="37">
        <v>6698.1</v>
      </c>
      <c r="G108" s="37">
        <v>19825</v>
      </c>
      <c r="H108" s="37">
        <v>1515</v>
      </c>
      <c r="I108" s="37">
        <v>5789.3</v>
      </c>
      <c r="J108" s="91">
        <f>6544.84+8427.84</f>
        <v>14972.68</v>
      </c>
      <c r="K108" s="37">
        <v>3000</v>
      </c>
      <c r="L108" s="36">
        <f t="shared" si="31"/>
        <v>85997.88</v>
      </c>
    </row>
    <row r="109" spans="1:12">
      <c r="A109" s="33" t="s">
        <v>421</v>
      </c>
      <c r="B109" s="56" t="s">
        <v>422</v>
      </c>
      <c r="C109" s="56"/>
      <c r="D109" s="47"/>
      <c r="E109" s="37">
        <v>22358</v>
      </c>
      <c r="F109" s="37">
        <v>5066</v>
      </c>
      <c r="G109" s="37">
        <v>11640</v>
      </c>
      <c r="H109" s="37">
        <v>200</v>
      </c>
      <c r="I109" s="37">
        <v>3500</v>
      </c>
      <c r="J109" s="91">
        <f>4310+3995</f>
        <v>8305</v>
      </c>
      <c r="K109" s="37">
        <v>3000</v>
      </c>
      <c r="L109" s="36">
        <f t="shared" si="31"/>
        <v>54069</v>
      </c>
    </row>
  </sheetData>
  <protectedRanges>
    <protectedRange password="E9C1" sqref="B31:D109 A4:D12 A2:L3 B13:D28 A13:A109 L4:L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L1"/>
  </mergeCells>
  <phoneticPr fontId="1" type="noConversion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V3" sqref="V3:V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279" t="s">
        <v>177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40</v>
      </c>
      <c r="F2" s="32" t="s">
        <v>423</v>
      </c>
      <c r="G2" s="32" t="s">
        <v>38</v>
      </c>
      <c r="H2" s="32" t="s">
        <v>39</v>
      </c>
      <c r="I2" s="32" t="s">
        <v>42</v>
      </c>
      <c r="J2" s="32" t="s">
        <v>44</v>
      </c>
      <c r="K2" s="32" t="s">
        <v>45</v>
      </c>
      <c r="L2" s="32" t="s">
        <v>424</v>
      </c>
      <c r="M2" s="32" t="s">
        <v>43</v>
      </c>
      <c r="N2" s="32" t="s">
        <v>47</v>
      </c>
      <c r="O2" s="32" t="s">
        <v>425</v>
      </c>
      <c r="P2" s="32" t="s">
        <v>50</v>
      </c>
      <c r="Q2" s="32" t="s">
        <v>51</v>
      </c>
      <c r="R2" s="32" t="s">
        <v>176</v>
      </c>
      <c r="S2" s="32" t="s">
        <v>426</v>
      </c>
      <c r="T2" s="32" t="s">
        <v>427</v>
      </c>
      <c r="U2" s="32" t="s">
        <v>428</v>
      </c>
      <c r="V2" s="32" t="s">
        <v>25</v>
      </c>
    </row>
    <row r="3" spans="1:23">
      <c r="A3" s="33" t="s">
        <v>181</v>
      </c>
      <c r="B3" s="34" t="s">
        <v>182</v>
      </c>
      <c r="C3" s="34"/>
      <c r="D3" s="35" t="s">
        <v>183</v>
      </c>
      <c r="E3" s="36">
        <f>E4+E31+E52</f>
        <v>90805518.120000005</v>
      </c>
      <c r="F3" s="36">
        <f t="shared" ref="F3:S3" si="0">F4+F31+F52</f>
        <v>30678359.620000001</v>
      </c>
      <c r="G3" s="36">
        <f t="shared" si="0"/>
        <v>29604085.100000001</v>
      </c>
      <c r="H3" s="36">
        <f t="shared" si="0"/>
        <v>1983923.4</v>
      </c>
      <c r="I3" s="36">
        <f t="shared" si="0"/>
        <v>31170271.629999999</v>
      </c>
      <c r="J3" s="36">
        <f t="shared" si="0"/>
        <v>104670566</v>
      </c>
      <c r="K3" s="36">
        <f t="shared" si="0"/>
        <v>22491004.5</v>
      </c>
      <c r="L3" s="36">
        <f t="shared" si="0"/>
        <v>41605039</v>
      </c>
      <c r="M3" s="36">
        <f t="shared" si="0"/>
        <v>22080041</v>
      </c>
      <c r="N3" s="36">
        <f t="shared" si="0"/>
        <v>38428318.129999995</v>
      </c>
      <c r="O3" s="36">
        <f t="shared" si="0"/>
        <v>56860530.600000001</v>
      </c>
      <c r="P3" s="36">
        <f t="shared" si="0"/>
        <v>15561090.6</v>
      </c>
      <c r="Q3" s="36">
        <f t="shared" si="0"/>
        <v>11859867</v>
      </c>
      <c r="R3" s="36">
        <f t="shared" si="0"/>
        <v>9360314.5999999996</v>
      </c>
      <c r="S3" s="36">
        <f t="shared" si="0"/>
        <v>15068283.6</v>
      </c>
      <c r="T3" s="37">
        <f>T4+T31+T52</f>
        <v>2537995</v>
      </c>
      <c r="U3" s="37">
        <f>U4+U31+U52</f>
        <v>2141953.6</v>
      </c>
      <c r="V3" s="36">
        <f t="shared" ref="V3:V66" si="1">SUM(E3:U3)</f>
        <v>526907161.50000012</v>
      </c>
      <c r="W3" s="143"/>
    </row>
    <row r="4" spans="1:23">
      <c r="A4" s="33" t="s">
        <v>184</v>
      </c>
      <c r="B4" s="34" t="s">
        <v>128</v>
      </c>
      <c r="C4" s="34"/>
      <c r="D4" s="35" t="s">
        <v>183</v>
      </c>
      <c r="E4" s="36">
        <f t="shared" ref="E4:S4" si="2">E5+E8+E13+E17+E20+E22+E25+E27+E29+E30</f>
        <v>80458671.870000005</v>
      </c>
      <c r="F4" s="36">
        <f t="shared" si="2"/>
        <v>27025112.420000002</v>
      </c>
      <c r="G4" s="36">
        <f t="shared" si="2"/>
        <v>26330783.800000001</v>
      </c>
      <c r="H4" s="36">
        <f t="shared" si="2"/>
        <v>0</v>
      </c>
      <c r="I4" s="36">
        <f t="shared" si="2"/>
        <v>26988989.68</v>
      </c>
      <c r="J4" s="36">
        <f t="shared" si="2"/>
        <v>88020684.75</v>
      </c>
      <c r="K4" s="36">
        <f t="shared" si="2"/>
        <v>19686231.050000001</v>
      </c>
      <c r="L4" s="36">
        <f t="shared" si="2"/>
        <v>34751612.700000003</v>
      </c>
      <c r="M4" s="36">
        <f t="shared" si="2"/>
        <v>19309861.300000001</v>
      </c>
      <c r="N4" s="36">
        <f t="shared" si="2"/>
        <v>32293548.379999999</v>
      </c>
      <c r="O4" s="36">
        <f t="shared" si="2"/>
        <v>48352370</v>
      </c>
      <c r="P4" s="36">
        <f t="shared" si="2"/>
        <v>13525120.6</v>
      </c>
      <c r="Q4" s="36">
        <f t="shared" si="2"/>
        <v>10209420</v>
      </c>
      <c r="R4" s="36">
        <f t="shared" si="2"/>
        <v>7924887.7999999998</v>
      </c>
      <c r="S4" s="36">
        <f t="shared" si="2"/>
        <v>13101029.039999999</v>
      </c>
      <c r="T4" s="37">
        <f>T5+T8+T13+T17+T20+T22+T25+T27+T29+T30</f>
        <v>2134067</v>
      </c>
      <c r="U4" s="37">
        <f>U5+U8+U13+U17+U20+U22+U25+U27+U29+U30</f>
        <v>1160842.4000000001</v>
      </c>
      <c r="V4" s="36">
        <f t="shared" si="1"/>
        <v>451273232.79000002</v>
      </c>
      <c r="W4" s="143"/>
    </row>
    <row r="5" spans="1:23">
      <c r="A5" s="33" t="s">
        <v>185</v>
      </c>
      <c r="B5" s="34" t="s">
        <v>186</v>
      </c>
      <c r="C5" s="34"/>
      <c r="D5" s="35" t="s">
        <v>183</v>
      </c>
      <c r="E5" s="36">
        <f>E6+E7</f>
        <v>11719956.870000001</v>
      </c>
      <c r="F5" s="36">
        <f t="shared" ref="F5:S5" si="3">F6+F7</f>
        <v>3938604.42</v>
      </c>
      <c r="G5" s="36">
        <f t="shared" si="3"/>
        <v>3941484.8000000003</v>
      </c>
      <c r="H5" s="36">
        <f t="shared" si="3"/>
        <v>0</v>
      </c>
      <c r="I5" s="36">
        <f t="shared" si="3"/>
        <v>3529631.68</v>
      </c>
      <c r="J5" s="36">
        <f t="shared" si="3"/>
        <v>12026580.75</v>
      </c>
      <c r="K5" s="36">
        <f t="shared" si="3"/>
        <v>2850060.05</v>
      </c>
      <c r="L5" s="36">
        <f t="shared" si="3"/>
        <v>4481004.7</v>
      </c>
      <c r="M5" s="36">
        <f t="shared" si="3"/>
        <v>2833775.3</v>
      </c>
      <c r="N5" s="36">
        <f t="shared" si="3"/>
        <v>3986555.38</v>
      </c>
      <c r="O5" s="36">
        <f t="shared" si="3"/>
        <v>6888108</v>
      </c>
      <c r="P5" s="36">
        <f t="shared" si="3"/>
        <v>1943256.6</v>
      </c>
      <c r="Q5" s="36">
        <f t="shared" si="3"/>
        <v>1285692</v>
      </c>
      <c r="R5" s="36">
        <f t="shared" si="3"/>
        <v>995207.8</v>
      </c>
      <c r="S5" s="36">
        <f t="shared" si="3"/>
        <v>1849788.24</v>
      </c>
      <c r="T5" s="37">
        <f>T6+T7</f>
        <v>300276</v>
      </c>
      <c r="U5" s="37">
        <f>U6+U7</f>
        <v>138948.4</v>
      </c>
      <c r="V5" s="36">
        <f t="shared" si="1"/>
        <v>62708930.989999995</v>
      </c>
    </row>
    <row r="6" spans="1:23">
      <c r="A6" s="33" t="s">
        <v>187</v>
      </c>
      <c r="B6" s="34" t="s">
        <v>188</v>
      </c>
      <c r="C6" s="34" t="s">
        <v>189</v>
      </c>
      <c r="D6" s="35" t="s">
        <v>190</v>
      </c>
      <c r="E6" s="37">
        <f>555499*12+0.87</f>
        <v>6665988.8700000001</v>
      </c>
      <c r="F6" s="37">
        <f>187497*12+0.42</f>
        <v>2249964.42</v>
      </c>
      <c r="G6" s="37">
        <f>176594*12+0.7+0.1</f>
        <v>2119128.8000000003</v>
      </c>
      <c r="H6" s="37"/>
      <c r="I6" s="37">
        <f>193970*12-0.32</f>
        <v>2327639.6800000002</v>
      </c>
      <c r="J6" s="37">
        <f>595335*12+0.75</f>
        <v>7144020.75</v>
      </c>
      <c r="K6" s="37">
        <f>125208*12+0.05</f>
        <v>1502496.05</v>
      </c>
      <c r="L6" s="37">
        <f>227914*12+0.7</f>
        <v>2734968.7</v>
      </c>
      <c r="M6" s="37">
        <f>126043*12-0.7</f>
        <v>1512515.3</v>
      </c>
      <c r="N6" s="37">
        <f>215048*12-0.62</f>
        <v>2580575.38</v>
      </c>
      <c r="O6" s="37">
        <f>335865*12</f>
        <v>4030380</v>
      </c>
      <c r="P6" s="37">
        <f>91269*12+0.6</f>
        <v>1095228.6000000001</v>
      </c>
      <c r="Q6" s="37">
        <f>71602*12</f>
        <v>859224</v>
      </c>
      <c r="R6" s="37">
        <f>54230*12-0.2</f>
        <v>650759.80000000005</v>
      </c>
      <c r="S6" s="37">
        <f>87068*12+0.24</f>
        <v>1044816.24</v>
      </c>
      <c r="T6" s="37">
        <f>14006*12</f>
        <v>168072</v>
      </c>
      <c r="U6" s="37">
        <f>7524*12+0.4</f>
        <v>90288.4</v>
      </c>
      <c r="V6" s="36">
        <f t="shared" si="1"/>
        <v>36776066.989999995</v>
      </c>
    </row>
    <row r="7" spans="1:23">
      <c r="A7" s="33" t="s">
        <v>191</v>
      </c>
      <c r="B7" s="34" t="s">
        <v>192</v>
      </c>
      <c r="C7" s="34" t="s">
        <v>189</v>
      </c>
      <c r="D7" s="35" t="s">
        <v>190</v>
      </c>
      <c r="E7" s="37">
        <f>421164*12</f>
        <v>5053968</v>
      </c>
      <c r="F7" s="37">
        <f>140720*12</f>
        <v>1688640</v>
      </c>
      <c r="G7" s="37">
        <f>151863*12</f>
        <v>1822356</v>
      </c>
      <c r="H7" s="37"/>
      <c r="I7" s="37">
        <f>100166*12</f>
        <v>1201992</v>
      </c>
      <c r="J7" s="37">
        <f>406880*12</f>
        <v>4882560</v>
      </c>
      <c r="K7" s="37">
        <f>112297*12</f>
        <v>1347564</v>
      </c>
      <c r="L7" s="37">
        <f>145503*12</f>
        <v>1746036</v>
      </c>
      <c r="M7" s="37">
        <f>110105*12</f>
        <v>1321260</v>
      </c>
      <c r="N7" s="37">
        <f>117165*12</f>
        <v>1405980</v>
      </c>
      <c r="O7" s="37">
        <f>238144*12</f>
        <v>2857728</v>
      </c>
      <c r="P7" s="37">
        <f>70669*12</f>
        <v>848028</v>
      </c>
      <c r="Q7" s="37">
        <f>35539*12</f>
        <v>426468</v>
      </c>
      <c r="R7" s="37">
        <f>28704*12</f>
        <v>344448</v>
      </c>
      <c r="S7" s="37">
        <f>67081*12</f>
        <v>804972</v>
      </c>
      <c r="T7" s="37">
        <f>11017*12</f>
        <v>132204</v>
      </c>
      <c r="U7" s="37">
        <f>4055*12</f>
        <v>48660</v>
      </c>
      <c r="V7" s="36">
        <f t="shared" si="1"/>
        <v>25932864</v>
      </c>
    </row>
    <row r="8" spans="1:23">
      <c r="A8" s="33" t="s">
        <v>193</v>
      </c>
      <c r="B8" s="34" t="s">
        <v>194</v>
      </c>
      <c r="C8" s="34"/>
      <c r="D8" s="35" t="s">
        <v>183</v>
      </c>
      <c r="E8" s="36">
        <f>E9+E10</f>
        <v>1382700</v>
      </c>
      <c r="F8" s="36">
        <f t="shared" ref="F8:S8" si="4">F9+F10</f>
        <v>466656</v>
      </c>
      <c r="G8" s="36">
        <f t="shared" si="4"/>
        <v>444216</v>
      </c>
      <c r="H8" s="36">
        <f t="shared" si="4"/>
        <v>0</v>
      </c>
      <c r="I8" s="36">
        <f t="shared" si="4"/>
        <v>485988</v>
      </c>
      <c r="J8" s="36">
        <f t="shared" si="4"/>
        <v>1560936</v>
      </c>
      <c r="K8" s="36">
        <f t="shared" si="4"/>
        <v>342588</v>
      </c>
      <c r="L8" s="36">
        <f t="shared" si="4"/>
        <v>625932</v>
      </c>
      <c r="M8" s="36">
        <f t="shared" si="4"/>
        <v>336816</v>
      </c>
      <c r="N8" s="36">
        <f t="shared" si="4"/>
        <v>588696</v>
      </c>
      <c r="O8" s="36">
        <f t="shared" si="4"/>
        <v>907464</v>
      </c>
      <c r="P8" s="36">
        <f t="shared" si="4"/>
        <v>249744</v>
      </c>
      <c r="Q8" s="36">
        <f t="shared" si="4"/>
        <v>194688</v>
      </c>
      <c r="R8" s="36">
        <f t="shared" si="4"/>
        <v>151320</v>
      </c>
      <c r="S8" s="36">
        <f t="shared" si="4"/>
        <v>244500</v>
      </c>
      <c r="T8" s="37">
        <f>T9+T10</f>
        <v>37908</v>
      </c>
      <c r="U8" s="37">
        <f>U9+U10</f>
        <v>22272</v>
      </c>
      <c r="V8" s="36">
        <f t="shared" si="1"/>
        <v>8042424</v>
      </c>
    </row>
    <row r="9" spans="1:23">
      <c r="A9" s="33" t="s">
        <v>195</v>
      </c>
      <c r="B9" s="34" t="s">
        <v>196</v>
      </c>
      <c r="C9" s="34" t="s">
        <v>189</v>
      </c>
      <c r="D9" s="35" t="s">
        <v>190</v>
      </c>
      <c r="E9" s="37">
        <f>1495*12</f>
        <v>17940</v>
      </c>
      <c r="F9" s="37">
        <f>532*12</f>
        <v>6384</v>
      </c>
      <c r="G9" s="37"/>
      <c r="H9" s="37"/>
      <c r="I9" s="37">
        <f>359*12</f>
        <v>4308</v>
      </c>
      <c r="J9" s="37">
        <f>1630*12</f>
        <v>19560</v>
      </c>
      <c r="K9" s="37">
        <f>451*12</f>
        <v>5412</v>
      </c>
      <c r="L9" s="37">
        <f>425*12</f>
        <v>5100</v>
      </c>
      <c r="M9" s="37">
        <f>416*12</f>
        <v>4992</v>
      </c>
      <c r="N9" s="37">
        <f>444*12</f>
        <v>5328</v>
      </c>
      <c r="O9" s="37">
        <f>1140*12</f>
        <v>13680</v>
      </c>
      <c r="P9" s="37">
        <f>296*12</f>
        <v>3552</v>
      </c>
      <c r="Q9" s="37">
        <f>168*12</f>
        <v>2016</v>
      </c>
      <c r="R9" s="37">
        <f>122*12</f>
        <v>1464</v>
      </c>
      <c r="S9" s="37">
        <f>305*12</f>
        <v>3660</v>
      </c>
      <c r="T9" s="37">
        <f>37*12</f>
        <v>444</v>
      </c>
      <c r="U9" s="37">
        <f>72*12</f>
        <v>864</v>
      </c>
      <c r="V9" s="36">
        <f t="shared" si="1"/>
        <v>94704</v>
      </c>
    </row>
    <row r="10" spans="1:23">
      <c r="A10" s="33" t="s">
        <v>197</v>
      </c>
      <c r="B10" s="34" t="s">
        <v>198</v>
      </c>
      <c r="C10" s="34"/>
      <c r="D10" s="35" t="s">
        <v>183</v>
      </c>
      <c r="E10" s="36">
        <f>E11+E12</f>
        <v>1364760</v>
      </c>
      <c r="F10" s="36">
        <f t="shared" ref="F10:S10" si="5">F11+F12</f>
        <v>460272</v>
      </c>
      <c r="G10" s="36">
        <f t="shared" si="5"/>
        <v>444216</v>
      </c>
      <c r="H10" s="36">
        <f t="shared" si="5"/>
        <v>0</v>
      </c>
      <c r="I10" s="36">
        <f t="shared" si="5"/>
        <v>481680</v>
      </c>
      <c r="J10" s="36">
        <f t="shared" si="5"/>
        <v>1541376</v>
      </c>
      <c r="K10" s="36">
        <f t="shared" si="5"/>
        <v>337176</v>
      </c>
      <c r="L10" s="36">
        <f t="shared" si="5"/>
        <v>620832</v>
      </c>
      <c r="M10" s="36">
        <f t="shared" si="5"/>
        <v>331824</v>
      </c>
      <c r="N10" s="36">
        <f t="shared" si="5"/>
        <v>583368</v>
      </c>
      <c r="O10" s="36">
        <f t="shared" si="5"/>
        <v>893784</v>
      </c>
      <c r="P10" s="36">
        <f t="shared" si="5"/>
        <v>246192</v>
      </c>
      <c r="Q10" s="36">
        <f t="shared" si="5"/>
        <v>192672</v>
      </c>
      <c r="R10" s="36">
        <f t="shared" si="5"/>
        <v>149856</v>
      </c>
      <c r="S10" s="36">
        <f t="shared" si="5"/>
        <v>240840</v>
      </c>
      <c r="T10" s="37">
        <f>T11+T12</f>
        <v>37464</v>
      </c>
      <c r="U10" s="37">
        <f>U11+U12</f>
        <v>21408</v>
      </c>
      <c r="V10" s="36">
        <f t="shared" si="1"/>
        <v>7947720</v>
      </c>
    </row>
    <row r="11" spans="1:2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18360</v>
      </c>
      <c r="F11" s="36">
        <f t="shared" ref="F11:S11" si="6">72*F96</f>
        <v>6192</v>
      </c>
      <c r="G11" s="36">
        <f t="shared" si="6"/>
        <v>5976</v>
      </c>
      <c r="H11" s="36">
        <f t="shared" si="6"/>
        <v>0</v>
      </c>
      <c r="I11" s="36">
        <f t="shared" si="6"/>
        <v>6480</v>
      </c>
      <c r="J11" s="36">
        <f t="shared" si="6"/>
        <v>20736</v>
      </c>
      <c r="K11" s="36">
        <f t="shared" si="6"/>
        <v>4536</v>
      </c>
      <c r="L11" s="36">
        <f t="shared" si="6"/>
        <v>8352</v>
      </c>
      <c r="M11" s="36">
        <f t="shared" si="6"/>
        <v>4464</v>
      </c>
      <c r="N11" s="36">
        <f t="shared" si="6"/>
        <v>7848</v>
      </c>
      <c r="O11" s="36">
        <f t="shared" si="6"/>
        <v>12024</v>
      </c>
      <c r="P11" s="36">
        <f t="shared" si="6"/>
        <v>3312</v>
      </c>
      <c r="Q11" s="36">
        <f t="shared" si="6"/>
        <v>2592</v>
      </c>
      <c r="R11" s="36">
        <f t="shared" si="6"/>
        <v>2016</v>
      </c>
      <c r="S11" s="36">
        <f t="shared" si="6"/>
        <v>3240</v>
      </c>
      <c r="T11" s="37">
        <f>72*T96</f>
        <v>504</v>
      </c>
      <c r="U11" s="37">
        <f>72*U96</f>
        <v>288</v>
      </c>
      <c r="V11" s="36">
        <f t="shared" si="1"/>
        <v>106920</v>
      </c>
    </row>
    <row r="12" spans="1:2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1346400</v>
      </c>
      <c r="F12" s="36">
        <f t="shared" ref="F12:S12" si="7">440*12*F96</f>
        <v>454080</v>
      </c>
      <c r="G12" s="36">
        <f t="shared" si="7"/>
        <v>438240</v>
      </c>
      <c r="H12" s="36">
        <f t="shared" si="7"/>
        <v>0</v>
      </c>
      <c r="I12" s="36">
        <f t="shared" si="7"/>
        <v>475200</v>
      </c>
      <c r="J12" s="36">
        <f t="shared" si="7"/>
        <v>1520640</v>
      </c>
      <c r="K12" s="36">
        <f t="shared" si="7"/>
        <v>332640</v>
      </c>
      <c r="L12" s="36">
        <f t="shared" si="7"/>
        <v>612480</v>
      </c>
      <c r="M12" s="36">
        <f t="shared" si="7"/>
        <v>327360</v>
      </c>
      <c r="N12" s="36">
        <f t="shared" si="7"/>
        <v>575520</v>
      </c>
      <c r="O12" s="36">
        <f t="shared" si="7"/>
        <v>881760</v>
      </c>
      <c r="P12" s="36">
        <f t="shared" si="7"/>
        <v>242880</v>
      </c>
      <c r="Q12" s="36">
        <f t="shared" si="7"/>
        <v>190080</v>
      </c>
      <c r="R12" s="36">
        <f t="shared" si="7"/>
        <v>147840</v>
      </c>
      <c r="S12" s="36">
        <f t="shared" si="7"/>
        <v>237600</v>
      </c>
      <c r="T12" s="37">
        <f>440*12*T96</f>
        <v>36960</v>
      </c>
      <c r="U12" s="37">
        <f>440*12*U96</f>
        <v>21120</v>
      </c>
      <c r="V12" s="36">
        <f t="shared" si="1"/>
        <v>7840800</v>
      </c>
    </row>
    <row r="13" spans="1:23">
      <c r="A13" s="33" t="s">
        <v>203</v>
      </c>
      <c r="B13" s="34" t="s">
        <v>204</v>
      </c>
      <c r="C13" s="34"/>
      <c r="D13" s="35" t="s">
        <v>205</v>
      </c>
      <c r="E13" s="36">
        <f>E14+E15+E16</f>
        <v>1265340</v>
      </c>
      <c r="F13" s="36">
        <f t="shared" ref="F13:S13" si="8">F14+F15+F16</f>
        <v>421673.99999999994</v>
      </c>
      <c r="G13" s="36">
        <f t="shared" si="8"/>
        <v>412980</v>
      </c>
      <c r="H13" s="36">
        <f t="shared" si="8"/>
        <v>0</v>
      </c>
      <c r="I13" s="36">
        <f t="shared" si="8"/>
        <v>404520</v>
      </c>
      <c r="J13" s="36">
        <f t="shared" si="8"/>
        <v>1342800</v>
      </c>
      <c r="K13" s="36">
        <f t="shared" si="8"/>
        <v>304860</v>
      </c>
      <c r="L13" s="36">
        <f t="shared" si="8"/>
        <v>523200</v>
      </c>
      <c r="M13" s="36">
        <f t="shared" si="8"/>
        <v>295152</v>
      </c>
      <c r="N13" s="36">
        <f t="shared" si="8"/>
        <v>484392</v>
      </c>
      <c r="O13" s="36">
        <f t="shared" si="8"/>
        <v>740382.00000000012</v>
      </c>
      <c r="P13" s="36">
        <f t="shared" si="8"/>
        <v>212400</v>
      </c>
      <c r="Q13" s="36">
        <f t="shared" si="8"/>
        <v>158880</v>
      </c>
      <c r="R13" s="36">
        <f t="shared" si="8"/>
        <v>123000</v>
      </c>
      <c r="S13" s="36">
        <f t="shared" si="8"/>
        <v>203623.2</v>
      </c>
      <c r="T13" s="37">
        <f>T14+T15+T16</f>
        <v>36660</v>
      </c>
      <c r="U13" s="37">
        <f>U14+U15+U16</f>
        <v>19218</v>
      </c>
      <c r="V13" s="36">
        <f t="shared" si="1"/>
        <v>6949081.2000000002</v>
      </c>
    </row>
    <row r="14" spans="1:2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759204</v>
      </c>
      <c r="F14" s="36">
        <f t="shared" ref="F14:S14" si="9">F16*3</f>
        <v>253004.39999999997</v>
      </c>
      <c r="G14" s="36">
        <f t="shared" si="9"/>
        <v>247788</v>
      </c>
      <c r="H14" s="36">
        <f t="shared" si="9"/>
        <v>0</v>
      </c>
      <c r="I14" s="36">
        <f t="shared" si="9"/>
        <v>242712</v>
      </c>
      <c r="J14" s="36">
        <f t="shared" si="9"/>
        <v>805680</v>
      </c>
      <c r="K14" s="36">
        <f t="shared" si="9"/>
        <v>182916</v>
      </c>
      <c r="L14" s="36">
        <f t="shared" si="9"/>
        <v>313920</v>
      </c>
      <c r="M14" s="36">
        <f t="shared" si="9"/>
        <v>177091.19999999998</v>
      </c>
      <c r="N14" s="36">
        <f t="shared" si="9"/>
        <v>290635.19999999995</v>
      </c>
      <c r="O14" s="36">
        <f t="shared" si="9"/>
        <v>444229.20000000007</v>
      </c>
      <c r="P14" s="36">
        <f t="shared" si="9"/>
        <v>127440</v>
      </c>
      <c r="Q14" s="36">
        <f t="shared" si="9"/>
        <v>95328</v>
      </c>
      <c r="R14" s="36">
        <f t="shared" si="9"/>
        <v>73800</v>
      </c>
      <c r="S14" s="36">
        <f t="shared" si="9"/>
        <v>122173.92</v>
      </c>
      <c r="T14" s="37">
        <f>T16*3</f>
        <v>21996</v>
      </c>
      <c r="U14" s="37">
        <f>U16*3</f>
        <v>11530.800000000001</v>
      </c>
      <c r="V14" s="36">
        <f t="shared" si="1"/>
        <v>4169448.7199999997</v>
      </c>
    </row>
    <row r="15" spans="1:2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253068</v>
      </c>
      <c r="F15" s="36">
        <f t="shared" ref="F15:U15" si="10">F16</f>
        <v>84334.799999999988</v>
      </c>
      <c r="G15" s="36">
        <f t="shared" si="10"/>
        <v>82596</v>
      </c>
      <c r="H15" s="36">
        <f t="shared" si="10"/>
        <v>0</v>
      </c>
      <c r="I15" s="36">
        <f t="shared" si="10"/>
        <v>80904</v>
      </c>
      <c r="J15" s="36">
        <f t="shared" si="10"/>
        <v>268560</v>
      </c>
      <c r="K15" s="36">
        <f t="shared" si="10"/>
        <v>60972</v>
      </c>
      <c r="L15" s="36">
        <f t="shared" si="10"/>
        <v>104640</v>
      </c>
      <c r="M15" s="36">
        <f t="shared" si="10"/>
        <v>59030.399999999994</v>
      </c>
      <c r="N15" s="36">
        <f t="shared" si="10"/>
        <v>96878.399999999994</v>
      </c>
      <c r="O15" s="36">
        <f t="shared" si="10"/>
        <v>148076.40000000002</v>
      </c>
      <c r="P15" s="36">
        <f t="shared" si="10"/>
        <v>42480</v>
      </c>
      <c r="Q15" s="36">
        <f t="shared" si="10"/>
        <v>31776</v>
      </c>
      <c r="R15" s="36">
        <f t="shared" si="10"/>
        <v>24600</v>
      </c>
      <c r="S15" s="36">
        <f t="shared" si="10"/>
        <v>40724.639999999999</v>
      </c>
      <c r="T15" s="37">
        <f t="shared" si="10"/>
        <v>7332</v>
      </c>
      <c r="U15" s="37">
        <f t="shared" si="10"/>
        <v>3843.6000000000004</v>
      </c>
      <c r="V15" s="36">
        <f t="shared" si="1"/>
        <v>1389816.24</v>
      </c>
    </row>
    <row r="16" spans="1:23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f>21089*12</f>
        <v>253068</v>
      </c>
      <c r="F16" s="37">
        <f>7027.9*12</f>
        <v>84334.799999999988</v>
      </c>
      <c r="G16" s="37">
        <f>6883*12</f>
        <v>82596</v>
      </c>
      <c r="H16" s="37"/>
      <c r="I16" s="37">
        <f>6742*12</f>
        <v>80904</v>
      </c>
      <c r="J16" s="37">
        <f>22380*12</f>
        <v>268560</v>
      </c>
      <c r="K16" s="37">
        <f>5081*12</f>
        <v>60972</v>
      </c>
      <c r="L16" s="37">
        <f>8720*12</f>
        <v>104640</v>
      </c>
      <c r="M16" s="37">
        <f>4919.2*12</f>
        <v>59030.399999999994</v>
      </c>
      <c r="N16" s="37">
        <f>8073.2*12</f>
        <v>96878.399999999994</v>
      </c>
      <c r="O16" s="37">
        <f>12339.7*12</f>
        <v>148076.40000000002</v>
      </c>
      <c r="P16" s="37">
        <v>42480</v>
      </c>
      <c r="Q16" s="37">
        <f>2648*12</f>
        <v>31776</v>
      </c>
      <c r="R16" s="37">
        <f>2050*12</f>
        <v>24600</v>
      </c>
      <c r="S16" s="37">
        <f>3393.72*12</f>
        <v>40724.639999999999</v>
      </c>
      <c r="T16" s="37">
        <v>7332</v>
      </c>
      <c r="U16" s="37">
        <f>320.3*12</f>
        <v>3843.6000000000004</v>
      </c>
      <c r="V16" s="36">
        <f t="shared" si="1"/>
        <v>1389816.24</v>
      </c>
    </row>
    <row r="17" spans="1:22">
      <c r="A17" s="33" t="s">
        <v>213</v>
      </c>
      <c r="B17" s="34" t="s">
        <v>214</v>
      </c>
      <c r="C17" s="34"/>
      <c r="D17" s="35" t="s">
        <v>183</v>
      </c>
      <c r="E17" s="36">
        <v>40866555</v>
      </c>
      <c r="F17" s="36">
        <v>13782446</v>
      </c>
      <c r="G17" s="36">
        <v>13301663</v>
      </c>
      <c r="H17" s="36"/>
      <c r="I17" s="36">
        <v>14423490</v>
      </c>
      <c r="J17" s="36">
        <v>46155168</v>
      </c>
      <c r="K17" s="36">
        <v>10096443</v>
      </c>
      <c r="L17" s="36">
        <v>18590276</v>
      </c>
      <c r="M17" s="36">
        <v>9936182</v>
      </c>
      <c r="N17" s="36">
        <v>17468449</v>
      </c>
      <c r="O17" s="36">
        <v>24886340</v>
      </c>
      <c r="P17" s="36">
        <v>6854920</v>
      </c>
      <c r="Q17" s="36">
        <v>5364720</v>
      </c>
      <c r="R17" s="36">
        <v>4172560</v>
      </c>
      <c r="S17" s="36">
        <v>6705900</v>
      </c>
      <c r="T17" s="37">
        <v>1032143</v>
      </c>
      <c r="U17" s="37">
        <v>596080</v>
      </c>
      <c r="V17" s="36">
        <f t="shared" si="1"/>
        <v>234233335</v>
      </c>
    </row>
    <row r="18" spans="1:22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40205356</v>
      </c>
      <c r="F18" s="43">
        <f t="shared" ref="F18:U18" si="11">F17-F19</f>
        <v>13598194</v>
      </c>
      <c r="G18" s="43">
        <f t="shared" si="11"/>
        <v>13118104</v>
      </c>
      <c r="H18" s="43"/>
      <c r="I18" s="43">
        <f t="shared" si="11"/>
        <v>14244014</v>
      </c>
      <c r="J18" s="43">
        <f t="shared" si="11"/>
        <v>45891208</v>
      </c>
      <c r="K18" s="43">
        <f t="shared" si="11"/>
        <v>9743279</v>
      </c>
      <c r="L18" s="43">
        <f t="shared" si="11"/>
        <v>18197376</v>
      </c>
      <c r="M18" s="43">
        <f t="shared" si="11"/>
        <v>9570458</v>
      </c>
      <c r="N18" s="43">
        <f t="shared" si="11"/>
        <v>17277060</v>
      </c>
      <c r="O18" s="43">
        <f t="shared" si="11"/>
        <v>24623856</v>
      </c>
      <c r="P18" s="43">
        <f t="shared" si="11"/>
        <v>6705472</v>
      </c>
      <c r="Q18" s="43">
        <f t="shared" si="11"/>
        <v>5212584</v>
      </c>
      <c r="R18" s="43">
        <f t="shared" si="11"/>
        <v>4019704</v>
      </c>
      <c r="S18" s="43">
        <f t="shared" si="11"/>
        <v>6555924</v>
      </c>
      <c r="T18" s="43">
        <f t="shared" si="11"/>
        <v>1032143</v>
      </c>
      <c r="U18" s="43">
        <f t="shared" si="11"/>
        <v>596080</v>
      </c>
      <c r="V18" s="36">
        <f t="shared" si="1"/>
        <v>230590812</v>
      </c>
    </row>
    <row r="19" spans="1:22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f>221908+439291</f>
        <v>661199</v>
      </c>
      <c r="F19" s="43">
        <v>184252</v>
      </c>
      <c r="G19" s="43">
        <v>183559</v>
      </c>
      <c r="H19" s="43"/>
      <c r="I19" s="43">
        <v>179476</v>
      </c>
      <c r="J19" s="43">
        <v>263960</v>
      </c>
      <c r="K19" s="43">
        <v>353164</v>
      </c>
      <c r="L19" s="43">
        <v>392900</v>
      </c>
      <c r="M19" s="43">
        <v>365724</v>
      </c>
      <c r="N19" s="43">
        <v>191389</v>
      </c>
      <c r="O19" s="43">
        <v>262484</v>
      </c>
      <c r="P19" s="43">
        <v>149448</v>
      </c>
      <c r="Q19" s="43">
        <v>152136</v>
      </c>
      <c r="R19" s="43">
        <v>152856</v>
      </c>
      <c r="S19" s="43">
        <v>149976</v>
      </c>
      <c r="T19" s="43"/>
      <c r="U19" s="43"/>
      <c r="V19" s="36">
        <f t="shared" si="1"/>
        <v>3642523</v>
      </c>
    </row>
    <row r="20" spans="1:22">
      <c r="A20" s="33" t="s">
        <v>221</v>
      </c>
      <c r="B20" s="34" t="s">
        <v>222</v>
      </c>
      <c r="C20" s="34"/>
      <c r="D20" s="42" t="s">
        <v>183</v>
      </c>
      <c r="E20" s="45">
        <f>E21</f>
        <v>5061360</v>
      </c>
      <c r="F20" s="45">
        <f t="shared" ref="F20:U20" si="12">F21</f>
        <v>1686695.9999999998</v>
      </c>
      <c r="G20" s="45">
        <f t="shared" si="12"/>
        <v>1651920</v>
      </c>
      <c r="H20" s="45">
        <f t="shared" si="12"/>
        <v>0</v>
      </c>
      <c r="I20" s="45">
        <f t="shared" si="12"/>
        <v>1618080</v>
      </c>
      <c r="J20" s="45">
        <f t="shared" si="12"/>
        <v>5371200</v>
      </c>
      <c r="K20" s="45">
        <f t="shared" si="12"/>
        <v>1219440</v>
      </c>
      <c r="L20" s="45">
        <f t="shared" si="12"/>
        <v>2092800</v>
      </c>
      <c r="M20" s="45">
        <f t="shared" si="12"/>
        <v>1180608</v>
      </c>
      <c r="N20" s="45">
        <f t="shared" si="12"/>
        <v>1937568</v>
      </c>
      <c r="O20" s="45">
        <f t="shared" si="12"/>
        <v>2961528.0000000005</v>
      </c>
      <c r="P20" s="45">
        <f t="shared" si="12"/>
        <v>849600</v>
      </c>
      <c r="Q20" s="45">
        <f t="shared" si="12"/>
        <v>635520</v>
      </c>
      <c r="R20" s="45">
        <f t="shared" si="12"/>
        <v>492000</v>
      </c>
      <c r="S20" s="45">
        <f t="shared" si="12"/>
        <v>814492.8</v>
      </c>
      <c r="T20" s="43">
        <f t="shared" si="12"/>
        <v>146640</v>
      </c>
      <c r="U20" s="43">
        <f t="shared" si="12"/>
        <v>76872</v>
      </c>
      <c r="V20" s="36">
        <f t="shared" si="1"/>
        <v>27796324.800000001</v>
      </c>
    </row>
    <row r="21" spans="1:22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5061360</v>
      </c>
      <c r="F21" s="45">
        <f t="shared" ref="F21:S21" si="13">F16*20</f>
        <v>1686695.9999999998</v>
      </c>
      <c r="G21" s="45">
        <f t="shared" si="13"/>
        <v>1651920</v>
      </c>
      <c r="H21" s="45">
        <f t="shared" si="13"/>
        <v>0</v>
      </c>
      <c r="I21" s="45">
        <f t="shared" si="13"/>
        <v>1618080</v>
      </c>
      <c r="J21" s="45">
        <f t="shared" si="13"/>
        <v>5371200</v>
      </c>
      <c r="K21" s="45">
        <f t="shared" si="13"/>
        <v>1219440</v>
      </c>
      <c r="L21" s="45">
        <f t="shared" si="13"/>
        <v>2092800</v>
      </c>
      <c r="M21" s="45">
        <f t="shared" si="13"/>
        <v>1180608</v>
      </c>
      <c r="N21" s="45">
        <f t="shared" si="13"/>
        <v>1937568</v>
      </c>
      <c r="O21" s="45">
        <f t="shared" si="13"/>
        <v>2961528.0000000005</v>
      </c>
      <c r="P21" s="45">
        <f t="shared" si="13"/>
        <v>849600</v>
      </c>
      <c r="Q21" s="45">
        <f t="shared" si="13"/>
        <v>635520</v>
      </c>
      <c r="R21" s="45">
        <f t="shared" si="13"/>
        <v>492000</v>
      </c>
      <c r="S21" s="45">
        <f t="shared" si="13"/>
        <v>814492.8</v>
      </c>
      <c r="T21" s="43">
        <f>T16*20</f>
        <v>146640</v>
      </c>
      <c r="U21" s="43">
        <f>U16*20</f>
        <v>76872</v>
      </c>
      <c r="V21" s="36">
        <f t="shared" si="1"/>
        <v>27796324.800000001</v>
      </c>
    </row>
    <row r="22" spans="1:22">
      <c r="A22" s="33" t="s">
        <v>226</v>
      </c>
      <c r="B22" s="34" t="s">
        <v>227</v>
      </c>
      <c r="C22" s="34"/>
      <c r="D22" s="42" t="s">
        <v>208</v>
      </c>
      <c r="E22" s="45">
        <f>E23+E24</f>
        <v>2024544</v>
      </c>
      <c r="F22" s="45">
        <f t="shared" ref="F22:S22" si="14">F23+F24</f>
        <v>674678.39999999991</v>
      </c>
      <c r="G22" s="45">
        <f t="shared" si="14"/>
        <v>660768</v>
      </c>
      <c r="H22" s="45">
        <f t="shared" si="14"/>
        <v>0</v>
      </c>
      <c r="I22" s="45">
        <f t="shared" si="14"/>
        <v>647232</v>
      </c>
      <c r="J22" s="45">
        <f t="shared" si="14"/>
        <v>2148480</v>
      </c>
      <c r="K22" s="45">
        <f t="shared" si="14"/>
        <v>487776</v>
      </c>
      <c r="L22" s="45">
        <f t="shared" si="14"/>
        <v>837120</v>
      </c>
      <c r="M22" s="45">
        <f t="shared" si="14"/>
        <v>472243.19999999995</v>
      </c>
      <c r="N22" s="45">
        <f t="shared" si="14"/>
        <v>775027.19999999995</v>
      </c>
      <c r="O22" s="45">
        <f t="shared" si="14"/>
        <v>1184611.2000000002</v>
      </c>
      <c r="P22" s="45">
        <f t="shared" si="14"/>
        <v>339840</v>
      </c>
      <c r="Q22" s="45">
        <f t="shared" si="14"/>
        <v>254208</v>
      </c>
      <c r="R22" s="45">
        <f t="shared" si="14"/>
        <v>196800</v>
      </c>
      <c r="S22" s="45">
        <f t="shared" si="14"/>
        <v>325797.12</v>
      </c>
      <c r="T22" s="43">
        <f>T23+T24</f>
        <v>58656</v>
      </c>
      <c r="U22" s="43">
        <f>U23+U24</f>
        <v>30748.800000000003</v>
      </c>
      <c r="V22" s="36">
        <f t="shared" si="1"/>
        <v>11118529.92</v>
      </c>
    </row>
    <row r="23" spans="1:22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1012272</v>
      </c>
      <c r="F23" s="45">
        <f t="shared" ref="F23:S23" si="15">F16*4</f>
        <v>337339.19999999995</v>
      </c>
      <c r="G23" s="45">
        <f t="shared" si="15"/>
        <v>330384</v>
      </c>
      <c r="H23" s="45">
        <f t="shared" si="15"/>
        <v>0</v>
      </c>
      <c r="I23" s="45">
        <f t="shared" si="15"/>
        <v>323616</v>
      </c>
      <c r="J23" s="45">
        <f t="shared" si="15"/>
        <v>1074240</v>
      </c>
      <c r="K23" s="45">
        <f t="shared" si="15"/>
        <v>243888</v>
      </c>
      <c r="L23" s="45">
        <f t="shared" si="15"/>
        <v>418560</v>
      </c>
      <c r="M23" s="45">
        <f t="shared" si="15"/>
        <v>236121.59999999998</v>
      </c>
      <c r="N23" s="45">
        <f t="shared" si="15"/>
        <v>387513.59999999998</v>
      </c>
      <c r="O23" s="45">
        <f t="shared" si="15"/>
        <v>592305.60000000009</v>
      </c>
      <c r="P23" s="45">
        <f t="shared" si="15"/>
        <v>169920</v>
      </c>
      <c r="Q23" s="45">
        <f t="shared" si="15"/>
        <v>127104</v>
      </c>
      <c r="R23" s="45">
        <f t="shared" si="15"/>
        <v>98400</v>
      </c>
      <c r="S23" s="45">
        <f t="shared" si="15"/>
        <v>162898.56</v>
      </c>
      <c r="T23" s="43">
        <f>T16*4</f>
        <v>29328</v>
      </c>
      <c r="U23" s="43">
        <f>U16*4</f>
        <v>15374.400000000001</v>
      </c>
      <c r="V23" s="36">
        <f t="shared" si="1"/>
        <v>5559264.96</v>
      </c>
    </row>
    <row r="24" spans="1:22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1012272</v>
      </c>
      <c r="F24" s="45">
        <f t="shared" ref="F24:S24" si="16">F16*4</f>
        <v>337339.19999999995</v>
      </c>
      <c r="G24" s="45">
        <f t="shared" si="16"/>
        <v>330384</v>
      </c>
      <c r="H24" s="45">
        <f t="shared" si="16"/>
        <v>0</v>
      </c>
      <c r="I24" s="45">
        <f t="shared" si="16"/>
        <v>323616</v>
      </c>
      <c r="J24" s="45">
        <f t="shared" si="16"/>
        <v>1074240</v>
      </c>
      <c r="K24" s="45">
        <f t="shared" si="16"/>
        <v>243888</v>
      </c>
      <c r="L24" s="45">
        <f t="shared" si="16"/>
        <v>418560</v>
      </c>
      <c r="M24" s="45">
        <f t="shared" si="16"/>
        <v>236121.59999999998</v>
      </c>
      <c r="N24" s="45">
        <f t="shared" si="16"/>
        <v>387513.59999999998</v>
      </c>
      <c r="O24" s="45">
        <f t="shared" si="16"/>
        <v>592305.60000000009</v>
      </c>
      <c r="P24" s="45">
        <f t="shared" si="16"/>
        <v>169920</v>
      </c>
      <c r="Q24" s="45">
        <f t="shared" si="16"/>
        <v>127104</v>
      </c>
      <c r="R24" s="45">
        <f t="shared" si="16"/>
        <v>98400</v>
      </c>
      <c r="S24" s="45">
        <f t="shared" si="16"/>
        <v>162898.56</v>
      </c>
      <c r="T24" s="43">
        <f>T16*4</f>
        <v>29328</v>
      </c>
      <c r="U24" s="43">
        <f>U16*4</f>
        <v>15374.400000000001</v>
      </c>
      <c r="V24" s="36">
        <f t="shared" si="1"/>
        <v>5559264.96</v>
      </c>
    </row>
    <row r="25" spans="1:22">
      <c r="A25" s="33" t="s">
        <v>233</v>
      </c>
      <c r="B25" s="34" t="s">
        <v>234</v>
      </c>
      <c r="C25" s="34"/>
      <c r="D25" s="35" t="s">
        <v>183</v>
      </c>
      <c r="E25" s="36">
        <f>E26</f>
        <v>8098176</v>
      </c>
      <c r="F25" s="36">
        <f t="shared" ref="F25:U25" si="17">F26</f>
        <v>2698713.5999999996</v>
      </c>
      <c r="G25" s="36">
        <f t="shared" si="17"/>
        <v>2643072</v>
      </c>
      <c r="H25" s="36">
        <f t="shared" si="17"/>
        <v>0</v>
      </c>
      <c r="I25" s="36">
        <f t="shared" si="17"/>
        <v>2588928</v>
      </c>
      <c r="J25" s="36">
        <f t="shared" si="17"/>
        <v>8593920</v>
      </c>
      <c r="K25" s="36">
        <f t="shared" si="17"/>
        <v>1951104</v>
      </c>
      <c r="L25" s="36">
        <f t="shared" si="17"/>
        <v>3348480</v>
      </c>
      <c r="M25" s="36">
        <f t="shared" si="17"/>
        <v>1888972.7999999998</v>
      </c>
      <c r="N25" s="36">
        <f t="shared" si="17"/>
        <v>3100108.7999999998</v>
      </c>
      <c r="O25" s="36">
        <f t="shared" si="17"/>
        <v>4738444.8000000007</v>
      </c>
      <c r="P25" s="36">
        <f t="shared" si="17"/>
        <v>1359360</v>
      </c>
      <c r="Q25" s="36">
        <f t="shared" si="17"/>
        <v>1016832</v>
      </c>
      <c r="R25" s="36">
        <f t="shared" si="17"/>
        <v>787200</v>
      </c>
      <c r="S25" s="36">
        <f t="shared" si="17"/>
        <v>1303188.48</v>
      </c>
      <c r="T25" s="37">
        <f t="shared" si="17"/>
        <v>234624</v>
      </c>
      <c r="U25" s="37">
        <f t="shared" si="17"/>
        <v>122995.20000000001</v>
      </c>
      <c r="V25" s="36">
        <f t="shared" si="1"/>
        <v>44474119.68</v>
      </c>
    </row>
    <row r="26" spans="1:22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8098176</v>
      </c>
      <c r="F26" s="36">
        <f t="shared" ref="F26:S26" si="18">F16*32</f>
        <v>2698713.5999999996</v>
      </c>
      <c r="G26" s="36">
        <f t="shared" si="18"/>
        <v>2643072</v>
      </c>
      <c r="H26" s="36">
        <f t="shared" si="18"/>
        <v>0</v>
      </c>
      <c r="I26" s="36">
        <f t="shared" si="18"/>
        <v>2588928</v>
      </c>
      <c r="J26" s="36">
        <f t="shared" si="18"/>
        <v>8593920</v>
      </c>
      <c r="K26" s="36">
        <f t="shared" si="18"/>
        <v>1951104</v>
      </c>
      <c r="L26" s="36">
        <f t="shared" si="18"/>
        <v>3348480</v>
      </c>
      <c r="M26" s="36">
        <f t="shared" si="18"/>
        <v>1888972.7999999998</v>
      </c>
      <c r="N26" s="36">
        <f t="shared" si="18"/>
        <v>3100108.7999999998</v>
      </c>
      <c r="O26" s="36">
        <f t="shared" si="18"/>
        <v>4738444.8000000007</v>
      </c>
      <c r="P26" s="36">
        <f t="shared" si="18"/>
        <v>1359360</v>
      </c>
      <c r="Q26" s="36">
        <f t="shared" si="18"/>
        <v>1016832</v>
      </c>
      <c r="R26" s="36">
        <f t="shared" si="18"/>
        <v>787200</v>
      </c>
      <c r="S26" s="36">
        <f t="shared" si="18"/>
        <v>1303188.48</v>
      </c>
      <c r="T26" s="37">
        <f>T16*32</f>
        <v>234624</v>
      </c>
      <c r="U26" s="37">
        <f>U16*32</f>
        <v>122995.20000000001</v>
      </c>
      <c r="V26" s="36">
        <f t="shared" si="1"/>
        <v>44474119.68</v>
      </c>
    </row>
    <row r="27" spans="1:22">
      <c r="A27" s="33" t="s">
        <v>238</v>
      </c>
      <c r="B27" s="34" t="s">
        <v>239</v>
      </c>
      <c r="C27" s="34"/>
      <c r="D27" s="35" t="s">
        <v>183</v>
      </c>
      <c r="E27" s="36">
        <f>E28</f>
        <v>4049088</v>
      </c>
      <c r="F27" s="36">
        <f t="shared" ref="F27:U27" si="19">F28</f>
        <v>1349356.7999999998</v>
      </c>
      <c r="G27" s="36">
        <f t="shared" si="19"/>
        <v>1321536</v>
      </c>
      <c r="H27" s="36">
        <f t="shared" si="19"/>
        <v>0</v>
      </c>
      <c r="I27" s="36">
        <f t="shared" si="19"/>
        <v>1294464</v>
      </c>
      <c r="J27" s="36">
        <f t="shared" si="19"/>
        <v>4296960</v>
      </c>
      <c r="K27" s="36">
        <f t="shared" si="19"/>
        <v>975552</v>
      </c>
      <c r="L27" s="36">
        <f t="shared" si="19"/>
        <v>1674240</v>
      </c>
      <c r="M27" s="36">
        <f t="shared" si="19"/>
        <v>944486.39999999991</v>
      </c>
      <c r="N27" s="36">
        <f t="shared" si="19"/>
        <v>1550054.3999999999</v>
      </c>
      <c r="O27" s="36">
        <f t="shared" si="19"/>
        <v>2369222.4000000004</v>
      </c>
      <c r="P27" s="36">
        <f t="shared" si="19"/>
        <v>679680</v>
      </c>
      <c r="Q27" s="36">
        <f t="shared" si="19"/>
        <v>508416</v>
      </c>
      <c r="R27" s="36">
        <f t="shared" si="19"/>
        <v>393600</v>
      </c>
      <c r="S27" s="36">
        <f t="shared" si="19"/>
        <v>651594.23999999999</v>
      </c>
      <c r="T27" s="37">
        <f t="shared" si="19"/>
        <v>117312</v>
      </c>
      <c r="U27" s="37">
        <f t="shared" si="19"/>
        <v>61497.600000000006</v>
      </c>
      <c r="V27" s="36">
        <f t="shared" si="1"/>
        <v>22237059.84</v>
      </c>
    </row>
    <row r="28" spans="1:22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4049088</v>
      </c>
      <c r="F28" s="36">
        <f t="shared" ref="F28:S28" si="20">F16*16</f>
        <v>1349356.7999999998</v>
      </c>
      <c r="G28" s="36">
        <f t="shared" si="20"/>
        <v>1321536</v>
      </c>
      <c r="H28" s="36">
        <f t="shared" si="20"/>
        <v>0</v>
      </c>
      <c r="I28" s="36">
        <f t="shared" si="20"/>
        <v>1294464</v>
      </c>
      <c r="J28" s="36">
        <f t="shared" si="20"/>
        <v>4296960</v>
      </c>
      <c r="K28" s="36">
        <f t="shared" si="20"/>
        <v>975552</v>
      </c>
      <c r="L28" s="36">
        <f t="shared" si="20"/>
        <v>1674240</v>
      </c>
      <c r="M28" s="36">
        <f t="shared" si="20"/>
        <v>944486.39999999991</v>
      </c>
      <c r="N28" s="36">
        <f t="shared" si="20"/>
        <v>1550054.3999999999</v>
      </c>
      <c r="O28" s="36">
        <f t="shared" si="20"/>
        <v>2369222.4000000004</v>
      </c>
      <c r="P28" s="36">
        <f t="shared" si="20"/>
        <v>679680</v>
      </c>
      <c r="Q28" s="36">
        <f t="shared" si="20"/>
        <v>508416</v>
      </c>
      <c r="R28" s="36">
        <f t="shared" si="20"/>
        <v>393600</v>
      </c>
      <c r="S28" s="36">
        <f t="shared" si="20"/>
        <v>651594.23999999999</v>
      </c>
      <c r="T28" s="37">
        <f>T16*16</f>
        <v>117312</v>
      </c>
      <c r="U28" s="37">
        <f>U16*16</f>
        <v>61497.600000000006</v>
      </c>
      <c r="V28" s="36">
        <f t="shared" si="1"/>
        <v>22237059.84</v>
      </c>
    </row>
    <row r="29" spans="1:22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2448000</v>
      </c>
      <c r="F29" s="36">
        <f t="shared" ref="F29:S29" si="21">9600*F96</f>
        <v>825600</v>
      </c>
      <c r="G29" s="36">
        <f t="shared" si="21"/>
        <v>796800</v>
      </c>
      <c r="H29" s="36">
        <f t="shared" si="21"/>
        <v>0</v>
      </c>
      <c r="I29" s="36">
        <f t="shared" si="21"/>
        <v>864000</v>
      </c>
      <c r="J29" s="36">
        <f t="shared" si="21"/>
        <v>2764800</v>
      </c>
      <c r="K29" s="36">
        <f t="shared" si="21"/>
        <v>604800</v>
      </c>
      <c r="L29" s="36">
        <f t="shared" si="21"/>
        <v>1113600</v>
      </c>
      <c r="M29" s="36">
        <f t="shared" si="21"/>
        <v>595200</v>
      </c>
      <c r="N29" s="36">
        <f t="shared" si="21"/>
        <v>1046400</v>
      </c>
      <c r="O29" s="36">
        <f t="shared" si="21"/>
        <v>1603200</v>
      </c>
      <c r="P29" s="36">
        <f t="shared" si="21"/>
        <v>441600</v>
      </c>
      <c r="Q29" s="36">
        <f t="shared" si="21"/>
        <v>345600</v>
      </c>
      <c r="R29" s="36">
        <f t="shared" si="21"/>
        <v>268800</v>
      </c>
      <c r="S29" s="36">
        <f t="shared" si="21"/>
        <v>432000</v>
      </c>
      <c r="T29" s="37">
        <f>9600*T96</f>
        <v>67200</v>
      </c>
      <c r="U29" s="37">
        <f>9600*U96</f>
        <v>38400</v>
      </c>
      <c r="V29" s="36">
        <f t="shared" si="1"/>
        <v>14256000</v>
      </c>
    </row>
    <row r="30" spans="1:22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3542952</v>
      </c>
      <c r="F30" s="45">
        <f t="shared" ref="F30:S30" si="22">F16*14</f>
        <v>1180687.1999999997</v>
      </c>
      <c r="G30" s="45">
        <f t="shared" si="22"/>
        <v>1156344</v>
      </c>
      <c r="H30" s="45">
        <f t="shared" si="22"/>
        <v>0</v>
      </c>
      <c r="I30" s="45">
        <f t="shared" si="22"/>
        <v>1132656</v>
      </c>
      <c r="J30" s="45">
        <f t="shared" si="22"/>
        <v>3759840</v>
      </c>
      <c r="K30" s="45">
        <f t="shared" si="22"/>
        <v>853608</v>
      </c>
      <c r="L30" s="45">
        <f t="shared" si="22"/>
        <v>1464960</v>
      </c>
      <c r="M30" s="45">
        <f t="shared" si="22"/>
        <v>826425.59999999986</v>
      </c>
      <c r="N30" s="45">
        <f t="shared" si="22"/>
        <v>1356297.5999999999</v>
      </c>
      <c r="O30" s="45">
        <f t="shared" si="22"/>
        <v>2073069.6000000003</v>
      </c>
      <c r="P30" s="45">
        <f t="shared" si="22"/>
        <v>594720</v>
      </c>
      <c r="Q30" s="45">
        <f t="shared" si="22"/>
        <v>444864</v>
      </c>
      <c r="R30" s="45">
        <f t="shared" si="22"/>
        <v>344400</v>
      </c>
      <c r="S30" s="45">
        <f t="shared" si="22"/>
        <v>570144.96</v>
      </c>
      <c r="T30" s="43">
        <f>T16*14</f>
        <v>102648</v>
      </c>
      <c r="U30" s="43">
        <f>U16*14</f>
        <v>53810.400000000009</v>
      </c>
      <c r="V30" s="36">
        <f t="shared" si="1"/>
        <v>19457427.359999999</v>
      </c>
    </row>
    <row r="31" spans="1:22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65491.199999999997</v>
      </c>
      <c r="F31" s="36">
        <f t="shared" ref="F31:S31" si="23">F32+F40+F42+F45+F47</f>
        <v>10200</v>
      </c>
      <c r="G31" s="36">
        <f t="shared" si="23"/>
        <v>10440</v>
      </c>
      <c r="H31" s="36">
        <f t="shared" si="23"/>
        <v>0</v>
      </c>
      <c r="I31" s="36">
        <f t="shared" si="23"/>
        <v>8640</v>
      </c>
      <c r="J31" s="36">
        <f t="shared" si="23"/>
        <v>26980</v>
      </c>
      <c r="K31" s="36">
        <f t="shared" si="23"/>
        <v>6120</v>
      </c>
      <c r="L31" s="36">
        <f t="shared" si="23"/>
        <v>4320</v>
      </c>
      <c r="M31" s="36">
        <f t="shared" si="23"/>
        <v>3270</v>
      </c>
      <c r="N31" s="36">
        <f t="shared" si="23"/>
        <v>8480</v>
      </c>
      <c r="O31" s="36">
        <f t="shared" si="23"/>
        <v>20560</v>
      </c>
      <c r="P31" s="36">
        <f t="shared" si="23"/>
        <v>4380</v>
      </c>
      <c r="Q31" s="36">
        <f t="shared" si="23"/>
        <v>4030</v>
      </c>
      <c r="R31" s="36">
        <f t="shared" si="23"/>
        <v>3520</v>
      </c>
      <c r="S31" s="36">
        <f t="shared" si="23"/>
        <v>6560</v>
      </c>
      <c r="T31" s="37">
        <f>T32+T40+T42+T45+T47</f>
        <v>1080</v>
      </c>
      <c r="U31" s="37">
        <f>U32+U40+U42+U45+U47</f>
        <v>860</v>
      </c>
      <c r="V31" s="36">
        <f t="shared" si="1"/>
        <v>184931.20000000001</v>
      </c>
    </row>
    <row r="32" spans="1:22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S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>
        <f>T33+T34+T35+T36+T37+T38+T39</f>
        <v>0</v>
      </c>
      <c r="U32" s="37">
        <f>U33+U34+U35+U36+U37+U38+U39</f>
        <v>0</v>
      </c>
      <c r="V32" s="36">
        <f t="shared" si="1"/>
        <v>0</v>
      </c>
    </row>
    <row r="33" spans="1:22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36">
        <f t="shared" si="1"/>
        <v>0</v>
      </c>
    </row>
    <row r="34" spans="1:22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36">
        <f t="shared" si="1"/>
        <v>0</v>
      </c>
    </row>
    <row r="35" spans="1:22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36">
        <f t="shared" si="1"/>
        <v>0</v>
      </c>
    </row>
    <row r="36" spans="1:22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36">
        <f t="shared" si="1"/>
        <v>0</v>
      </c>
    </row>
    <row r="37" spans="1:22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36">
        <f t="shared" si="1"/>
        <v>0</v>
      </c>
    </row>
    <row r="38" spans="1:22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36">
        <f t="shared" si="1"/>
        <v>0</v>
      </c>
    </row>
    <row r="39" spans="1:22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36">
        <f t="shared" si="1"/>
        <v>0</v>
      </c>
    </row>
    <row r="40" spans="1:22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U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>
        <f t="shared" si="25"/>
        <v>0</v>
      </c>
      <c r="U40" s="37">
        <f t="shared" si="25"/>
        <v>0</v>
      </c>
      <c r="V40" s="36">
        <f t="shared" si="1"/>
        <v>0</v>
      </c>
    </row>
    <row r="41" spans="1:22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36">
        <f t="shared" si="1"/>
        <v>0</v>
      </c>
    </row>
    <row r="42" spans="1:22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S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>
        <f>T43+T44</f>
        <v>0</v>
      </c>
      <c r="U42" s="37">
        <f>U43+U44</f>
        <v>0</v>
      </c>
      <c r="V42" s="36">
        <f t="shared" si="1"/>
        <v>0</v>
      </c>
    </row>
    <row r="43" spans="1:22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36">
        <f t="shared" si="1"/>
        <v>0</v>
      </c>
    </row>
    <row r="44" spans="1:22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36">
        <f t="shared" si="1"/>
        <v>0</v>
      </c>
    </row>
    <row r="45" spans="1:22">
      <c r="A45" s="33" t="s">
        <v>280</v>
      </c>
      <c r="B45" s="34" t="s">
        <v>281</v>
      </c>
      <c r="C45" s="34"/>
      <c r="D45" s="35" t="s">
        <v>183</v>
      </c>
      <c r="E45" s="36">
        <f>E46</f>
        <v>22680</v>
      </c>
      <c r="F45" s="36">
        <f t="shared" ref="F45:U45" si="27">F46</f>
        <v>7200</v>
      </c>
      <c r="G45" s="36">
        <f t="shared" si="27"/>
        <v>10440</v>
      </c>
      <c r="H45" s="36">
        <f t="shared" si="27"/>
        <v>0</v>
      </c>
      <c r="I45" s="36">
        <f t="shared" si="27"/>
        <v>6840</v>
      </c>
      <c r="J45" s="36">
        <f t="shared" si="27"/>
        <v>22680</v>
      </c>
      <c r="K45" s="36">
        <f t="shared" si="27"/>
        <v>6120</v>
      </c>
      <c r="L45" s="36">
        <f t="shared" si="27"/>
        <v>4320</v>
      </c>
      <c r="M45" s="36">
        <f t="shared" si="27"/>
        <v>2520</v>
      </c>
      <c r="N45" s="36">
        <f t="shared" si="27"/>
        <v>6480</v>
      </c>
      <c r="O45" s="36">
        <f t="shared" si="27"/>
        <v>16560</v>
      </c>
      <c r="P45" s="36">
        <f t="shared" si="27"/>
        <v>2880</v>
      </c>
      <c r="Q45" s="36">
        <f t="shared" si="27"/>
        <v>2880</v>
      </c>
      <c r="R45" s="36">
        <f t="shared" si="27"/>
        <v>2520</v>
      </c>
      <c r="S45" s="36">
        <f t="shared" si="27"/>
        <v>5760</v>
      </c>
      <c r="T45" s="37">
        <f t="shared" si="27"/>
        <v>1080</v>
      </c>
      <c r="U45" s="37">
        <f t="shared" si="27"/>
        <v>360</v>
      </c>
      <c r="V45" s="36">
        <f t="shared" si="1"/>
        <v>121320</v>
      </c>
    </row>
    <row r="46" spans="1:22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1890*12</f>
        <v>22680</v>
      </c>
      <c r="F46" s="37">
        <f>600*12</f>
        <v>7200</v>
      </c>
      <c r="G46" s="37">
        <f>870*12</f>
        <v>10440</v>
      </c>
      <c r="H46" s="37"/>
      <c r="I46" s="37">
        <f>570*12</f>
        <v>6840</v>
      </c>
      <c r="J46" s="37">
        <f>1890*12</f>
        <v>22680</v>
      </c>
      <c r="K46" s="37">
        <f>510*12</f>
        <v>6120</v>
      </c>
      <c r="L46" s="37">
        <f>360*12</f>
        <v>4320</v>
      </c>
      <c r="M46" s="37">
        <f>210*12</f>
        <v>2520</v>
      </c>
      <c r="N46" s="37">
        <f>540*12</f>
        <v>6480</v>
      </c>
      <c r="O46" s="37">
        <f>1380*12</f>
        <v>16560</v>
      </c>
      <c r="P46" s="37">
        <f>240*12</f>
        <v>2880</v>
      </c>
      <c r="Q46" s="37">
        <f>240*12</f>
        <v>2880</v>
      </c>
      <c r="R46" s="37">
        <f>210*12</f>
        <v>2520</v>
      </c>
      <c r="S46" s="37">
        <f>480*12</f>
        <v>5760</v>
      </c>
      <c r="T46" s="37">
        <f>90*12</f>
        <v>1080</v>
      </c>
      <c r="U46" s="37">
        <f>30*12</f>
        <v>360</v>
      </c>
      <c r="V46" s="36">
        <f t="shared" si="1"/>
        <v>121320</v>
      </c>
    </row>
    <row r="47" spans="1:22">
      <c r="A47" s="33" t="s">
        <v>284</v>
      </c>
      <c r="B47" s="34" t="s">
        <v>285</v>
      </c>
      <c r="C47" s="34"/>
      <c r="D47" s="35" t="s">
        <v>183</v>
      </c>
      <c r="E47" s="36">
        <f>SUM(E48:E51)</f>
        <v>42811.199999999997</v>
      </c>
      <c r="F47" s="36">
        <f t="shared" ref="F47:S47" si="28">SUM(F48:F51)</f>
        <v>3000</v>
      </c>
      <c r="G47" s="36">
        <f t="shared" si="28"/>
        <v>0</v>
      </c>
      <c r="H47" s="36">
        <f t="shared" si="28"/>
        <v>0</v>
      </c>
      <c r="I47" s="36">
        <f t="shared" si="28"/>
        <v>1800</v>
      </c>
      <c r="J47" s="36">
        <f t="shared" si="28"/>
        <v>4300</v>
      </c>
      <c r="K47" s="36">
        <f t="shared" si="28"/>
        <v>0</v>
      </c>
      <c r="L47" s="36">
        <f t="shared" si="28"/>
        <v>0</v>
      </c>
      <c r="M47" s="36">
        <f t="shared" si="28"/>
        <v>750</v>
      </c>
      <c r="N47" s="36">
        <f t="shared" si="28"/>
        <v>2000</v>
      </c>
      <c r="O47" s="36">
        <f t="shared" si="28"/>
        <v>4000</v>
      </c>
      <c r="P47" s="36">
        <f t="shared" si="28"/>
        <v>1500</v>
      </c>
      <c r="Q47" s="36">
        <f t="shared" si="28"/>
        <v>1150</v>
      </c>
      <c r="R47" s="36">
        <f t="shared" si="28"/>
        <v>1000</v>
      </c>
      <c r="S47" s="36">
        <f t="shared" si="28"/>
        <v>800</v>
      </c>
      <c r="T47" s="37">
        <f>SUM(T48:T51)</f>
        <v>0</v>
      </c>
      <c r="U47" s="37">
        <f>SUM(U48:U51)</f>
        <v>500</v>
      </c>
      <c r="V47" s="36">
        <f t="shared" si="1"/>
        <v>63611.199999999997</v>
      </c>
    </row>
    <row r="48" spans="1:22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4100</v>
      </c>
      <c r="F48" s="37">
        <v>3000</v>
      </c>
      <c r="G48" s="37"/>
      <c r="H48" s="37"/>
      <c r="I48" s="37">
        <v>1800</v>
      </c>
      <c r="J48" s="37">
        <v>4300</v>
      </c>
      <c r="K48" s="37"/>
      <c r="L48" s="37"/>
      <c r="M48" s="37">
        <v>750</v>
      </c>
      <c r="N48" s="37">
        <v>2000</v>
      </c>
      <c r="O48" s="37">
        <v>4000</v>
      </c>
      <c r="P48" s="37">
        <v>1500</v>
      </c>
      <c r="Q48" s="37">
        <v>1150</v>
      </c>
      <c r="R48" s="37">
        <v>1000</v>
      </c>
      <c r="S48" s="37">
        <v>800</v>
      </c>
      <c r="T48" s="37"/>
      <c r="U48" s="37">
        <f>50*10</f>
        <v>500</v>
      </c>
      <c r="V48" s="36">
        <f t="shared" si="1"/>
        <v>24900</v>
      </c>
    </row>
    <row r="49" spans="1:24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36">
        <f t="shared" si="1"/>
        <v>0</v>
      </c>
    </row>
    <row r="50" spans="1:24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36">
        <f t="shared" si="1"/>
        <v>0</v>
      </c>
    </row>
    <row r="51" spans="1:24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>
        <v>38711.199999999997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36">
        <f t="shared" si="1"/>
        <v>38711.199999999997</v>
      </c>
    </row>
    <row r="52" spans="1:24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10281355.050000001</v>
      </c>
      <c r="F52" s="36">
        <f t="shared" ref="F52:S52" si="29">F53+F71+F73+F75+F77+F79+F81+F83+F85+F93</f>
        <v>3643047.2</v>
      </c>
      <c r="G52" s="36">
        <f t="shared" si="29"/>
        <v>3262861.3</v>
      </c>
      <c r="H52" s="36">
        <f t="shared" si="29"/>
        <v>1983923.4</v>
      </c>
      <c r="I52" s="36">
        <f t="shared" si="29"/>
        <v>4172641.95</v>
      </c>
      <c r="J52" s="36">
        <f t="shared" si="29"/>
        <v>16622901.25</v>
      </c>
      <c r="K52" s="36">
        <f t="shared" si="29"/>
        <v>2798653.45</v>
      </c>
      <c r="L52" s="36">
        <f t="shared" si="29"/>
        <v>6849106.2999999998</v>
      </c>
      <c r="M52" s="36">
        <f t="shared" si="29"/>
        <v>2766909.7</v>
      </c>
      <c r="N52" s="36">
        <f t="shared" si="29"/>
        <v>6126289.75</v>
      </c>
      <c r="O52" s="36">
        <f t="shared" si="29"/>
        <v>8487600.5999999996</v>
      </c>
      <c r="P52" s="36">
        <f t="shared" si="29"/>
        <v>2031590</v>
      </c>
      <c r="Q52" s="36">
        <f t="shared" si="29"/>
        <v>1646417</v>
      </c>
      <c r="R52" s="36">
        <f t="shared" si="29"/>
        <v>1431906.8</v>
      </c>
      <c r="S52" s="36">
        <f t="shared" si="29"/>
        <v>1960694.56</v>
      </c>
      <c r="T52" s="37">
        <f>T53+T71+T73+T75+T77+T79+T81+T83+T85+T93</f>
        <v>402848</v>
      </c>
      <c r="U52" s="37">
        <f>U53+U71+U73+U75+U77+U79+U81+U83+U85+U93</f>
        <v>980251.20000000007</v>
      </c>
      <c r="V52" s="36">
        <f t="shared" si="1"/>
        <v>75448997.510000005</v>
      </c>
      <c r="X52" s="30">
        <v>74325237.510000005</v>
      </c>
    </row>
    <row r="53" spans="1:24">
      <c r="A53" s="33" t="s">
        <v>299</v>
      </c>
      <c r="B53" s="34" t="s">
        <v>300</v>
      </c>
      <c r="C53" s="34"/>
      <c r="D53" s="35" t="s">
        <v>301</v>
      </c>
      <c r="E53" s="36">
        <f>SUM(E54:E70)</f>
        <v>7128700</v>
      </c>
      <c r="F53" s="36">
        <f t="shared" ref="F53:S53" si="30">SUM(F54:F70)</f>
        <v>2402620</v>
      </c>
      <c r="G53" s="36">
        <f t="shared" si="30"/>
        <v>2071560</v>
      </c>
      <c r="H53" s="36">
        <f t="shared" si="30"/>
        <v>1703650</v>
      </c>
      <c r="I53" s="36">
        <f t="shared" si="30"/>
        <v>3197890</v>
      </c>
      <c r="J53" s="36">
        <f t="shared" si="30"/>
        <v>13131530</v>
      </c>
      <c r="K53" s="36">
        <f t="shared" si="30"/>
        <v>2012120</v>
      </c>
      <c r="L53" s="36">
        <f t="shared" si="30"/>
        <v>5474560</v>
      </c>
      <c r="M53" s="36">
        <f t="shared" si="30"/>
        <v>2029080</v>
      </c>
      <c r="N53" s="36">
        <f t="shared" si="30"/>
        <v>4893110</v>
      </c>
      <c r="O53" s="36">
        <f t="shared" si="30"/>
        <v>6417420</v>
      </c>
      <c r="P53" s="36">
        <f t="shared" si="30"/>
        <v>1359260</v>
      </c>
      <c r="Q53" s="36">
        <f t="shared" si="30"/>
        <v>1212960</v>
      </c>
      <c r="R53" s="36">
        <f t="shared" si="30"/>
        <v>1099080</v>
      </c>
      <c r="S53" s="36">
        <f t="shared" si="30"/>
        <v>1361920</v>
      </c>
      <c r="T53" s="37">
        <f>SUM(T54:T70)</f>
        <v>224000</v>
      </c>
      <c r="U53" s="37">
        <f>SUM(U54:U70)</f>
        <v>798000</v>
      </c>
      <c r="V53" s="36">
        <f t="shared" si="1"/>
        <v>56517460</v>
      </c>
    </row>
    <row r="54" spans="1:24">
      <c r="A54" s="33" t="s">
        <v>302</v>
      </c>
      <c r="B54" s="34" t="s">
        <v>303</v>
      </c>
      <c r="C54" s="34" t="s">
        <v>189</v>
      </c>
      <c r="D54" s="47"/>
      <c r="E54" s="37">
        <v>500000</v>
      </c>
      <c r="F54" s="37">
        <v>430000</v>
      </c>
      <c r="G54" s="37">
        <v>130733</v>
      </c>
      <c r="H54" s="37">
        <v>100000</v>
      </c>
      <c r="I54" s="37">
        <v>50000</v>
      </c>
      <c r="J54" s="37">
        <f>500000+508810.5/2</f>
        <v>754405.25</v>
      </c>
      <c r="K54" s="37">
        <f>246700+78166</f>
        <v>324866</v>
      </c>
      <c r="L54" s="37">
        <f>360000+212344/2</f>
        <v>466172</v>
      </c>
      <c r="M54" s="37">
        <f>13000+295923+78166</f>
        <v>387089</v>
      </c>
      <c r="N54" s="37">
        <f>450000+190085.5/2</f>
        <v>545042.75</v>
      </c>
      <c r="O54" s="37">
        <v>700000</v>
      </c>
      <c r="P54" s="37">
        <v>200000</v>
      </c>
      <c r="Q54" s="37">
        <v>150000</v>
      </c>
      <c r="R54" s="37">
        <v>120000</v>
      </c>
      <c r="S54" s="37">
        <v>43144</v>
      </c>
      <c r="T54" s="37">
        <v>21000</v>
      </c>
      <c r="U54" s="37">
        <v>94084</v>
      </c>
      <c r="V54" s="36">
        <f t="shared" si="1"/>
        <v>5016536</v>
      </c>
    </row>
    <row r="55" spans="1:24">
      <c r="A55" s="33" t="s">
        <v>304</v>
      </c>
      <c r="B55" s="34" t="s">
        <v>305</v>
      </c>
      <c r="C55" s="34" t="s">
        <v>189</v>
      </c>
      <c r="D55" s="47"/>
      <c r="E55" s="37">
        <v>400000</v>
      </c>
      <c r="F55" s="37">
        <v>70000</v>
      </c>
      <c r="G55" s="37">
        <v>76317</v>
      </c>
      <c r="H55" s="37">
        <v>50000</v>
      </c>
      <c r="I55" s="37">
        <v>50000</v>
      </c>
      <c r="J55" s="37">
        <v>500000</v>
      </c>
      <c r="K55" s="37">
        <v>130000</v>
      </c>
      <c r="L55" s="37">
        <v>120000</v>
      </c>
      <c r="M55" s="37">
        <v>75000</v>
      </c>
      <c r="N55" s="37">
        <v>90000</v>
      </c>
      <c r="O55" s="37">
        <v>150000</v>
      </c>
      <c r="P55" s="37">
        <v>2000</v>
      </c>
      <c r="Q55" s="37">
        <v>10000</v>
      </c>
      <c r="R55" s="37">
        <v>5000</v>
      </c>
      <c r="S55" s="37">
        <v>1000</v>
      </c>
      <c r="T55" s="37">
        <v>12000</v>
      </c>
      <c r="U55" s="37">
        <v>12000</v>
      </c>
      <c r="V55" s="36">
        <f t="shared" si="1"/>
        <v>1753317</v>
      </c>
    </row>
    <row r="56" spans="1:24">
      <c r="A56" s="33" t="s">
        <v>306</v>
      </c>
      <c r="B56" s="34" t="s">
        <v>307</v>
      </c>
      <c r="C56" s="34" t="s">
        <v>189</v>
      </c>
      <c r="D56" s="47"/>
      <c r="E56" s="37">
        <v>100000</v>
      </c>
      <c r="F56" s="37">
        <v>0</v>
      </c>
      <c r="G56" s="37">
        <v>25000</v>
      </c>
      <c r="H56" s="37">
        <v>0</v>
      </c>
      <c r="I56" s="37">
        <v>20000</v>
      </c>
      <c r="J56" s="37">
        <v>500000</v>
      </c>
      <c r="K56" s="37">
        <v>8000</v>
      </c>
      <c r="L56" s="37">
        <v>10000</v>
      </c>
      <c r="M56" s="37">
        <v>20000</v>
      </c>
      <c r="N56" s="37">
        <v>10000</v>
      </c>
      <c r="O56" s="37">
        <v>30000</v>
      </c>
      <c r="P56" s="37">
        <v>5000</v>
      </c>
      <c r="Q56" s="37">
        <v>10000</v>
      </c>
      <c r="R56" s="37">
        <v>10000</v>
      </c>
      <c r="S56" s="37">
        <v>1000</v>
      </c>
      <c r="T56" s="37">
        <v>3000</v>
      </c>
      <c r="U56" s="37"/>
      <c r="V56" s="36">
        <f t="shared" si="1"/>
        <v>752000</v>
      </c>
    </row>
    <row r="57" spans="1:24">
      <c r="A57" s="33" t="s">
        <v>308</v>
      </c>
      <c r="B57" s="34" t="s">
        <v>309</v>
      </c>
      <c r="C57" s="34" t="s">
        <v>189</v>
      </c>
      <c r="D57" s="47"/>
      <c r="E57" s="37">
        <v>300000</v>
      </c>
      <c r="F57" s="37">
        <v>100000</v>
      </c>
      <c r="G57" s="37">
        <v>60000</v>
      </c>
      <c r="H57" s="37">
        <v>30000</v>
      </c>
      <c r="I57" s="37">
        <v>120000</v>
      </c>
      <c r="J57" s="37">
        <v>100000</v>
      </c>
      <c r="K57" s="37">
        <v>120000</v>
      </c>
      <c r="L57" s="37">
        <v>180000</v>
      </c>
      <c r="M57" s="37">
        <v>35000</v>
      </c>
      <c r="N57" s="37">
        <v>150000</v>
      </c>
      <c r="O57" s="37">
        <v>120000</v>
      </c>
      <c r="P57" s="37">
        <v>40000</v>
      </c>
      <c r="Q57" s="37">
        <v>20000</v>
      </c>
      <c r="R57" s="37">
        <v>12500</v>
      </c>
      <c r="S57" s="37">
        <v>55000</v>
      </c>
      <c r="T57" s="37">
        <v>3000</v>
      </c>
      <c r="U57" s="37">
        <v>30000</v>
      </c>
      <c r="V57" s="36">
        <f t="shared" si="1"/>
        <v>1475500</v>
      </c>
    </row>
    <row r="58" spans="1:24">
      <c r="A58" s="33" t="s">
        <v>310</v>
      </c>
      <c r="B58" s="34" t="s">
        <v>311</v>
      </c>
      <c r="C58" s="34" t="s">
        <v>189</v>
      </c>
      <c r="D58" s="47"/>
      <c r="E58" s="37">
        <v>350000</v>
      </c>
      <c r="F58" s="37">
        <v>200000</v>
      </c>
      <c r="G58" s="37">
        <v>100000</v>
      </c>
      <c r="H58" s="37">
        <v>150000</v>
      </c>
      <c r="I58" s="37">
        <v>200000</v>
      </c>
      <c r="J58" s="37">
        <v>500000</v>
      </c>
      <c r="K58" s="37">
        <v>140000</v>
      </c>
      <c r="L58" s="37">
        <v>240000</v>
      </c>
      <c r="M58" s="37">
        <v>150000</v>
      </c>
      <c r="N58" s="37">
        <v>330000</v>
      </c>
      <c r="O58" s="37">
        <v>400000</v>
      </c>
      <c r="P58" s="37">
        <v>100000</v>
      </c>
      <c r="Q58" s="37">
        <v>120000</v>
      </c>
      <c r="R58" s="37">
        <v>68000</v>
      </c>
      <c r="S58" s="37">
        <v>120000</v>
      </c>
      <c r="T58" s="37"/>
      <c r="U58" s="37">
        <v>50000</v>
      </c>
      <c r="V58" s="36">
        <f t="shared" si="1"/>
        <v>3218000</v>
      </c>
    </row>
    <row r="59" spans="1:24">
      <c r="A59" s="33" t="s">
        <v>312</v>
      </c>
      <c r="B59" s="34" t="s">
        <v>313</v>
      </c>
      <c r="C59" s="34" t="s">
        <v>189</v>
      </c>
      <c r="D59" s="47"/>
      <c r="E59" s="37">
        <v>100000</v>
      </c>
      <c r="F59" s="37">
        <v>60000</v>
      </c>
      <c r="G59" s="37">
        <v>20000</v>
      </c>
      <c r="H59" s="37">
        <v>6000</v>
      </c>
      <c r="I59" s="37">
        <v>70000</v>
      </c>
      <c r="J59" s="37">
        <v>100000</v>
      </c>
      <c r="K59" s="37">
        <v>5000</v>
      </c>
      <c r="L59" s="37">
        <v>120000</v>
      </c>
      <c r="M59" s="37">
        <v>50000</v>
      </c>
      <c r="N59" s="37">
        <v>50000</v>
      </c>
      <c r="O59" s="37">
        <v>50000</v>
      </c>
      <c r="P59" s="37">
        <v>30000</v>
      </c>
      <c r="Q59" s="37">
        <v>30000</v>
      </c>
      <c r="R59" s="37">
        <v>16000</v>
      </c>
      <c r="S59" s="37">
        <v>28000</v>
      </c>
      <c r="T59" s="37">
        <v>2000</v>
      </c>
      <c r="U59" s="37">
        <v>20000</v>
      </c>
      <c r="V59" s="36">
        <f t="shared" si="1"/>
        <v>757000</v>
      </c>
    </row>
    <row r="60" spans="1:24">
      <c r="A60" s="33" t="s">
        <v>314</v>
      </c>
      <c r="B60" s="34" t="s">
        <v>315</v>
      </c>
      <c r="C60" s="34" t="s">
        <v>189</v>
      </c>
      <c r="D60" s="47"/>
      <c r="E60" s="37">
        <v>100000</v>
      </c>
      <c r="F60" s="37">
        <v>30000</v>
      </c>
      <c r="G60" s="37">
        <v>5000</v>
      </c>
      <c r="H60" s="37">
        <v>50000</v>
      </c>
      <c r="I60" s="37">
        <v>2000</v>
      </c>
      <c r="J60" s="37">
        <v>100000</v>
      </c>
      <c r="K60" s="37">
        <v>3000</v>
      </c>
      <c r="L60" s="37">
        <v>20000</v>
      </c>
      <c r="M60" s="37">
        <v>20000</v>
      </c>
      <c r="N60" s="37">
        <v>35000</v>
      </c>
      <c r="O60" s="37">
        <v>20000</v>
      </c>
      <c r="P60" s="37">
        <v>5000</v>
      </c>
      <c r="Q60" s="37">
        <v>20000</v>
      </c>
      <c r="R60" s="37">
        <v>2000</v>
      </c>
      <c r="S60" s="37">
        <v>2000</v>
      </c>
      <c r="T60" s="37">
        <v>10000</v>
      </c>
      <c r="U60" s="37">
        <v>5000</v>
      </c>
      <c r="V60" s="36">
        <f t="shared" si="1"/>
        <v>429000</v>
      </c>
    </row>
    <row r="61" spans="1:24">
      <c r="A61" s="33" t="s">
        <v>316</v>
      </c>
      <c r="B61" s="34" t="s">
        <v>317</v>
      </c>
      <c r="C61" s="34" t="s">
        <v>189</v>
      </c>
      <c r="D61" s="47"/>
      <c r="E61" s="37">
        <v>550000</v>
      </c>
      <c r="F61" s="37">
        <v>160000</v>
      </c>
      <c r="G61" s="37">
        <v>150000</v>
      </c>
      <c r="H61" s="37">
        <v>150000</v>
      </c>
      <c r="I61" s="37">
        <v>30000</v>
      </c>
      <c r="J61" s="37">
        <v>1500000</v>
      </c>
      <c r="K61" s="37">
        <v>350000</v>
      </c>
      <c r="L61" s="37">
        <v>600000</v>
      </c>
      <c r="M61" s="37">
        <v>250000</v>
      </c>
      <c r="N61" s="37">
        <v>640989</v>
      </c>
      <c r="O61" s="37">
        <v>500000</v>
      </c>
      <c r="P61" s="37">
        <v>120000</v>
      </c>
      <c r="Q61" s="37">
        <v>100000</v>
      </c>
      <c r="R61" s="37">
        <v>120000</v>
      </c>
      <c r="S61" s="37">
        <v>380000</v>
      </c>
      <c r="T61" s="37">
        <v>20000</v>
      </c>
      <c r="U61" s="37">
        <v>100000</v>
      </c>
      <c r="V61" s="36">
        <f t="shared" si="1"/>
        <v>5720989</v>
      </c>
    </row>
    <row r="62" spans="1:24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6">
        <f t="shared" si="1"/>
        <v>0</v>
      </c>
    </row>
    <row r="63" spans="1:24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356435</v>
      </c>
      <c r="F63" s="37">
        <v>120131</v>
      </c>
      <c r="G63" s="37">
        <v>103578</v>
      </c>
      <c r="H63" s="37">
        <v>56458</v>
      </c>
      <c r="I63" s="37">
        <v>159894.5</v>
      </c>
      <c r="J63" s="37">
        <f>629797+26779.5</f>
        <v>656576.5</v>
      </c>
      <c r="K63" s="37">
        <f>96492+4114</f>
        <v>100606</v>
      </c>
      <c r="L63" s="37">
        <f>262552+11176</f>
        <v>273728</v>
      </c>
      <c r="M63" s="37">
        <f>101454</f>
        <v>101454</v>
      </c>
      <c r="N63" s="37">
        <v>244655.5</v>
      </c>
      <c r="O63" s="37">
        <v>314753</v>
      </c>
      <c r="P63" s="37">
        <v>67697</v>
      </c>
      <c r="Q63" s="37">
        <v>60648</v>
      </c>
      <c r="R63" s="37">
        <v>54954</v>
      </c>
      <c r="S63" s="37">
        <v>62776</v>
      </c>
      <c r="T63" s="37">
        <v>11200</v>
      </c>
      <c r="U63" s="37">
        <v>6916</v>
      </c>
      <c r="V63" s="36">
        <f t="shared" si="1"/>
        <v>2752460.5</v>
      </c>
      <c r="X63" s="30">
        <v>2696272.5</v>
      </c>
    </row>
    <row r="64" spans="1:24">
      <c r="A64" s="33" t="s">
        <v>324</v>
      </c>
      <c r="B64" s="34" t="s">
        <v>325</v>
      </c>
      <c r="C64" s="34" t="s">
        <v>189</v>
      </c>
      <c r="D64" s="47"/>
      <c r="E64" s="37">
        <v>6000</v>
      </c>
      <c r="F64" s="37">
        <v>8000</v>
      </c>
      <c r="G64" s="37">
        <v>3000</v>
      </c>
      <c r="H64" s="37">
        <v>6000</v>
      </c>
      <c r="I64" s="37">
        <v>2000</v>
      </c>
      <c r="J64" s="37">
        <v>82000</v>
      </c>
      <c r="K64" s="37">
        <v>15000</v>
      </c>
      <c r="L64" s="37">
        <v>12000</v>
      </c>
      <c r="M64" s="37">
        <v>4900</v>
      </c>
      <c r="N64" s="37">
        <v>22380</v>
      </c>
      <c r="O64" s="37">
        <v>1000</v>
      </c>
      <c r="P64" s="37">
        <v>9800</v>
      </c>
      <c r="Q64" s="37">
        <v>6000</v>
      </c>
      <c r="R64" s="37">
        <v>8420</v>
      </c>
      <c r="S64" s="37">
        <v>6000</v>
      </c>
      <c r="T64" s="37">
        <v>5000</v>
      </c>
      <c r="U64" s="37">
        <v>10000</v>
      </c>
      <c r="V64" s="36">
        <f t="shared" si="1"/>
        <v>207500</v>
      </c>
    </row>
    <row r="65" spans="1:22">
      <c r="A65" s="33" t="s">
        <v>326</v>
      </c>
      <c r="B65" s="34" t="s">
        <v>327</v>
      </c>
      <c r="C65" s="34" t="s">
        <v>189</v>
      </c>
      <c r="D65" s="47"/>
      <c r="E65" s="37">
        <v>500000</v>
      </c>
      <c r="F65" s="37">
        <v>150000</v>
      </c>
      <c r="G65" s="37">
        <v>110000</v>
      </c>
      <c r="H65" s="37">
        <v>100000</v>
      </c>
      <c r="I65" s="37">
        <v>30000</v>
      </c>
      <c r="J65" s="37">
        <v>1500000</v>
      </c>
      <c r="K65" s="37">
        <v>180000</v>
      </c>
      <c r="L65" s="37">
        <v>350000</v>
      </c>
      <c r="M65" s="37">
        <v>80000</v>
      </c>
      <c r="N65" s="37">
        <v>330000</v>
      </c>
      <c r="O65" s="37">
        <v>1500000</v>
      </c>
      <c r="P65" s="37">
        <v>250000</v>
      </c>
      <c r="Q65" s="37">
        <v>100000</v>
      </c>
      <c r="R65" s="37">
        <v>150000</v>
      </c>
      <c r="S65" s="37">
        <v>190000</v>
      </c>
      <c r="T65" s="37">
        <v>3000</v>
      </c>
      <c r="U65" s="37">
        <v>200000</v>
      </c>
      <c r="V65" s="36">
        <f t="shared" si="1"/>
        <v>5723000</v>
      </c>
    </row>
    <row r="66" spans="1:22">
      <c r="A66" s="33" t="s">
        <v>328</v>
      </c>
      <c r="B66" s="34" t="s">
        <v>329</v>
      </c>
      <c r="C66" s="34" t="s">
        <v>189</v>
      </c>
      <c r="D66" s="47"/>
      <c r="E66" s="37">
        <v>1000000</v>
      </c>
      <c r="F66" s="37">
        <v>150000</v>
      </c>
      <c r="G66" s="37">
        <v>90000</v>
      </c>
      <c r="H66" s="37">
        <v>100000</v>
      </c>
      <c r="I66" s="37">
        <v>80000</v>
      </c>
      <c r="J66" s="37">
        <v>1500000</v>
      </c>
      <c r="K66" s="37">
        <v>50000</v>
      </c>
      <c r="L66" s="37">
        <v>600000</v>
      </c>
      <c r="M66" s="37">
        <v>50000</v>
      </c>
      <c r="N66" s="37">
        <v>110000</v>
      </c>
      <c r="O66" s="37">
        <v>150000</v>
      </c>
      <c r="P66" s="37">
        <v>30000</v>
      </c>
      <c r="Q66" s="37">
        <v>50000</v>
      </c>
      <c r="R66" s="37">
        <v>2000</v>
      </c>
      <c r="S66" s="37">
        <v>38000</v>
      </c>
      <c r="T66" s="37">
        <v>3000</v>
      </c>
      <c r="U66" s="37">
        <v>10000</v>
      </c>
      <c r="V66" s="36">
        <f t="shared" si="1"/>
        <v>4013000</v>
      </c>
    </row>
    <row r="67" spans="1:22">
      <c r="A67" s="33" t="s">
        <v>330</v>
      </c>
      <c r="B67" s="34" t="s">
        <v>331</v>
      </c>
      <c r="C67" s="34" t="s">
        <v>189</v>
      </c>
      <c r="D67" s="47"/>
      <c r="E67" s="37">
        <v>200000</v>
      </c>
      <c r="F67" s="37">
        <v>40000</v>
      </c>
      <c r="G67" s="37">
        <v>100000</v>
      </c>
      <c r="H67" s="37">
        <v>20000</v>
      </c>
      <c r="I67" s="37">
        <v>50000</v>
      </c>
      <c r="J67" s="37">
        <v>1500000</v>
      </c>
      <c r="K67" s="37">
        <v>85000</v>
      </c>
      <c r="L67" s="37">
        <v>330000</v>
      </c>
      <c r="M67" s="37">
        <v>50000</v>
      </c>
      <c r="N67" s="37">
        <v>100000</v>
      </c>
      <c r="O67" s="37">
        <v>5000</v>
      </c>
      <c r="P67" s="37">
        <v>30000</v>
      </c>
      <c r="Q67" s="37">
        <v>70000</v>
      </c>
      <c r="R67" s="37">
        <v>5000</v>
      </c>
      <c r="S67" s="37">
        <v>45000</v>
      </c>
      <c r="T67" s="37">
        <v>20000</v>
      </c>
      <c r="U67" s="37">
        <v>10000</v>
      </c>
      <c r="V67" s="36">
        <f t="shared" ref="V67:V109" si="31">SUM(E67:U67)</f>
        <v>2660000</v>
      </c>
    </row>
    <row r="68" spans="1:22">
      <c r="A68" s="33" t="s">
        <v>332</v>
      </c>
      <c r="B68" s="34" t="s">
        <v>333</v>
      </c>
      <c r="C68" s="34" t="s">
        <v>189</v>
      </c>
      <c r="D68" s="47"/>
      <c r="E68" s="37">
        <f>1828692+37573</f>
        <v>1866265</v>
      </c>
      <c r="F68" s="37">
        <f>607651+26838</f>
        <v>634489</v>
      </c>
      <c r="G68" s="37">
        <v>942682</v>
      </c>
      <c r="H68" s="37">
        <f>579824+5368</f>
        <v>585192</v>
      </c>
      <c r="I68" s="37">
        <f>1828628+5367.5</f>
        <v>1833995.5</v>
      </c>
      <c r="J68" s="37">
        <f>461723+100000+22420+508810.5/2</f>
        <v>838548.25</v>
      </c>
      <c r="K68" s="37">
        <v>420000</v>
      </c>
      <c r="L68" s="37">
        <f>1540883+5605+212344/2</f>
        <v>1652660</v>
      </c>
      <c r="M68" s="37">
        <f>257094+11210</f>
        <v>268304</v>
      </c>
      <c r="N68" s="37">
        <f>1330000+190085.5/2</f>
        <v>1425042.75</v>
      </c>
      <c r="O68" s="37">
        <f>1410080+16587</f>
        <v>1426667</v>
      </c>
      <c r="P68" s="37">
        <v>249763</v>
      </c>
      <c r="Q68" s="37">
        <v>306312</v>
      </c>
      <c r="R68" s="37">
        <f>399677+5529</f>
        <v>405206</v>
      </c>
      <c r="S68" s="37">
        <v>270000</v>
      </c>
      <c r="T68" s="37">
        <v>30000</v>
      </c>
      <c r="U68" s="37">
        <v>150000</v>
      </c>
      <c r="V68" s="36">
        <f t="shared" si="31"/>
        <v>13305126.5</v>
      </c>
    </row>
    <row r="69" spans="1:22">
      <c r="A69" s="33" t="s">
        <v>334</v>
      </c>
      <c r="B69" s="34" t="s">
        <v>335</v>
      </c>
      <c r="C69" s="34" t="s">
        <v>189</v>
      </c>
      <c r="D69" s="47"/>
      <c r="E69" s="37">
        <v>400000</v>
      </c>
      <c r="F69" s="37">
        <v>230000</v>
      </c>
      <c r="G69" s="37">
        <v>145250</v>
      </c>
      <c r="H69" s="37">
        <v>100000</v>
      </c>
      <c r="I69" s="37">
        <v>200000</v>
      </c>
      <c r="J69" s="37">
        <v>1500000</v>
      </c>
      <c r="K69" s="37">
        <v>50000</v>
      </c>
      <c r="L69" s="37">
        <v>300000</v>
      </c>
      <c r="M69" s="37">
        <f>200000+87333</f>
        <v>287333</v>
      </c>
      <c r="N69" s="37">
        <v>560000</v>
      </c>
      <c r="O69" s="37">
        <v>1000000</v>
      </c>
      <c r="P69" s="37">
        <v>60000</v>
      </c>
      <c r="Q69" s="37">
        <v>130000</v>
      </c>
      <c r="R69" s="37">
        <v>60000</v>
      </c>
      <c r="S69" s="37">
        <v>110000</v>
      </c>
      <c r="T69" s="37">
        <v>60000</v>
      </c>
      <c r="U69" s="37">
        <v>50000</v>
      </c>
      <c r="V69" s="36">
        <f t="shared" si="31"/>
        <v>5242583</v>
      </c>
    </row>
    <row r="70" spans="1:22">
      <c r="A70" s="33" t="s">
        <v>336</v>
      </c>
      <c r="B70" s="34" t="s">
        <v>337</v>
      </c>
      <c r="C70" s="34" t="s">
        <v>189</v>
      </c>
      <c r="D70" s="47"/>
      <c r="E70" s="37">
        <v>400000</v>
      </c>
      <c r="F70" s="37">
        <v>20000</v>
      </c>
      <c r="G70" s="37">
        <v>10000</v>
      </c>
      <c r="H70" s="37">
        <v>200000</v>
      </c>
      <c r="I70" s="37">
        <v>300000</v>
      </c>
      <c r="J70" s="37">
        <v>1500000</v>
      </c>
      <c r="K70" s="37">
        <v>30648</v>
      </c>
      <c r="L70" s="37">
        <v>200000</v>
      </c>
      <c r="M70" s="37">
        <v>200000</v>
      </c>
      <c r="N70" s="37">
        <v>250000</v>
      </c>
      <c r="O70" s="37">
        <v>50000</v>
      </c>
      <c r="P70" s="37">
        <v>160000</v>
      </c>
      <c r="Q70" s="37">
        <v>30000</v>
      </c>
      <c r="R70" s="37">
        <v>60000</v>
      </c>
      <c r="S70" s="37">
        <v>10000</v>
      </c>
      <c r="T70" s="37">
        <v>20800</v>
      </c>
      <c r="U70" s="37">
        <v>50000</v>
      </c>
      <c r="V70" s="36">
        <f t="shared" si="31"/>
        <v>3491448</v>
      </c>
    </row>
    <row r="71" spans="1:22">
      <c r="A71" s="33" t="s">
        <v>338</v>
      </c>
      <c r="B71" s="34" t="s">
        <v>339</v>
      </c>
      <c r="C71" s="34"/>
      <c r="D71" s="35"/>
      <c r="E71" s="36">
        <f>E72</f>
        <v>102000</v>
      </c>
      <c r="F71" s="36">
        <f t="shared" ref="F71:U71" si="32">F72</f>
        <v>34400</v>
      </c>
      <c r="G71" s="36">
        <f t="shared" si="32"/>
        <v>33200</v>
      </c>
      <c r="H71" s="36">
        <f t="shared" si="32"/>
        <v>0</v>
      </c>
      <c r="I71" s="36">
        <f t="shared" si="32"/>
        <v>36000</v>
      </c>
      <c r="J71" s="36">
        <f t="shared" si="32"/>
        <v>115200</v>
      </c>
      <c r="K71" s="36">
        <f t="shared" si="32"/>
        <v>25200</v>
      </c>
      <c r="L71" s="36">
        <f t="shared" si="32"/>
        <v>46400</v>
      </c>
      <c r="M71" s="36">
        <f t="shared" si="32"/>
        <v>24800</v>
      </c>
      <c r="N71" s="36">
        <f t="shared" si="32"/>
        <v>43600</v>
      </c>
      <c r="O71" s="36">
        <f t="shared" si="32"/>
        <v>66800</v>
      </c>
      <c r="P71" s="36">
        <f t="shared" si="32"/>
        <v>18400</v>
      </c>
      <c r="Q71" s="36">
        <f t="shared" si="32"/>
        <v>14400</v>
      </c>
      <c r="R71" s="36">
        <f t="shared" si="32"/>
        <v>11200</v>
      </c>
      <c r="S71" s="36">
        <f t="shared" si="32"/>
        <v>18000</v>
      </c>
      <c r="T71" s="37">
        <f t="shared" si="32"/>
        <v>2800</v>
      </c>
      <c r="U71" s="37">
        <f t="shared" si="32"/>
        <v>1600</v>
      </c>
      <c r="V71" s="36">
        <f t="shared" si="31"/>
        <v>594000</v>
      </c>
    </row>
    <row r="72" spans="1:22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102000</v>
      </c>
      <c r="F72" s="36">
        <f t="shared" ref="F72:S72" si="33">F96*400</f>
        <v>34400</v>
      </c>
      <c r="G72" s="36">
        <f t="shared" si="33"/>
        <v>33200</v>
      </c>
      <c r="H72" s="36">
        <f t="shared" si="33"/>
        <v>0</v>
      </c>
      <c r="I72" s="36">
        <f t="shared" si="33"/>
        <v>36000</v>
      </c>
      <c r="J72" s="36">
        <f t="shared" si="33"/>
        <v>115200</v>
      </c>
      <c r="K72" s="36">
        <f t="shared" si="33"/>
        <v>25200</v>
      </c>
      <c r="L72" s="36">
        <f t="shared" si="33"/>
        <v>46400</v>
      </c>
      <c r="M72" s="36">
        <f t="shared" si="33"/>
        <v>24800</v>
      </c>
      <c r="N72" s="36">
        <f t="shared" si="33"/>
        <v>43600</v>
      </c>
      <c r="O72" s="36">
        <f t="shared" si="33"/>
        <v>66800</v>
      </c>
      <c r="P72" s="36">
        <f t="shared" si="33"/>
        <v>18400</v>
      </c>
      <c r="Q72" s="36">
        <f t="shared" si="33"/>
        <v>14400</v>
      </c>
      <c r="R72" s="36">
        <f t="shared" si="33"/>
        <v>11200</v>
      </c>
      <c r="S72" s="36">
        <f t="shared" si="33"/>
        <v>18000</v>
      </c>
      <c r="T72" s="37">
        <f>T96*400</f>
        <v>2800</v>
      </c>
      <c r="U72" s="37">
        <f>U96*400</f>
        <v>1600</v>
      </c>
      <c r="V72" s="36">
        <f t="shared" si="31"/>
        <v>594000</v>
      </c>
    </row>
    <row r="73" spans="1:22">
      <c r="A73" s="33" t="s">
        <v>343</v>
      </c>
      <c r="B73" s="34" t="s">
        <v>344</v>
      </c>
      <c r="C73" s="34"/>
      <c r="D73" s="35" t="s">
        <v>183</v>
      </c>
      <c r="E73" s="36">
        <f>E74</f>
        <v>325039.05</v>
      </c>
      <c r="F73" s="36">
        <f t="shared" ref="F73:U73" si="34">F74</f>
        <v>197400</v>
      </c>
      <c r="G73" s="36">
        <f t="shared" si="34"/>
        <v>125589.30000000002</v>
      </c>
      <c r="H73" s="36">
        <f t="shared" si="34"/>
        <v>191134.2</v>
      </c>
      <c r="I73" s="36">
        <f t="shared" si="34"/>
        <v>170335.94999999998</v>
      </c>
      <c r="J73" s="36">
        <f t="shared" si="34"/>
        <v>429539.25</v>
      </c>
      <c r="K73" s="36">
        <f t="shared" si="34"/>
        <v>69477.45</v>
      </c>
      <c r="L73" s="36">
        <f t="shared" si="34"/>
        <v>191346.3</v>
      </c>
      <c r="M73" s="36">
        <f t="shared" si="34"/>
        <v>77588.100000000006</v>
      </c>
      <c r="N73" s="36">
        <f t="shared" si="34"/>
        <v>215058.15</v>
      </c>
      <c r="O73" s="36">
        <f t="shared" si="34"/>
        <v>349515</v>
      </c>
      <c r="P73" s="36">
        <f t="shared" si="34"/>
        <v>64290</v>
      </c>
      <c r="Q73" s="36">
        <f t="shared" si="34"/>
        <v>80865</v>
      </c>
      <c r="R73" s="36">
        <f t="shared" si="34"/>
        <v>55978.8</v>
      </c>
      <c r="S73" s="36">
        <f t="shared" si="34"/>
        <v>69180</v>
      </c>
      <c r="T73" s="37">
        <f t="shared" si="34"/>
        <v>42000</v>
      </c>
      <c r="U73" s="37">
        <f t="shared" si="34"/>
        <v>97500</v>
      </c>
      <c r="V73" s="36">
        <f t="shared" si="31"/>
        <v>2751836.55</v>
      </c>
    </row>
    <row r="74" spans="1:22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325039.05</v>
      </c>
      <c r="F74" s="36">
        <f t="shared" ref="F74:S74" si="35">F108*15</f>
        <v>197400</v>
      </c>
      <c r="G74" s="36">
        <f t="shared" si="35"/>
        <v>125589.30000000002</v>
      </c>
      <c r="H74" s="36">
        <f t="shared" si="35"/>
        <v>191134.2</v>
      </c>
      <c r="I74" s="36">
        <f t="shared" si="35"/>
        <v>170335.94999999998</v>
      </c>
      <c r="J74" s="36">
        <f t="shared" si="35"/>
        <v>429539.25</v>
      </c>
      <c r="K74" s="36">
        <f t="shared" si="35"/>
        <v>69477.45</v>
      </c>
      <c r="L74" s="36">
        <f t="shared" si="35"/>
        <v>191346.3</v>
      </c>
      <c r="M74" s="36">
        <f t="shared" si="35"/>
        <v>77588.100000000006</v>
      </c>
      <c r="N74" s="36">
        <f t="shared" si="35"/>
        <v>215058.15</v>
      </c>
      <c r="O74" s="36">
        <f t="shared" si="35"/>
        <v>349515</v>
      </c>
      <c r="P74" s="36">
        <f t="shared" si="35"/>
        <v>64290</v>
      </c>
      <c r="Q74" s="36">
        <f t="shared" si="35"/>
        <v>80865</v>
      </c>
      <c r="R74" s="36">
        <f t="shared" si="35"/>
        <v>55978.8</v>
      </c>
      <c r="S74" s="36">
        <f t="shared" si="35"/>
        <v>69180</v>
      </c>
      <c r="T74" s="37">
        <f>T108*15</f>
        <v>42000</v>
      </c>
      <c r="U74" s="37">
        <f>U108*15</f>
        <v>97500</v>
      </c>
      <c r="V74" s="36">
        <f t="shared" si="31"/>
        <v>2751836.55</v>
      </c>
    </row>
    <row r="75" spans="1:22">
      <c r="A75" s="33" t="s">
        <v>348</v>
      </c>
      <c r="B75" s="34" t="s">
        <v>349</v>
      </c>
      <c r="C75" s="34"/>
      <c r="D75" s="35" t="s">
        <v>183</v>
      </c>
      <c r="E75" s="36">
        <f>E76</f>
        <v>84144</v>
      </c>
      <c r="F75" s="36">
        <f t="shared" ref="F75:U75" si="36">F76</f>
        <v>69528</v>
      </c>
      <c r="G75" s="36">
        <f t="shared" si="36"/>
        <v>51968</v>
      </c>
      <c r="H75" s="36">
        <f t="shared" si="36"/>
        <v>57139.199999999997</v>
      </c>
      <c r="I75" s="36">
        <f t="shared" si="36"/>
        <v>24000</v>
      </c>
      <c r="J75" s="36">
        <f t="shared" si="36"/>
        <v>85912</v>
      </c>
      <c r="K75" s="36">
        <f t="shared" si="36"/>
        <v>25808</v>
      </c>
      <c r="L75" s="36">
        <f t="shared" si="36"/>
        <v>52960</v>
      </c>
      <c r="M75" s="36">
        <f t="shared" si="36"/>
        <v>28680</v>
      </c>
      <c r="N75" s="36">
        <f t="shared" si="36"/>
        <v>74688</v>
      </c>
      <c r="O75" s="36">
        <f t="shared" si="36"/>
        <v>75440</v>
      </c>
      <c r="P75" s="36">
        <f t="shared" si="36"/>
        <v>18800</v>
      </c>
      <c r="Q75" s="36">
        <f t="shared" si="36"/>
        <v>18848</v>
      </c>
      <c r="R75" s="36">
        <f t="shared" si="36"/>
        <v>14288</v>
      </c>
      <c r="S75" s="36">
        <f t="shared" si="36"/>
        <v>13736</v>
      </c>
      <c r="T75" s="37">
        <f t="shared" si="36"/>
        <v>0</v>
      </c>
      <c r="U75" s="37">
        <f t="shared" si="36"/>
        <v>18496.8</v>
      </c>
      <c r="V75" s="36">
        <f t="shared" si="31"/>
        <v>714436</v>
      </c>
    </row>
    <row r="76" spans="1:22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84144</v>
      </c>
      <c r="F76" s="36">
        <f t="shared" ref="F76:S76" si="37">F109*8</f>
        <v>69528</v>
      </c>
      <c r="G76" s="36">
        <f t="shared" si="37"/>
        <v>51968</v>
      </c>
      <c r="H76" s="36">
        <f t="shared" si="37"/>
        <v>57139.199999999997</v>
      </c>
      <c r="I76" s="36">
        <f t="shared" si="37"/>
        <v>24000</v>
      </c>
      <c r="J76" s="36">
        <f t="shared" si="37"/>
        <v>85912</v>
      </c>
      <c r="K76" s="36">
        <f t="shared" si="37"/>
        <v>25808</v>
      </c>
      <c r="L76" s="36">
        <f t="shared" si="37"/>
        <v>52960</v>
      </c>
      <c r="M76" s="36">
        <f t="shared" si="37"/>
        <v>28680</v>
      </c>
      <c r="N76" s="36">
        <f t="shared" si="37"/>
        <v>74688</v>
      </c>
      <c r="O76" s="36">
        <f t="shared" si="37"/>
        <v>75440</v>
      </c>
      <c r="P76" s="36">
        <f t="shared" si="37"/>
        <v>18800</v>
      </c>
      <c r="Q76" s="36">
        <f t="shared" si="37"/>
        <v>18848</v>
      </c>
      <c r="R76" s="36">
        <f t="shared" si="37"/>
        <v>14288</v>
      </c>
      <c r="S76" s="36">
        <f t="shared" si="37"/>
        <v>13736</v>
      </c>
      <c r="T76" s="37">
        <f>T109*8</f>
        <v>0</v>
      </c>
      <c r="U76" s="37">
        <f>U109*8</f>
        <v>18496.8</v>
      </c>
      <c r="V76" s="36">
        <f t="shared" si="31"/>
        <v>714436</v>
      </c>
    </row>
    <row r="77" spans="1:22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U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>
        <f t="shared" si="38"/>
        <v>0</v>
      </c>
      <c r="U77" s="37">
        <f t="shared" si="38"/>
        <v>0</v>
      </c>
      <c r="V77" s="36">
        <f t="shared" si="31"/>
        <v>0</v>
      </c>
    </row>
    <row r="78" spans="1:22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36">
        <f t="shared" si="31"/>
        <v>0</v>
      </c>
    </row>
    <row r="79" spans="1:22">
      <c r="A79" s="33" t="s">
        <v>357</v>
      </c>
      <c r="B79" s="34" t="s">
        <v>358</v>
      </c>
      <c r="C79" s="34"/>
      <c r="D79" s="35" t="s">
        <v>183</v>
      </c>
      <c r="E79" s="36">
        <f>E80</f>
        <v>1101600</v>
      </c>
      <c r="F79" s="36">
        <f t="shared" ref="F79:U79" si="39">F80</f>
        <v>371520</v>
      </c>
      <c r="G79" s="36">
        <f t="shared" si="39"/>
        <v>358560</v>
      </c>
      <c r="H79" s="36">
        <f t="shared" si="39"/>
        <v>0</v>
      </c>
      <c r="I79" s="36">
        <f t="shared" si="39"/>
        <v>388800</v>
      </c>
      <c r="J79" s="36">
        <f t="shared" si="39"/>
        <v>1244160</v>
      </c>
      <c r="K79" s="36">
        <f t="shared" si="39"/>
        <v>272160</v>
      </c>
      <c r="L79" s="36">
        <f t="shared" si="39"/>
        <v>501120</v>
      </c>
      <c r="M79" s="36">
        <f t="shared" si="39"/>
        <v>267840</v>
      </c>
      <c r="N79" s="36">
        <f t="shared" si="39"/>
        <v>470880</v>
      </c>
      <c r="O79" s="36">
        <f t="shared" si="39"/>
        <v>721440</v>
      </c>
      <c r="P79" s="36">
        <f t="shared" si="39"/>
        <v>198720</v>
      </c>
      <c r="Q79" s="36">
        <f t="shared" si="39"/>
        <v>155520</v>
      </c>
      <c r="R79" s="36">
        <f t="shared" si="39"/>
        <v>120960</v>
      </c>
      <c r="S79" s="36">
        <f t="shared" si="39"/>
        <v>194400</v>
      </c>
      <c r="T79" s="37">
        <f t="shared" si="39"/>
        <v>30240</v>
      </c>
      <c r="U79" s="37">
        <f t="shared" si="39"/>
        <v>17280</v>
      </c>
      <c r="V79" s="36">
        <f t="shared" si="31"/>
        <v>6415200</v>
      </c>
    </row>
    <row r="80" spans="1:22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1101600</v>
      </c>
      <c r="F80" s="36">
        <f t="shared" ref="F80:S80" si="40">F96*4320</f>
        <v>371520</v>
      </c>
      <c r="G80" s="36">
        <f t="shared" si="40"/>
        <v>358560</v>
      </c>
      <c r="H80" s="36">
        <f t="shared" si="40"/>
        <v>0</v>
      </c>
      <c r="I80" s="36">
        <f t="shared" si="40"/>
        <v>388800</v>
      </c>
      <c r="J80" s="36">
        <f t="shared" si="40"/>
        <v>1244160</v>
      </c>
      <c r="K80" s="36">
        <f t="shared" si="40"/>
        <v>272160</v>
      </c>
      <c r="L80" s="36">
        <f t="shared" si="40"/>
        <v>501120</v>
      </c>
      <c r="M80" s="36">
        <f t="shared" si="40"/>
        <v>267840</v>
      </c>
      <c r="N80" s="36">
        <f t="shared" si="40"/>
        <v>470880</v>
      </c>
      <c r="O80" s="36">
        <f t="shared" si="40"/>
        <v>721440</v>
      </c>
      <c r="P80" s="36">
        <f t="shared" si="40"/>
        <v>198720</v>
      </c>
      <c r="Q80" s="36">
        <f t="shared" si="40"/>
        <v>155520</v>
      </c>
      <c r="R80" s="36">
        <f t="shared" si="40"/>
        <v>120960</v>
      </c>
      <c r="S80" s="36">
        <f t="shared" si="40"/>
        <v>194400</v>
      </c>
      <c r="T80" s="37">
        <f>T96*4320</f>
        <v>30240</v>
      </c>
      <c r="U80" s="37">
        <f>U96*4320</f>
        <v>17280</v>
      </c>
      <c r="V80" s="36">
        <f t="shared" si="31"/>
        <v>6415200</v>
      </c>
    </row>
    <row r="81" spans="1:22">
      <c r="A81" s="33" t="s">
        <v>362</v>
      </c>
      <c r="B81" s="34" t="s">
        <v>363</v>
      </c>
      <c r="C81" s="34"/>
      <c r="D81" s="35" t="s">
        <v>183</v>
      </c>
      <c r="E81" s="36">
        <f>E82</f>
        <v>1012272</v>
      </c>
      <c r="F81" s="36">
        <f t="shared" ref="F81:U81" si="41">F82</f>
        <v>337339.19999999995</v>
      </c>
      <c r="G81" s="36">
        <f t="shared" si="41"/>
        <v>330384</v>
      </c>
      <c r="H81" s="36">
        <f t="shared" si="41"/>
        <v>0</v>
      </c>
      <c r="I81" s="36">
        <f t="shared" si="41"/>
        <v>323616</v>
      </c>
      <c r="J81" s="36">
        <f t="shared" si="41"/>
        <v>1074240</v>
      </c>
      <c r="K81" s="36">
        <f t="shared" si="41"/>
        <v>243888</v>
      </c>
      <c r="L81" s="36">
        <f t="shared" si="41"/>
        <v>418560</v>
      </c>
      <c r="M81" s="36">
        <f t="shared" si="41"/>
        <v>236121.59999999998</v>
      </c>
      <c r="N81" s="36">
        <f t="shared" si="41"/>
        <v>387513.59999999998</v>
      </c>
      <c r="O81" s="36">
        <f t="shared" si="41"/>
        <v>592305.60000000009</v>
      </c>
      <c r="P81" s="36">
        <f t="shared" si="41"/>
        <v>169920</v>
      </c>
      <c r="Q81" s="36">
        <f t="shared" si="41"/>
        <v>127104</v>
      </c>
      <c r="R81" s="36">
        <f t="shared" si="41"/>
        <v>98400</v>
      </c>
      <c r="S81" s="36">
        <f t="shared" si="41"/>
        <v>162898.56</v>
      </c>
      <c r="T81" s="37">
        <f t="shared" si="41"/>
        <v>29328</v>
      </c>
      <c r="U81" s="37">
        <f t="shared" si="41"/>
        <v>15374.400000000001</v>
      </c>
      <c r="V81" s="36">
        <f t="shared" si="31"/>
        <v>5559264.96</v>
      </c>
    </row>
    <row r="82" spans="1:22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1012272</v>
      </c>
      <c r="F82" s="36">
        <f t="shared" ref="F82:S82" si="42">F16*4</f>
        <v>337339.19999999995</v>
      </c>
      <c r="G82" s="36">
        <f t="shared" si="42"/>
        <v>330384</v>
      </c>
      <c r="H82" s="36">
        <f t="shared" si="42"/>
        <v>0</v>
      </c>
      <c r="I82" s="36">
        <f t="shared" si="42"/>
        <v>323616</v>
      </c>
      <c r="J82" s="36">
        <f t="shared" si="42"/>
        <v>1074240</v>
      </c>
      <c r="K82" s="36">
        <f t="shared" si="42"/>
        <v>243888</v>
      </c>
      <c r="L82" s="36">
        <f t="shared" si="42"/>
        <v>418560</v>
      </c>
      <c r="M82" s="36">
        <f t="shared" si="42"/>
        <v>236121.59999999998</v>
      </c>
      <c r="N82" s="36">
        <f t="shared" si="42"/>
        <v>387513.59999999998</v>
      </c>
      <c r="O82" s="36">
        <f t="shared" si="42"/>
        <v>592305.60000000009</v>
      </c>
      <c r="P82" s="36">
        <f t="shared" si="42"/>
        <v>169920</v>
      </c>
      <c r="Q82" s="36">
        <f t="shared" si="42"/>
        <v>127104</v>
      </c>
      <c r="R82" s="36">
        <f t="shared" si="42"/>
        <v>98400</v>
      </c>
      <c r="S82" s="36">
        <f t="shared" si="42"/>
        <v>162898.56</v>
      </c>
      <c r="T82" s="37">
        <f>T16*4</f>
        <v>29328</v>
      </c>
      <c r="U82" s="37">
        <f>U16*4</f>
        <v>15374.400000000001</v>
      </c>
      <c r="V82" s="36">
        <f t="shared" si="31"/>
        <v>5559264.96</v>
      </c>
    </row>
    <row r="83" spans="1:22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U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32000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32000</v>
      </c>
      <c r="S83" s="36">
        <f t="shared" si="43"/>
        <v>0</v>
      </c>
      <c r="T83" s="37">
        <f t="shared" si="43"/>
        <v>0</v>
      </c>
      <c r="U83" s="37">
        <f t="shared" si="43"/>
        <v>0</v>
      </c>
      <c r="V83" s="36">
        <f t="shared" si="31"/>
        <v>384000</v>
      </c>
    </row>
    <row r="84" spans="1:2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>
        <v>32000</v>
      </c>
      <c r="K84" s="37">
        <v>32000</v>
      </c>
      <c r="L84" s="37"/>
      <c r="M84" s="37">
        <v>32000</v>
      </c>
      <c r="N84" s="37">
        <v>32000</v>
      </c>
      <c r="O84" s="37">
        <v>32000</v>
      </c>
      <c r="P84" s="37">
        <v>32000</v>
      </c>
      <c r="Q84" s="37"/>
      <c r="R84" s="37">
        <v>32000</v>
      </c>
      <c r="S84" s="37"/>
      <c r="T84" s="37"/>
      <c r="U84" s="37"/>
      <c r="V84" s="36">
        <f t="shared" si="31"/>
        <v>384000</v>
      </c>
    </row>
    <row r="85" spans="1:22">
      <c r="A85" s="33" t="s">
        <v>371</v>
      </c>
      <c r="B85" s="34" t="s">
        <v>372</v>
      </c>
      <c r="C85" s="34"/>
      <c r="D85" s="35" t="s">
        <v>183</v>
      </c>
      <c r="E85" s="36">
        <f>E86+E89+E92</f>
        <v>495600</v>
      </c>
      <c r="F85" s="36">
        <f t="shared" ref="F85:S85" si="44">F86+F89+F92</f>
        <v>198240</v>
      </c>
      <c r="G85" s="36">
        <f t="shared" si="44"/>
        <v>259600</v>
      </c>
      <c r="H85" s="36">
        <f t="shared" si="44"/>
        <v>0</v>
      </c>
      <c r="I85" s="36">
        <f t="shared" si="44"/>
        <v>0</v>
      </c>
      <c r="J85" s="36">
        <f t="shared" si="44"/>
        <v>500320</v>
      </c>
      <c r="K85" s="36">
        <f t="shared" si="44"/>
        <v>118000</v>
      </c>
      <c r="L85" s="36">
        <f t="shared" si="44"/>
        <v>132160</v>
      </c>
      <c r="M85" s="36">
        <f t="shared" si="44"/>
        <v>70800</v>
      </c>
      <c r="N85" s="36">
        <f t="shared" si="44"/>
        <v>9440</v>
      </c>
      <c r="O85" s="36">
        <f t="shared" si="44"/>
        <v>207680</v>
      </c>
      <c r="P85" s="36">
        <f t="shared" si="44"/>
        <v>165200</v>
      </c>
      <c r="Q85" s="36">
        <f t="shared" si="44"/>
        <v>4720</v>
      </c>
      <c r="R85" s="36">
        <f t="shared" si="44"/>
        <v>0</v>
      </c>
      <c r="S85" s="36">
        <f t="shared" si="44"/>
        <v>108560</v>
      </c>
      <c r="T85" s="37">
        <f>T86+T89+T92</f>
        <v>42480</v>
      </c>
      <c r="U85" s="37">
        <f>U86+U89+U92</f>
        <v>0</v>
      </c>
      <c r="V85" s="36">
        <f t="shared" si="31"/>
        <v>2312800</v>
      </c>
    </row>
    <row r="86" spans="1:22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S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>
        <f>T87+T88</f>
        <v>0</v>
      </c>
      <c r="U86" s="37">
        <f>U87+U88</f>
        <v>0</v>
      </c>
      <c r="V86" s="36">
        <f t="shared" si="31"/>
        <v>0</v>
      </c>
    </row>
    <row r="87" spans="1:22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36">
        <f t="shared" si="31"/>
        <v>0</v>
      </c>
    </row>
    <row r="88" spans="1:22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36">
        <f t="shared" si="31"/>
        <v>0</v>
      </c>
    </row>
    <row r="89" spans="1:22">
      <c r="A89" s="33" t="s">
        <v>380</v>
      </c>
      <c r="B89" s="34" t="s">
        <v>381</v>
      </c>
      <c r="C89" s="34"/>
      <c r="D89" s="35" t="s">
        <v>183</v>
      </c>
      <c r="E89" s="36">
        <f>E90+E91</f>
        <v>495600</v>
      </c>
      <c r="F89" s="36">
        <f t="shared" ref="F89:S89" si="46">F90+F91</f>
        <v>198240</v>
      </c>
      <c r="G89" s="36">
        <f t="shared" si="46"/>
        <v>259600</v>
      </c>
      <c r="H89" s="36">
        <f t="shared" si="46"/>
        <v>0</v>
      </c>
      <c r="I89" s="36">
        <f t="shared" si="46"/>
        <v>0</v>
      </c>
      <c r="J89" s="36">
        <f t="shared" si="46"/>
        <v>500320</v>
      </c>
      <c r="K89" s="36">
        <f t="shared" si="46"/>
        <v>118000</v>
      </c>
      <c r="L89" s="36">
        <f t="shared" si="46"/>
        <v>132160</v>
      </c>
      <c r="M89" s="36">
        <f t="shared" si="46"/>
        <v>70800</v>
      </c>
      <c r="N89" s="36">
        <f t="shared" si="46"/>
        <v>9440</v>
      </c>
      <c r="O89" s="36">
        <f t="shared" si="46"/>
        <v>207680</v>
      </c>
      <c r="P89" s="36">
        <f t="shared" si="46"/>
        <v>165200</v>
      </c>
      <c r="Q89" s="36">
        <f t="shared" si="46"/>
        <v>4720</v>
      </c>
      <c r="R89" s="36">
        <f t="shared" si="46"/>
        <v>0</v>
      </c>
      <c r="S89" s="36">
        <f t="shared" si="46"/>
        <v>108560</v>
      </c>
      <c r="T89" s="37">
        <f>T90+T91</f>
        <v>42480</v>
      </c>
      <c r="U89" s="37">
        <f>U90+U91</f>
        <v>0</v>
      </c>
      <c r="V89" s="36">
        <f t="shared" si="31"/>
        <v>2312800</v>
      </c>
    </row>
    <row r="90" spans="1:22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42000</v>
      </c>
      <c r="F90" s="36">
        <f t="shared" ref="F90:S90" si="47">F107*400</f>
        <v>16800</v>
      </c>
      <c r="G90" s="36">
        <f t="shared" si="47"/>
        <v>22000</v>
      </c>
      <c r="H90" s="36">
        <f t="shared" si="47"/>
        <v>0</v>
      </c>
      <c r="I90" s="36">
        <f t="shared" si="47"/>
        <v>0</v>
      </c>
      <c r="J90" s="36">
        <f t="shared" si="47"/>
        <v>42400</v>
      </c>
      <c r="K90" s="36">
        <f t="shared" si="47"/>
        <v>10000</v>
      </c>
      <c r="L90" s="36">
        <f t="shared" si="47"/>
        <v>11200</v>
      </c>
      <c r="M90" s="36">
        <f t="shared" si="47"/>
        <v>6000</v>
      </c>
      <c r="N90" s="36">
        <f t="shared" si="47"/>
        <v>800</v>
      </c>
      <c r="O90" s="36">
        <f t="shared" si="47"/>
        <v>17600</v>
      </c>
      <c r="P90" s="36">
        <f t="shared" si="47"/>
        <v>14000</v>
      </c>
      <c r="Q90" s="36">
        <f t="shared" si="47"/>
        <v>400</v>
      </c>
      <c r="R90" s="36">
        <f t="shared" si="47"/>
        <v>0</v>
      </c>
      <c r="S90" s="36">
        <f t="shared" si="47"/>
        <v>9200</v>
      </c>
      <c r="T90" s="37">
        <f>T107*400</f>
        <v>3600</v>
      </c>
      <c r="U90" s="37">
        <f>U107*400</f>
        <v>0</v>
      </c>
      <c r="V90" s="36">
        <f t="shared" si="31"/>
        <v>196000</v>
      </c>
    </row>
    <row r="91" spans="1:22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453600</v>
      </c>
      <c r="F91" s="36">
        <f t="shared" ref="F91:S91" si="48">F107*4320</f>
        <v>181440</v>
      </c>
      <c r="G91" s="36">
        <f t="shared" si="48"/>
        <v>237600</v>
      </c>
      <c r="H91" s="36">
        <f t="shared" si="48"/>
        <v>0</v>
      </c>
      <c r="I91" s="36">
        <f t="shared" si="48"/>
        <v>0</v>
      </c>
      <c r="J91" s="36">
        <f t="shared" si="48"/>
        <v>457920</v>
      </c>
      <c r="K91" s="36">
        <f t="shared" si="48"/>
        <v>108000</v>
      </c>
      <c r="L91" s="36">
        <f t="shared" si="48"/>
        <v>120960</v>
      </c>
      <c r="M91" s="36">
        <f t="shared" si="48"/>
        <v>64800</v>
      </c>
      <c r="N91" s="36">
        <f t="shared" si="48"/>
        <v>8640</v>
      </c>
      <c r="O91" s="36">
        <f t="shared" si="48"/>
        <v>190080</v>
      </c>
      <c r="P91" s="36">
        <f t="shared" si="48"/>
        <v>151200</v>
      </c>
      <c r="Q91" s="36">
        <f t="shared" si="48"/>
        <v>4320</v>
      </c>
      <c r="R91" s="36">
        <f t="shared" si="48"/>
        <v>0</v>
      </c>
      <c r="S91" s="36">
        <f t="shared" si="48"/>
        <v>99360</v>
      </c>
      <c r="T91" s="37">
        <f>T107*4320</f>
        <v>38880</v>
      </c>
      <c r="U91" s="37">
        <f>U107*4320</f>
        <v>0</v>
      </c>
      <c r="V91" s="36">
        <f t="shared" si="31"/>
        <v>2116800</v>
      </c>
    </row>
    <row r="92" spans="1:22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36">
        <f t="shared" si="31"/>
        <v>0</v>
      </c>
    </row>
    <row r="93" spans="1:22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U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10000</v>
      </c>
      <c r="K93" s="36">
        <f t="shared" si="49"/>
        <v>0</v>
      </c>
      <c r="L93" s="36">
        <f t="shared" si="49"/>
        <v>32000</v>
      </c>
      <c r="M93" s="36">
        <f t="shared" si="49"/>
        <v>0</v>
      </c>
      <c r="N93" s="36">
        <f t="shared" si="49"/>
        <v>0</v>
      </c>
      <c r="O93" s="36">
        <f t="shared" si="49"/>
        <v>25000</v>
      </c>
      <c r="P93" s="36">
        <f t="shared" si="49"/>
        <v>5000</v>
      </c>
      <c r="Q93" s="36">
        <f t="shared" si="49"/>
        <v>32000</v>
      </c>
      <c r="R93" s="36">
        <f t="shared" si="49"/>
        <v>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31"/>
        <v>200000</v>
      </c>
    </row>
    <row r="94" spans="1:22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/>
      <c r="F94" s="52"/>
      <c r="G94" s="52"/>
      <c r="H94" s="52"/>
      <c r="I94" s="52"/>
      <c r="J94" s="52">
        <v>10000</v>
      </c>
      <c r="K94" s="52"/>
      <c r="L94" s="52">
        <v>32000</v>
      </c>
      <c r="M94" s="52"/>
      <c r="N94" s="52"/>
      <c r="O94" s="52">
        <v>25000</v>
      </c>
      <c r="P94" s="52">
        <v>5000</v>
      </c>
      <c r="Q94" s="52">
        <v>32000</v>
      </c>
      <c r="R94" s="52"/>
      <c r="S94" s="52">
        <v>32000</v>
      </c>
      <c r="T94" s="52">
        <v>32000</v>
      </c>
      <c r="U94" s="52">
        <v>32000</v>
      </c>
      <c r="V94" s="36">
        <f t="shared" si="31"/>
        <v>200000</v>
      </c>
    </row>
    <row r="95" spans="1:2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36">
        <f t="shared" si="31"/>
        <v>0</v>
      </c>
    </row>
    <row r="96" spans="1:22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255</v>
      </c>
      <c r="F96" s="36">
        <f t="shared" ref="F96:S96" si="50">F97+F98+F99+F100</f>
        <v>86</v>
      </c>
      <c r="G96" s="36">
        <f t="shared" si="50"/>
        <v>83</v>
      </c>
      <c r="H96" s="36">
        <f t="shared" si="50"/>
        <v>0</v>
      </c>
      <c r="I96" s="36">
        <f t="shared" si="50"/>
        <v>90</v>
      </c>
      <c r="J96" s="36">
        <f t="shared" si="50"/>
        <v>288</v>
      </c>
      <c r="K96" s="36">
        <f t="shared" si="50"/>
        <v>63</v>
      </c>
      <c r="L96" s="36">
        <f t="shared" si="50"/>
        <v>116</v>
      </c>
      <c r="M96" s="36">
        <f t="shared" si="50"/>
        <v>62</v>
      </c>
      <c r="N96" s="36">
        <f t="shared" si="50"/>
        <v>109</v>
      </c>
      <c r="O96" s="36">
        <f t="shared" si="50"/>
        <v>167</v>
      </c>
      <c r="P96" s="36">
        <f t="shared" si="50"/>
        <v>46</v>
      </c>
      <c r="Q96" s="36">
        <f t="shared" si="50"/>
        <v>36</v>
      </c>
      <c r="R96" s="36">
        <f t="shared" si="50"/>
        <v>28</v>
      </c>
      <c r="S96" s="36">
        <f t="shared" si="50"/>
        <v>45</v>
      </c>
      <c r="T96" s="37">
        <f>T97+T98+T99+T100</f>
        <v>7</v>
      </c>
      <c r="U96" s="37">
        <v>4</v>
      </c>
      <c r="V96" s="36">
        <f t="shared" si="31"/>
        <v>1485</v>
      </c>
    </row>
    <row r="97" spans="1:22">
      <c r="A97" s="33" t="s">
        <v>400</v>
      </c>
      <c r="B97" s="56" t="s">
        <v>401</v>
      </c>
      <c r="C97" s="56"/>
      <c r="D97" s="42"/>
      <c r="E97" s="43">
        <v>255</v>
      </c>
      <c r="F97" s="43">
        <v>86</v>
      </c>
      <c r="G97" s="43">
        <v>83</v>
      </c>
      <c r="H97" s="43">
        <v>0</v>
      </c>
      <c r="I97" s="43">
        <v>90</v>
      </c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36">
        <f t="shared" si="31"/>
        <v>514</v>
      </c>
    </row>
    <row r="98" spans="1:22">
      <c r="A98" s="33" t="s">
        <v>402</v>
      </c>
      <c r="B98" s="56" t="s">
        <v>403</v>
      </c>
      <c r="C98" s="56"/>
      <c r="D98" s="35"/>
      <c r="E98" s="37"/>
      <c r="F98" s="37"/>
      <c r="G98" s="37"/>
      <c r="H98" s="37"/>
      <c r="I98" s="37"/>
      <c r="J98" s="37">
        <v>288</v>
      </c>
      <c r="K98" s="37">
        <v>63</v>
      </c>
      <c r="L98" s="37">
        <v>116</v>
      </c>
      <c r="M98" s="37">
        <v>62</v>
      </c>
      <c r="N98" s="37">
        <v>109</v>
      </c>
      <c r="O98" s="37"/>
      <c r="P98" s="37"/>
      <c r="Q98" s="37"/>
      <c r="R98" s="37"/>
      <c r="S98" s="37"/>
      <c r="T98" s="37"/>
      <c r="U98" s="37"/>
      <c r="V98" s="36">
        <f t="shared" si="31"/>
        <v>638</v>
      </c>
    </row>
    <row r="99" spans="1:22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>
        <v>167</v>
      </c>
      <c r="P99" s="43">
        <v>46</v>
      </c>
      <c r="Q99" s="43">
        <v>36</v>
      </c>
      <c r="R99" s="43">
        <v>28</v>
      </c>
      <c r="S99" s="43">
        <v>45</v>
      </c>
      <c r="T99" s="43"/>
      <c r="U99" s="43">
        <v>4</v>
      </c>
      <c r="V99" s="36">
        <f t="shared" si="31"/>
        <v>326</v>
      </c>
    </row>
    <row r="100" spans="1:22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>
        <v>7</v>
      </c>
      <c r="U100" s="43"/>
      <c r="V100" s="36">
        <f t="shared" si="31"/>
        <v>7</v>
      </c>
    </row>
    <row r="101" spans="1:22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2505</v>
      </c>
      <c r="F101" s="36">
        <f t="shared" ref="F101:S101" si="51">F102+F103+F104+F105</f>
        <v>839</v>
      </c>
      <c r="G101" s="36">
        <f t="shared" si="51"/>
        <v>732</v>
      </c>
      <c r="H101" s="36">
        <f t="shared" si="51"/>
        <v>397</v>
      </c>
      <c r="I101" s="36">
        <f t="shared" si="51"/>
        <v>1128</v>
      </c>
      <c r="J101" s="36">
        <f t="shared" si="51"/>
        <v>4873</v>
      </c>
      <c r="K101" s="36">
        <f t="shared" si="51"/>
        <v>748</v>
      </c>
      <c r="L101" s="36">
        <f t="shared" si="51"/>
        <v>2033</v>
      </c>
      <c r="M101" s="36">
        <f t="shared" si="51"/>
        <v>750</v>
      </c>
      <c r="N101" s="36">
        <f t="shared" si="51"/>
        <v>1819</v>
      </c>
      <c r="O101" s="36">
        <f t="shared" si="51"/>
        <v>2360</v>
      </c>
      <c r="P101" s="36">
        <f t="shared" si="51"/>
        <v>509</v>
      </c>
      <c r="Q101" s="36">
        <f t="shared" si="51"/>
        <v>456</v>
      </c>
      <c r="R101" s="36">
        <f t="shared" si="51"/>
        <v>411</v>
      </c>
      <c r="S101" s="36">
        <f t="shared" si="51"/>
        <v>472</v>
      </c>
      <c r="T101" s="37">
        <f>T102+T103+T104+T105</f>
        <v>0</v>
      </c>
      <c r="U101" s="37">
        <v>52</v>
      </c>
      <c r="V101" s="36">
        <f t="shared" si="31"/>
        <v>20084</v>
      </c>
    </row>
    <row r="102" spans="1:22">
      <c r="A102" s="33" t="s">
        <v>411</v>
      </c>
      <c r="B102" s="56" t="s">
        <v>401</v>
      </c>
      <c r="C102" s="56"/>
      <c r="D102" s="42"/>
      <c r="E102" s="43">
        <v>2505</v>
      </c>
      <c r="F102" s="43">
        <v>839</v>
      </c>
      <c r="G102" s="43">
        <v>732</v>
      </c>
      <c r="H102" s="43">
        <v>397</v>
      </c>
      <c r="I102" s="43">
        <v>1128</v>
      </c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36">
        <f t="shared" si="31"/>
        <v>5601</v>
      </c>
    </row>
    <row r="103" spans="1:22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/>
      <c r="I103" s="37"/>
      <c r="J103" s="37">
        <v>4873</v>
      </c>
      <c r="K103" s="37">
        <v>748</v>
      </c>
      <c r="L103" s="37">
        <v>2033</v>
      </c>
      <c r="M103" s="37">
        <v>677</v>
      </c>
      <c r="N103" s="37">
        <v>1819</v>
      </c>
      <c r="O103" s="37"/>
      <c r="P103" s="37"/>
      <c r="Q103" s="37"/>
      <c r="R103" s="37"/>
      <c r="S103" s="37"/>
      <c r="T103" s="37"/>
      <c r="U103" s="37"/>
      <c r="V103" s="36">
        <f t="shared" si="31"/>
        <v>10150</v>
      </c>
    </row>
    <row r="104" spans="1:22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>
        <v>2360</v>
      </c>
      <c r="P104" s="43">
        <v>509</v>
      </c>
      <c r="Q104" s="43">
        <v>456</v>
      </c>
      <c r="R104" s="43">
        <v>411</v>
      </c>
      <c r="S104" s="43">
        <v>472</v>
      </c>
      <c r="T104" s="43"/>
      <c r="U104" s="43">
        <v>52</v>
      </c>
      <c r="V104" s="36">
        <f t="shared" si="31"/>
        <v>4260</v>
      </c>
    </row>
    <row r="105" spans="1:22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>
        <v>73</v>
      </c>
      <c r="N105" s="43"/>
      <c r="O105" s="43"/>
      <c r="P105" s="43"/>
      <c r="Q105" s="43"/>
      <c r="R105" s="43"/>
      <c r="S105" s="43"/>
      <c r="T105" s="43"/>
      <c r="U105" s="43"/>
      <c r="V105" s="36">
        <f t="shared" si="31"/>
        <v>73</v>
      </c>
    </row>
    <row r="106" spans="1:22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36">
        <f t="shared" si="31"/>
        <v>0</v>
      </c>
    </row>
    <row r="107" spans="1:22">
      <c r="A107" s="33" t="s">
        <v>417</v>
      </c>
      <c r="B107" s="34" t="s">
        <v>418</v>
      </c>
      <c r="C107" s="34"/>
      <c r="D107" s="35"/>
      <c r="E107" s="37">
        <v>105</v>
      </c>
      <c r="F107" s="37">
        <v>42</v>
      </c>
      <c r="G107" s="37">
        <v>55</v>
      </c>
      <c r="H107" s="37"/>
      <c r="I107" s="37"/>
      <c r="J107" s="37">
        <v>106</v>
      </c>
      <c r="K107" s="37">
        <v>25</v>
      </c>
      <c r="L107" s="37">
        <v>28</v>
      </c>
      <c r="M107" s="37">
        <v>15</v>
      </c>
      <c r="N107" s="37">
        <v>2</v>
      </c>
      <c r="O107" s="37">
        <v>44</v>
      </c>
      <c r="P107" s="37">
        <v>35</v>
      </c>
      <c r="Q107" s="37">
        <v>1</v>
      </c>
      <c r="R107" s="37"/>
      <c r="S107" s="37">
        <v>23</v>
      </c>
      <c r="T107" s="37">
        <v>9</v>
      </c>
      <c r="U107" s="37"/>
      <c r="V107" s="36">
        <f t="shared" si="31"/>
        <v>490</v>
      </c>
    </row>
    <row r="108" spans="1:22">
      <c r="A108" s="33" t="s">
        <v>419</v>
      </c>
      <c r="B108" s="56" t="s">
        <v>420</v>
      </c>
      <c r="C108" s="56"/>
      <c r="D108" s="47"/>
      <c r="E108" s="37">
        <v>21669.27</v>
      </c>
      <c r="F108" s="37">
        <v>13160</v>
      </c>
      <c r="G108" s="37">
        <v>8372.6200000000008</v>
      </c>
      <c r="H108" s="37">
        <v>12742.28</v>
      </c>
      <c r="I108" s="37">
        <v>11355.73</v>
      </c>
      <c r="J108" s="37">
        <v>28635.95</v>
      </c>
      <c r="K108" s="37">
        <v>4631.83</v>
      </c>
      <c r="L108" s="37">
        <v>12756.42</v>
      </c>
      <c r="M108" s="37">
        <v>5172.54</v>
      </c>
      <c r="N108" s="37">
        <v>14337.21</v>
      </c>
      <c r="O108" s="37">
        <v>23301</v>
      </c>
      <c r="P108" s="37">
        <v>4286</v>
      </c>
      <c r="Q108" s="37">
        <v>5391</v>
      </c>
      <c r="R108" s="37">
        <v>3731.92</v>
      </c>
      <c r="S108" s="37">
        <v>4612</v>
      </c>
      <c r="T108" s="37">
        <v>2800</v>
      </c>
      <c r="U108" s="37">
        <v>6500</v>
      </c>
      <c r="V108" s="36">
        <f t="shared" si="31"/>
        <v>183455.77000000002</v>
      </c>
    </row>
    <row r="109" spans="1:22">
      <c r="A109" s="33" t="s">
        <v>421</v>
      </c>
      <c r="B109" s="56" t="s">
        <v>422</v>
      </c>
      <c r="C109" s="56"/>
      <c r="D109" s="47"/>
      <c r="E109" s="37">
        <v>10518</v>
      </c>
      <c r="F109" s="37">
        <v>8691</v>
      </c>
      <c r="G109" s="37">
        <v>6496</v>
      </c>
      <c r="H109" s="37">
        <v>7142.4</v>
      </c>
      <c r="I109" s="37">
        <v>3000</v>
      </c>
      <c r="J109" s="37">
        <v>10739</v>
      </c>
      <c r="K109" s="37">
        <v>3226</v>
      </c>
      <c r="L109" s="37">
        <v>6620</v>
      </c>
      <c r="M109" s="37">
        <v>3585</v>
      </c>
      <c r="N109" s="37">
        <v>9336</v>
      </c>
      <c r="O109" s="37">
        <v>9430</v>
      </c>
      <c r="P109" s="37">
        <v>2350</v>
      </c>
      <c r="Q109" s="37">
        <v>2356</v>
      </c>
      <c r="R109" s="37">
        <v>1786</v>
      </c>
      <c r="S109" s="37">
        <v>1717</v>
      </c>
      <c r="T109" s="37"/>
      <c r="U109" s="37">
        <v>2312.1</v>
      </c>
      <c r="V109" s="36">
        <f t="shared" si="31"/>
        <v>89304.5</v>
      </c>
    </row>
  </sheetData>
  <protectedRanges>
    <protectedRange password="E9C1" sqref="B31:D109 A4:D12 A2:V3 B13:D28 A13:A109 V4:V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V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topLeftCell="H1" workbookViewId="0">
      <selection activeCell="V3" sqref="V3:V109"/>
    </sheetView>
  </sheetViews>
  <sheetFormatPr defaultColWidth="15.625" defaultRowHeight="15.75"/>
  <cols>
    <col min="1" max="1" width="4.625" style="30" customWidth="1"/>
    <col min="2" max="2" width="34.125" style="30" customWidth="1"/>
    <col min="3" max="3" width="12.375" style="30" hidden="1" customWidth="1"/>
    <col min="4" max="4" width="23.875" style="58" hidden="1" customWidth="1"/>
    <col min="5" max="5" width="10.75" style="141" bestFit="1" customWidth="1"/>
    <col min="6" max="6" width="10.75" style="141" customWidth="1"/>
    <col min="7" max="7" width="11" style="141" customWidth="1"/>
    <col min="8" max="8" width="9.875" style="30" customWidth="1"/>
    <col min="9" max="9" width="10.75" style="30" customWidth="1"/>
    <col min="10" max="11" width="10.75" style="141" customWidth="1"/>
    <col min="12" max="12" width="10.75" style="30" customWidth="1"/>
    <col min="13" max="13" width="10.75" style="141" bestFit="1" customWidth="1"/>
    <col min="14" max="14" width="10.75" style="30" bestFit="1" customWidth="1"/>
    <col min="15" max="15" width="10.5" style="141" bestFit="1" customWidth="1"/>
    <col min="16" max="16" width="10.75" style="30" bestFit="1" customWidth="1"/>
    <col min="17" max="17" width="10.75" style="141" customWidth="1"/>
    <col min="18" max="18" width="11.5" style="30" bestFit="1" customWidth="1"/>
    <col min="19" max="19" width="10.75" style="30" bestFit="1" customWidth="1"/>
    <col min="20" max="20" width="9.875" style="30" bestFit="1" customWidth="1"/>
    <col min="21" max="21" width="13.375" style="30" bestFit="1" customWidth="1"/>
    <col min="22" max="256" width="15.625" style="30"/>
    <col min="257" max="257" width="4.625" style="30" customWidth="1"/>
    <col min="258" max="258" width="34.125" style="30" customWidth="1"/>
    <col min="259" max="260" width="0" style="30" hidden="1" customWidth="1"/>
    <col min="261" max="261" width="10.75" style="30" bestFit="1" customWidth="1"/>
    <col min="262" max="262" width="10.75" style="30" customWidth="1"/>
    <col min="263" max="263" width="11" style="30" customWidth="1"/>
    <col min="264" max="264" width="9.875" style="30" customWidth="1"/>
    <col min="265" max="268" width="10.75" style="30" customWidth="1"/>
    <col min="269" max="270" width="10.75" style="30" bestFit="1" customWidth="1"/>
    <col min="271" max="271" width="10.5" style="30" bestFit="1" customWidth="1"/>
    <col min="272" max="272" width="10.75" style="30" bestFit="1" customWidth="1"/>
    <col min="273" max="273" width="10.75" style="30" customWidth="1"/>
    <col min="274" max="274" width="11.5" style="30" bestFit="1" customWidth="1"/>
    <col min="275" max="275" width="10.75" style="30" bestFit="1" customWidth="1"/>
    <col min="276" max="276" width="9.875" style="30" bestFit="1" customWidth="1"/>
    <col min="277" max="277" width="13.375" style="30" bestFit="1" customWidth="1"/>
    <col min="278" max="512" width="15.625" style="30"/>
    <col min="513" max="513" width="4.625" style="30" customWidth="1"/>
    <col min="514" max="514" width="34.125" style="30" customWidth="1"/>
    <col min="515" max="516" width="0" style="30" hidden="1" customWidth="1"/>
    <col min="517" max="517" width="10.75" style="30" bestFit="1" customWidth="1"/>
    <col min="518" max="518" width="10.75" style="30" customWidth="1"/>
    <col min="519" max="519" width="11" style="30" customWidth="1"/>
    <col min="520" max="520" width="9.875" style="30" customWidth="1"/>
    <col min="521" max="524" width="10.75" style="30" customWidth="1"/>
    <col min="525" max="526" width="10.75" style="30" bestFit="1" customWidth="1"/>
    <col min="527" max="527" width="10.5" style="30" bestFit="1" customWidth="1"/>
    <col min="528" max="528" width="10.75" style="30" bestFit="1" customWidth="1"/>
    <col min="529" max="529" width="10.75" style="30" customWidth="1"/>
    <col min="530" max="530" width="11.5" style="30" bestFit="1" customWidth="1"/>
    <col min="531" max="531" width="10.75" style="30" bestFit="1" customWidth="1"/>
    <col min="532" max="532" width="9.875" style="30" bestFit="1" customWidth="1"/>
    <col min="533" max="533" width="13.375" style="30" bestFit="1" customWidth="1"/>
    <col min="534" max="768" width="15.625" style="30"/>
    <col min="769" max="769" width="4.625" style="30" customWidth="1"/>
    <col min="770" max="770" width="34.125" style="30" customWidth="1"/>
    <col min="771" max="772" width="0" style="30" hidden="1" customWidth="1"/>
    <col min="773" max="773" width="10.75" style="30" bestFit="1" customWidth="1"/>
    <col min="774" max="774" width="10.75" style="30" customWidth="1"/>
    <col min="775" max="775" width="11" style="30" customWidth="1"/>
    <col min="776" max="776" width="9.875" style="30" customWidth="1"/>
    <col min="777" max="780" width="10.75" style="30" customWidth="1"/>
    <col min="781" max="782" width="10.75" style="30" bestFit="1" customWidth="1"/>
    <col min="783" max="783" width="10.5" style="30" bestFit="1" customWidth="1"/>
    <col min="784" max="784" width="10.75" style="30" bestFit="1" customWidth="1"/>
    <col min="785" max="785" width="10.75" style="30" customWidth="1"/>
    <col min="786" max="786" width="11.5" style="30" bestFit="1" customWidth="1"/>
    <col min="787" max="787" width="10.75" style="30" bestFit="1" customWidth="1"/>
    <col min="788" max="788" width="9.875" style="30" bestFit="1" customWidth="1"/>
    <col min="789" max="789" width="13.375" style="30" bestFit="1" customWidth="1"/>
    <col min="790" max="1024" width="15.625" style="30"/>
    <col min="1025" max="1025" width="4.625" style="30" customWidth="1"/>
    <col min="1026" max="1026" width="34.125" style="30" customWidth="1"/>
    <col min="1027" max="1028" width="0" style="30" hidden="1" customWidth="1"/>
    <col min="1029" max="1029" width="10.75" style="30" bestFit="1" customWidth="1"/>
    <col min="1030" max="1030" width="10.75" style="30" customWidth="1"/>
    <col min="1031" max="1031" width="11" style="30" customWidth="1"/>
    <col min="1032" max="1032" width="9.875" style="30" customWidth="1"/>
    <col min="1033" max="1036" width="10.75" style="30" customWidth="1"/>
    <col min="1037" max="1038" width="10.75" style="30" bestFit="1" customWidth="1"/>
    <col min="1039" max="1039" width="10.5" style="30" bestFit="1" customWidth="1"/>
    <col min="1040" max="1040" width="10.75" style="30" bestFit="1" customWidth="1"/>
    <col min="1041" max="1041" width="10.75" style="30" customWidth="1"/>
    <col min="1042" max="1042" width="11.5" style="30" bestFit="1" customWidth="1"/>
    <col min="1043" max="1043" width="10.75" style="30" bestFit="1" customWidth="1"/>
    <col min="1044" max="1044" width="9.875" style="30" bestFit="1" customWidth="1"/>
    <col min="1045" max="1045" width="13.375" style="30" bestFit="1" customWidth="1"/>
    <col min="1046" max="1280" width="15.625" style="30"/>
    <col min="1281" max="1281" width="4.625" style="30" customWidth="1"/>
    <col min="1282" max="1282" width="34.125" style="30" customWidth="1"/>
    <col min="1283" max="1284" width="0" style="30" hidden="1" customWidth="1"/>
    <col min="1285" max="1285" width="10.75" style="30" bestFit="1" customWidth="1"/>
    <col min="1286" max="1286" width="10.75" style="30" customWidth="1"/>
    <col min="1287" max="1287" width="11" style="30" customWidth="1"/>
    <col min="1288" max="1288" width="9.875" style="30" customWidth="1"/>
    <col min="1289" max="1292" width="10.75" style="30" customWidth="1"/>
    <col min="1293" max="1294" width="10.75" style="30" bestFit="1" customWidth="1"/>
    <col min="1295" max="1295" width="10.5" style="30" bestFit="1" customWidth="1"/>
    <col min="1296" max="1296" width="10.75" style="30" bestFit="1" customWidth="1"/>
    <col min="1297" max="1297" width="10.75" style="30" customWidth="1"/>
    <col min="1298" max="1298" width="11.5" style="30" bestFit="1" customWidth="1"/>
    <col min="1299" max="1299" width="10.75" style="30" bestFit="1" customWidth="1"/>
    <col min="1300" max="1300" width="9.875" style="30" bestFit="1" customWidth="1"/>
    <col min="1301" max="1301" width="13.375" style="30" bestFit="1" customWidth="1"/>
    <col min="1302" max="1536" width="15.625" style="30"/>
    <col min="1537" max="1537" width="4.625" style="30" customWidth="1"/>
    <col min="1538" max="1538" width="34.125" style="30" customWidth="1"/>
    <col min="1539" max="1540" width="0" style="30" hidden="1" customWidth="1"/>
    <col min="1541" max="1541" width="10.75" style="30" bestFit="1" customWidth="1"/>
    <col min="1542" max="1542" width="10.75" style="30" customWidth="1"/>
    <col min="1543" max="1543" width="11" style="30" customWidth="1"/>
    <col min="1544" max="1544" width="9.875" style="30" customWidth="1"/>
    <col min="1545" max="1548" width="10.75" style="30" customWidth="1"/>
    <col min="1549" max="1550" width="10.75" style="30" bestFit="1" customWidth="1"/>
    <col min="1551" max="1551" width="10.5" style="30" bestFit="1" customWidth="1"/>
    <col min="1552" max="1552" width="10.75" style="30" bestFit="1" customWidth="1"/>
    <col min="1553" max="1553" width="10.75" style="30" customWidth="1"/>
    <col min="1554" max="1554" width="11.5" style="30" bestFit="1" customWidth="1"/>
    <col min="1555" max="1555" width="10.75" style="30" bestFit="1" customWidth="1"/>
    <col min="1556" max="1556" width="9.875" style="30" bestFit="1" customWidth="1"/>
    <col min="1557" max="1557" width="13.375" style="30" bestFit="1" customWidth="1"/>
    <col min="1558" max="1792" width="15.625" style="30"/>
    <col min="1793" max="1793" width="4.625" style="30" customWidth="1"/>
    <col min="1794" max="1794" width="34.125" style="30" customWidth="1"/>
    <col min="1795" max="1796" width="0" style="30" hidden="1" customWidth="1"/>
    <col min="1797" max="1797" width="10.75" style="30" bestFit="1" customWidth="1"/>
    <col min="1798" max="1798" width="10.75" style="30" customWidth="1"/>
    <col min="1799" max="1799" width="11" style="30" customWidth="1"/>
    <col min="1800" max="1800" width="9.875" style="30" customWidth="1"/>
    <col min="1801" max="1804" width="10.75" style="30" customWidth="1"/>
    <col min="1805" max="1806" width="10.75" style="30" bestFit="1" customWidth="1"/>
    <col min="1807" max="1807" width="10.5" style="30" bestFit="1" customWidth="1"/>
    <col min="1808" max="1808" width="10.75" style="30" bestFit="1" customWidth="1"/>
    <col min="1809" max="1809" width="10.75" style="30" customWidth="1"/>
    <col min="1810" max="1810" width="11.5" style="30" bestFit="1" customWidth="1"/>
    <col min="1811" max="1811" width="10.75" style="30" bestFit="1" customWidth="1"/>
    <col min="1812" max="1812" width="9.875" style="30" bestFit="1" customWidth="1"/>
    <col min="1813" max="1813" width="13.375" style="30" bestFit="1" customWidth="1"/>
    <col min="1814" max="2048" width="15.625" style="30"/>
    <col min="2049" max="2049" width="4.625" style="30" customWidth="1"/>
    <col min="2050" max="2050" width="34.125" style="30" customWidth="1"/>
    <col min="2051" max="2052" width="0" style="30" hidden="1" customWidth="1"/>
    <col min="2053" max="2053" width="10.75" style="30" bestFit="1" customWidth="1"/>
    <col min="2054" max="2054" width="10.75" style="30" customWidth="1"/>
    <col min="2055" max="2055" width="11" style="30" customWidth="1"/>
    <col min="2056" max="2056" width="9.875" style="30" customWidth="1"/>
    <col min="2057" max="2060" width="10.75" style="30" customWidth="1"/>
    <col min="2061" max="2062" width="10.75" style="30" bestFit="1" customWidth="1"/>
    <col min="2063" max="2063" width="10.5" style="30" bestFit="1" customWidth="1"/>
    <col min="2064" max="2064" width="10.75" style="30" bestFit="1" customWidth="1"/>
    <col min="2065" max="2065" width="10.75" style="30" customWidth="1"/>
    <col min="2066" max="2066" width="11.5" style="30" bestFit="1" customWidth="1"/>
    <col min="2067" max="2067" width="10.75" style="30" bestFit="1" customWidth="1"/>
    <col min="2068" max="2068" width="9.875" style="30" bestFit="1" customWidth="1"/>
    <col min="2069" max="2069" width="13.375" style="30" bestFit="1" customWidth="1"/>
    <col min="2070" max="2304" width="15.625" style="30"/>
    <col min="2305" max="2305" width="4.625" style="30" customWidth="1"/>
    <col min="2306" max="2306" width="34.125" style="30" customWidth="1"/>
    <col min="2307" max="2308" width="0" style="30" hidden="1" customWidth="1"/>
    <col min="2309" max="2309" width="10.75" style="30" bestFit="1" customWidth="1"/>
    <col min="2310" max="2310" width="10.75" style="30" customWidth="1"/>
    <col min="2311" max="2311" width="11" style="30" customWidth="1"/>
    <col min="2312" max="2312" width="9.875" style="30" customWidth="1"/>
    <col min="2313" max="2316" width="10.75" style="30" customWidth="1"/>
    <col min="2317" max="2318" width="10.75" style="30" bestFit="1" customWidth="1"/>
    <col min="2319" max="2319" width="10.5" style="30" bestFit="1" customWidth="1"/>
    <col min="2320" max="2320" width="10.75" style="30" bestFit="1" customWidth="1"/>
    <col min="2321" max="2321" width="10.75" style="30" customWidth="1"/>
    <col min="2322" max="2322" width="11.5" style="30" bestFit="1" customWidth="1"/>
    <col min="2323" max="2323" width="10.75" style="30" bestFit="1" customWidth="1"/>
    <col min="2324" max="2324" width="9.875" style="30" bestFit="1" customWidth="1"/>
    <col min="2325" max="2325" width="13.375" style="30" bestFit="1" customWidth="1"/>
    <col min="2326" max="2560" width="15.625" style="30"/>
    <col min="2561" max="2561" width="4.625" style="30" customWidth="1"/>
    <col min="2562" max="2562" width="34.125" style="30" customWidth="1"/>
    <col min="2563" max="2564" width="0" style="30" hidden="1" customWidth="1"/>
    <col min="2565" max="2565" width="10.75" style="30" bestFit="1" customWidth="1"/>
    <col min="2566" max="2566" width="10.75" style="30" customWidth="1"/>
    <col min="2567" max="2567" width="11" style="30" customWidth="1"/>
    <col min="2568" max="2568" width="9.875" style="30" customWidth="1"/>
    <col min="2569" max="2572" width="10.75" style="30" customWidth="1"/>
    <col min="2573" max="2574" width="10.75" style="30" bestFit="1" customWidth="1"/>
    <col min="2575" max="2575" width="10.5" style="30" bestFit="1" customWidth="1"/>
    <col min="2576" max="2576" width="10.75" style="30" bestFit="1" customWidth="1"/>
    <col min="2577" max="2577" width="10.75" style="30" customWidth="1"/>
    <col min="2578" max="2578" width="11.5" style="30" bestFit="1" customWidth="1"/>
    <col min="2579" max="2579" width="10.75" style="30" bestFit="1" customWidth="1"/>
    <col min="2580" max="2580" width="9.875" style="30" bestFit="1" customWidth="1"/>
    <col min="2581" max="2581" width="13.375" style="30" bestFit="1" customWidth="1"/>
    <col min="2582" max="2816" width="15.625" style="30"/>
    <col min="2817" max="2817" width="4.625" style="30" customWidth="1"/>
    <col min="2818" max="2818" width="34.125" style="30" customWidth="1"/>
    <col min="2819" max="2820" width="0" style="30" hidden="1" customWidth="1"/>
    <col min="2821" max="2821" width="10.75" style="30" bestFit="1" customWidth="1"/>
    <col min="2822" max="2822" width="10.75" style="30" customWidth="1"/>
    <col min="2823" max="2823" width="11" style="30" customWidth="1"/>
    <col min="2824" max="2824" width="9.875" style="30" customWidth="1"/>
    <col min="2825" max="2828" width="10.75" style="30" customWidth="1"/>
    <col min="2829" max="2830" width="10.75" style="30" bestFit="1" customWidth="1"/>
    <col min="2831" max="2831" width="10.5" style="30" bestFit="1" customWidth="1"/>
    <col min="2832" max="2832" width="10.75" style="30" bestFit="1" customWidth="1"/>
    <col min="2833" max="2833" width="10.75" style="30" customWidth="1"/>
    <col min="2834" max="2834" width="11.5" style="30" bestFit="1" customWidth="1"/>
    <col min="2835" max="2835" width="10.75" style="30" bestFit="1" customWidth="1"/>
    <col min="2836" max="2836" width="9.875" style="30" bestFit="1" customWidth="1"/>
    <col min="2837" max="2837" width="13.375" style="30" bestFit="1" customWidth="1"/>
    <col min="2838" max="3072" width="15.625" style="30"/>
    <col min="3073" max="3073" width="4.625" style="30" customWidth="1"/>
    <col min="3074" max="3074" width="34.125" style="30" customWidth="1"/>
    <col min="3075" max="3076" width="0" style="30" hidden="1" customWidth="1"/>
    <col min="3077" max="3077" width="10.75" style="30" bestFit="1" customWidth="1"/>
    <col min="3078" max="3078" width="10.75" style="30" customWidth="1"/>
    <col min="3079" max="3079" width="11" style="30" customWidth="1"/>
    <col min="3080" max="3080" width="9.875" style="30" customWidth="1"/>
    <col min="3081" max="3084" width="10.75" style="30" customWidth="1"/>
    <col min="3085" max="3086" width="10.75" style="30" bestFit="1" customWidth="1"/>
    <col min="3087" max="3087" width="10.5" style="30" bestFit="1" customWidth="1"/>
    <col min="3088" max="3088" width="10.75" style="30" bestFit="1" customWidth="1"/>
    <col min="3089" max="3089" width="10.75" style="30" customWidth="1"/>
    <col min="3090" max="3090" width="11.5" style="30" bestFit="1" customWidth="1"/>
    <col min="3091" max="3091" width="10.75" style="30" bestFit="1" customWidth="1"/>
    <col min="3092" max="3092" width="9.875" style="30" bestFit="1" customWidth="1"/>
    <col min="3093" max="3093" width="13.375" style="30" bestFit="1" customWidth="1"/>
    <col min="3094" max="3328" width="15.625" style="30"/>
    <col min="3329" max="3329" width="4.625" style="30" customWidth="1"/>
    <col min="3330" max="3330" width="34.125" style="30" customWidth="1"/>
    <col min="3331" max="3332" width="0" style="30" hidden="1" customWidth="1"/>
    <col min="3333" max="3333" width="10.75" style="30" bestFit="1" customWidth="1"/>
    <col min="3334" max="3334" width="10.75" style="30" customWidth="1"/>
    <col min="3335" max="3335" width="11" style="30" customWidth="1"/>
    <col min="3336" max="3336" width="9.875" style="30" customWidth="1"/>
    <col min="3337" max="3340" width="10.75" style="30" customWidth="1"/>
    <col min="3341" max="3342" width="10.75" style="30" bestFit="1" customWidth="1"/>
    <col min="3343" max="3343" width="10.5" style="30" bestFit="1" customWidth="1"/>
    <col min="3344" max="3344" width="10.75" style="30" bestFit="1" customWidth="1"/>
    <col min="3345" max="3345" width="10.75" style="30" customWidth="1"/>
    <col min="3346" max="3346" width="11.5" style="30" bestFit="1" customWidth="1"/>
    <col min="3347" max="3347" width="10.75" style="30" bestFit="1" customWidth="1"/>
    <col min="3348" max="3348" width="9.875" style="30" bestFit="1" customWidth="1"/>
    <col min="3349" max="3349" width="13.375" style="30" bestFit="1" customWidth="1"/>
    <col min="3350" max="3584" width="15.625" style="30"/>
    <col min="3585" max="3585" width="4.625" style="30" customWidth="1"/>
    <col min="3586" max="3586" width="34.125" style="30" customWidth="1"/>
    <col min="3587" max="3588" width="0" style="30" hidden="1" customWidth="1"/>
    <col min="3589" max="3589" width="10.75" style="30" bestFit="1" customWidth="1"/>
    <col min="3590" max="3590" width="10.75" style="30" customWidth="1"/>
    <col min="3591" max="3591" width="11" style="30" customWidth="1"/>
    <col min="3592" max="3592" width="9.875" style="30" customWidth="1"/>
    <col min="3593" max="3596" width="10.75" style="30" customWidth="1"/>
    <col min="3597" max="3598" width="10.75" style="30" bestFit="1" customWidth="1"/>
    <col min="3599" max="3599" width="10.5" style="30" bestFit="1" customWidth="1"/>
    <col min="3600" max="3600" width="10.75" style="30" bestFit="1" customWidth="1"/>
    <col min="3601" max="3601" width="10.75" style="30" customWidth="1"/>
    <col min="3602" max="3602" width="11.5" style="30" bestFit="1" customWidth="1"/>
    <col min="3603" max="3603" width="10.75" style="30" bestFit="1" customWidth="1"/>
    <col min="3604" max="3604" width="9.875" style="30" bestFit="1" customWidth="1"/>
    <col min="3605" max="3605" width="13.375" style="30" bestFit="1" customWidth="1"/>
    <col min="3606" max="3840" width="15.625" style="30"/>
    <col min="3841" max="3841" width="4.625" style="30" customWidth="1"/>
    <col min="3842" max="3842" width="34.125" style="30" customWidth="1"/>
    <col min="3843" max="3844" width="0" style="30" hidden="1" customWidth="1"/>
    <col min="3845" max="3845" width="10.75" style="30" bestFit="1" customWidth="1"/>
    <col min="3846" max="3846" width="10.75" style="30" customWidth="1"/>
    <col min="3847" max="3847" width="11" style="30" customWidth="1"/>
    <col min="3848" max="3848" width="9.875" style="30" customWidth="1"/>
    <col min="3849" max="3852" width="10.75" style="30" customWidth="1"/>
    <col min="3853" max="3854" width="10.75" style="30" bestFit="1" customWidth="1"/>
    <col min="3855" max="3855" width="10.5" style="30" bestFit="1" customWidth="1"/>
    <col min="3856" max="3856" width="10.75" style="30" bestFit="1" customWidth="1"/>
    <col min="3857" max="3857" width="10.75" style="30" customWidth="1"/>
    <col min="3858" max="3858" width="11.5" style="30" bestFit="1" customWidth="1"/>
    <col min="3859" max="3859" width="10.75" style="30" bestFit="1" customWidth="1"/>
    <col min="3860" max="3860" width="9.875" style="30" bestFit="1" customWidth="1"/>
    <col min="3861" max="3861" width="13.375" style="30" bestFit="1" customWidth="1"/>
    <col min="3862" max="4096" width="15.625" style="30"/>
    <col min="4097" max="4097" width="4.625" style="30" customWidth="1"/>
    <col min="4098" max="4098" width="34.125" style="30" customWidth="1"/>
    <col min="4099" max="4100" width="0" style="30" hidden="1" customWidth="1"/>
    <col min="4101" max="4101" width="10.75" style="30" bestFit="1" customWidth="1"/>
    <col min="4102" max="4102" width="10.75" style="30" customWidth="1"/>
    <col min="4103" max="4103" width="11" style="30" customWidth="1"/>
    <col min="4104" max="4104" width="9.875" style="30" customWidth="1"/>
    <col min="4105" max="4108" width="10.75" style="30" customWidth="1"/>
    <col min="4109" max="4110" width="10.75" style="30" bestFit="1" customWidth="1"/>
    <col min="4111" max="4111" width="10.5" style="30" bestFit="1" customWidth="1"/>
    <col min="4112" max="4112" width="10.75" style="30" bestFit="1" customWidth="1"/>
    <col min="4113" max="4113" width="10.75" style="30" customWidth="1"/>
    <col min="4114" max="4114" width="11.5" style="30" bestFit="1" customWidth="1"/>
    <col min="4115" max="4115" width="10.75" style="30" bestFit="1" customWidth="1"/>
    <col min="4116" max="4116" width="9.875" style="30" bestFit="1" customWidth="1"/>
    <col min="4117" max="4117" width="13.375" style="30" bestFit="1" customWidth="1"/>
    <col min="4118" max="4352" width="15.625" style="30"/>
    <col min="4353" max="4353" width="4.625" style="30" customWidth="1"/>
    <col min="4354" max="4354" width="34.125" style="30" customWidth="1"/>
    <col min="4355" max="4356" width="0" style="30" hidden="1" customWidth="1"/>
    <col min="4357" max="4357" width="10.75" style="30" bestFit="1" customWidth="1"/>
    <col min="4358" max="4358" width="10.75" style="30" customWidth="1"/>
    <col min="4359" max="4359" width="11" style="30" customWidth="1"/>
    <col min="4360" max="4360" width="9.875" style="30" customWidth="1"/>
    <col min="4361" max="4364" width="10.75" style="30" customWidth="1"/>
    <col min="4365" max="4366" width="10.75" style="30" bestFit="1" customWidth="1"/>
    <col min="4367" max="4367" width="10.5" style="30" bestFit="1" customWidth="1"/>
    <col min="4368" max="4368" width="10.75" style="30" bestFit="1" customWidth="1"/>
    <col min="4369" max="4369" width="10.75" style="30" customWidth="1"/>
    <col min="4370" max="4370" width="11.5" style="30" bestFit="1" customWidth="1"/>
    <col min="4371" max="4371" width="10.75" style="30" bestFit="1" customWidth="1"/>
    <col min="4372" max="4372" width="9.875" style="30" bestFit="1" customWidth="1"/>
    <col min="4373" max="4373" width="13.375" style="30" bestFit="1" customWidth="1"/>
    <col min="4374" max="4608" width="15.625" style="30"/>
    <col min="4609" max="4609" width="4.625" style="30" customWidth="1"/>
    <col min="4610" max="4610" width="34.125" style="30" customWidth="1"/>
    <col min="4611" max="4612" width="0" style="30" hidden="1" customWidth="1"/>
    <col min="4613" max="4613" width="10.75" style="30" bestFit="1" customWidth="1"/>
    <col min="4614" max="4614" width="10.75" style="30" customWidth="1"/>
    <col min="4615" max="4615" width="11" style="30" customWidth="1"/>
    <col min="4616" max="4616" width="9.875" style="30" customWidth="1"/>
    <col min="4617" max="4620" width="10.75" style="30" customWidth="1"/>
    <col min="4621" max="4622" width="10.75" style="30" bestFit="1" customWidth="1"/>
    <col min="4623" max="4623" width="10.5" style="30" bestFit="1" customWidth="1"/>
    <col min="4624" max="4624" width="10.75" style="30" bestFit="1" customWidth="1"/>
    <col min="4625" max="4625" width="10.75" style="30" customWidth="1"/>
    <col min="4626" max="4626" width="11.5" style="30" bestFit="1" customWidth="1"/>
    <col min="4627" max="4627" width="10.75" style="30" bestFit="1" customWidth="1"/>
    <col min="4628" max="4628" width="9.875" style="30" bestFit="1" customWidth="1"/>
    <col min="4629" max="4629" width="13.375" style="30" bestFit="1" customWidth="1"/>
    <col min="4630" max="4864" width="15.625" style="30"/>
    <col min="4865" max="4865" width="4.625" style="30" customWidth="1"/>
    <col min="4866" max="4866" width="34.125" style="30" customWidth="1"/>
    <col min="4867" max="4868" width="0" style="30" hidden="1" customWidth="1"/>
    <col min="4869" max="4869" width="10.75" style="30" bestFit="1" customWidth="1"/>
    <col min="4870" max="4870" width="10.75" style="30" customWidth="1"/>
    <col min="4871" max="4871" width="11" style="30" customWidth="1"/>
    <col min="4872" max="4872" width="9.875" style="30" customWidth="1"/>
    <col min="4873" max="4876" width="10.75" style="30" customWidth="1"/>
    <col min="4877" max="4878" width="10.75" style="30" bestFit="1" customWidth="1"/>
    <col min="4879" max="4879" width="10.5" style="30" bestFit="1" customWidth="1"/>
    <col min="4880" max="4880" width="10.75" style="30" bestFit="1" customWidth="1"/>
    <col min="4881" max="4881" width="10.75" style="30" customWidth="1"/>
    <col min="4882" max="4882" width="11.5" style="30" bestFit="1" customWidth="1"/>
    <col min="4883" max="4883" width="10.75" style="30" bestFit="1" customWidth="1"/>
    <col min="4884" max="4884" width="9.875" style="30" bestFit="1" customWidth="1"/>
    <col min="4885" max="4885" width="13.375" style="30" bestFit="1" customWidth="1"/>
    <col min="4886" max="5120" width="15.625" style="30"/>
    <col min="5121" max="5121" width="4.625" style="30" customWidth="1"/>
    <col min="5122" max="5122" width="34.125" style="30" customWidth="1"/>
    <col min="5123" max="5124" width="0" style="30" hidden="1" customWidth="1"/>
    <col min="5125" max="5125" width="10.75" style="30" bestFit="1" customWidth="1"/>
    <col min="5126" max="5126" width="10.75" style="30" customWidth="1"/>
    <col min="5127" max="5127" width="11" style="30" customWidth="1"/>
    <col min="5128" max="5128" width="9.875" style="30" customWidth="1"/>
    <col min="5129" max="5132" width="10.75" style="30" customWidth="1"/>
    <col min="5133" max="5134" width="10.75" style="30" bestFit="1" customWidth="1"/>
    <col min="5135" max="5135" width="10.5" style="30" bestFit="1" customWidth="1"/>
    <col min="5136" max="5136" width="10.75" style="30" bestFit="1" customWidth="1"/>
    <col min="5137" max="5137" width="10.75" style="30" customWidth="1"/>
    <col min="5138" max="5138" width="11.5" style="30" bestFit="1" customWidth="1"/>
    <col min="5139" max="5139" width="10.75" style="30" bestFit="1" customWidth="1"/>
    <col min="5140" max="5140" width="9.875" style="30" bestFit="1" customWidth="1"/>
    <col min="5141" max="5141" width="13.375" style="30" bestFit="1" customWidth="1"/>
    <col min="5142" max="5376" width="15.625" style="30"/>
    <col min="5377" max="5377" width="4.625" style="30" customWidth="1"/>
    <col min="5378" max="5378" width="34.125" style="30" customWidth="1"/>
    <col min="5379" max="5380" width="0" style="30" hidden="1" customWidth="1"/>
    <col min="5381" max="5381" width="10.75" style="30" bestFit="1" customWidth="1"/>
    <col min="5382" max="5382" width="10.75" style="30" customWidth="1"/>
    <col min="5383" max="5383" width="11" style="30" customWidth="1"/>
    <col min="5384" max="5384" width="9.875" style="30" customWidth="1"/>
    <col min="5385" max="5388" width="10.75" style="30" customWidth="1"/>
    <col min="5389" max="5390" width="10.75" style="30" bestFit="1" customWidth="1"/>
    <col min="5391" max="5391" width="10.5" style="30" bestFit="1" customWidth="1"/>
    <col min="5392" max="5392" width="10.75" style="30" bestFit="1" customWidth="1"/>
    <col min="5393" max="5393" width="10.75" style="30" customWidth="1"/>
    <col min="5394" max="5394" width="11.5" style="30" bestFit="1" customWidth="1"/>
    <col min="5395" max="5395" width="10.75" style="30" bestFit="1" customWidth="1"/>
    <col min="5396" max="5396" width="9.875" style="30" bestFit="1" customWidth="1"/>
    <col min="5397" max="5397" width="13.375" style="30" bestFit="1" customWidth="1"/>
    <col min="5398" max="5632" width="15.625" style="30"/>
    <col min="5633" max="5633" width="4.625" style="30" customWidth="1"/>
    <col min="5634" max="5634" width="34.125" style="30" customWidth="1"/>
    <col min="5635" max="5636" width="0" style="30" hidden="1" customWidth="1"/>
    <col min="5637" max="5637" width="10.75" style="30" bestFit="1" customWidth="1"/>
    <col min="5638" max="5638" width="10.75" style="30" customWidth="1"/>
    <col min="5639" max="5639" width="11" style="30" customWidth="1"/>
    <col min="5640" max="5640" width="9.875" style="30" customWidth="1"/>
    <col min="5641" max="5644" width="10.75" style="30" customWidth="1"/>
    <col min="5645" max="5646" width="10.75" style="30" bestFit="1" customWidth="1"/>
    <col min="5647" max="5647" width="10.5" style="30" bestFit="1" customWidth="1"/>
    <col min="5648" max="5648" width="10.75" style="30" bestFit="1" customWidth="1"/>
    <col min="5649" max="5649" width="10.75" style="30" customWidth="1"/>
    <col min="5650" max="5650" width="11.5" style="30" bestFit="1" customWidth="1"/>
    <col min="5651" max="5651" width="10.75" style="30" bestFit="1" customWidth="1"/>
    <col min="5652" max="5652" width="9.875" style="30" bestFit="1" customWidth="1"/>
    <col min="5653" max="5653" width="13.375" style="30" bestFit="1" customWidth="1"/>
    <col min="5654" max="5888" width="15.625" style="30"/>
    <col min="5889" max="5889" width="4.625" style="30" customWidth="1"/>
    <col min="5890" max="5890" width="34.125" style="30" customWidth="1"/>
    <col min="5891" max="5892" width="0" style="30" hidden="1" customWidth="1"/>
    <col min="5893" max="5893" width="10.75" style="30" bestFit="1" customWidth="1"/>
    <col min="5894" max="5894" width="10.75" style="30" customWidth="1"/>
    <col min="5895" max="5895" width="11" style="30" customWidth="1"/>
    <col min="5896" max="5896" width="9.875" style="30" customWidth="1"/>
    <col min="5897" max="5900" width="10.75" style="30" customWidth="1"/>
    <col min="5901" max="5902" width="10.75" style="30" bestFit="1" customWidth="1"/>
    <col min="5903" max="5903" width="10.5" style="30" bestFit="1" customWidth="1"/>
    <col min="5904" max="5904" width="10.75" style="30" bestFit="1" customWidth="1"/>
    <col min="5905" max="5905" width="10.75" style="30" customWidth="1"/>
    <col min="5906" max="5906" width="11.5" style="30" bestFit="1" customWidth="1"/>
    <col min="5907" max="5907" width="10.75" style="30" bestFit="1" customWidth="1"/>
    <col min="5908" max="5908" width="9.875" style="30" bestFit="1" customWidth="1"/>
    <col min="5909" max="5909" width="13.375" style="30" bestFit="1" customWidth="1"/>
    <col min="5910" max="6144" width="15.625" style="30"/>
    <col min="6145" max="6145" width="4.625" style="30" customWidth="1"/>
    <col min="6146" max="6146" width="34.125" style="30" customWidth="1"/>
    <col min="6147" max="6148" width="0" style="30" hidden="1" customWidth="1"/>
    <col min="6149" max="6149" width="10.75" style="30" bestFit="1" customWidth="1"/>
    <col min="6150" max="6150" width="10.75" style="30" customWidth="1"/>
    <col min="6151" max="6151" width="11" style="30" customWidth="1"/>
    <col min="6152" max="6152" width="9.875" style="30" customWidth="1"/>
    <col min="6153" max="6156" width="10.75" style="30" customWidth="1"/>
    <col min="6157" max="6158" width="10.75" style="30" bestFit="1" customWidth="1"/>
    <col min="6159" max="6159" width="10.5" style="30" bestFit="1" customWidth="1"/>
    <col min="6160" max="6160" width="10.75" style="30" bestFit="1" customWidth="1"/>
    <col min="6161" max="6161" width="10.75" style="30" customWidth="1"/>
    <col min="6162" max="6162" width="11.5" style="30" bestFit="1" customWidth="1"/>
    <col min="6163" max="6163" width="10.75" style="30" bestFit="1" customWidth="1"/>
    <col min="6164" max="6164" width="9.875" style="30" bestFit="1" customWidth="1"/>
    <col min="6165" max="6165" width="13.375" style="30" bestFit="1" customWidth="1"/>
    <col min="6166" max="6400" width="15.625" style="30"/>
    <col min="6401" max="6401" width="4.625" style="30" customWidth="1"/>
    <col min="6402" max="6402" width="34.125" style="30" customWidth="1"/>
    <col min="6403" max="6404" width="0" style="30" hidden="1" customWidth="1"/>
    <col min="6405" max="6405" width="10.75" style="30" bestFit="1" customWidth="1"/>
    <col min="6406" max="6406" width="10.75" style="30" customWidth="1"/>
    <col min="6407" max="6407" width="11" style="30" customWidth="1"/>
    <col min="6408" max="6408" width="9.875" style="30" customWidth="1"/>
    <col min="6409" max="6412" width="10.75" style="30" customWidth="1"/>
    <col min="6413" max="6414" width="10.75" style="30" bestFit="1" customWidth="1"/>
    <col min="6415" max="6415" width="10.5" style="30" bestFit="1" customWidth="1"/>
    <col min="6416" max="6416" width="10.75" style="30" bestFit="1" customWidth="1"/>
    <col min="6417" max="6417" width="10.75" style="30" customWidth="1"/>
    <col min="6418" max="6418" width="11.5" style="30" bestFit="1" customWidth="1"/>
    <col min="6419" max="6419" width="10.75" style="30" bestFit="1" customWidth="1"/>
    <col min="6420" max="6420" width="9.875" style="30" bestFit="1" customWidth="1"/>
    <col min="6421" max="6421" width="13.375" style="30" bestFit="1" customWidth="1"/>
    <col min="6422" max="6656" width="15.625" style="30"/>
    <col min="6657" max="6657" width="4.625" style="30" customWidth="1"/>
    <col min="6658" max="6658" width="34.125" style="30" customWidth="1"/>
    <col min="6659" max="6660" width="0" style="30" hidden="1" customWidth="1"/>
    <col min="6661" max="6661" width="10.75" style="30" bestFit="1" customWidth="1"/>
    <col min="6662" max="6662" width="10.75" style="30" customWidth="1"/>
    <col min="6663" max="6663" width="11" style="30" customWidth="1"/>
    <col min="6664" max="6664" width="9.875" style="30" customWidth="1"/>
    <col min="6665" max="6668" width="10.75" style="30" customWidth="1"/>
    <col min="6669" max="6670" width="10.75" style="30" bestFit="1" customWidth="1"/>
    <col min="6671" max="6671" width="10.5" style="30" bestFit="1" customWidth="1"/>
    <col min="6672" max="6672" width="10.75" style="30" bestFit="1" customWidth="1"/>
    <col min="6673" max="6673" width="10.75" style="30" customWidth="1"/>
    <col min="6674" max="6674" width="11.5" style="30" bestFit="1" customWidth="1"/>
    <col min="6675" max="6675" width="10.75" style="30" bestFit="1" customWidth="1"/>
    <col min="6676" max="6676" width="9.875" style="30" bestFit="1" customWidth="1"/>
    <col min="6677" max="6677" width="13.375" style="30" bestFit="1" customWidth="1"/>
    <col min="6678" max="6912" width="15.625" style="30"/>
    <col min="6913" max="6913" width="4.625" style="30" customWidth="1"/>
    <col min="6914" max="6914" width="34.125" style="30" customWidth="1"/>
    <col min="6915" max="6916" width="0" style="30" hidden="1" customWidth="1"/>
    <col min="6917" max="6917" width="10.75" style="30" bestFit="1" customWidth="1"/>
    <col min="6918" max="6918" width="10.75" style="30" customWidth="1"/>
    <col min="6919" max="6919" width="11" style="30" customWidth="1"/>
    <col min="6920" max="6920" width="9.875" style="30" customWidth="1"/>
    <col min="6921" max="6924" width="10.75" style="30" customWidth="1"/>
    <col min="6925" max="6926" width="10.75" style="30" bestFit="1" customWidth="1"/>
    <col min="6927" max="6927" width="10.5" style="30" bestFit="1" customWidth="1"/>
    <col min="6928" max="6928" width="10.75" style="30" bestFit="1" customWidth="1"/>
    <col min="6929" max="6929" width="10.75" style="30" customWidth="1"/>
    <col min="6930" max="6930" width="11.5" style="30" bestFit="1" customWidth="1"/>
    <col min="6931" max="6931" width="10.75" style="30" bestFit="1" customWidth="1"/>
    <col min="6932" max="6932" width="9.875" style="30" bestFit="1" customWidth="1"/>
    <col min="6933" max="6933" width="13.375" style="30" bestFit="1" customWidth="1"/>
    <col min="6934" max="7168" width="15.625" style="30"/>
    <col min="7169" max="7169" width="4.625" style="30" customWidth="1"/>
    <col min="7170" max="7170" width="34.125" style="30" customWidth="1"/>
    <col min="7171" max="7172" width="0" style="30" hidden="1" customWidth="1"/>
    <col min="7173" max="7173" width="10.75" style="30" bestFit="1" customWidth="1"/>
    <col min="7174" max="7174" width="10.75" style="30" customWidth="1"/>
    <col min="7175" max="7175" width="11" style="30" customWidth="1"/>
    <col min="7176" max="7176" width="9.875" style="30" customWidth="1"/>
    <col min="7177" max="7180" width="10.75" style="30" customWidth="1"/>
    <col min="7181" max="7182" width="10.75" style="30" bestFit="1" customWidth="1"/>
    <col min="7183" max="7183" width="10.5" style="30" bestFit="1" customWidth="1"/>
    <col min="7184" max="7184" width="10.75" style="30" bestFit="1" customWidth="1"/>
    <col min="7185" max="7185" width="10.75" style="30" customWidth="1"/>
    <col min="7186" max="7186" width="11.5" style="30" bestFit="1" customWidth="1"/>
    <col min="7187" max="7187" width="10.75" style="30" bestFit="1" customWidth="1"/>
    <col min="7188" max="7188" width="9.875" style="30" bestFit="1" customWidth="1"/>
    <col min="7189" max="7189" width="13.375" style="30" bestFit="1" customWidth="1"/>
    <col min="7190" max="7424" width="15.625" style="30"/>
    <col min="7425" max="7425" width="4.625" style="30" customWidth="1"/>
    <col min="7426" max="7426" width="34.125" style="30" customWidth="1"/>
    <col min="7427" max="7428" width="0" style="30" hidden="1" customWidth="1"/>
    <col min="7429" max="7429" width="10.75" style="30" bestFit="1" customWidth="1"/>
    <col min="7430" max="7430" width="10.75" style="30" customWidth="1"/>
    <col min="7431" max="7431" width="11" style="30" customWidth="1"/>
    <col min="7432" max="7432" width="9.875" style="30" customWidth="1"/>
    <col min="7433" max="7436" width="10.75" style="30" customWidth="1"/>
    <col min="7437" max="7438" width="10.75" style="30" bestFit="1" customWidth="1"/>
    <col min="7439" max="7439" width="10.5" style="30" bestFit="1" customWidth="1"/>
    <col min="7440" max="7440" width="10.75" style="30" bestFit="1" customWidth="1"/>
    <col min="7441" max="7441" width="10.75" style="30" customWidth="1"/>
    <col min="7442" max="7442" width="11.5" style="30" bestFit="1" customWidth="1"/>
    <col min="7443" max="7443" width="10.75" style="30" bestFit="1" customWidth="1"/>
    <col min="7444" max="7444" width="9.875" style="30" bestFit="1" customWidth="1"/>
    <col min="7445" max="7445" width="13.375" style="30" bestFit="1" customWidth="1"/>
    <col min="7446" max="7680" width="15.625" style="30"/>
    <col min="7681" max="7681" width="4.625" style="30" customWidth="1"/>
    <col min="7682" max="7682" width="34.125" style="30" customWidth="1"/>
    <col min="7683" max="7684" width="0" style="30" hidden="1" customWidth="1"/>
    <col min="7685" max="7685" width="10.75" style="30" bestFit="1" customWidth="1"/>
    <col min="7686" max="7686" width="10.75" style="30" customWidth="1"/>
    <col min="7687" max="7687" width="11" style="30" customWidth="1"/>
    <col min="7688" max="7688" width="9.875" style="30" customWidth="1"/>
    <col min="7689" max="7692" width="10.75" style="30" customWidth="1"/>
    <col min="7693" max="7694" width="10.75" style="30" bestFit="1" customWidth="1"/>
    <col min="7695" max="7695" width="10.5" style="30" bestFit="1" customWidth="1"/>
    <col min="7696" max="7696" width="10.75" style="30" bestFit="1" customWidth="1"/>
    <col min="7697" max="7697" width="10.75" style="30" customWidth="1"/>
    <col min="7698" max="7698" width="11.5" style="30" bestFit="1" customWidth="1"/>
    <col min="7699" max="7699" width="10.75" style="30" bestFit="1" customWidth="1"/>
    <col min="7700" max="7700" width="9.875" style="30" bestFit="1" customWidth="1"/>
    <col min="7701" max="7701" width="13.375" style="30" bestFit="1" customWidth="1"/>
    <col min="7702" max="7936" width="15.625" style="30"/>
    <col min="7937" max="7937" width="4.625" style="30" customWidth="1"/>
    <col min="7938" max="7938" width="34.125" style="30" customWidth="1"/>
    <col min="7939" max="7940" width="0" style="30" hidden="1" customWidth="1"/>
    <col min="7941" max="7941" width="10.75" style="30" bestFit="1" customWidth="1"/>
    <col min="7942" max="7942" width="10.75" style="30" customWidth="1"/>
    <col min="7943" max="7943" width="11" style="30" customWidth="1"/>
    <col min="7944" max="7944" width="9.875" style="30" customWidth="1"/>
    <col min="7945" max="7948" width="10.75" style="30" customWidth="1"/>
    <col min="7949" max="7950" width="10.75" style="30" bestFit="1" customWidth="1"/>
    <col min="7951" max="7951" width="10.5" style="30" bestFit="1" customWidth="1"/>
    <col min="7952" max="7952" width="10.75" style="30" bestFit="1" customWidth="1"/>
    <col min="7953" max="7953" width="10.75" style="30" customWidth="1"/>
    <col min="7954" max="7954" width="11.5" style="30" bestFit="1" customWidth="1"/>
    <col min="7955" max="7955" width="10.75" style="30" bestFit="1" customWidth="1"/>
    <col min="7956" max="7956" width="9.875" style="30" bestFit="1" customWidth="1"/>
    <col min="7957" max="7957" width="13.375" style="30" bestFit="1" customWidth="1"/>
    <col min="7958" max="8192" width="15.625" style="30"/>
    <col min="8193" max="8193" width="4.625" style="30" customWidth="1"/>
    <col min="8194" max="8194" width="34.125" style="30" customWidth="1"/>
    <col min="8195" max="8196" width="0" style="30" hidden="1" customWidth="1"/>
    <col min="8197" max="8197" width="10.75" style="30" bestFit="1" customWidth="1"/>
    <col min="8198" max="8198" width="10.75" style="30" customWidth="1"/>
    <col min="8199" max="8199" width="11" style="30" customWidth="1"/>
    <col min="8200" max="8200" width="9.875" style="30" customWidth="1"/>
    <col min="8201" max="8204" width="10.75" style="30" customWidth="1"/>
    <col min="8205" max="8206" width="10.75" style="30" bestFit="1" customWidth="1"/>
    <col min="8207" max="8207" width="10.5" style="30" bestFit="1" customWidth="1"/>
    <col min="8208" max="8208" width="10.75" style="30" bestFit="1" customWidth="1"/>
    <col min="8209" max="8209" width="10.75" style="30" customWidth="1"/>
    <col min="8210" max="8210" width="11.5" style="30" bestFit="1" customWidth="1"/>
    <col min="8211" max="8211" width="10.75" style="30" bestFit="1" customWidth="1"/>
    <col min="8212" max="8212" width="9.875" style="30" bestFit="1" customWidth="1"/>
    <col min="8213" max="8213" width="13.375" style="30" bestFit="1" customWidth="1"/>
    <col min="8214" max="8448" width="15.625" style="30"/>
    <col min="8449" max="8449" width="4.625" style="30" customWidth="1"/>
    <col min="8450" max="8450" width="34.125" style="30" customWidth="1"/>
    <col min="8451" max="8452" width="0" style="30" hidden="1" customWidth="1"/>
    <col min="8453" max="8453" width="10.75" style="30" bestFit="1" customWidth="1"/>
    <col min="8454" max="8454" width="10.75" style="30" customWidth="1"/>
    <col min="8455" max="8455" width="11" style="30" customWidth="1"/>
    <col min="8456" max="8456" width="9.875" style="30" customWidth="1"/>
    <col min="8457" max="8460" width="10.75" style="30" customWidth="1"/>
    <col min="8461" max="8462" width="10.75" style="30" bestFit="1" customWidth="1"/>
    <col min="8463" max="8463" width="10.5" style="30" bestFit="1" customWidth="1"/>
    <col min="8464" max="8464" width="10.75" style="30" bestFit="1" customWidth="1"/>
    <col min="8465" max="8465" width="10.75" style="30" customWidth="1"/>
    <col min="8466" max="8466" width="11.5" style="30" bestFit="1" customWidth="1"/>
    <col min="8467" max="8467" width="10.75" style="30" bestFit="1" customWidth="1"/>
    <col min="8468" max="8468" width="9.875" style="30" bestFit="1" customWidth="1"/>
    <col min="8469" max="8469" width="13.375" style="30" bestFit="1" customWidth="1"/>
    <col min="8470" max="8704" width="15.625" style="30"/>
    <col min="8705" max="8705" width="4.625" style="30" customWidth="1"/>
    <col min="8706" max="8706" width="34.125" style="30" customWidth="1"/>
    <col min="8707" max="8708" width="0" style="30" hidden="1" customWidth="1"/>
    <col min="8709" max="8709" width="10.75" style="30" bestFit="1" customWidth="1"/>
    <col min="8710" max="8710" width="10.75" style="30" customWidth="1"/>
    <col min="8711" max="8711" width="11" style="30" customWidth="1"/>
    <col min="8712" max="8712" width="9.875" style="30" customWidth="1"/>
    <col min="8713" max="8716" width="10.75" style="30" customWidth="1"/>
    <col min="8717" max="8718" width="10.75" style="30" bestFit="1" customWidth="1"/>
    <col min="8719" max="8719" width="10.5" style="30" bestFit="1" customWidth="1"/>
    <col min="8720" max="8720" width="10.75" style="30" bestFit="1" customWidth="1"/>
    <col min="8721" max="8721" width="10.75" style="30" customWidth="1"/>
    <col min="8722" max="8722" width="11.5" style="30" bestFit="1" customWidth="1"/>
    <col min="8723" max="8723" width="10.75" style="30" bestFit="1" customWidth="1"/>
    <col min="8724" max="8724" width="9.875" style="30" bestFit="1" customWidth="1"/>
    <col min="8725" max="8725" width="13.375" style="30" bestFit="1" customWidth="1"/>
    <col min="8726" max="8960" width="15.625" style="30"/>
    <col min="8961" max="8961" width="4.625" style="30" customWidth="1"/>
    <col min="8962" max="8962" width="34.125" style="30" customWidth="1"/>
    <col min="8963" max="8964" width="0" style="30" hidden="1" customWidth="1"/>
    <col min="8965" max="8965" width="10.75" style="30" bestFit="1" customWidth="1"/>
    <col min="8966" max="8966" width="10.75" style="30" customWidth="1"/>
    <col min="8967" max="8967" width="11" style="30" customWidth="1"/>
    <col min="8968" max="8968" width="9.875" style="30" customWidth="1"/>
    <col min="8969" max="8972" width="10.75" style="30" customWidth="1"/>
    <col min="8973" max="8974" width="10.75" style="30" bestFit="1" customWidth="1"/>
    <col min="8975" max="8975" width="10.5" style="30" bestFit="1" customWidth="1"/>
    <col min="8976" max="8976" width="10.75" style="30" bestFit="1" customWidth="1"/>
    <col min="8977" max="8977" width="10.75" style="30" customWidth="1"/>
    <col min="8978" max="8978" width="11.5" style="30" bestFit="1" customWidth="1"/>
    <col min="8979" max="8979" width="10.75" style="30" bestFit="1" customWidth="1"/>
    <col min="8980" max="8980" width="9.875" style="30" bestFit="1" customWidth="1"/>
    <col min="8981" max="8981" width="13.375" style="30" bestFit="1" customWidth="1"/>
    <col min="8982" max="9216" width="15.625" style="30"/>
    <col min="9217" max="9217" width="4.625" style="30" customWidth="1"/>
    <col min="9218" max="9218" width="34.125" style="30" customWidth="1"/>
    <col min="9219" max="9220" width="0" style="30" hidden="1" customWidth="1"/>
    <col min="9221" max="9221" width="10.75" style="30" bestFit="1" customWidth="1"/>
    <col min="9222" max="9222" width="10.75" style="30" customWidth="1"/>
    <col min="9223" max="9223" width="11" style="30" customWidth="1"/>
    <col min="9224" max="9224" width="9.875" style="30" customWidth="1"/>
    <col min="9225" max="9228" width="10.75" style="30" customWidth="1"/>
    <col min="9229" max="9230" width="10.75" style="30" bestFit="1" customWidth="1"/>
    <col min="9231" max="9231" width="10.5" style="30" bestFit="1" customWidth="1"/>
    <col min="9232" max="9232" width="10.75" style="30" bestFit="1" customWidth="1"/>
    <col min="9233" max="9233" width="10.75" style="30" customWidth="1"/>
    <col min="9234" max="9234" width="11.5" style="30" bestFit="1" customWidth="1"/>
    <col min="9235" max="9235" width="10.75" style="30" bestFit="1" customWidth="1"/>
    <col min="9236" max="9236" width="9.875" style="30" bestFit="1" customWidth="1"/>
    <col min="9237" max="9237" width="13.375" style="30" bestFit="1" customWidth="1"/>
    <col min="9238" max="9472" width="15.625" style="30"/>
    <col min="9473" max="9473" width="4.625" style="30" customWidth="1"/>
    <col min="9474" max="9474" width="34.125" style="30" customWidth="1"/>
    <col min="9475" max="9476" width="0" style="30" hidden="1" customWidth="1"/>
    <col min="9477" max="9477" width="10.75" style="30" bestFit="1" customWidth="1"/>
    <col min="9478" max="9478" width="10.75" style="30" customWidth="1"/>
    <col min="9479" max="9479" width="11" style="30" customWidth="1"/>
    <col min="9480" max="9480" width="9.875" style="30" customWidth="1"/>
    <col min="9481" max="9484" width="10.75" style="30" customWidth="1"/>
    <col min="9485" max="9486" width="10.75" style="30" bestFit="1" customWidth="1"/>
    <col min="9487" max="9487" width="10.5" style="30" bestFit="1" customWidth="1"/>
    <col min="9488" max="9488" width="10.75" style="30" bestFit="1" customWidth="1"/>
    <col min="9489" max="9489" width="10.75" style="30" customWidth="1"/>
    <col min="9490" max="9490" width="11.5" style="30" bestFit="1" customWidth="1"/>
    <col min="9491" max="9491" width="10.75" style="30" bestFit="1" customWidth="1"/>
    <col min="9492" max="9492" width="9.875" style="30" bestFit="1" customWidth="1"/>
    <col min="9493" max="9493" width="13.375" style="30" bestFit="1" customWidth="1"/>
    <col min="9494" max="9728" width="15.625" style="30"/>
    <col min="9729" max="9729" width="4.625" style="30" customWidth="1"/>
    <col min="9730" max="9730" width="34.125" style="30" customWidth="1"/>
    <col min="9731" max="9732" width="0" style="30" hidden="1" customWidth="1"/>
    <col min="9733" max="9733" width="10.75" style="30" bestFit="1" customWidth="1"/>
    <col min="9734" max="9734" width="10.75" style="30" customWidth="1"/>
    <col min="9735" max="9735" width="11" style="30" customWidth="1"/>
    <col min="9736" max="9736" width="9.875" style="30" customWidth="1"/>
    <col min="9737" max="9740" width="10.75" style="30" customWidth="1"/>
    <col min="9741" max="9742" width="10.75" style="30" bestFit="1" customWidth="1"/>
    <col min="9743" max="9743" width="10.5" style="30" bestFit="1" customWidth="1"/>
    <col min="9744" max="9744" width="10.75" style="30" bestFit="1" customWidth="1"/>
    <col min="9745" max="9745" width="10.75" style="30" customWidth="1"/>
    <col min="9746" max="9746" width="11.5" style="30" bestFit="1" customWidth="1"/>
    <col min="9747" max="9747" width="10.75" style="30" bestFit="1" customWidth="1"/>
    <col min="9748" max="9748" width="9.875" style="30" bestFit="1" customWidth="1"/>
    <col min="9749" max="9749" width="13.375" style="30" bestFit="1" customWidth="1"/>
    <col min="9750" max="9984" width="15.625" style="30"/>
    <col min="9985" max="9985" width="4.625" style="30" customWidth="1"/>
    <col min="9986" max="9986" width="34.125" style="30" customWidth="1"/>
    <col min="9987" max="9988" width="0" style="30" hidden="1" customWidth="1"/>
    <col min="9989" max="9989" width="10.75" style="30" bestFit="1" customWidth="1"/>
    <col min="9990" max="9990" width="10.75" style="30" customWidth="1"/>
    <col min="9991" max="9991" width="11" style="30" customWidth="1"/>
    <col min="9992" max="9992" width="9.875" style="30" customWidth="1"/>
    <col min="9993" max="9996" width="10.75" style="30" customWidth="1"/>
    <col min="9997" max="9998" width="10.75" style="30" bestFit="1" customWidth="1"/>
    <col min="9999" max="9999" width="10.5" style="30" bestFit="1" customWidth="1"/>
    <col min="10000" max="10000" width="10.75" style="30" bestFit="1" customWidth="1"/>
    <col min="10001" max="10001" width="10.75" style="30" customWidth="1"/>
    <col min="10002" max="10002" width="11.5" style="30" bestFit="1" customWidth="1"/>
    <col min="10003" max="10003" width="10.75" style="30" bestFit="1" customWidth="1"/>
    <col min="10004" max="10004" width="9.875" style="30" bestFit="1" customWidth="1"/>
    <col min="10005" max="10005" width="13.375" style="30" bestFit="1" customWidth="1"/>
    <col min="10006" max="10240" width="15.625" style="30"/>
    <col min="10241" max="10241" width="4.625" style="30" customWidth="1"/>
    <col min="10242" max="10242" width="34.125" style="30" customWidth="1"/>
    <col min="10243" max="10244" width="0" style="30" hidden="1" customWidth="1"/>
    <col min="10245" max="10245" width="10.75" style="30" bestFit="1" customWidth="1"/>
    <col min="10246" max="10246" width="10.75" style="30" customWidth="1"/>
    <col min="10247" max="10247" width="11" style="30" customWidth="1"/>
    <col min="10248" max="10248" width="9.875" style="30" customWidth="1"/>
    <col min="10249" max="10252" width="10.75" style="30" customWidth="1"/>
    <col min="10253" max="10254" width="10.75" style="30" bestFit="1" customWidth="1"/>
    <col min="10255" max="10255" width="10.5" style="30" bestFit="1" customWidth="1"/>
    <col min="10256" max="10256" width="10.75" style="30" bestFit="1" customWidth="1"/>
    <col min="10257" max="10257" width="10.75" style="30" customWidth="1"/>
    <col min="10258" max="10258" width="11.5" style="30" bestFit="1" customWidth="1"/>
    <col min="10259" max="10259" width="10.75" style="30" bestFit="1" customWidth="1"/>
    <col min="10260" max="10260" width="9.875" style="30" bestFit="1" customWidth="1"/>
    <col min="10261" max="10261" width="13.375" style="30" bestFit="1" customWidth="1"/>
    <col min="10262" max="10496" width="15.625" style="30"/>
    <col min="10497" max="10497" width="4.625" style="30" customWidth="1"/>
    <col min="10498" max="10498" width="34.125" style="30" customWidth="1"/>
    <col min="10499" max="10500" width="0" style="30" hidden="1" customWidth="1"/>
    <col min="10501" max="10501" width="10.75" style="30" bestFit="1" customWidth="1"/>
    <col min="10502" max="10502" width="10.75" style="30" customWidth="1"/>
    <col min="10503" max="10503" width="11" style="30" customWidth="1"/>
    <col min="10504" max="10504" width="9.875" style="30" customWidth="1"/>
    <col min="10505" max="10508" width="10.75" style="30" customWidth="1"/>
    <col min="10509" max="10510" width="10.75" style="30" bestFit="1" customWidth="1"/>
    <col min="10511" max="10511" width="10.5" style="30" bestFit="1" customWidth="1"/>
    <col min="10512" max="10512" width="10.75" style="30" bestFit="1" customWidth="1"/>
    <col min="10513" max="10513" width="10.75" style="30" customWidth="1"/>
    <col min="10514" max="10514" width="11.5" style="30" bestFit="1" customWidth="1"/>
    <col min="10515" max="10515" width="10.75" style="30" bestFit="1" customWidth="1"/>
    <col min="10516" max="10516" width="9.875" style="30" bestFit="1" customWidth="1"/>
    <col min="10517" max="10517" width="13.375" style="30" bestFit="1" customWidth="1"/>
    <col min="10518" max="10752" width="15.625" style="30"/>
    <col min="10753" max="10753" width="4.625" style="30" customWidth="1"/>
    <col min="10754" max="10754" width="34.125" style="30" customWidth="1"/>
    <col min="10755" max="10756" width="0" style="30" hidden="1" customWidth="1"/>
    <col min="10757" max="10757" width="10.75" style="30" bestFit="1" customWidth="1"/>
    <col min="10758" max="10758" width="10.75" style="30" customWidth="1"/>
    <col min="10759" max="10759" width="11" style="30" customWidth="1"/>
    <col min="10760" max="10760" width="9.875" style="30" customWidth="1"/>
    <col min="10761" max="10764" width="10.75" style="30" customWidth="1"/>
    <col min="10765" max="10766" width="10.75" style="30" bestFit="1" customWidth="1"/>
    <col min="10767" max="10767" width="10.5" style="30" bestFit="1" customWidth="1"/>
    <col min="10768" max="10768" width="10.75" style="30" bestFit="1" customWidth="1"/>
    <col min="10769" max="10769" width="10.75" style="30" customWidth="1"/>
    <col min="10770" max="10770" width="11.5" style="30" bestFit="1" customWidth="1"/>
    <col min="10771" max="10771" width="10.75" style="30" bestFit="1" customWidth="1"/>
    <col min="10772" max="10772" width="9.875" style="30" bestFit="1" customWidth="1"/>
    <col min="10773" max="10773" width="13.375" style="30" bestFit="1" customWidth="1"/>
    <col min="10774" max="11008" width="15.625" style="30"/>
    <col min="11009" max="11009" width="4.625" style="30" customWidth="1"/>
    <col min="11010" max="11010" width="34.125" style="30" customWidth="1"/>
    <col min="11011" max="11012" width="0" style="30" hidden="1" customWidth="1"/>
    <col min="11013" max="11013" width="10.75" style="30" bestFit="1" customWidth="1"/>
    <col min="11014" max="11014" width="10.75" style="30" customWidth="1"/>
    <col min="11015" max="11015" width="11" style="30" customWidth="1"/>
    <col min="11016" max="11016" width="9.875" style="30" customWidth="1"/>
    <col min="11017" max="11020" width="10.75" style="30" customWidth="1"/>
    <col min="11021" max="11022" width="10.75" style="30" bestFit="1" customWidth="1"/>
    <col min="11023" max="11023" width="10.5" style="30" bestFit="1" customWidth="1"/>
    <col min="11024" max="11024" width="10.75" style="30" bestFit="1" customWidth="1"/>
    <col min="11025" max="11025" width="10.75" style="30" customWidth="1"/>
    <col min="11026" max="11026" width="11.5" style="30" bestFit="1" customWidth="1"/>
    <col min="11027" max="11027" width="10.75" style="30" bestFit="1" customWidth="1"/>
    <col min="11028" max="11028" width="9.875" style="30" bestFit="1" customWidth="1"/>
    <col min="11029" max="11029" width="13.375" style="30" bestFit="1" customWidth="1"/>
    <col min="11030" max="11264" width="15.625" style="30"/>
    <col min="11265" max="11265" width="4.625" style="30" customWidth="1"/>
    <col min="11266" max="11266" width="34.125" style="30" customWidth="1"/>
    <col min="11267" max="11268" width="0" style="30" hidden="1" customWidth="1"/>
    <col min="11269" max="11269" width="10.75" style="30" bestFit="1" customWidth="1"/>
    <col min="11270" max="11270" width="10.75" style="30" customWidth="1"/>
    <col min="11271" max="11271" width="11" style="30" customWidth="1"/>
    <col min="11272" max="11272" width="9.875" style="30" customWidth="1"/>
    <col min="11273" max="11276" width="10.75" style="30" customWidth="1"/>
    <col min="11277" max="11278" width="10.75" style="30" bestFit="1" customWidth="1"/>
    <col min="11279" max="11279" width="10.5" style="30" bestFit="1" customWidth="1"/>
    <col min="11280" max="11280" width="10.75" style="30" bestFit="1" customWidth="1"/>
    <col min="11281" max="11281" width="10.75" style="30" customWidth="1"/>
    <col min="11282" max="11282" width="11.5" style="30" bestFit="1" customWidth="1"/>
    <col min="11283" max="11283" width="10.75" style="30" bestFit="1" customWidth="1"/>
    <col min="11284" max="11284" width="9.875" style="30" bestFit="1" customWidth="1"/>
    <col min="11285" max="11285" width="13.375" style="30" bestFit="1" customWidth="1"/>
    <col min="11286" max="11520" width="15.625" style="30"/>
    <col min="11521" max="11521" width="4.625" style="30" customWidth="1"/>
    <col min="11522" max="11522" width="34.125" style="30" customWidth="1"/>
    <col min="11523" max="11524" width="0" style="30" hidden="1" customWidth="1"/>
    <col min="11525" max="11525" width="10.75" style="30" bestFit="1" customWidth="1"/>
    <col min="11526" max="11526" width="10.75" style="30" customWidth="1"/>
    <col min="11527" max="11527" width="11" style="30" customWidth="1"/>
    <col min="11528" max="11528" width="9.875" style="30" customWidth="1"/>
    <col min="11529" max="11532" width="10.75" style="30" customWidth="1"/>
    <col min="11533" max="11534" width="10.75" style="30" bestFit="1" customWidth="1"/>
    <col min="11535" max="11535" width="10.5" style="30" bestFit="1" customWidth="1"/>
    <col min="11536" max="11536" width="10.75" style="30" bestFit="1" customWidth="1"/>
    <col min="11537" max="11537" width="10.75" style="30" customWidth="1"/>
    <col min="11538" max="11538" width="11.5" style="30" bestFit="1" customWidth="1"/>
    <col min="11539" max="11539" width="10.75" style="30" bestFit="1" customWidth="1"/>
    <col min="11540" max="11540" width="9.875" style="30" bestFit="1" customWidth="1"/>
    <col min="11541" max="11541" width="13.375" style="30" bestFit="1" customWidth="1"/>
    <col min="11542" max="11776" width="15.625" style="30"/>
    <col min="11777" max="11777" width="4.625" style="30" customWidth="1"/>
    <col min="11778" max="11778" width="34.125" style="30" customWidth="1"/>
    <col min="11779" max="11780" width="0" style="30" hidden="1" customWidth="1"/>
    <col min="11781" max="11781" width="10.75" style="30" bestFit="1" customWidth="1"/>
    <col min="11782" max="11782" width="10.75" style="30" customWidth="1"/>
    <col min="11783" max="11783" width="11" style="30" customWidth="1"/>
    <col min="11784" max="11784" width="9.875" style="30" customWidth="1"/>
    <col min="11785" max="11788" width="10.75" style="30" customWidth="1"/>
    <col min="11789" max="11790" width="10.75" style="30" bestFit="1" customWidth="1"/>
    <col min="11791" max="11791" width="10.5" style="30" bestFit="1" customWidth="1"/>
    <col min="11792" max="11792" width="10.75" style="30" bestFit="1" customWidth="1"/>
    <col min="11793" max="11793" width="10.75" style="30" customWidth="1"/>
    <col min="11794" max="11794" width="11.5" style="30" bestFit="1" customWidth="1"/>
    <col min="11795" max="11795" width="10.75" style="30" bestFit="1" customWidth="1"/>
    <col min="11796" max="11796" width="9.875" style="30" bestFit="1" customWidth="1"/>
    <col min="11797" max="11797" width="13.375" style="30" bestFit="1" customWidth="1"/>
    <col min="11798" max="12032" width="15.625" style="30"/>
    <col min="12033" max="12033" width="4.625" style="30" customWidth="1"/>
    <col min="12034" max="12034" width="34.125" style="30" customWidth="1"/>
    <col min="12035" max="12036" width="0" style="30" hidden="1" customWidth="1"/>
    <col min="12037" max="12037" width="10.75" style="30" bestFit="1" customWidth="1"/>
    <col min="12038" max="12038" width="10.75" style="30" customWidth="1"/>
    <col min="12039" max="12039" width="11" style="30" customWidth="1"/>
    <col min="12040" max="12040" width="9.875" style="30" customWidth="1"/>
    <col min="12041" max="12044" width="10.75" style="30" customWidth="1"/>
    <col min="12045" max="12046" width="10.75" style="30" bestFit="1" customWidth="1"/>
    <col min="12047" max="12047" width="10.5" style="30" bestFit="1" customWidth="1"/>
    <col min="12048" max="12048" width="10.75" style="30" bestFit="1" customWidth="1"/>
    <col min="12049" max="12049" width="10.75" style="30" customWidth="1"/>
    <col min="12050" max="12050" width="11.5" style="30" bestFit="1" customWidth="1"/>
    <col min="12051" max="12051" width="10.75" style="30" bestFit="1" customWidth="1"/>
    <col min="12052" max="12052" width="9.875" style="30" bestFit="1" customWidth="1"/>
    <col min="12053" max="12053" width="13.375" style="30" bestFit="1" customWidth="1"/>
    <col min="12054" max="12288" width="15.625" style="30"/>
    <col min="12289" max="12289" width="4.625" style="30" customWidth="1"/>
    <col min="12290" max="12290" width="34.125" style="30" customWidth="1"/>
    <col min="12291" max="12292" width="0" style="30" hidden="1" customWidth="1"/>
    <col min="12293" max="12293" width="10.75" style="30" bestFit="1" customWidth="1"/>
    <col min="12294" max="12294" width="10.75" style="30" customWidth="1"/>
    <col min="12295" max="12295" width="11" style="30" customWidth="1"/>
    <col min="12296" max="12296" width="9.875" style="30" customWidth="1"/>
    <col min="12297" max="12300" width="10.75" style="30" customWidth="1"/>
    <col min="12301" max="12302" width="10.75" style="30" bestFit="1" customWidth="1"/>
    <col min="12303" max="12303" width="10.5" style="30" bestFit="1" customWidth="1"/>
    <col min="12304" max="12304" width="10.75" style="30" bestFit="1" customWidth="1"/>
    <col min="12305" max="12305" width="10.75" style="30" customWidth="1"/>
    <col min="12306" max="12306" width="11.5" style="30" bestFit="1" customWidth="1"/>
    <col min="12307" max="12307" width="10.75" style="30" bestFit="1" customWidth="1"/>
    <col min="12308" max="12308" width="9.875" style="30" bestFit="1" customWidth="1"/>
    <col min="12309" max="12309" width="13.375" style="30" bestFit="1" customWidth="1"/>
    <col min="12310" max="12544" width="15.625" style="30"/>
    <col min="12545" max="12545" width="4.625" style="30" customWidth="1"/>
    <col min="12546" max="12546" width="34.125" style="30" customWidth="1"/>
    <col min="12547" max="12548" width="0" style="30" hidden="1" customWidth="1"/>
    <col min="12549" max="12549" width="10.75" style="30" bestFit="1" customWidth="1"/>
    <col min="12550" max="12550" width="10.75" style="30" customWidth="1"/>
    <col min="12551" max="12551" width="11" style="30" customWidth="1"/>
    <col min="12552" max="12552" width="9.875" style="30" customWidth="1"/>
    <col min="12553" max="12556" width="10.75" style="30" customWidth="1"/>
    <col min="12557" max="12558" width="10.75" style="30" bestFit="1" customWidth="1"/>
    <col min="12559" max="12559" width="10.5" style="30" bestFit="1" customWidth="1"/>
    <col min="12560" max="12560" width="10.75" style="30" bestFit="1" customWidth="1"/>
    <col min="12561" max="12561" width="10.75" style="30" customWidth="1"/>
    <col min="12562" max="12562" width="11.5" style="30" bestFit="1" customWidth="1"/>
    <col min="12563" max="12563" width="10.75" style="30" bestFit="1" customWidth="1"/>
    <col min="12564" max="12564" width="9.875" style="30" bestFit="1" customWidth="1"/>
    <col min="12565" max="12565" width="13.375" style="30" bestFit="1" customWidth="1"/>
    <col min="12566" max="12800" width="15.625" style="30"/>
    <col min="12801" max="12801" width="4.625" style="30" customWidth="1"/>
    <col min="12802" max="12802" width="34.125" style="30" customWidth="1"/>
    <col min="12803" max="12804" width="0" style="30" hidden="1" customWidth="1"/>
    <col min="12805" max="12805" width="10.75" style="30" bestFit="1" customWidth="1"/>
    <col min="12806" max="12806" width="10.75" style="30" customWidth="1"/>
    <col min="12807" max="12807" width="11" style="30" customWidth="1"/>
    <col min="12808" max="12808" width="9.875" style="30" customWidth="1"/>
    <col min="12809" max="12812" width="10.75" style="30" customWidth="1"/>
    <col min="12813" max="12814" width="10.75" style="30" bestFit="1" customWidth="1"/>
    <col min="12815" max="12815" width="10.5" style="30" bestFit="1" customWidth="1"/>
    <col min="12816" max="12816" width="10.75" style="30" bestFit="1" customWidth="1"/>
    <col min="12817" max="12817" width="10.75" style="30" customWidth="1"/>
    <col min="12818" max="12818" width="11.5" style="30" bestFit="1" customWidth="1"/>
    <col min="12819" max="12819" width="10.75" style="30" bestFit="1" customWidth="1"/>
    <col min="12820" max="12820" width="9.875" style="30" bestFit="1" customWidth="1"/>
    <col min="12821" max="12821" width="13.375" style="30" bestFit="1" customWidth="1"/>
    <col min="12822" max="13056" width="15.625" style="30"/>
    <col min="13057" max="13057" width="4.625" style="30" customWidth="1"/>
    <col min="13058" max="13058" width="34.125" style="30" customWidth="1"/>
    <col min="13059" max="13060" width="0" style="30" hidden="1" customWidth="1"/>
    <col min="13061" max="13061" width="10.75" style="30" bestFit="1" customWidth="1"/>
    <col min="13062" max="13062" width="10.75" style="30" customWidth="1"/>
    <col min="13063" max="13063" width="11" style="30" customWidth="1"/>
    <col min="13064" max="13064" width="9.875" style="30" customWidth="1"/>
    <col min="13065" max="13068" width="10.75" style="30" customWidth="1"/>
    <col min="13069" max="13070" width="10.75" style="30" bestFit="1" customWidth="1"/>
    <col min="13071" max="13071" width="10.5" style="30" bestFit="1" customWidth="1"/>
    <col min="13072" max="13072" width="10.75" style="30" bestFit="1" customWidth="1"/>
    <col min="13073" max="13073" width="10.75" style="30" customWidth="1"/>
    <col min="13074" max="13074" width="11.5" style="30" bestFit="1" customWidth="1"/>
    <col min="13075" max="13075" width="10.75" style="30" bestFit="1" customWidth="1"/>
    <col min="13076" max="13076" width="9.875" style="30" bestFit="1" customWidth="1"/>
    <col min="13077" max="13077" width="13.375" style="30" bestFit="1" customWidth="1"/>
    <col min="13078" max="13312" width="15.625" style="30"/>
    <col min="13313" max="13313" width="4.625" style="30" customWidth="1"/>
    <col min="13314" max="13314" width="34.125" style="30" customWidth="1"/>
    <col min="13315" max="13316" width="0" style="30" hidden="1" customWidth="1"/>
    <col min="13317" max="13317" width="10.75" style="30" bestFit="1" customWidth="1"/>
    <col min="13318" max="13318" width="10.75" style="30" customWidth="1"/>
    <col min="13319" max="13319" width="11" style="30" customWidth="1"/>
    <col min="13320" max="13320" width="9.875" style="30" customWidth="1"/>
    <col min="13321" max="13324" width="10.75" style="30" customWidth="1"/>
    <col min="13325" max="13326" width="10.75" style="30" bestFit="1" customWidth="1"/>
    <col min="13327" max="13327" width="10.5" style="30" bestFit="1" customWidth="1"/>
    <col min="13328" max="13328" width="10.75" style="30" bestFit="1" customWidth="1"/>
    <col min="13329" max="13329" width="10.75" style="30" customWidth="1"/>
    <col min="13330" max="13330" width="11.5" style="30" bestFit="1" customWidth="1"/>
    <col min="13331" max="13331" width="10.75" style="30" bestFit="1" customWidth="1"/>
    <col min="13332" max="13332" width="9.875" style="30" bestFit="1" customWidth="1"/>
    <col min="13333" max="13333" width="13.375" style="30" bestFit="1" customWidth="1"/>
    <col min="13334" max="13568" width="15.625" style="30"/>
    <col min="13569" max="13569" width="4.625" style="30" customWidth="1"/>
    <col min="13570" max="13570" width="34.125" style="30" customWidth="1"/>
    <col min="13571" max="13572" width="0" style="30" hidden="1" customWidth="1"/>
    <col min="13573" max="13573" width="10.75" style="30" bestFit="1" customWidth="1"/>
    <col min="13574" max="13574" width="10.75" style="30" customWidth="1"/>
    <col min="13575" max="13575" width="11" style="30" customWidth="1"/>
    <col min="13576" max="13576" width="9.875" style="30" customWidth="1"/>
    <col min="13577" max="13580" width="10.75" style="30" customWidth="1"/>
    <col min="13581" max="13582" width="10.75" style="30" bestFit="1" customWidth="1"/>
    <col min="13583" max="13583" width="10.5" style="30" bestFit="1" customWidth="1"/>
    <col min="13584" max="13584" width="10.75" style="30" bestFit="1" customWidth="1"/>
    <col min="13585" max="13585" width="10.75" style="30" customWidth="1"/>
    <col min="13586" max="13586" width="11.5" style="30" bestFit="1" customWidth="1"/>
    <col min="13587" max="13587" width="10.75" style="30" bestFit="1" customWidth="1"/>
    <col min="13588" max="13588" width="9.875" style="30" bestFit="1" customWidth="1"/>
    <col min="13589" max="13589" width="13.375" style="30" bestFit="1" customWidth="1"/>
    <col min="13590" max="13824" width="15.625" style="30"/>
    <col min="13825" max="13825" width="4.625" style="30" customWidth="1"/>
    <col min="13826" max="13826" width="34.125" style="30" customWidth="1"/>
    <col min="13827" max="13828" width="0" style="30" hidden="1" customWidth="1"/>
    <col min="13829" max="13829" width="10.75" style="30" bestFit="1" customWidth="1"/>
    <col min="13830" max="13830" width="10.75" style="30" customWidth="1"/>
    <col min="13831" max="13831" width="11" style="30" customWidth="1"/>
    <col min="13832" max="13832" width="9.875" style="30" customWidth="1"/>
    <col min="13833" max="13836" width="10.75" style="30" customWidth="1"/>
    <col min="13837" max="13838" width="10.75" style="30" bestFit="1" customWidth="1"/>
    <col min="13839" max="13839" width="10.5" style="30" bestFit="1" customWidth="1"/>
    <col min="13840" max="13840" width="10.75" style="30" bestFit="1" customWidth="1"/>
    <col min="13841" max="13841" width="10.75" style="30" customWidth="1"/>
    <col min="13842" max="13842" width="11.5" style="30" bestFit="1" customWidth="1"/>
    <col min="13843" max="13843" width="10.75" style="30" bestFit="1" customWidth="1"/>
    <col min="13844" max="13844" width="9.875" style="30" bestFit="1" customWidth="1"/>
    <col min="13845" max="13845" width="13.375" style="30" bestFit="1" customWidth="1"/>
    <col min="13846" max="14080" width="15.625" style="30"/>
    <col min="14081" max="14081" width="4.625" style="30" customWidth="1"/>
    <col min="14082" max="14082" width="34.125" style="30" customWidth="1"/>
    <col min="14083" max="14084" width="0" style="30" hidden="1" customWidth="1"/>
    <col min="14085" max="14085" width="10.75" style="30" bestFit="1" customWidth="1"/>
    <col min="14086" max="14086" width="10.75" style="30" customWidth="1"/>
    <col min="14087" max="14087" width="11" style="30" customWidth="1"/>
    <col min="14088" max="14088" width="9.875" style="30" customWidth="1"/>
    <col min="14089" max="14092" width="10.75" style="30" customWidth="1"/>
    <col min="14093" max="14094" width="10.75" style="30" bestFit="1" customWidth="1"/>
    <col min="14095" max="14095" width="10.5" style="30" bestFit="1" customWidth="1"/>
    <col min="14096" max="14096" width="10.75" style="30" bestFit="1" customWidth="1"/>
    <col min="14097" max="14097" width="10.75" style="30" customWidth="1"/>
    <col min="14098" max="14098" width="11.5" style="30" bestFit="1" customWidth="1"/>
    <col min="14099" max="14099" width="10.75" style="30" bestFit="1" customWidth="1"/>
    <col min="14100" max="14100" width="9.875" style="30" bestFit="1" customWidth="1"/>
    <col min="14101" max="14101" width="13.375" style="30" bestFit="1" customWidth="1"/>
    <col min="14102" max="14336" width="15.625" style="30"/>
    <col min="14337" max="14337" width="4.625" style="30" customWidth="1"/>
    <col min="14338" max="14338" width="34.125" style="30" customWidth="1"/>
    <col min="14339" max="14340" width="0" style="30" hidden="1" customWidth="1"/>
    <col min="14341" max="14341" width="10.75" style="30" bestFit="1" customWidth="1"/>
    <col min="14342" max="14342" width="10.75" style="30" customWidth="1"/>
    <col min="14343" max="14343" width="11" style="30" customWidth="1"/>
    <col min="14344" max="14344" width="9.875" style="30" customWidth="1"/>
    <col min="14345" max="14348" width="10.75" style="30" customWidth="1"/>
    <col min="14349" max="14350" width="10.75" style="30" bestFit="1" customWidth="1"/>
    <col min="14351" max="14351" width="10.5" style="30" bestFit="1" customWidth="1"/>
    <col min="14352" max="14352" width="10.75" style="30" bestFit="1" customWidth="1"/>
    <col min="14353" max="14353" width="10.75" style="30" customWidth="1"/>
    <col min="14354" max="14354" width="11.5" style="30" bestFit="1" customWidth="1"/>
    <col min="14355" max="14355" width="10.75" style="30" bestFit="1" customWidth="1"/>
    <col min="14356" max="14356" width="9.875" style="30" bestFit="1" customWidth="1"/>
    <col min="14357" max="14357" width="13.375" style="30" bestFit="1" customWidth="1"/>
    <col min="14358" max="14592" width="15.625" style="30"/>
    <col min="14593" max="14593" width="4.625" style="30" customWidth="1"/>
    <col min="14594" max="14594" width="34.125" style="30" customWidth="1"/>
    <col min="14595" max="14596" width="0" style="30" hidden="1" customWidth="1"/>
    <col min="14597" max="14597" width="10.75" style="30" bestFit="1" customWidth="1"/>
    <col min="14598" max="14598" width="10.75" style="30" customWidth="1"/>
    <col min="14599" max="14599" width="11" style="30" customWidth="1"/>
    <col min="14600" max="14600" width="9.875" style="30" customWidth="1"/>
    <col min="14601" max="14604" width="10.75" style="30" customWidth="1"/>
    <col min="14605" max="14606" width="10.75" style="30" bestFit="1" customWidth="1"/>
    <col min="14607" max="14607" width="10.5" style="30" bestFit="1" customWidth="1"/>
    <col min="14608" max="14608" width="10.75" style="30" bestFit="1" customWidth="1"/>
    <col min="14609" max="14609" width="10.75" style="30" customWidth="1"/>
    <col min="14610" max="14610" width="11.5" style="30" bestFit="1" customWidth="1"/>
    <col min="14611" max="14611" width="10.75" style="30" bestFit="1" customWidth="1"/>
    <col min="14612" max="14612" width="9.875" style="30" bestFit="1" customWidth="1"/>
    <col min="14613" max="14613" width="13.375" style="30" bestFit="1" customWidth="1"/>
    <col min="14614" max="14848" width="15.625" style="30"/>
    <col min="14849" max="14849" width="4.625" style="30" customWidth="1"/>
    <col min="14850" max="14850" width="34.125" style="30" customWidth="1"/>
    <col min="14851" max="14852" width="0" style="30" hidden="1" customWidth="1"/>
    <col min="14853" max="14853" width="10.75" style="30" bestFit="1" customWidth="1"/>
    <col min="14854" max="14854" width="10.75" style="30" customWidth="1"/>
    <col min="14855" max="14855" width="11" style="30" customWidth="1"/>
    <col min="14856" max="14856" width="9.875" style="30" customWidth="1"/>
    <col min="14857" max="14860" width="10.75" style="30" customWidth="1"/>
    <col min="14861" max="14862" width="10.75" style="30" bestFit="1" customWidth="1"/>
    <col min="14863" max="14863" width="10.5" style="30" bestFit="1" customWidth="1"/>
    <col min="14864" max="14864" width="10.75" style="30" bestFit="1" customWidth="1"/>
    <col min="14865" max="14865" width="10.75" style="30" customWidth="1"/>
    <col min="14866" max="14866" width="11.5" style="30" bestFit="1" customWidth="1"/>
    <col min="14867" max="14867" width="10.75" style="30" bestFit="1" customWidth="1"/>
    <col min="14868" max="14868" width="9.875" style="30" bestFit="1" customWidth="1"/>
    <col min="14869" max="14869" width="13.375" style="30" bestFit="1" customWidth="1"/>
    <col min="14870" max="15104" width="15.625" style="30"/>
    <col min="15105" max="15105" width="4.625" style="30" customWidth="1"/>
    <col min="15106" max="15106" width="34.125" style="30" customWidth="1"/>
    <col min="15107" max="15108" width="0" style="30" hidden="1" customWidth="1"/>
    <col min="15109" max="15109" width="10.75" style="30" bestFit="1" customWidth="1"/>
    <col min="15110" max="15110" width="10.75" style="30" customWidth="1"/>
    <col min="15111" max="15111" width="11" style="30" customWidth="1"/>
    <col min="15112" max="15112" width="9.875" style="30" customWidth="1"/>
    <col min="15113" max="15116" width="10.75" style="30" customWidth="1"/>
    <col min="15117" max="15118" width="10.75" style="30" bestFit="1" customWidth="1"/>
    <col min="15119" max="15119" width="10.5" style="30" bestFit="1" customWidth="1"/>
    <col min="15120" max="15120" width="10.75" style="30" bestFit="1" customWidth="1"/>
    <col min="15121" max="15121" width="10.75" style="30" customWidth="1"/>
    <col min="15122" max="15122" width="11.5" style="30" bestFit="1" customWidth="1"/>
    <col min="15123" max="15123" width="10.75" style="30" bestFit="1" customWidth="1"/>
    <col min="15124" max="15124" width="9.875" style="30" bestFit="1" customWidth="1"/>
    <col min="15125" max="15125" width="13.375" style="30" bestFit="1" customWidth="1"/>
    <col min="15126" max="15360" width="15.625" style="30"/>
    <col min="15361" max="15361" width="4.625" style="30" customWidth="1"/>
    <col min="15362" max="15362" width="34.125" style="30" customWidth="1"/>
    <col min="15363" max="15364" width="0" style="30" hidden="1" customWidth="1"/>
    <col min="15365" max="15365" width="10.75" style="30" bestFit="1" customWidth="1"/>
    <col min="15366" max="15366" width="10.75" style="30" customWidth="1"/>
    <col min="15367" max="15367" width="11" style="30" customWidth="1"/>
    <col min="15368" max="15368" width="9.875" style="30" customWidth="1"/>
    <col min="15369" max="15372" width="10.75" style="30" customWidth="1"/>
    <col min="15373" max="15374" width="10.75" style="30" bestFit="1" customWidth="1"/>
    <col min="15375" max="15375" width="10.5" style="30" bestFit="1" customWidth="1"/>
    <col min="15376" max="15376" width="10.75" style="30" bestFit="1" customWidth="1"/>
    <col min="15377" max="15377" width="10.75" style="30" customWidth="1"/>
    <col min="15378" max="15378" width="11.5" style="30" bestFit="1" customWidth="1"/>
    <col min="15379" max="15379" width="10.75" style="30" bestFit="1" customWidth="1"/>
    <col min="15380" max="15380" width="9.875" style="30" bestFit="1" customWidth="1"/>
    <col min="15381" max="15381" width="13.375" style="30" bestFit="1" customWidth="1"/>
    <col min="15382" max="15616" width="15.625" style="30"/>
    <col min="15617" max="15617" width="4.625" style="30" customWidth="1"/>
    <col min="15618" max="15618" width="34.125" style="30" customWidth="1"/>
    <col min="15619" max="15620" width="0" style="30" hidden="1" customWidth="1"/>
    <col min="15621" max="15621" width="10.75" style="30" bestFit="1" customWidth="1"/>
    <col min="15622" max="15622" width="10.75" style="30" customWidth="1"/>
    <col min="15623" max="15623" width="11" style="30" customWidth="1"/>
    <col min="15624" max="15624" width="9.875" style="30" customWidth="1"/>
    <col min="15625" max="15628" width="10.75" style="30" customWidth="1"/>
    <col min="15629" max="15630" width="10.75" style="30" bestFit="1" customWidth="1"/>
    <col min="15631" max="15631" width="10.5" style="30" bestFit="1" customWidth="1"/>
    <col min="15632" max="15632" width="10.75" style="30" bestFit="1" customWidth="1"/>
    <col min="15633" max="15633" width="10.75" style="30" customWidth="1"/>
    <col min="15634" max="15634" width="11.5" style="30" bestFit="1" customWidth="1"/>
    <col min="15635" max="15635" width="10.75" style="30" bestFit="1" customWidth="1"/>
    <col min="15636" max="15636" width="9.875" style="30" bestFit="1" customWidth="1"/>
    <col min="15637" max="15637" width="13.375" style="30" bestFit="1" customWidth="1"/>
    <col min="15638" max="15872" width="15.625" style="30"/>
    <col min="15873" max="15873" width="4.625" style="30" customWidth="1"/>
    <col min="15874" max="15874" width="34.125" style="30" customWidth="1"/>
    <col min="15875" max="15876" width="0" style="30" hidden="1" customWidth="1"/>
    <col min="15877" max="15877" width="10.75" style="30" bestFit="1" customWidth="1"/>
    <col min="15878" max="15878" width="10.75" style="30" customWidth="1"/>
    <col min="15879" max="15879" width="11" style="30" customWidth="1"/>
    <col min="15880" max="15880" width="9.875" style="30" customWidth="1"/>
    <col min="15881" max="15884" width="10.75" style="30" customWidth="1"/>
    <col min="15885" max="15886" width="10.75" style="30" bestFit="1" customWidth="1"/>
    <col min="15887" max="15887" width="10.5" style="30" bestFit="1" customWidth="1"/>
    <col min="15888" max="15888" width="10.75" style="30" bestFit="1" customWidth="1"/>
    <col min="15889" max="15889" width="10.75" style="30" customWidth="1"/>
    <col min="15890" max="15890" width="11.5" style="30" bestFit="1" customWidth="1"/>
    <col min="15891" max="15891" width="10.75" style="30" bestFit="1" customWidth="1"/>
    <col min="15892" max="15892" width="9.875" style="30" bestFit="1" customWidth="1"/>
    <col min="15893" max="15893" width="13.375" style="30" bestFit="1" customWidth="1"/>
    <col min="15894" max="16128" width="15.625" style="30"/>
    <col min="16129" max="16129" width="4.625" style="30" customWidth="1"/>
    <col min="16130" max="16130" width="34.125" style="30" customWidth="1"/>
    <col min="16131" max="16132" width="0" style="30" hidden="1" customWidth="1"/>
    <col min="16133" max="16133" width="10.75" style="30" bestFit="1" customWidth="1"/>
    <col min="16134" max="16134" width="10.75" style="30" customWidth="1"/>
    <col min="16135" max="16135" width="11" style="30" customWidth="1"/>
    <col min="16136" max="16136" width="9.875" style="30" customWidth="1"/>
    <col min="16137" max="16140" width="10.75" style="30" customWidth="1"/>
    <col min="16141" max="16142" width="10.75" style="30" bestFit="1" customWidth="1"/>
    <col min="16143" max="16143" width="10.5" style="30" bestFit="1" customWidth="1"/>
    <col min="16144" max="16144" width="10.75" style="30" bestFit="1" customWidth="1"/>
    <col min="16145" max="16145" width="10.75" style="30" customWidth="1"/>
    <col min="16146" max="16146" width="11.5" style="30" bestFit="1" customWidth="1"/>
    <col min="16147" max="16147" width="10.75" style="30" bestFit="1" customWidth="1"/>
    <col min="16148" max="16148" width="9.875" style="30" bestFit="1" customWidth="1"/>
    <col min="16149" max="16149" width="13.375" style="30" bestFit="1" customWidth="1"/>
    <col min="16150" max="16384" width="15.625" style="30"/>
  </cols>
  <sheetData>
    <row r="1" spans="1:23" ht="25.5">
      <c r="A1" s="279" t="s">
        <v>177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93" t="s">
        <v>485</v>
      </c>
      <c r="F2" s="93" t="s">
        <v>486</v>
      </c>
      <c r="G2" s="93" t="s">
        <v>487</v>
      </c>
      <c r="H2" s="32" t="s">
        <v>488</v>
      </c>
      <c r="I2" s="32" t="s">
        <v>489</v>
      </c>
      <c r="J2" s="93" t="s">
        <v>57</v>
      </c>
      <c r="K2" s="93" t="s">
        <v>490</v>
      </c>
      <c r="L2" s="32" t="s">
        <v>491</v>
      </c>
      <c r="M2" s="93" t="s">
        <v>524</v>
      </c>
      <c r="N2" s="32" t="s">
        <v>492</v>
      </c>
      <c r="O2" s="93" t="s">
        <v>525</v>
      </c>
      <c r="P2" s="32" t="s">
        <v>526</v>
      </c>
      <c r="Q2" s="93" t="s">
        <v>65</v>
      </c>
      <c r="R2" s="32" t="s">
        <v>493</v>
      </c>
      <c r="S2" s="32" t="s">
        <v>67</v>
      </c>
      <c r="T2" s="32" t="s">
        <v>527</v>
      </c>
      <c r="U2" s="32" t="s">
        <v>528</v>
      </c>
      <c r="V2" s="32" t="s">
        <v>25</v>
      </c>
    </row>
    <row r="3" spans="1:23" ht="11.25">
      <c r="A3" s="33" t="s">
        <v>181</v>
      </c>
      <c r="B3" s="34" t="s">
        <v>182</v>
      </c>
      <c r="C3" s="34"/>
      <c r="D3" s="35" t="s">
        <v>183</v>
      </c>
      <c r="E3" s="36">
        <f>E4+E31+E52</f>
        <v>31174976.399999999</v>
      </c>
      <c r="F3" s="36">
        <f t="shared" ref="F3:U3" si="0">F4+F31+F52</f>
        <v>30149544.600000001</v>
      </c>
      <c r="G3" s="36">
        <f t="shared" si="0"/>
        <v>21593989.899999999</v>
      </c>
      <c r="H3" s="36">
        <f t="shared" si="0"/>
        <v>8730639.5899999999</v>
      </c>
      <c r="I3" s="36">
        <f t="shared" si="0"/>
        <v>31959333.850000001</v>
      </c>
      <c r="J3" s="36">
        <f t="shared" si="0"/>
        <v>27508919.300000001</v>
      </c>
      <c r="K3" s="36">
        <f t="shared" si="0"/>
        <v>29853472</v>
      </c>
      <c r="L3" s="36">
        <f t="shared" si="0"/>
        <v>14225102.15</v>
      </c>
      <c r="M3" s="36">
        <f t="shared" si="0"/>
        <v>16670463.550000001</v>
      </c>
      <c r="N3" s="36">
        <f t="shared" si="0"/>
        <v>18890007.75</v>
      </c>
      <c r="O3" s="36">
        <f t="shared" si="0"/>
        <v>21458405.699999999</v>
      </c>
      <c r="P3" s="36">
        <f t="shared" si="0"/>
        <v>21941384.100000001</v>
      </c>
      <c r="Q3" s="36">
        <f t="shared" si="0"/>
        <v>10396663.800000001</v>
      </c>
      <c r="R3" s="36">
        <f t="shared" si="0"/>
        <v>7210106.4500000002</v>
      </c>
      <c r="S3" s="36">
        <f t="shared" si="0"/>
        <v>13486895.92</v>
      </c>
      <c r="T3" s="36">
        <f>T4+T31+T52</f>
        <v>4070570</v>
      </c>
      <c r="U3" s="36">
        <f t="shared" si="0"/>
        <v>2247676</v>
      </c>
      <c r="V3" s="94">
        <f t="shared" ref="V3:V66" si="1">SUM(E3:U3)</f>
        <v>311568151.06000006</v>
      </c>
      <c r="W3" s="95"/>
    </row>
    <row r="4" spans="1:23" ht="11.25">
      <c r="A4" s="33" t="s">
        <v>184</v>
      </c>
      <c r="B4" s="34" t="s">
        <v>128</v>
      </c>
      <c r="C4" s="34"/>
      <c r="D4" s="35" t="s">
        <v>183</v>
      </c>
      <c r="E4" s="36">
        <f>E5+E8+E13+E17+E20+E22+E25+E27+E29+E30</f>
        <v>27222441</v>
      </c>
      <c r="F4" s="36">
        <f t="shared" ref="F4:U4" si="2">F5+F8+F13+F17+F20+F22+F25+F27+F29+F30</f>
        <v>26351934</v>
      </c>
      <c r="G4" s="36">
        <f t="shared" si="2"/>
        <v>18947527</v>
      </c>
      <c r="H4" s="36">
        <f t="shared" si="2"/>
        <v>5994613.2000000002</v>
      </c>
      <c r="I4" s="36">
        <f t="shared" si="2"/>
        <v>26036705</v>
      </c>
      <c r="J4" s="36">
        <f t="shared" si="2"/>
        <v>23251644</v>
      </c>
      <c r="K4" s="36">
        <f t="shared" si="2"/>
        <v>25042064</v>
      </c>
      <c r="L4" s="36">
        <f t="shared" si="2"/>
        <v>11877178</v>
      </c>
      <c r="M4" s="36">
        <f t="shared" si="2"/>
        <v>14201550</v>
      </c>
      <c r="N4" s="36">
        <f t="shared" si="2"/>
        <v>16317131</v>
      </c>
      <c r="O4" s="36">
        <f t="shared" si="2"/>
        <v>18254619</v>
      </c>
      <c r="P4" s="36">
        <f t="shared" si="2"/>
        <v>18328075.300000001</v>
      </c>
      <c r="Q4" s="36">
        <f t="shared" si="2"/>
        <v>8237667</v>
      </c>
      <c r="R4" s="36">
        <f t="shared" si="2"/>
        <v>6091000</v>
      </c>
      <c r="S4" s="36">
        <f t="shared" si="2"/>
        <v>11308580</v>
      </c>
      <c r="T4" s="36">
        <f t="shared" si="2"/>
        <v>2977410</v>
      </c>
      <c r="U4" s="36">
        <f t="shared" si="2"/>
        <v>1782476</v>
      </c>
      <c r="V4" s="94">
        <f t="shared" si="1"/>
        <v>262222614.5</v>
      </c>
    </row>
    <row r="5" spans="1:23" ht="11.25">
      <c r="A5" s="33" t="s">
        <v>185</v>
      </c>
      <c r="B5" s="34" t="s">
        <v>186</v>
      </c>
      <c r="C5" s="34"/>
      <c r="D5" s="35" t="s">
        <v>183</v>
      </c>
      <c r="E5" s="36">
        <f>E6+E7</f>
        <v>3898176</v>
      </c>
      <c r="F5" s="36">
        <f t="shared" ref="F5:U5" si="3">F6+F7</f>
        <v>3535752</v>
      </c>
      <c r="G5" s="36">
        <f t="shared" si="3"/>
        <v>2280888</v>
      </c>
      <c r="H5" s="36">
        <f t="shared" si="3"/>
        <v>1016352</v>
      </c>
      <c r="I5" s="36">
        <f t="shared" si="3"/>
        <v>4006668</v>
      </c>
      <c r="J5" s="36">
        <f t="shared" si="3"/>
        <v>3170268</v>
      </c>
      <c r="K5" s="36">
        <f t="shared" si="3"/>
        <v>2937744</v>
      </c>
      <c r="L5" s="36">
        <f t="shared" si="3"/>
        <v>1313712</v>
      </c>
      <c r="M5" s="36">
        <f t="shared" si="3"/>
        <v>1581924</v>
      </c>
      <c r="N5" s="36">
        <f t="shared" si="3"/>
        <v>2168304</v>
      </c>
      <c r="O5" s="36">
        <f t="shared" si="3"/>
        <v>2305728</v>
      </c>
      <c r="P5" s="36">
        <f t="shared" si="3"/>
        <v>2057110.6</v>
      </c>
      <c r="Q5" s="36">
        <f t="shared" si="3"/>
        <v>957552</v>
      </c>
      <c r="R5" s="36">
        <f t="shared" si="3"/>
        <v>748560</v>
      </c>
      <c r="S5" s="36">
        <f t="shared" si="3"/>
        <v>1305636</v>
      </c>
      <c r="T5" s="36">
        <f t="shared" si="3"/>
        <v>404688</v>
      </c>
      <c r="U5" s="36">
        <f t="shared" si="3"/>
        <v>253980</v>
      </c>
      <c r="V5" s="94">
        <f t="shared" si="1"/>
        <v>33943042.600000001</v>
      </c>
    </row>
    <row r="6" spans="1:23" ht="11.25">
      <c r="A6" s="33" t="s">
        <v>187</v>
      </c>
      <c r="B6" s="34" t="s">
        <v>188</v>
      </c>
      <c r="C6" s="34" t="s">
        <v>189</v>
      </c>
      <c r="D6" s="35" t="s">
        <v>190</v>
      </c>
      <c r="E6" s="96">
        <f>185411*12</f>
        <v>2224932</v>
      </c>
      <c r="F6" s="37">
        <v>2068800</v>
      </c>
      <c r="G6" s="96">
        <v>1530684</v>
      </c>
      <c r="H6" s="37">
        <v>512712</v>
      </c>
      <c r="I6" s="37">
        <v>2064012</v>
      </c>
      <c r="J6" s="96">
        <v>1851804</v>
      </c>
      <c r="K6" s="96">
        <v>2032584</v>
      </c>
      <c r="L6" s="37">
        <v>894636</v>
      </c>
      <c r="M6" s="96">
        <f>92545*12</f>
        <v>1110540</v>
      </c>
      <c r="N6" s="96">
        <v>1382748</v>
      </c>
      <c r="O6" s="96">
        <v>1519716</v>
      </c>
      <c r="P6" s="37">
        <f>'[1]基本支出（学校）'!$E$6</f>
        <v>1415976.5</v>
      </c>
      <c r="Q6" s="96">
        <f>56186*12</f>
        <v>674232</v>
      </c>
      <c r="R6" s="37">
        <v>505836</v>
      </c>
      <c r="S6" s="37">
        <v>908952</v>
      </c>
      <c r="T6" s="89">
        <v>266772</v>
      </c>
      <c r="U6" s="37">
        <v>131448</v>
      </c>
      <c r="V6" s="94">
        <f t="shared" si="1"/>
        <v>21096384.5</v>
      </c>
    </row>
    <row r="7" spans="1:23" ht="11.25">
      <c r="A7" s="33" t="s">
        <v>191</v>
      </c>
      <c r="B7" s="34" t="s">
        <v>192</v>
      </c>
      <c r="C7" s="34" t="s">
        <v>189</v>
      </c>
      <c r="D7" s="35" t="s">
        <v>190</v>
      </c>
      <c r="E7" s="96">
        <f>139437*12</f>
        <v>1673244</v>
      </c>
      <c r="F7" s="37">
        <v>1466952</v>
      </c>
      <c r="G7" s="96">
        <v>750204</v>
      </c>
      <c r="H7" s="37">
        <v>503640</v>
      </c>
      <c r="I7" s="37">
        <v>1942656</v>
      </c>
      <c r="J7" s="96">
        <v>1318464</v>
      </c>
      <c r="K7" s="96">
        <v>905160</v>
      </c>
      <c r="L7" s="37">
        <v>419076</v>
      </c>
      <c r="M7" s="96">
        <f>39282*12</f>
        <v>471384</v>
      </c>
      <c r="N7" s="96">
        <v>785556</v>
      </c>
      <c r="O7" s="96">
        <v>786012</v>
      </c>
      <c r="P7" s="37">
        <f>'[1]基本支出（学校）'!$E$7</f>
        <v>641134.1</v>
      </c>
      <c r="Q7" s="96">
        <f>23610*12</f>
        <v>283320</v>
      </c>
      <c r="R7" s="37">
        <v>242724</v>
      </c>
      <c r="S7" s="37">
        <v>396684</v>
      </c>
      <c r="T7" s="89">
        <v>137916</v>
      </c>
      <c r="U7" s="37">
        <v>122532</v>
      </c>
      <c r="V7" s="94">
        <f t="shared" si="1"/>
        <v>12846658.1</v>
      </c>
    </row>
    <row r="8" spans="1:23" ht="11.25">
      <c r="A8" s="33" t="s">
        <v>193</v>
      </c>
      <c r="B8" s="34" t="s">
        <v>194</v>
      </c>
      <c r="C8" s="34"/>
      <c r="D8" s="35" t="s">
        <v>183</v>
      </c>
      <c r="E8" s="36">
        <f>E9+E10</f>
        <v>471396</v>
      </c>
      <c r="F8" s="36">
        <f t="shared" ref="F8:U8" si="4">F9+F10</f>
        <v>454200</v>
      </c>
      <c r="G8" s="36">
        <f t="shared" si="4"/>
        <v>328896</v>
      </c>
      <c r="H8" s="36">
        <f t="shared" si="4"/>
        <v>98496</v>
      </c>
      <c r="I8" s="36">
        <f t="shared" si="4"/>
        <v>460356</v>
      </c>
      <c r="J8" s="36">
        <f t="shared" si="4"/>
        <v>421656</v>
      </c>
      <c r="K8" s="36">
        <f t="shared" si="4"/>
        <v>471822</v>
      </c>
      <c r="L8" s="36">
        <f t="shared" si="4"/>
        <v>214848</v>
      </c>
      <c r="M8" s="36">
        <f t="shared" si="4"/>
        <v>258216</v>
      </c>
      <c r="N8" s="36">
        <f t="shared" si="4"/>
        <v>310416</v>
      </c>
      <c r="O8" s="36">
        <f t="shared" si="4"/>
        <v>345636</v>
      </c>
      <c r="P8" s="36">
        <f t="shared" si="4"/>
        <v>365419.7</v>
      </c>
      <c r="Q8" s="36">
        <f t="shared" si="4"/>
        <v>161316</v>
      </c>
      <c r="R8" s="36">
        <f t="shared" si="4"/>
        <v>118632</v>
      </c>
      <c r="S8" s="36">
        <f t="shared" si="4"/>
        <v>220428</v>
      </c>
      <c r="T8" s="36">
        <f t="shared" si="4"/>
        <v>59352</v>
      </c>
      <c r="U8" s="36">
        <f t="shared" si="4"/>
        <v>32352</v>
      </c>
      <c r="V8" s="94">
        <f t="shared" si="1"/>
        <v>4793437.7</v>
      </c>
    </row>
    <row r="9" spans="1:23" ht="11.25">
      <c r="A9" s="33" t="s">
        <v>195</v>
      </c>
      <c r="B9" s="34" t="s">
        <v>196</v>
      </c>
      <c r="C9" s="34" t="s">
        <v>189</v>
      </c>
      <c r="D9" s="35" t="s">
        <v>190</v>
      </c>
      <c r="E9" s="96">
        <f>481*12</f>
        <v>5772</v>
      </c>
      <c r="F9" s="37">
        <v>4632</v>
      </c>
      <c r="G9" s="96">
        <v>2424</v>
      </c>
      <c r="H9" s="37">
        <v>2160</v>
      </c>
      <c r="I9" s="37">
        <v>16140</v>
      </c>
      <c r="J9" s="96">
        <v>4200</v>
      </c>
      <c r="K9" s="96">
        <v>11550</v>
      </c>
      <c r="L9" s="37">
        <v>768</v>
      </c>
      <c r="M9" s="96">
        <f>110*12</f>
        <v>1320</v>
      </c>
      <c r="N9" s="37"/>
      <c r="O9" s="96">
        <v>3108</v>
      </c>
      <c r="P9" s="37">
        <f>'[1]基本支出（学校）'!$E$9</f>
        <v>22891.699999999997</v>
      </c>
      <c r="Q9" s="96">
        <f>63*12</f>
        <v>756</v>
      </c>
      <c r="R9" s="37">
        <v>888</v>
      </c>
      <c r="S9" s="37">
        <v>996</v>
      </c>
      <c r="T9" s="89">
        <v>480</v>
      </c>
      <c r="U9" s="37">
        <v>240</v>
      </c>
      <c r="V9" s="94">
        <f t="shared" si="1"/>
        <v>78325.7</v>
      </c>
    </row>
    <row r="10" spans="1:23" ht="11.25">
      <c r="A10" s="33" t="s">
        <v>197</v>
      </c>
      <c r="B10" s="34" t="s">
        <v>198</v>
      </c>
      <c r="C10" s="34"/>
      <c r="D10" s="35" t="s">
        <v>183</v>
      </c>
      <c r="E10" s="36">
        <f>E11+E12</f>
        <v>465624</v>
      </c>
      <c r="F10" s="36">
        <f t="shared" ref="F10:U10" si="5">F11+F12</f>
        <v>449568</v>
      </c>
      <c r="G10" s="36">
        <f t="shared" si="5"/>
        <v>326472</v>
      </c>
      <c r="H10" s="36">
        <f t="shared" si="5"/>
        <v>96336</v>
      </c>
      <c r="I10" s="36">
        <f t="shared" si="5"/>
        <v>444216</v>
      </c>
      <c r="J10" s="36">
        <f t="shared" si="5"/>
        <v>417456</v>
      </c>
      <c r="K10" s="36">
        <f t="shared" si="5"/>
        <v>460272</v>
      </c>
      <c r="L10" s="36">
        <f t="shared" si="5"/>
        <v>214080</v>
      </c>
      <c r="M10" s="36">
        <f t="shared" si="5"/>
        <v>256896</v>
      </c>
      <c r="N10" s="36">
        <f t="shared" si="5"/>
        <v>310416</v>
      </c>
      <c r="O10" s="36">
        <f t="shared" si="5"/>
        <v>342528</v>
      </c>
      <c r="P10" s="36">
        <f t="shared" si="5"/>
        <v>342528</v>
      </c>
      <c r="Q10" s="36">
        <f t="shared" si="5"/>
        <v>160560</v>
      </c>
      <c r="R10" s="36">
        <f t="shared" si="5"/>
        <v>117744</v>
      </c>
      <c r="S10" s="36">
        <f t="shared" si="5"/>
        <v>219432</v>
      </c>
      <c r="T10" s="36">
        <f t="shared" si="5"/>
        <v>58872</v>
      </c>
      <c r="U10" s="36">
        <f t="shared" si="5"/>
        <v>32112</v>
      </c>
      <c r="V10" s="94">
        <f t="shared" si="1"/>
        <v>4715112</v>
      </c>
    </row>
    <row r="11" spans="1:23" s="40" customFormat="1" ht="11.25">
      <c r="A11" s="33" t="s">
        <v>199</v>
      </c>
      <c r="B11" s="38" t="s">
        <v>200</v>
      </c>
      <c r="C11" s="38" t="s">
        <v>189</v>
      </c>
      <c r="D11" s="39" t="s">
        <v>183</v>
      </c>
      <c r="E11" s="97">
        <f>72*E96</f>
        <v>6264</v>
      </c>
      <c r="F11" s="97">
        <f>72*F96</f>
        <v>6048</v>
      </c>
      <c r="G11" s="98">
        <v>4392</v>
      </c>
      <c r="H11" s="97">
        <f>72*H96</f>
        <v>1296</v>
      </c>
      <c r="I11" s="36">
        <f>72*I96</f>
        <v>5976</v>
      </c>
      <c r="J11" s="99">
        <v>5616</v>
      </c>
      <c r="K11" s="99">
        <v>6192</v>
      </c>
      <c r="L11" s="97">
        <f>72*L96</f>
        <v>2880</v>
      </c>
      <c r="M11" s="97">
        <f>72*M96</f>
        <v>3456</v>
      </c>
      <c r="N11" s="97">
        <f>72*N96</f>
        <v>4176</v>
      </c>
      <c r="O11" s="98">
        <v>4608</v>
      </c>
      <c r="P11" s="36">
        <f>72*P96</f>
        <v>4608</v>
      </c>
      <c r="Q11" s="98">
        <f>6*30*12</f>
        <v>2160</v>
      </c>
      <c r="R11" s="36">
        <f>72*R96</f>
        <v>1584</v>
      </c>
      <c r="S11" s="36">
        <f>72*S96</f>
        <v>2952</v>
      </c>
      <c r="T11" s="36">
        <f>72*T96</f>
        <v>792</v>
      </c>
      <c r="U11" s="36">
        <f>72*U96</f>
        <v>432</v>
      </c>
      <c r="V11" s="94">
        <f t="shared" si="1"/>
        <v>63432</v>
      </c>
    </row>
    <row r="12" spans="1:23" s="40" customFormat="1" ht="11.25">
      <c r="A12" s="33" t="s">
        <v>201</v>
      </c>
      <c r="B12" s="38" t="s">
        <v>202</v>
      </c>
      <c r="C12" s="38" t="s">
        <v>189</v>
      </c>
      <c r="D12" s="39" t="s">
        <v>183</v>
      </c>
      <c r="E12" s="97">
        <f>440*12*E96</f>
        <v>459360</v>
      </c>
      <c r="F12" s="97">
        <f>440*12*F96</f>
        <v>443520</v>
      </c>
      <c r="G12" s="98">
        <v>322080</v>
      </c>
      <c r="H12" s="97">
        <f>440*12*H96</f>
        <v>95040</v>
      </c>
      <c r="I12" s="36">
        <f>440*12*I96</f>
        <v>438240</v>
      </c>
      <c r="J12" s="99">
        <v>411840</v>
      </c>
      <c r="K12" s="99">
        <v>454080</v>
      </c>
      <c r="L12" s="97">
        <f>440*12*L96</f>
        <v>211200</v>
      </c>
      <c r="M12" s="97">
        <f>440*12*M96</f>
        <v>253440</v>
      </c>
      <c r="N12" s="97">
        <f>440*12*N96</f>
        <v>306240</v>
      </c>
      <c r="O12" s="98">
        <v>337920</v>
      </c>
      <c r="P12" s="36">
        <f>440*12*P96</f>
        <v>337920</v>
      </c>
      <c r="Q12" s="98">
        <f>440*30*12</f>
        <v>158400</v>
      </c>
      <c r="R12" s="36">
        <f>440*12*R96</f>
        <v>116160</v>
      </c>
      <c r="S12" s="36">
        <f>440*12*S96</f>
        <v>216480</v>
      </c>
      <c r="T12" s="36">
        <f>440*12*T96</f>
        <v>58080</v>
      </c>
      <c r="U12" s="36">
        <f>440*12*U96</f>
        <v>31680</v>
      </c>
      <c r="V12" s="94">
        <f t="shared" si="1"/>
        <v>4651680</v>
      </c>
    </row>
    <row r="13" spans="1:23" ht="11.25">
      <c r="A13" s="33" t="s">
        <v>203</v>
      </c>
      <c r="B13" s="34" t="s">
        <v>204</v>
      </c>
      <c r="C13" s="34"/>
      <c r="D13" s="35" t="s">
        <v>205</v>
      </c>
      <c r="E13" s="100">
        <f>E14+E15+E16</f>
        <v>424998</v>
      </c>
      <c r="F13" s="100">
        <f t="shared" ref="F13:U13" si="6">F14+F15+F16</f>
        <v>425982</v>
      </c>
      <c r="G13" s="100">
        <f t="shared" si="6"/>
        <v>314538</v>
      </c>
      <c r="H13" s="100">
        <f t="shared" si="6"/>
        <v>95908.799999999988</v>
      </c>
      <c r="I13" s="100">
        <f t="shared" si="6"/>
        <v>393222</v>
      </c>
      <c r="J13" s="100">
        <f t="shared" si="6"/>
        <v>337398</v>
      </c>
      <c r="K13" s="100">
        <f t="shared" si="6"/>
        <v>369708</v>
      </c>
      <c r="L13" s="100">
        <f t="shared" si="6"/>
        <v>187061.99999999997</v>
      </c>
      <c r="M13" s="100">
        <f t="shared" si="6"/>
        <v>221478.00000000003</v>
      </c>
      <c r="N13" s="100">
        <f t="shared" si="6"/>
        <v>244129</v>
      </c>
      <c r="O13" s="100">
        <f t="shared" si="6"/>
        <v>286925</v>
      </c>
      <c r="P13" s="100">
        <f t="shared" si="6"/>
        <v>302835</v>
      </c>
      <c r="Q13" s="100">
        <f t="shared" si="6"/>
        <v>124221</v>
      </c>
      <c r="R13" s="100">
        <f t="shared" si="6"/>
        <v>91272</v>
      </c>
      <c r="S13" s="100">
        <f t="shared" si="6"/>
        <v>172584</v>
      </c>
      <c r="T13" s="100">
        <f>T14+T15+T16</f>
        <v>40450</v>
      </c>
      <c r="U13" s="100">
        <f t="shared" si="6"/>
        <v>29150</v>
      </c>
      <c r="V13" s="94">
        <f t="shared" si="1"/>
        <v>4061860.8</v>
      </c>
    </row>
    <row r="14" spans="1:23" s="105" customFormat="1" ht="11.25">
      <c r="A14" s="101" t="s">
        <v>206</v>
      </c>
      <c r="B14" s="102" t="s">
        <v>207</v>
      </c>
      <c r="C14" s="102" t="s">
        <v>189</v>
      </c>
      <c r="D14" s="103" t="s">
        <v>208</v>
      </c>
      <c r="E14" s="100">
        <f>E16*3</f>
        <v>254998.80000000002</v>
      </c>
      <c r="F14" s="100">
        <f t="shared" ref="F14:U14" si="7">F16*3</f>
        <v>255589.19999999998</v>
      </c>
      <c r="G14" s="100">
        <f t="shared" si="7"/>
        <v>188722.80000000002</v>
      </c>
      <c r="H14" s="100">
        <f t="shared" si="7"/>
        <v>57545.279999999999</v>
      </c>
      <c r="I14" s="100">
        <f>I16*3</f>
        <v>235933.19999999998</v>
      </c>
      <c r="J14" s="100">
        <f t="shared" si="7"/>
        <v>202438.80000000002</v>
      </c>
      <c r="K14" s="100">
        <f t="shared" si="7"/>
        <v>221824.80000000002</v>
      </c>
      <c r="L14" s="100">
        <f t="shared" si="7"/>
        <v>112237.19999999998</v>
      </c>
      <c r="M14" s="100">
        <f t="shared" si="7"/>
        <v>132886.80000000002</v>
      </c>
      <c r="N14" s="100">
        <f t="shared" si="7"/>
        <v>146477.40000000002</v>
      </c>
      <c r="O14" s="100">
        <f t="shared" si="7"/>
        <v>172155</v>
      </c>
      <c r="P14" s="100">
        <f t="shared" si="7"/>
        <v>181701</v>
      </c>
      <c r="Q14" s="100">
        <f t="shared" si="7"/>
        <v>74532.600000000006</v>
      </c>
      <c r="R14" s="100">
        <f t="shared" si="7"/>
        <v>54763.200000000004</v>
      </c>
      <c r="S14" s="100">
        <f t="shared" si="7"/>
        <v>103550.40000000001</v>
      </c>
      <c r="T14" s="100">
        <f t="shared" si="7"/>
        <v>24270</v>
      </c>
      <c r="U14" s="100">
        <f t="shared" si="7"/>
        <v>17490</v>
      </c>
      <c r="V14" s="104">
        <f t="shared" si="1"/>
        <v>2437116.4800000004</v>
      </c>
    </row>
    <row r="15" spans="1:23" s="105" customFormat="1" ht="11.25">
      <c r="A15" s="101" t="s">
        <v>209</v>
      </c>
      <c r="B15" s="102" t="s">
        <v>210</v>
      </c>
      <c r="C15" s="102" t="s">
        <v>189</v>
      </c>
      <c r="D15" s="103" t="s">
        <v>208</v>
      </c>
      <c r="E15" s="106">
        <f>E16</f>
        <v>84999.6</v>
      </c>
      <c r="F15" s="107">
        <f t="shared" ref="F15:U15" si="8">F16</f>
        <v>85196.4</v>
      </c>
      <c r="G15" s="107">
        <f t="shared" si="8"/>
        <v>62907.600000000006</v>
      </c>
      <c r="H15" s="100">
        <f t="shared" si="8"/>
        <v>19181.759999999998</v>
      </c>
      <c r="I15" s="100">
        <f>I16</f>
        <v>78644.399999999994</v>
      </c>
      <c r="J15" s="100">
        <f t="shared" si="8"/>
        <v>67479.600000000006</v>
      </c>
      <c r="K15" s="100">
        <f t="shared" si="8"/>
        <v>73941.600000000006</v>
      </c>
      <c r="L15" s="100">
        <f t="shared" si="8"/>
        <v>37412.399999999994</v>
      </c>
      <c r="M15" s="107">
        <f t="shared" si="8"/>
        <v>44295.600000000006</v>
      </c>
      <c r="N15" s="107">
        <f t="shared" si="8"/>
        <v>48825.8</v>
      </c>
      <c r="O15" s="100">
        <f t="shared" si="8"/>
        <v>57385</v>
      </c>
      <c r="P15" s="100">
        <f t="shared" si="8"/>
        <v>60567</v>
      </c>
      <c r="Q15" s="100">
        <f t="shared" si="8"/>
        <v>24844.2</v>
      </c>
      <c r="R15" s="100">
        <f t="shared" si="8"/>
        <v>18254.400000000001</v>
      </c>
      <c r="S15" s="100">
        <f t="shared" si="8"/>
        <v>34516.800000000003</v>
      </c>
      <c r="T15" s="107">
        <f t="shared" si="8"/>
        <v>8090</v>
      </c>
      <c r="U15" s="100">
        <f t="shared" si="8"/>
        <v>5830</v>
      </c>
      <c r="V15" s="104">
        <f t="shared" si="1"/>
        <v>812372.16</v>
      </c>
    </row>
    <row r="16" spans="1:23" s="105" customFormat="1" ht="11.25">
      <c r="A16" s="101" t="s">
        <v>211</v>
      </c>
      <c r="B16" s="102" t="s">
        <v>212</v>
      </c>
      <c r="C16" s="102" t="s">
        <v>189</v>
      </c>
      <c r="D16" s="103" t="s">
        <v>208</v>
      </c>
      <c r="E16" s="108">
        <v>84999.6</v>
      </c>
      <c r="F16" s="109">
        <v>85196.4</v>
      </c>
      <c r="G16" s="109">
        <f>5242.3*12</f>
        <v>62907.600000000006</v>
      </c>
      <c r="H16" s="110">
        <v>19181.759999999998</v>
      </c>
      <c r="I16" s="110">
        <v>78644.399999999994</v>
      </c>
      <c r="J16" s="111">
        <v>67479.600000000006</v>
      </c>
      <c r="K16" s="111">
        <v>73941.600000000006</v>
      </c>
      <c r="L16" s="110">
        <f>3117.7*12</f>
        <v>37412.399999999994</v>
      </c>
      <c r="M16" s="109">
        <v>44295.600000000006</v>
      </c>
      <c r="N16" s="112">
        <v>48825.8</v>
      </c>
      <c r="O16" s="111">
        <v>57385</v>
      </c>
      <c r="P16" s="110">
        <v>60567</v>
      </c>
      <c r="Q16" s="111">
        <v>24844.2</v>
      </c>
      <c r="R16" s="110">
        <v>18254.400000000001</v>
      </c>
      <c r="S16" s="110">
        <v>34516.800000000003</v>
      </c>
      <c r="T16" s="112">
        <v>8090</v>
      </c>
      <c r="U16" s="110">
        <v>5830</v>
      </c>
      <c r="V16" s="104">
        <f t="shared" si="1"/>
        <v>812372.16</v>
      </c>
    </row>
    <row r="17" spans="1:22" ht="11.25">
      <c r="A17" s="33" t="s">
        <v>213</v>
      </c>
      <c r="B17" s="34" t="s">
        <v>214</v>
      </c>
      <c r="C17" s="34"/>
      <c r="D17" s="35" t="s">
        <v>183</v>
      </c>
      <c r="E17" s="97">
        <v>13942707</v>
      </c>
      <c r="F17" s="97">
        <v>13461924</v>
      </c>
      <c r="G17" s="98">
        <v>9775921</v>
      </c>
      <c r="H17" s="97">
        <v>2884698</v>
      </c>
      <c r="I17" s="36">
        <v>13301663</v>
      </c>
      <c r="J17" s="99">
        <v>12500358</v>
      </c>
      <c r="K17" s="99">
        <v>13782446</v>
      </c>
      <c r="L17" s="97">
        <v>6410440</v>
      </c>
      <c r="M17" s="97">
        <v>7692528</v>
      </c>
      <c r="N17" s="97">
        <v>8643160</v>
      </c>
      <c r="O17" s="98">
        <v>9537280</v>
      </c>
      <c r="P17" s="36">
        <v>9537280</v>
      </c>
      <c r="Q17" s="98">
        <v>4470600</v>
      </c>
      <c r="R17" s="36">
        <v>3278440</v>
      </c>
      <c r="S17" s="36">
        <v>6109820</v>
      </c>
      <c r="T17" s="36">
        <v>1639220</v>
      </c>
      <c r="U17" s="36">
        <v>884694</v>
      </c>
      <c r="V17" s="94">
        <f t="shared" si="1"/>
        <v>137853179</v>
      </c>
    </row>
    <row r="18" spans="1:22" ht="11.25">
      <c r="A18" s="33" t="s">
        <v>215</v>
      </c>
      <c r="B18" s="41" t="s">
        <v>216</v>
      </c>
      <c r="C18" s="41" t="s">
        <v>189</v>
      </c>
      <c r="D18" s="42" t="s">
        <v>217</v>
      </c>
      <c r="E18" s="113">
        <f>E17-E19</f>
        <v>13615309</v>
      </c>
      <c r="F18" s="113">
        <f t="shared" ref="F18:U18" si="9">F17-F19</f>
        <v>13174630</v>
      </c>
      <c r="G18" s="113">
        <f t="shared" si="9"/>
        <v>9608469</v>
      </c>
      <c r="H18" s="113">
        <f t="shared" si="9"/>
        <v>2884698</v>
      </c>
      <c r="I18" s="113">
        <f t="shared" si="9"/>
        <v>12927875</v>
      </c>
      <c r="J18" s="113">
        <f t="shared" si="9"/>
        <v>12326126</v>
      </c>
      <c r="K18" s="113">
        <f t="shared" si="9"/>
        <v>13595770</v>
      </c>
      <c r="L18" s="113">
        <f t="shared" si="9"/>
        <v>6236868</v>
      </c>
      <c r="M18" s="113">
        <f t="shared" si="9"/>
        <v>7526756</v>
      </c>
      <c r="N18" s="113">
        <f t="shared" si="9"/>
        <v>8471608</v>
      </c>
      <c r="O18" s="113">
        <f t="shared" si="9"/>
        <v>9336724</v>
      </c>
      <c r="P18" s="113">
        <f t="shared" si="9"/>
        <v>9353392</v>
      </c>
      <c r="Q18" s="113">
        <f t="shared" si="9"/>
        <v>4322004</v>
      </c>
      <c r="R18" s="113">
        <f t="shared" si="9"/>
        <v>3143384</v>
      </c>
      <c r="S18" s="113">
        <f t="shared" si="9"/>
        <v>5959844</v>
      </c>
      <c r="T18" s="113">
        <f t="shared" si="9"/>
        <v>1489754</v>
      </c>
      <c r="U18" s="113">
        <f t="shared" si="9"/>
        <v>884694</v>
      </c>
      <c r="V18" s="94">
        <f t="shared" si="1"/>
        <v>134857905</v>
      </c>
    </row>
    <row r="19" spans="1:22" ht="12.75">
      <c r="A19" s="33" t="s">
        <v>218</v>
      </c>
      <c r="B19" s="41" t="s">
        <v>219</v>
      </c>
      <c r="C19" s="41" t="s">
        <v>189</v>
      </c>
      <c r="D19" s="42" t="s">
        <v>220</v>
      </c>
      <c r="E19" s="113">
        <v>327398</v>
      </c>
      <c r="F19" s="113">
        <v>287294</v>
      </c>
      <c r="G19" s="114">
        <v>167452</v>
      </c>
      <c r="H19" s="113"/>
      <c r="I19" s="43">
        <v>373788</v>
      </c>
      <c r="J19" s="115">
        <v>174232</v>
      </c>
      <c r="K19" s="115">
        <v>186676</v>
      </c>
      <c r="L19" s="116">
        <v>173572</v>
      </c>
      <c r="M19" s="113">
        <v>165772</v>
      </c>
      <c r="N19" s="113">
        <v>171552</v>
      </c>
      <c r="O19" s="114">
        <v>200556</v>
      </c>
      <c r="P19" s="43">
        <v>183888</v>
      </c>
      <c r="Q19" s="114">
        <v>148596</v>
      </c>
      <c r="R19" s="43">
        <v>135056</v>
      </c>
      <c r="S19" s="43">
        <v>149976</v>
      </c>
      <c r="T19" s="43">
        <v>149466</v>
      </c>
      <c r="U19" s="43"/>
      <c r="V19" s="94">
        <f t="shared" si="1"/>
        <v>2995274</v>
      </c>
    </row>
    <row r="20" spans="1:22" ht="11.25">
      <c r="A20" s="33" t="s">
        <v>221</v>
      </c>
      <c r="B20" s="34" t="s">
        <v>222</v>
      </c>
      <c r="C20" s="34"/>
      <c r="D20" s="42" t="s">
        <v>183</v>
      </c>
      <c r="E20" s="117">
        <f>E21</f>
        <v>1699992</v>
      </c>
      <c r="F20" s="117">
        <f t="shared" ref="F20:U20" si="10">F21</f>
        <v>1703928</v>
      </c>
      <c r="G20" s="117">
        <f t="shared" si="10"/>
        <v>1258152</v>
      </c>
      <c r="H20" s="117">
        <f t="shared" si="10"/>
        <v>383635.19999999995</v>
      </c>
      <c r="I20" s="117">
        <f t="shared" si="10"/>
        <v>1572888</v>
      </c>
      <c r="J20" s="117">
        <f t="shared" si="10"/>
        <v>1349592</v>
      </c>
      <c r="K20" s="117">
        <f t="shared" si="10"/>
        <v>1478832</v>
      </c>
      <c r="L20" s="117">
        <f t="shared" si="10"/>
        <v>748247.99999999988</v>
      </c>
      <c r="M20" s="117">
        <f t="shared" si="10"/>
        <v>885912.00000000012</v>
      </c>
      <c r="N20" s="117">
        <f t="shared" si="10"/>
        <v>976516</v>
      </c>
      <c r="O20" s="117">
        <f t="shared" si="10"/>
        <v>1147700</v>
      </c>
      <c r="P20" s="117">
        <f t="shared" si="10"/>
        <v>1211340</v>
      </c>
      <c r="Q20" s="117">
        <f t="shared" si="10"/>
        <v>496884</v>
      </c>
      <c r="R20" s="117">
        <f t="shared" si="10"/>
        <v>365088</v>
      </c>
      <c r="S20" s="117">
        <f t="shared" si="10"/>
        <v>690336</v>
      </c>
      <c r="T20" s="117">
        <f t="shared" si="10"/>
        <v>161800</v>
      </c>
      <c r="U20" s="117">
        <f t="shared" si="10"/>
        <v>116600</v>
      </c>
      <c r="V20" s="94">
        <f t="shared" si="1"/>
        <v>16247443.199999999</v>
      </c>
    </row>
    <row r="21" spans="1:22" ht="11.25">
      <c r="A21" s="33" t="s">
        <v>223</v>
      </c>
      <c r="B21" s="34" t="s">
        <v>224</v>
      </c>
      <c r="C21" s="34" t="s">
        <v>225</v>
      </c>
      <c r="D21" s="42" t="s">
        <v>183</v>
      </c>
      <c r="E21" s="117">
        <f>E16*20</f>
        <v>1699992</v>
      </c>
      <c r="F21" s="117">
        <f t="shared" ref="F21:U21" si="11">F16*20</f>
        <v>1703928</v>
      </c>
      <c r="G21" s="117">
        <f t="shared" si="11"/>
        <v>1258152</v>
      </c>
      <c r="H21" s="117">
        <f t="shared" si="11"/>
        <v>383635.19999999995</v>
      </c>
      <c r="I21" s="45">
        <f>I16*20</f>
        <v>1572888</v>
      </c>
      <c r="J21" s="117">
        <f t="shared" si="11"/>
        <v>1349592</v>
      </c>
      <c r="K21" s="117">
        <f t="shared" si="11"/>
        <v>1478832</v>
      </c>
      <c r="L21" s="117">
        <f t="shared" si="11"/>
        <v>748247.99999999988</v>
      </c>
      <c r="M21" s="117">
        <f t="shared" si="11"/>
        <v>885912.00000000012</v>
      </c>
      <c r="N21" s="117">
        <f t="shared" si="11"/>
        <v>976516</v>
      </c>
      <c r="O21" s="117">
        <f t="shared" si="11"/>
        <v>1147700</v>
      </c>
      <c r="P21" s="117">
        <f t="shared" si="11"/>
        <v>1211340</v>
      </c>
      <c r="Q21" s="117">
        <f t="shared" si="11"/>
        <v>496884</v>
      </c>
      <c r="R21" s="117">
        <f t="shared" si="11"/>
        <v>365088</v>
      </c>
      <c r="S21" s="117">
        <f t="shared" si="11"/>
        <v>690336</v>
      </c>
      <c r="T21" s="117">
        <f t="shared" si="11"/>
        <v>161800</v>
      </c>
      <c r="U21" s="117">
        <f t="shared" si="11"/>
        <v>116600</v>
      </c>
      <c r="V21" s="94">
        <f t="shared" si="1"/>
        <v>16247443.199999999</v>
      </c>
    </row>
    <row r="22" spans="1:22" ht="11.25">
      <c r="A22" s="33" t="s">
        <v>226</v>
      </c>
      <c r="B22" s="34" t="s">
        <v>227</v>
      </c>
      <c r="C22" s="34"/>
      <c r="D22" s="42" t="s">
        <v>208</v>
      </c>
      <c r="E22" s="117">
        <f>E23+E24</f>
        <v>679996.8</v>
      </c>
      <c r="F22" s="117">
        <f t="shared" ref="F22:U22" si="12">F23+F24</f>
        <v>681571.2</v>
      </c>
      <c r="G22" s="117">
        <f t="shared" si="12"/>
        <v>503260.80000000005</v>
      </c>
      <c r="H22" s="117">
        <f t="shared" si="12"/>
        <v>153454.07999999999</v>
      </c>
      <c r="I22" s="117">
        <f t="shared" si="12"/>
        <v>629155.19999999995</v>
      </c>
      <c r="J22" s="117">
        <f t="shared" si="12"/>
        <v>539836.80000000005</v>
      </c>
      <c r="K22" s="117">
        <f t="shared" si="12"/>
        <v>591532.80000000005</v>
      </c>
      <c r="L22" s="117">
        <f t="shared" si="12"/>
        <v>299299.19999999995</v>
      </c>
      <c r="M22" s="117">
        <f t="shared" si="12"/>
        <v>354364.80000000005</v>
      </c>
      <c r="N22" s="117">
        <f t="shared" si="12"/>
        <v>390606.4</v>
      </c>
      <c r="O22" s="117">
        <f t="shared" si="12"/>
        <v>459080</v>
      </c>
      <c r="P22" s="117">
        <f t="shared" si="12"/>
        <v>484536</v>
      </c>
      <c r="Q22" s="117">
        <f t="shared" si="12"/>
        <v>198753.6</v>
      </c>
      <c r="R22" s="117">
        <f t="shared" si="12"/>
        <v>146035.20000000001</v>
      </c>
      <c r="S22" s="117">
        <f t="shared" si="12"/>
        <v>276134.40000000002</v>
      </c>
      <c r="T22" s="117">
        <f t="shared" si="12"/>
        <v>64720</v>
      </c>
      <c r="U22" s="117">
        <f t="shared" si="12"/>
        <v>46640</v>
      </c>
      <c r="V22" s="94">
        <f t="shared" si="1"/>
        <v>6498977.2800000003</v>
      </c>
    </row>
    <row r="23" spans="1:22" ht="11.25">
      <c r="A23" s="33" t="s">
        <v>228</v>
      </c>
      <c r="B23" s="34" t="s">
        <v>229</v>
      </c>
      <c r="C23" s="34" t="s">
        <v>230</v>
      </c>
      <c r="D23" s="42" t="s">
        <v>208</v>
      </c>
      <c r="E23" s="117">
        <f>E16*4</f>
        <v>339998.4</v>
      </c>
      <c r="F23" s="117">
        <f t="shared" ref="F23:U23" si="13">F16*4</f>
        <v>340785.6</v>
      </c>
      <c r="G23" s="117">
        <f t="shared" si="13"/>
        <v>251630.40000000002</v>
      </c>
      <c r="H23" s="117">
        <f t="shared" si="13"/>
        <v>76727.039999999994</v>
      </c>
      <c r="I23" s="45">
        <f>I16*4</f>
        <v>314577.59999999998</v>
      </c>
      <c r="J23" s="117">
        <f t="shared" si="13"/>
        <v>269918.40000000002</v>
      </c>
      <c r="K23" s="117">
        <f>K16*4</f>
        <v>295766.40000000002</v>
      </c>
      <c r="L23" s="117">
        <f t="shared" si="13"/>
        <v>149649.59999999998</v>
      </c>
      <c r="M23" s="117">
        <f t="shared" si="13"/>
        <v>177182.40000000002</v>
      </c>
      <c r="N23" s="117">
        <f t="shared" si="13"/>
        <v>195303.2</v>
      </c>
      <c r="O23" s="117">
        <f t="shared" si="13"/>
        <v>229540</v>
      </c>
      <c r="P23" s="117">
        <f t="shared" si="13"/>
        <v>242268</v>
      </c>
      <c r="Q23" s="117">
        <f t="shared" si="13"/>
        <v>99376.8</v>
      </c>
      <c r="R23" s="117">
        <f t="shared" si="13"/>
        <v>73017.600000000006</v>
      </c>
      <c r="S23" s="117">
        <f t="shared" si="13"/>
        <v>138067.20000000001</v>
      </c>
      <c r="T23" s="117">
        <f t="shared" si="13"/>
        <v>32360</v>
      </c>
      <c r="U23" s="117">
        <f t="shared" si="13"/>
        <v>23320</v>
      </c>
      <c r="V23" s="94">
        <f t="shared" si="1"/>
        <v>3249488.64</v>
      </c>
    </row>
    <row r="24" spans="1:22" ht="11.25">
      <c r="A24" s="33" t="s">
        <v>231</v>
      </c>
      <c r="B24" s="34" t="s">
        <v>232</v>
      </c>
      <c r="C24" s="34" t="s">
        <v>230</v>
      </c>
      <c r="D24" s="42" t="s">
        <v>208</v>
      </c>
      <c r="E24" s="117">
        <f>E16*4</f>
        <v>339998.4</v>
      </c>
      <c r="F24" s="117">
        <f t="shared" ref="F24:U24" si="14">F16*4</f>
        <v>340785.6</v>
      </c>
      <c r="G24" s="117">
        <f t="shared" si="14"/>
        <v>251630.40000000002</v>
      </c>
      <c r="H24" s="117">
        <f t="shared" si="14"/>
        <v>76727.039999999994</v>
      </c>
      <c r="I24" s="45">
        <f>I16*4</f>
        <v>314577.59999999998</v>
      </c>
      <c r="J24" s="117">
        <f t="shared" si="14"/>
        <v>269918.40000000002</v>
      </c>
      <c r="K24" s="117">
        <f t="shared" si="14"/>
        <v>295766.40000000002</v>
      </c>
      <c r="L24" s="117">
        <f t="shared" si="14"/>
        <v>149649.59999999998</v>
      </c>
      <c r="M24" s="117">
        <f t="shared" si="14"/>
        <v>177182.40000000002</v>
      </c>
      <c r="N24" s="117">
        <f t="shared" si="14"/>
        <v>195303.2</v>
      </c>
      <c r="O24" s="117">
        <f t="shared" si="14"/>
        <v>229540</v>
      </c>
      <c r="P24" s="117">
        <f t="shared" si="14"/>
        <v>242268</v>
      </c>
      <c r="Q24" s="117">
        <f t="shared" si="14"/>
        <v>99376.8</v>
      </c>
      <c r="R24" s="117">
        <f t="shared" si="14"/>
        <v>73017.600000000006</v>
      </c>
      <c r="S24" s="117">
        <f t="shared" si="14"/>
        <v>138067.20000000001</v>
      </c>
      <c r="T24" s="117">
        <f t="shared" si="14"/>
        <v>32360</v>
      </c>
      <c r="U24" s="117">
        <f t="shared" si="14"/>
        <v>23320</v>
      </c>
      <c r="V24" s="94">
        <f t="shared" si="1"/>
        <v>3249488.64</v>
      </c>
    </row>
    <row r="25" spans="1:22" ht="11.25">
      <c r="A25" s="33" t="s">
        <v>233</v>
      </c>
      <c r="B25" s="34" t="s">
        <v>234</v>
      </c>
      <c r="C25" s="34"/>
      <c r="D25" s="35" t="s">
        <v>183</v>
      </c>
      <c r="E25" s="97">
        <f>E26</f>
        <v>2719987.2</v>
      </c>
      <c r="F25" s="97">
        <f t="shared" ref="F25:U25" si="15">F26</f>
        <v>2726284.8</v>
      </c>
      <c r="G25" s="97">
        <f t="shared" si="15"/>
        <v>2013043.2000000002</v>
      </c>
      <c r="H25" s="97">
        <f t="shared" si="15"/>
        <v>613816.31999999995</v>
      </c>
      <c r="I25" s="97">
        <f t="shared" si="15"/>
        <v>2516620.7999999998</v>
      </c>
      <c r="J25" s="97">
        <f t="shared" si="15"/>
        <v>2159347.2000000002</v>
      </c>
      <c r="K25" s="97">
        <f t="shared" si="15"/>
        <v>2366131.2000000002</v>
      </c>
      <c r="L25" s="97">
        <f t="shared" si="15"/>
        <v>1197196.7999999998</v>
      </c>
      <c r="M25" s="97">
        <f t="shared" si="15"/>
        <v>1417459.2000000002</v>
      </c>
      <c r="N25" s="97">
        <f t="shared" si="15"/>
        <v>1562425.6</v>
      </c>
      <c r="O25" s="97">
        <f t="shared" si="15"/>
        <v>1836320</v>
      </c>
      <c r="P25" s="97">
        <f t="shared" si="15"/>
        <v>1938144</v>
      </c>
      <c r="Q25" s="97">
        <f t="shared" si="15"/>
        <v>795014.4</v>
      </c>
      <c r="R25" s="97">
        <f t="shared" si="15"/>
        <v>584140.80000000005</v>
      </c>
      <c r="S25" s="97">
        <f t="shared" si="15"/>
        <v>1104537.6000000001</v>
      </c>
      <c r="T25" s="97">
        <f t="shared" si="15"/>
        <v>258880</v>
      </c>
      <c r="U25" s="97">
        <f t="shared" si="15"/>
        <v>186560</v>
      </c>
      <c r="V25" s="94">
        <f t="shared" si="1"/>
        <v>25995909.120000001</v>
      </c>
    </row>
    <row r="26" spans="1:22" s="40" customFormat="1" ht="11.25">
      <c r="A26" s="33" t="s">
        <v>235</v>
      </c>
      <c r="B26" s="38" t="s">
        <v>236</v>
      </c>
      <c r="C26" s="38" t="s">
        <v>237</v>
      </c>
      <c r="D26" s="39" t="s">
        <v>208</v>
      </c>
      <c r="E26" s="97">
        <f>E16*32</f>
        <v>2719987.2</v>
      </c>
      <c r="F26" s="97">
        <f t="shared" ref="F26:U26" si="16">F16*32</f>
        <v>2726284.8</v>
      </c>
      <c r="G26" s="97">
        <f t="shared" si="16"/>
        <v>2013043.2000000002</v>
      </c>
      <c r="H26" s="97">
        <f t="shared" si="16"/>
        <v>613816.31999999995</v>
      </c>
      <c r="I26" s="36">
        <f>I16*32</f>
        <v>2516620.7999999998</v>
      </c>
      <c r="J26" s="97">
        <f t="shared" si="16"/>
        <v>2159347.2000000002</v>
      </c>
      <c r="K26" s="97">
        <f t="shared" si="16"/>
        <v>2366131.2000000002</v>
      </c>
      <c r="L26" s="97">
        <f t="shared" si="16"/>
        <v>1197196.7999999998</v>
      </c>
      <c r="M26" s="97">
        <f t="shared" si="16"/>
        <v>1417459.2000000002</v>
      </c>
      <c r="N26" s="97">
        <f t="shared" si="16"/>
        <v>1562425.6</v>
      </c>
      <c r="O26" s="97">
        <f t="shared" si="16"/>
        <v>1836320</v>
      </c>
      <c r="P26" s="97">
        <f t="shared" si="16"/>
        <v>1938144</v>
      </c>
      <c r="Q26" s="97">
        <f t="shared" si="16"/>
        <v>795014.4</v>
      </c>
      <c r="R26" s="97">
        <f t="shared" si="16"/>
        <v>584140.80000000005</v>
      </c>
      <c r="S26" s="97">
        <f t="shared" si="16"/>
        <v>1104537.6000000001</v>
      </c>
      <c r="T26" s="97">
        <f t="shared" si="16"/>
        <v>258880</v>
      </c>
      <c r="U26" s="97">
        <f t="shared" si="16"/>
        <v>186560</v>
      </c>
      <c r="V26" s="94">
        <f t="shared" si="1"/>
        <v>25995909.120000001</v>
      </c>
    </row>
    <row r="27" spans="1:22" ht="11.25">
      <c r="A27" s="33" t="s">
        <v>238</v>
      </c>
      <c r="B27" s="34" t="s">
        <v>239</v>
      </c>
      <c r="C27" s="34"/>
      <c r="D27" s="35" t="s">
        <v>183</v>
      </c>
      <c r="E27" s="97">
        <f>E28</f>
        <v>1359993.6</v>
      </c>
      <c r="F27" s="97">
        <f t="shared" ref="F27:U27" si="17">F28</f>
        <v>1363142.4</v>
      </c>
      <c r="G27" s="97">
        <f t="shared" si="17"/>
        <v>1006521.6000000001</v>
      </c>
      <c r="H27" s="97">
        <f t="shared" si="17"/>
        <v>306908.15999999997</v>
      </c>
      <c r="I27" s="97">
        <f t="shared" si="17"/>
        <v>1258310.3999999999</v>
      </c>
      <c r="J27" s="97">
        <f t="shared" si="17"/>
        <v>1079673.6000000001</v>
      </c>
      <c r="K27" s="97">
        <f t="shared" si="17"/>
        <v>1183065.6000000001</v>
      </c>
      <c r="L27" s="97">
        <f t="shared" si="17"/>
        <v>598598.39999999991</v>
      </c>
      <c r="M27" s="97">
        <f t="shared" si="17"/>
        <v>708729.60000000009</v>
      </c>
      <c r="N27" s="97">
        <f t="shared" si="17"/>
        <v>781212.8</v>
      </c>
      <c r="O27" s="97">
        <f t="shared" si="17"/>
        <v>918160</v>
      </c>
      <c r="P27" s="97">
        <f t="shared" si="17"/>
        <v>969072</v>
      </c>
      <c r="Q27" s="97">
        <f t="shared" si="17"/>
        <v>397507.2</v>
      </c>
      <c r="R27" s="97">
        <f t="shared" si="17"/>
        <v>292070.40000000002</v>
      </c>
      <c r="S27" s="97">
        <f t="shared" si="17"/>
        <v>552268.80000000005</v>
      </c>
      <c r="T27" s="97">
        <f t="shared" si="17"/>
        <v>129440</v>
      </c>
      <c r="U27" s="97">
        <f t="shared" si="17"/>
        <v>93280</v>
      </c>
      <c r="V27" s="94">
        <f t="shared" si="1"/>
        <v>12997954.560000001</v>
      </c>
    </row>
    <row r="28" spans="1:22" s="40" customFormat="1" ht="11.25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 t="shared" ref="E28:U28" si="18">E16*16</f>
        <v>1359993.6</v>
      </c>
      <c r="F28" s="36">
        <f t="shared" si="18"/>
        <v>1363142.4</v>
      </c>
      <c r="G28" s="36">
        <f t="shared" si="18"/>
        <v>1006521.6000000001</v>
      </c>
      <c r="H28" s="36">
        <f t="shared" si="18"/>
        <v>306908.15999999997</v>
      </c>
      <c r="I28" s="36">
        <f>I16*16</f>
        <v>1258310.3999999999</v>
      </c>
      <c r="J28" s="36">
        <f t="shared" si="18"/>
        <v>1079673.6000000001</v>
      </c>
      <c r="K28" s="36">
        <f t="shared" si="18"/>
        <v>1183065.6000000001</v>
      </c>
      <c r="L28" s="36">
        <f t="shared" si="18"/>
        <v>598598.39999999991</v>
      </c>
      <c r="M28" s="36">
        <f t="shared" si="18"/>
        <v>708729.60000000009</v>
      </c>
      <c r="N28" s="36">
        <f t="shared" si="18"/>
        <v>781212.8</v>
      </c>
      <c r="O28" s="36">
        <f t="shared" si="18"/>
        <v>918160</v>
      </c>
      <c r="P28" s="36">
        <f t="shared" si="18"/>
        <v>969072</v>
      </c>
      <c r="Q28" s="36">
        <f t="shared" si="18"/>
        <v>397507.2</v>
      </c>
      <c r="R28" s="36">
        <f t="shared" si="18"/>
        <v>292070.40000000002</v>
      </c>
      <c r="S28" s="36">
        <f t="shared" si="18"/>
        <v>552268.80000000005</v>
      </c>
      <c r="T28" s="36">
        <f t="shared" si="18"/>
        <v>129440</v>
      </c>
      <c r="U28" s="36">
        <f t="shared" si="18"/>
        <v>93280</v>
      </c>
      <c r="V28" s="94">
        <f t="shared" si="1"/>
        <v>12997954.560000001</v>
      </c>
    </row>
    <row r="29" spans="1:22" ht="11.25">
      <c r="A29" s="33" t="s">
        <v>243</v>
      </c>
      <c r="B29" s="34" t="s">
        <v>244</v>
      </c>
      <c r="C29" s="41" t="s">
        <v>189</v>
      </c>
      <c r="D29" s="39" t="s">
        <v>245</v>
      </c>
      <c r="E29" s="97">
        <f>9600*E96</f>
        <v>835200</v>
      </c>
      <c r="F29" s="97">
        <f>9600*F96</f>
        <v>806400</v>
      </c>
      <c r="G29" s="98">
        <v>585600</v>
      </c>
      <c r="H29" s="97">
        <f>9600*H96</f>
        <v>172800</v>
      </c>
      <c r="I29" s="36">
        <f>9600*I96</f>
        <v>796800</v>
      </c>
      <c r="J29" s="99">
        <v>748800</v>
      </c>
      <c r="K29" s="99">
        <f>86*9600</f>
        <v>825600</v>
      </c>
      <c r="L29" s="97">
        <f>9600*L96</f>
        <v>384000</v>
      </c>
      <c r="M29" s="97">
        <f>9600*M96</f>
        <v>460800</v>
      </c>
      <c r="N29" s="97">
        <f>9600*N96</f>
        <v>556800</v>
      </c>
      <c r="O29" s="98">
        <v>614400</v>
      </c>
      <c r="P29" s="36">
        <f>9600*P96</f>
        <v>614400</v>
      </c>
      <c r="Q29" s="98">
        <f>800*30*12</f>
        <v>288000</v>
      </c>
      <c r="R29" s="36">
        <f>9600*R96</f>
        <v>211200</v>
      </c>
      <c r="S29" s="36">
        <f>9600*S96</f>
        <v>393600</v>
      </c>
      <c r="T29" s="36">
        <f>9600*T96</f>
        <v>105600</v>
      </c>
      <c r="U29" s="36">
        <f>9600*U96</f>
        <v>57600</v>
      </c>
      <c r="V29" s="94">
        <f t="shared" si="1"/>
        <v>8457600</v>
      </c>
    </row>
    <row r="30" spans="1:22" ht="11.25">
      <c r="A30" s="33" t="s">
        <v>246</v>
      </c>
      <c r="B30" s="34" t="s">
        <v>247</v>
      </c>
      <c r="C30" s="34" t="s">
        <v>247</v>
      </c>
      <c r="D30" s="39" t="s">
        <v>208</v>
      </c>
      <c r="E30" s="117">
        <f>E16*14</f>
        <v>1189994.4000000001</v>
      </c>
      <c r="F30" s="117">
        <f t="shared" ref="F30:U30" si="19">F16*14</f>
        <v>1192749.5999999999</v>
      </c>
      <c r="G30" s="117">
        <f t="shared" si="19"/>
        <v>880706.40000000014</v>
      </c>
      <c r="H30" s="117">
        <f t="shared" si="19"/>
        <v>268544.63999999996</v>
      </c>
      <c r="I30" s="45">
        <f>I16*14</f>
        <v>1101021.5999999999</v>
      </c>
      <c r="J30" s="117">
        <f t="shared" si="19"/>
        <v>944714.40000000014</v>
      </c>
      <c r="K30" s="117">
        <f t="shared" si="19"/>
        <v>1035182.4000000001</v>
      </c>
      <c r="L30" s="117">
        <f t="shared" si="19"/>
        <v>523773.59999999992</v>
      </c>
      <c r="M30" s="117">
        <f t="shared" si="19"/>
        <v>620138.40000000014</v>
      </c>
      <c r="N30" s="117">
        <f t="shared" si="19"/>
        <v>683561.20000000007</v>
      </c>
      <c r="O30" s="117">
        <f t="shared" si="19"/>
        <v>803390</v>
      </c>
      <c r="P30" s="117">
        <f t="shared" si="19"/>
        <v>847938</v>
      </c>
      <c r="Q30" s="117">
        <f t="shared" si="19"/>
        <v>347818.8</v>
      </c>
      <c r="R30" s="117">
        <f t="shared" si="19"/>
        <v>255561.60000000003</v>
      </c>
      <c r="S30" s="117">
        <f t="shared" si="19"/>
        <v>483235.20000000007</v>
      </c>
      <c r="T30" s="117">
        <f t="shared" si="19"/>
        <v>113260</v>
      </c>
      <c r="U30" s="117">
        <f t="shared" si="19"/>
        <v>81620</v>
      </c>
      <c r="V30" s="94">
        <f t="shared" si="1"/>
        <v>11373210.24</v>
      </c>
    </row>
    <row r="31" spans="1:22" ht="11.25">
      <c r="A31" s="33" t="s">
        <v>248</v>
      </c>
      <c r="B31" s="34" t="s">
        <v>249</v>
      </c>
      <c r="C31" s="34"/>
      <c r="D31" s="35" t="s">
        <v>183</v>
      </c>
      <c r="E31" s="97">
        <f>E32+E40+E42+E45+E47</f>
        <v>9960</v>
      </c>
      <c r="F31" s="97">
        <f t="shared" ref="F31:U31" si="20">F32+F40+F42+F45+F47</f>
        <v>11880</v>
      </c>
      <c r="G31" s="97">
        <f t="shared" si="20"/>
        <v>7440</v>
      </c>
      <c r="H31" s="97">
        <f t="shared" si="20"/>
        <v>17280</v>
      </c>
      <c r="I31" s="97">
        <f t="shared" si="20"/>
        <v>5760</v>
      </c>
      <c r="J31" s="97">
        <f t="shared" si="20"/>
        <v>3720</v>
      </c>
      <c r="K31" s="97">
        <f t="shared" si="20"/>
        <v>14120</v>
      </c>
      <c r="L31" s="97">
        <f t="shared" si="20"/>
        <v>1580</v>
      </c>
      <c r="M31" s="97">
        <f t="shared" si="20"/>
        <v>720</v>
      </c>
      <c r="N31" s="97">
        <f t="shared" si="20"/>
        <v>10980</v>
      </c>
      <c r="O31" s="97">
        <f t="shared" si="20"/>
        <v>14680</v>
      </c>
      <c r="P31" s="97">
        <f t="shared" si="20"/>
        <v>11800</v>
      </c>
      <c r="Q31" s="97">
        <f t="shared" si="20"/>
        <v>6120</v>
      </c>
      <c r="R31" s="97">
        <f t="shared" si="20"/>
        <v>5880</v>
      </c>
      <c r="S31" s="97">
        <f t="shared" si="20"/>
        <v>6600</v>
      </c>
      <c r="T31" s="97">
        <f t="shared" si="20"/>
        <v>3840</v>
      </c>
      <c r="U31" s="97">
        <f t="shared" si="20"/>
        <v>1320</v>
      </c>
      <c r="V31" s="94">
        <f t="shared" si="1"/>
        <v>133680</v>
      </c>
    </row>
    <row r="32" spans="1:22" ht="11.25">
      <c r="A32" s="33" t="s">
        <v>250</v>
      </c>
      <c r="B32" s="34" t="s">
        <v>251</v>
      </c>
      <c r="C32" s="34"/>
      <c r="D32" s="35" t="s">
        <v>183</v>
      </c>
      <c r="E32" s="97">
        <f>E33+E34+E35+E36+E37+E38+E39</f>
        <v>0</v>
      </c>
      <c r="F32" s="97">
        <f>F33+F34+F35+F36+F37+F38+F39</f>
        <v>0</v>
      </c>
      <c r="G32" s="98">
        <v>0</v>
      </c>
      <c r="H32" s="97">
        <f>H33+H34+H35+H36+H37+H38+H39</f>
        <v>0</v>
      </c>
      <c r="I32" s="36">
        <f>I33+I34+I35+I36+I37+I38+I39</f>
        <v>0</v>
      </c>
      <c r="J32" s="99">
        <f>J33+J34+J35+J36+J37+J38+J39</f>
        <v>0</v>
      </c>
      <c r="K32" s="99">
        <v>0</v>
      </c>
      <c r="L32" s="97">
        <f>L33+L34+L35+L36+L37+L38+L39</f>
        <v>0</v>
      </c>
      <c r="M32" s="97">
        <f>M33+M34+M35+M36+M37+M38+M39</f>
        <v>0</v>
      </c>
      <c r="N32" s="97">
        <f>N33+N34+N35+N36+N37+N38+N39</f>
        <v>0</v>
      </c>
      <c r="O32" s="98">
        <v>0</v>
      </c>
      <c r="P32" s="36">
        <f>P33+P34+P35+P36+P37+P38+P39</f>
        <v>0</v>
      </c>
      <c r="Q32" s="98">
        <v>0</v>
      </c>
      <c r="R32" s="36">
        <f>R33+R34+R35+R36+R37+R38+R39</f>
        <v>0</v>
      </c>
      <c r="S32" s="36">
        <f>S33+S34+S35+S36+S37+S38+S39</f>
        <v>0</v>
      </c>
      <c r="T32" s="36">
        <f>T33+T34+T35+T36+T37+T38+T39</f>
        <v>0</v>
      </c>
      <c r="U32" s="36">
        <f>U33+U34+U35+U36+U37+U38+U39</f>
        <v>0</v>
      </c>
      <c r="V32" s="94">
        <f t="shared" si="1"/>
        <v>0</v>
      </c>
    </row>
    <row r="33" spans="1:22" ht="11.25">
      <c r="A33" s="33" t="s">
        <v>252</v>
      </c>
      <c r="B33" s="34" t="s">
        <v>253</v>
      </c>
      <c r="C33" s="34" t="s">
        <v>254</v>
      </c>
      <c r="D33" s="42" t="s">
        <v>255</v>
      </c>
      <c r="E33" s="113"/>
      <c r="F33" s="113"/>
      <c r="G33" s="114"/>
      <c r="H33" s="113"/>
      <c r="I33" s="43"/>
      <c r="J33" s="115"/>
      <c r="K33" s="115"/>
      <c r="L33" s="113"/>
      <c r="M33" s="113"/>
      <c r="N33" s="113"/>
      <c r="O33" s="114"/>
      <c r="P33" s="43"/>
      <c r="Q33" s="114"/>
      <c r="R33" s="43"/>
      <c r="S33" s="43"/>
      <c r="T33" s="43"/>
      <c r="U33" s="43"/>
      <c r="V33" s="94">
        <f t="shared" si="1"/>
        <v>0</v>
      </c>
    </row>
    <row r="34" spans="1:22" ht="11.25">
      <c r="A34" s="33" t="s">
        <v>256</v>
      </c>
      <c r="B34" s="34" t="s">
        <v>257</v>
      </c>
      <c r="C34" s="34" t="s">
        <v>254</v>
      </c>
      <c r="D34" s="42" t="s">
        <v>255</v>
      </c>
      <c r="E34" s="113"/>
      <c r="F34" s="113"/>
      <c r="G34" s="114"/>
      <c r="H34" s="113"/>
      <c r="I34" s="43"/>
      <c r="J34" s="115"/>
      <c r="K34" s="115"/>
      <c r="L34" s="113"/>
      <c r="M34" s="113"/>
      <c r="N34" s="113"/>
      <c r="O34" s="114"/>
      <c r="P34" s="43"/>
      <c r="Q34" s="114"/>
      <c r="R34" s="43"/>
      <c r="S34" s="43"/>
      <c r="T34" s="43"/>
      <c r="U34" s="43"/>
      <c r="V34" s="94">
        <f t="shared" si="1"/>
        <v>0</v>
      </c>
    </row>
    <row r="35" spans="1:22" ht="11.25">
      <c r="A35" s="33" t="s">
        <v>258</v>
      </c>
      <c r="B35" s="34" t="s">
        <v>259</v>
      </c>
      <c r="C35" s="34" t="s">
        <v>254</v>
      </c>
      <c r="D35" s="42" t="s">
        <v>260</v>
      </c>
      <c r="E35" s="113"/>
      <c r="F35" s="113"/>
      <c r="G35" s="114"/>
      <c r="H35" s="113"/>
      <c r="I35" s="43"/>
      <c r="J35" s="115"/>
      <c r="K35" s="115"/>
      <c r="L35" s="113"/>
      <c r="M35" s="113"/>
      <c r="N35" s="113"/>
      <c r="O35" s="114"/>
      <c r="P35" s="43"/>
      <c r="Q35" s="114"/>
      <c r="R35" s="43"/>
      <c r="S35" s="43"/>
      <c r="T35" s="43"/>
      <c r="U35" s="43"/>
      <c r="V35" s="94">
        <f t="shared" si="1"/>
        <v>0</v>
      </c>
    </row>
    <row r="36" spans="1:22" ht="11.25">
      <c r="A36" s="33" t="s">
        <v>261</v>
      </c>
      <c r="B36" s="34" t="s">
        <v>262</v>
      </c>
      <c r="C36" s="34" t="s">
        <v>254</v>
      </c>
      <c r="D36" s="42" t="s">
        <v>255</v>
      </c>
      <c r="E36" s="113"/>
      <c r="F36" s="113"/>
      <c r="G36" s="114"/>
      <c r="H36" s="113"/>
      <c r="I36" s="43"/>
      <c r="J36" s="115"/>
      <c r="K36" s="115"/>
      <c r="L36" s="113"/>
      <c r="M36" s="113"/>
      <c r="N36" s="113"/>
      <c r="O36" s="114"/>
      <c r="P36" s="43"/>
      <c r="Q36" s="114"/>
      <c r="R36" s="43"/>
      <c r="S36" s="43"/>
      <c r="T36" s="43"/>
      <c r="U36" s="43"/>
      <c r="V36" s="94">
        <f t="shared" si="1"/>
        <v>0</v>
      </c>
    </row>
    <row r="37" spans="1:22" ht="11.25">
      <c r="A37" s="33" t="s">
        <v>263</v>
      </c>
      <c r="B37" s="34" t="s">
        <v>264</v>
      </c>
      <c r="C37" s="34" t="s">
        <v>254</v>
      </c>
      <c r="D37" s="42" t="s">
        <v>255</v>
      </c>
      <c r="E37" s="113"/>
      <c r="F37" s="113"/>
      <c r="G37" s="114"/>
      <c r="H37" s="113"/>
      <c r="I37" s="43"/>
      <c r="J37" s="115"/>
      <c r="K37" s="115"/>
      <c r="L37" s="113"/>
      <c r="M37" s="113"/>
      <c r="N37" s="113"/>
      <c r="O37" s="114"/>
      <c r="P37" s="43"/>
      <c r="Q37" s="114"/>
      <c r="R37" s="43"/>
      <c r="S37" s="43"/>
      <c r="T37" s="43"/>
      <c r="U37" s="43"/>
      <c r="V37" s="94">
        <f t="shared" si="1"/>
        <v>0</v>
      </c>
    </row>
    <row r="38" spans="1:22" ht="11.25">
      <c r="A38" s="33" t="s">
        <v>265</v>
      </c>
      <c r="B38" s="34" t="s">
        <v>266</v>
      </c>
      <c r="C38" s="34" t="s">
        <v>254</v>
      </c>
      <c r="D38" s="42" t="s">
        <v>255</v>
      </c>
      <c r="E38" s="113"/>
      <c r="F38" s="113"/>
      <c r="G38" s="114"/>
      <c r="H38" s="113"/>
      <c r="I38" s="43"/>
      <c r="J38" s="115"/>
      <c r="K38" s="115"/>
      <c r="L38" s="113"/>
      <c r="M38" s="113"/>
      <c r="N38" s="113"/>
      <c r="O38" s="114"/>
      <c r="P38" s="43"/>
      <c r="Q38" s="114"/>
      <c r="R38" s="43"/>
      <c r="S38" s="43"/>
      <c r="T38" s="43"/>
      <c r="U38" s="43"/>
      <c r="V38" s="94">
        <f t="shared" si="1"/>
        <v>0</v>
      </c>
    </row>
    <row r="39" spans="1:22" ht="11.25">
      <c r="A39" s="33" t="s">
        <v>267</v>
      </c>
      <c r="B39" s="34" t="s">
        <v>268</v>
      </c>
      <c r="C39" s="34" t="s">
        <v>254</v>
      </c>
      <c r="D39" s="42" t="s">
        <v>255</v>
      </c>
      <c r="E39" s="113"/>
      <c r="F39" s="113"/>
      <c r="G39" s="114"/>
      <c r="H39" s="113"/>
      <c r="I39" s="43"/>
      <c r="J39" s="115"/>
      <c r="K39" s="115"/>
      <c r="L39" s="113"/>
      <c r="M39" s="113"/>
      <c r="N39" s="113"/>
      <c r="O39" s="114"/>
      <c r="P39" s="43"/>
      <c r="Q39" s="114"/>
      <c r="R39" s="43"/>
      <c r="S39" s="43"/>
      <c r="T39" s="43"/>
      <c r="U39" s="43"/>
      <c r="V39" s="94">
        <f t="shared" si="1"/>
        <v>0</v>
      </c>
    </row>
    <row r="40" spans="1:22" ht="11.25">
      <c r="A40" s="33" t="s">
        <v>269</v>
      </c>
      <c r="B40" s="34" t="s">
        <v>270</v>
      </c>
      <c r="C40" s="34"/>
      <c r="D40" s="35" t="s">
        <v>183</v>
      </c>
      <c r="E40" s="97">
        <f>E41</f>
        <v>0</v>
      </c>
      <c r="F40" s="97">
        <f>F41</f>
        <v>0</v>
      </c>
      <c r="G40" s="98">
        <v>0</v>
      </c>
      <c r="H40" s="97">
        <f>H41</f>
        <v>0</v>
      </c>
      <c r="I40" s="36">
        <f>I41</f>
        <v>0</v>
      </c>
      <c r="J40" s="99">
        <v>0</v>
      </c>
      <c r="K40" s="99">
        <v>0</v>
      </c>
      <c r="L40" s="97">
        <f>L41</f>
        <v>0</v>
      </c>
      <c r="M40" s="97">
        <f>M41</f>
        <v>0</v>
      </c>
      <c r="N40" s="97">
        <f>N41</f>
        <v>0</v>
      </c>
      <c r="O40" s="98">
        <v>0</v>
      </c>
      <c r="P40" s="36">
        <f>P41</f>
        <v>0</v>
      </c>
      <c r="Q40" s="98">
        <v>0</v>
      </c>
      <c r="R40" s="36">
        <f>R41</f>
        <v>0</v>
      </c>
      <c r="S40" s="36">
        <f>S41</f>
        <v>0</v>
      </c>
      <c r="T40" s="36">
        <f>T41</f>
        <v>0</v>
      </c>
      <c r="U40" s="36">
        <f>U41</f>
        <v>0</v>
      </c>
      <c r="V40" s="94">
        <f t="shared" si="1"/>
        <v>0</v>
      </c>
    </row>
    <row r="41" spans="1:22" s="40" customFormat="1" ht="11.25">
      <c r="A41" s="33" t="s">
        <v>271</v>
      </c>
      <c r="B41" s="38" t="s">
        <v>272</v>
      </c>
      <c r="C41" s="38" t="s">
        <v>189</v>
      </c>
      <c r="D41" s="39" t="s">
        <v>273</v>
      </c>
      <c r="E41" s="118">
        <f>174800-174800</f>
        <v>0</v>
      </c>
      <c r="F41" s="118"/>
      <c r="G41" s="119"/>
      <c r="H41" s="118"/>
      <c r="I41" s="46"/>
      <c r="J41" s="120"/>
      <c r="K41" s="120"/>
      <c r="L41" s="118"/>
      <c r="M41" s="118"/>
      <c r="N41" s="118"/>
      <c r="O41" s="119"/>
      <c r="P41" s="46"/>
      <c r="Q41" s="119">
        <v>0</v>
      </c>
      <c r="R41" s="46"/>
      <c r="S41" s="46"/>
      <c r="T41" s="46"/>
      <c r="U41" s="46"/>
      <c r="V41" s="94">
        <f t="shared" si="1"/>
        <v>0</v>
      </c>
    </row>
    <row r="42" spans="1:22" ht="11.25">
      <c r="A42" s="33" t="s">
        <v>274</v>
      </c>
      <c r="B42" s="34" t="s">
        <v>275</v>
      </c>
      <c r="C42" s="34"/>
      <c r="D42" s="35" t="s">
        <v>183</v>
      </c>
      <c r="E42" s="97">
        <f>E43+E44</f>
        <v>0</v>
      </c>
      <c r="F42" s="97">
        <f>F43+F44</f>
        <v>0</v>
      </c>
      <c r="G42" s="98">
        <v>0</v>
      </c>
      <c r="H42" s="97">
        <f>H43+H44</f>
        <v>0</v>
      </c>
      <c r="I42" s="36">
        <f>I43+I44</f>
        <v>0</v>
      </c>
      <c r="J42" s="99">
        <v>0</v>
      </c>
      <c r="K42" s="99">
        <v>0</v>
      </c>
      <c r="L42" s="97">
        <f>L43+L44</f>
        <v>0</v>
      </c>
      <c r="M42" s="97">
        <f>M43+M44</f>
        <v>0</v>
      </c>
      <c r="N42" s="97">
        <f>N43+N44</f>
        <v>0</v>
      </c>
      <c r="O42" s="98">
        <v>0</v>
      </c>
      <c r="P42" s="36">
        <f>P43+P44</f>
        <v>0</v>
      </c>
      <c r="Q42" s="98">
        <v>0</v>
      </c>
      <c r="R42" s="36">
        <f>R43+R44</f>
        <v>0</v>
      </c>
      <c r="S42" s="36">
        <f>S43+S44</f>
        <v>0</v>
      </c>
      <c r="T42" s="36">
        <f>T43+T44</f>
        <v>0</v>
      </c>
      <c r="U42" s="36">
        <f>U43+U44</f>
        <v>0</v>
      </c>
      <c r="V42" s="94">
        <f t="shared" si="1"/>
        <v>0</v>
      </c>
    </row>
    <row r="43" spans="1:22" s="40" customFormat="1" ht="11.25">
      <c r="A43" s="33" t="s">
        <v>276</v>
      </c>
      <c r="B43" s="38" t="s">
        <v>277</v>
      </c>
      <c r="C43" s="38" t="s">
        <v>189</v>
      </c>
      <c r="D43" s="39" t="s">
        <v>260</v>
      </c>
      <c r="E43" s="118"/>
      <c r="F43" s="118"/>
      <c r="G43" s="119"/>
      <c r="H43" s="118"/>
      <c r="I43" s="46"/>
      <c r="J43" s="120"/>
      <c r="K43" s="120"/>
      <c r="L43" s="118"/>
      <c r="M43" s="118"/>
      <c r="N43" s="118"/>
      <c r="O43" s="119"/>
      <c r="P43" s="46"/>
      <c r="Q43" s="119"/>
      <c r="R43" s="46"/>
      <c r="S43" s="46"/>
      <c r="T43" s="46"/>
      <c r="U43" s="46"/>
      <c r="V43" s="94">
        <f t="shared" si="1"/>
        <v>0</v>
      </c>
    </row>
    <row r="44" spans="1:22" s="40" customFormat="1" ht="11.25">
      <c r="A44" s="33" t="s">
        <v>278</v>
      </c>
      <c r="B44" s="38" t="s">
        <v>279</v>
      </c>
      <c r="C44" s="38" t="s">
        <v>189</v>
      </c>
      <c r="D44" s="39" t="s">
        <v>260</v>
      </c>
      <c r="E44" s="118"/>
      <c r="F44" s="118"/>
      <c r="G44" s="119"/>
      <c r="H44" s="118"/>
      <c r="I44" s="46"/>
      <c r="J44" s="120"/>
      <c r="K44" s="120"/>
      <c r="L44" s="118"/>
      <c r="M44" s="118"/>
      <c r="N44" s="118"/>
      <c r="O44" s="119"/>
      <c r="P44" s="46"/>
      <c r="Q44" s="119"/>
      <c r="R44" s="46"/>
      <c r="S44" s="46"/>
      <c r="T44" s="46"/>
      <c r="U44" s="46"/>
      <c r="V44" s="94">
        <f t="shared" si="1"/>
        <v>0</v>
      </c>
    </row>
    <row r="45" spans="1:22" ht="11.25">
      <c r="A45" s="33" t="s">
        <v>280</v>
      </c>
      <c r="B45" s="34" t="s">
        <v>281</v>
      </c>
      <c r="C45" s="34"/>
      <c r="D45" s="35" t="s">
        <v>183</v>
      </c>
      <c r="E45" s="97">
        <f>E46</f>
        <v>3960</v>
      </c>
      <c r="F45" s="97">
        <f t="shared" ref="F45:U45" si="21">F46</f>
        <v>2880</v>
      </c>
      <c r="G45" s="97">
        <f t="shared" si="21"/>
        <v>1440</v>
      </c>
      <c r="H45" s="97">
        <f t="shared" si="21"/>
        <v>6480</v>
      </c>
      <c r="I45" s="97">
        <f t="shared" si="21"/>
        <v>3960</v>
      </c>
      <c r="J45" s="97">
        <f t="shared" si="21"/>
        <v>720</v>
      </c>
      <c r="K45" s="97">
        <f t="shared" si="21"/>
        <v>6120</v>
      </c>
      <c r="L45" s="97">
        <f t="shared" si="21"/>
        <v>1080</v>
      </c>
      <c r="M45" s="97">
        <f t="shared" si="21"/>
        <v>720</v>
      </c>
      <c r="N45" s="97">
        <f t="shared" si="21"/>
        <v>6480</v>
      </c>
      <c r="O45" s="97">
        <f t="shared" si="21"/>
        <v>4680</v>
      </c>
      <c r="P45" s="97">
        <f t="shared" si="21"/>
        <v>5100</v>
      </c>
      <c r="Q45" s="97">
        <f t="shared" si="21"/>
        <v>2520</v>
      </c>
      <c r="R45" s="97">
        <f t="shared" si="21"/>
        <v>2880</v>
      </c>
      <c r="S45" s="97">
        <f t="shared" si="21"/>
        <v>1800</v>
      </c>
      <c r="T45" s="97">
        <f t="shared" si="21"/>
        <v>1440</v>
      </c>
      <c r="U45" s="97">
        <f t="shared" si="21"/>
        <v>720</v>
      </c>
      <c r="V45" s="94">
        <f t="shared" si="1"/>
        <v>52980</v>
      </c>
    </row>
    <row r="46" spans="1:22" ht="11.25">
      <c r="A46" s="33" t="s">
        <v>282</v>
      </c>
      <c r="B46" s="34" t="s">
        <v>283</v>
      </c>
      <c r="C46" s="34" t="s">
        <v>189</v>
      </c>
      <c r="D46" s="35" t="s">
        <v>190</v>
      </c>
      <c r="E46" s="121">
        <f>330*12</f>
        <v>3960</v>
      </c>
      <c r="F46" s="121">
        <v>2880</v>
      </c>
      <c r="G46" s="96">
        <v>1440</v>
      </c>
      <c r="H46" s="122">
        <v>6480</v>
      </c>
      <c r="I46" s="37">
        <v>3960</v>
      </c>
      <c r="J46" s="121">
        <v>720</v>
      </c>
      <c r="K46" s="121">
        <v>6120</v>
      </c>
      <c r="L46" s="122">
        <f>90*12</f>
        <v>1080</v>
      </c>
      <c r="M46" s="121">
        <f>60*12</f>
        <v>720</v>
      </c>
      <c r="N46" s="122">
        <v>6480</v>
      </c>
      <c r="O46" s="96">
        <v>4680</v>
      </c>
      <c r="P46" s="37">
        <v>5100</v>
      </c>
      <c r="Q46" s="96">
        <f>210*12</f>
        <v>2520</v>
      </c>
      <c r="R46" s="37">
        <v>2880</v>
      </c>
      <c r="S46" s="37">
        <v>1800</v>
      </c>
      <c r="T46" s="37">
        <v>1440</v>
      </c>
      <c r="U46" s="37">
        <v>720</v>
      </c>
      <c r="V46" s="94">
        <f t="shared" si="1"/>
        <v>52980</v>
      </c>
    </row>
    <row r="47" spans="1:22" ht="11.25">
      <c r="A47" s="33" t="s">
        <v>284</v>
      </c>
      <c r="B47" s="34" t="s">
        <v>285</v>
      </c>
      <c r="C47" s="34"/>
      <c r="D47" s="35" t="s">
        <v>183</v>
      </c>
      <c r="E47" s="97">
        <f>SUM(E48:E51)</f>
        <v>6000</v>
      </c>
      <c r="F47" s="97">
        <f t="shared" ref="F47:U47" si="22">SUM(F48:F51)</f>
        <v>9000</v>
      </c>
      <c r="G47" s="97">
        <f t="shared" si="22"/>
        <v>6000</v>
      </c>
      <c r="H47" s="97">
        <f t="shared" si="22"/>
        <v>10800</v>
      </c>
      <c r="I47" s="97">
        <f t="shared" si="22"/>
        <v>1800</v>
      </c>
      <c r="J47" s="97">
        <f t="shared" si="22"/>
        <v>3000</v>
      </c>
      <c r="K47" s="97">
        <f t="shared" si="22"/>
        <v>8000</v>
      </c>
      <c r="L47" s="97">
        <f t="shared" si="22"/>
        <v>500</v>
      </c>
      <c r="M47" s="97">
        <f t="shared" si="22"/>
        <v>0</v>
      </c>
      <c r="N47" s="97">
        <f t="shared" si="22"/>
        <v>4500</v>
      </c>
      <c r="O47" s="97">
        <f t="shared" si="22"/>
        <v>10000</v>
      </c>
      <c r="P47" s="97">
        <f t="shared" si="22"/>
        <v>6700</v>
      </c>
      <c r="Q47" s="97">
        <f t="shared" si="22"/>
        <v>3600</v>
      </c>
      <c r="R47" s="97">
        <f t="shared" si="22"/>
        <v>3000</v>
      </c>
      <c r="S47" s="97">
        <f t="shared" si="22"/>
        <v>4800</v>
      </c>
      <c r="T47" s="97">
        <f t="shared" si="22"/>
        <v>2400</v>
      </c>
      <c r="U47" s="97">
        <f t="shared" si="22"/>
        <v>600</v>
      </c>
      <c r="V47" s="94">
        <f t="shared" si="1"/>
        <v>80700</v>
      </c>
    </row>
    <row r="48" spans="1:22" ht="11.25">
      <c r="A48" s="33" t="s">
        <v>286</v>
      </c>
      <c r="B48" s="34" t="s">
        <v>287</v>
      </c>
      <c r="C48" s="34" t="s">
        <v>189</v>
      </c>
      <c r="D48" s="35" t="s">
        <v>288</v>
      </c>
      <c r="E48" s="121">
        <v>6000</v>
      </c>
      <c r="F48" s="121">
        <v>9000</v>
      </c>
      <c r="G48" s="96">
        <v>6000</v>
      </c>
      <c r="H48" s="122">
        <v>10800</v>
      </c>
      <c r="I48" s="37">
        <v>1800</v>
      </c>
      <c r="J48" s="121">
        <v>3000</v>
      </c>
      <c r="K48" s="121">
        <v>8000</v>
      </c>
      <c r="L48" s="122">
        <f>50*10</f>
        <v>500</v>
      </c>
      <c r="M48" s="122"/>
      <c r="N48" s="122">
        <v>4500</v>
      </c>
      <c r="O48" s="96">
        <v>10000</v>
      </c>
      <c r="P48" s="37">
        <v>6700</v>
      </c>
      <c r="Q48" s="96">
        <f>300*12</f>
        <v>3600</v>
      </c>
      <c r="R48" s="37">
        <v>3000</v>
      </c>
      <c r="S48" s="37">
        <v>4800</v>
      </c>
      <c r="T48" s="37">
        <v>2400</v>
      </c>
      <c r="U48" s="37">
        <v>600</v>
      </c>
      <c r="V48" s="94">
        <f t="shared" si="1"/>
        <v>80700</v>
      </c>
    </row>
    <row r="49" spans="1:22" s="40" customFormat="1" ht="11.25">
      <c r="A49" s="33" t="s">
        <v>289</v>
      </c>
      <c r="B49" s="38" t="s">
        <v>290</v>
      </c>
      <c r="C49" s="38" t="s">
        <v>189</v>
      </c>
      <c r="D49" s="39" t="s">
        <v>291</v>
      </c>
      <c r="E49" s="118"/>
      <c r="F49" s="118"/>
      <c r="G49" s="119"/>
      <c r="H49" s="118"/>
      <c r="I49" s="46"/>
      <c r="J49" s="120"/>
      <c r="K49" s="120"/>
      <c r="L49" s="118"/>
      <c r="M49" s="118"/>
      <c r="N49" s="118"/>
      <c r="O49" s="119"/>
      <c r="P49" s="46"/>
      <c r="Q49" s="119">
        <v>0</v>
      </c>
      <c r="R49" s="46"/>
      <c r="S49" s="46"/>
      <c r="T49" s="46">
        <v>0</v>
      </c>
      <c r="U49" s="46"/>
      <c r="V49" s="94">
        <f t="shared" si="1"/>
        <v>0</v>
      </c>
    </row>
    <row r="50" spans="1:22" s="40" customFormat="1" ht="11.25">
      <c r="A50" s="33" t="s">
        <v>292</v>
      </c>
      <c r="B50" s="38" t="s">
        <v>293</v>
      </c>
      <c r="C50" s="38" t="s">
        <v>189</v>
      </c>
      <c r="D50" s="39" t="s">
        <v>291</v>
      </c>
      <c r="E50" s="118"/>
      <c r="F50" s="118"/>
      <c r="G50" s="119"/>
      <c r="H50" s="118"/>
      <c r="I50" s="46"/>
      <c r="J50" s="120"/>
      <c r="K50" s="120"/>
      <c r="L50" s="118"/>
      <c r="M50" s="118"/>
      <c r="N50" s="118"/>
      <c r="O50" s="119"/>
      <c r="P50" s="46"/>
      <c r="Q50" s="119">
        <v>0</v>
      </c>
      <c r="R50" s="46"/>
      <c r="S50" s="46"/>
      <c r="T50" s="46">
        <v>0</v>
      </c>
      <c r="U50" s="46"/>
      <c r="V50" s="94">
        <f t="shared" si="1"/>
        <v>0</v>
      </c>
    </row>
    <row r="51" spans="1:22" ht="22.5">
      <c r="A51" s="33" t="s">
        <v>294</v>
      </c>
      <c r="B51" s="34" t="s">
        <v>295</v>
      </c>
      <c r="C51" s="34" t="s">
        <v>189</v>
      </c>
      <c r="D51" s="42" t="s">
        <v>296</v>
      </c>
      <c r="E51" s="113"/>
      <c r="F51" s="113"/>
      <c r="G51" s="114"/>
      <c r="H51" s="113"/>
      <c r="I51" s="43"/>
      <c r="J51" s="115"/>
      <c r="K51" s="115"/>
      <c r="L51" s="113"/>
      <c r="M51" s="113"/>
      <c r="N51" s="113"/>
      <c r="O51" s="114"/>
      <c r="P51" s="43"/>
      <c r="Q51" s="114"/>
      <c r="R51" s="43"/>
      <c r="S51" s="43"/>
      <c r="T51" s="43"/>
      <c r="U51" s="43"/>
      <c r="V51" s="94">
        <f t="shared" si="1"/>
        <v>0</v>
      </c>
    </row>
    <row r="52" spans="1:22" s="125" customFormat="1" ht="11.25">
      <c r="A52" s="101" t="s">
        <v>297</v>
      </c>
      <c r="B52" s="123" t="s">
        <v>298</v>
      </c>
      <c r="C52" s="123"/>
      <c r="D52" s="124" t="s">
        <v>183</v>
      </c>
      <c r="E52" s="100">
        <f>E53+E71+E73+E75+E77+E79+E81+E83+E85+E93</f>
        <v>3942575.4</v>
      </c>
      <c r="F52" s="100">
        <f t="shared" ref="F52:U52" si="23">F53+F71+F73+F75+F77+F79+F81+F83+F85+F93</f>
        <v>3785730.6</v>
      </c>
      <c r="G52" s="100">
        <f t="shared" si="23"/>
        <v>2639022.9</v>
      </c>
      <c r="H52" s="100">
        <f t="shared" si="23"/>
        <v>2718746.39</v>
      </c>
      <c r="I52" s="100">
        <f t="shared" si="23"/>
        <v>5916868.8499999996</v>
      </c>
      <c r="J52" s="100">
        <f t="shared" si="23"/>
        <v>4253555.3</v>
      </c>
      <c r="K52" s="100">
        <f t="shared" si="23"/>
        <v>4797288</v>
      </c>
      <c r="L52" s="100">
        <f t="shared" si="23"/>
        <v>2346344.15</v>
      </c>
      <c r="M52" s="100">
        <f t="shared" si="23"/>
        <v>2468193.5500000003</v>
      </c>
      <c r="N52" s="100">
        <f t="shared" si="23"/>
        <v>2561896.75</v>
      </c>
      <c r="O52" s="100">
        <f t="shared" si="23"/>
        <v>3189106.7</v>
      </c>
      <c r="P52" s="100">
        <f t="shared" si="23"/>
        <v>3601508.8</v>
      </c>
      <c r="Q52" s="100">
        <f t="shared" si="23"/>
        <v>2152876.7999999998</v>
      </c>
      <c r="R52" s="100">
        <f t="shared" si="23"/>
        <v>1113226.45</v>
      </c>
      <c r="S52" s="100">
        <f t="shared" si="23"/>
        <v>2171715.92</v>
      </c>
      <c r="T52" s="100">
        <f t="shared" si="23"/>
        <v>1089320</v>
      </c>
      <c r="U52" s="100">
        <f t="shared" si="23"/>
        <v>463880</v>
      </c>
      <c r="V52" s="104">
        <f t="shared" si="1"/>
        <v>49211856.560000002</v>
      </c>
    </row>
    <row r="53" spans="1:22" ht="11.25">
      <c r="A53" s="33" t="s">
        <v>299</v>
      </c>
      <c r="B53" s="34" t="s">
        <v>300</v>
      </c>
      <c r="C53" s="34"/>
      <c r="D53" s="35" t="s">
        <v>301</v>
      </c>
      <c r="E53" s="97">
        <f t="shared" ref="E53:J53" si="24">SUM(E54:E70)</f>
        <v>2484720</v>
      </c>
      <c r="F53" s="97">
        <f t="shared" si="24"/>
        <v>2433780</v>
      </c>
      <c r="G53" s="97">
        <f t="shared" si="24"/>
        <v>1794210</v>
      </c>
      <c r="H53" s="97">
        <f t="shared" si="24"/>
        <v>1679100</v>
      </c>
      <c r="I53" s="36">
        <f t="shared" si="24"/>
        <v>4166760</v>
      </c>
      <c r="J53" s="99">
        <f t="shared" si="24"/>
        <v>2758070</v>
      </c>
      <c r="K53" s="99">
        <f>K54+K55+K56+K57+K58+K59+K60+K61+K62+K63+K64+K65+K66+K67+K68+K69+K70</f>
        <v>3609930</v>
      </c>
      <c r="L53" s="107">
        <f>SUM(L54:L70)</f>
        <v>1637160</v>
      </c>
      <c r="M53" s="97">
        <v>1786160</v>
      </c>
      <c r="N53" s="97">
        <f>SUM(N54:N70)</f>
        <v>1800820</v>
      </c>
      <c r="O53" s="97">
        <f>SUM(O54:O70)</f>
        <v>2295580</v>
      </c>
      <c r="P53" s="36">
        <f>SUM(P54:P70)</f>
        <v>2722520</v>
      </c>
      <c r="Q53" s="36">
        <v>1636740</v>
      </c>
      <c r="R53" s="36">
        <f>SUM(R54:R70)</f>
        <v>798000</v>
      </c>
      <c r="S53" s="36">
        <f>SUM(S54:S70)</f>
        <v>1601820</v>
      </c>
      <c r="T53" s="36">
        <f>SUM(T54:T70)</f>
        <v>861840</v>
      </c>
      <c r="U53" s="36">
        <f>SUM(U54:U70)</f>
        <v>192000</v>
      </c>
      <c r="V53" s="94">
        <f t="shared" si="1"/>
        <v>34259210</v>
      </c>
    </row>
    <row r="54" spans="1:22" ht="11.25">
      <c r="A54" s="33" t="s">
        <v>302</v>
      </c>
      <c r="B54" s="34" t="s">
        <v>303</v>
      </c>
      <c r="C54" s="34" t="s">
        <v>189</v>
      </c>
      <c r="D54" s="47"/>
      <c r="E54" s="96">
        <v>300000</v>
      </c>
      <c r="F54" s="96">
        <v>600000</v>
      </c>
      <c r="G54" s="96">
        <v>650499.5</v>
      </c>
      <c r="H54" s="37">
        <v>360000</v>
      </c>
      <c r="I54" s="37">
        <f>426413+556971+5605</f>
        <v>988989</v>
      </c>
      <c r="J54" s="96">
        <v>353471</v>
      </c>
      <c r="K54" s="121">
        <v>1984433.5</v>
      </c>
      <c r="L54" s="89">
        <v>322618</v>
      </c>
      <c r="M54" s="96">
        <v>390000</v>
      </c>
      <c r="N54" s="96">
        <f>500000+5054</f>
        <v>505054</v>
      </c>
      <c r="O54" s="96">
        <v>528801</v>
      </c>
      <c r="P54" s="37">
        <f>794715.62-22160+507</f>
        <v>773062.62</v>
      </c>
      <c r="Q54" s="96">
        <v>285529</v>
      </c>
      <c r="R54" s="37">
        <v>149000</v>
      </c>
      <c r="S54" s="37">
        <v>495506</v>
      </c>
      <c r="T54" s="37">
        <v>160648</v>
      </c>
      <c r="U54" s="37">
        <v>46400</v>
      </c>
      <c r="V54" s="94">
        <f t="shared" si="1"/>
        <v>8894011.620000001</v>
      </c>
    </row>
    <row r="55" spans="1:22" ht="11.25">
      <c r="A55" s="33" t="s">
        <v>304</v>
      </c>
      <c r="B55" s="34" t="s">
        <v>305</v>
      </c>
      <c r="C55" s="34" t="s">
        <v>189</v>
      </c>
      <c r="D55" s="47"/>
      <c r="E55" s="96">
        <v>300000</v>
      </c>
      <c r="F55" s="96">
        <v>200000</v>
      </c>
      <c r="G55" s="96">
        <v>200000</v>
      </c>
      <c r="H55" s="37">
        <v>150000</v>
      </c>
      <c r="I55" s="37">
        <v>20000</v>
      </c>
      <c r="J55" s="96">
        <v>100000</v>
      </c>
      <c r="K55" s="121">
        <v>100000</v>
      </c>
      <c r="L55" s="37">
        <v>14000</v>
      </c>
      <c r="M55" s="96">
        <v>30000</v>
      </c>
      <c r="N55" s="96"/>
      <c r="O55" s="96"/>
      <c r="P55" s="37">
        <v>59701.5</v>
      </c>
      <c r="Q55" s="96">
        <v>10000</v>
      </c>
      <c r="R55" s="37">
        <v>1000</v>
      </c>
      <c r="S55" s="37">
        <v>5000</v>
      </c>
      <c r="T55" s="37">
        <v>10000</v>
      </c>
      <c r="U55" s="37"/>
      <c r="V55" s="94">
        <f t="shared" si="1"/>
        <v>1199701.5</v>
      </c>
    </row>
    <row r="56" spans="1:22" ht="11.25">
      <c r="A56" s="33" t="s">
        <v>306</v>
      </c>
      <c r="B56" s="34" t="s">
        <v>307</v>
      </c>
      <c r="C56" s="34" t="s">
        <v>189</v>
      </c>
      <c r="D56" s="47"/>
      <c r="E56" s="96">
        <v>15000</v>
      </c>
      <c r="F56" s="96">
        <v>20000</v>
      </c>
      <c r="G56" s="96">
        <v>25000</v>
      </c>
      <c r="H56" s="37">
        <v>12000</v>
      </c>
      <c r="I56" s="37">
        <v>30000</v>
      </c>
      <c r="J56" s="96">
        <v>17000</v>
      </c>
      <c r="K56" s="121">
        <v>90000</v>
      </c>
      <c r="L56" s="37">
        <v>12900</v>
      </c>
      <c r="M56" s="96">
        <v>40000</v>
      </c>
      <c r="N56" s="96">
        <v>5000</v>
      </c>
      <c r="O56" s="96">
        <v>20000</v>
      </c>
      <c r="P56" s="37">
        <v>330</v>
      </c>
      <c r="Q56" s="96">
        <v>15000</v>
      </c>
      <c r="R56" s="37">
        <v>12000</v>
      </c>
      <c r="S56" s="37">
        <v>12000</v>
      </c>
      <c r="T56" s="37">
        <v>15000</v>
      </c>
      <c r="U56" s="37"/>
      <c r="V56" s="94">
        <f t="shared" si="1"/>
        <v>341230</v>
      </c>
    </row>
    <row r="57" spans="1:22" ht="11.25">
      <c r="A57" s="33" t="s">
        <v>308</v>
      </c>
      <c r="B57" s="34" t="s">
        <v>309</v>
      </c>
      <c r="C57" s="34" t="s">
        <v>189</v>
      </c>
      <c r="D57" s="47"/>
      <c r="E57" s="96">
        <v>80000</v>
      </c>
      <c r="F57" s="96">
        <v>60000</v>
      </c>
      <c r="G57" s="96">
        <v>50000</v>
      </c>
      <c r="H57" s="37">
        <v>100000</v>
      </c>
      <c r="I57" s="37">
        <v>30000</v>
      </c>
      <c r="J57" s="96">
        <v>100000</v>
      </c>
      <c r="K57" s="121">
        <v>100000</v>
      </c>
      <c r="L57" s="37">
        <v>42000</v>
      </c>
      <c r="M57" s="96">
        <v>20000</v>
      </c>
      <c r="N57" s="96">
        <v>25000</v>
      </c>
      <c r="O57" s="96">
        <v>50000</v>
      </c>
      <c r="P57" s="37">
        <v>26231.21</v>
      </c>
      <c r="Q57" s="96">
        <v>25000</v>
      </c>
      <c r="R57" s="37">
        <v>20000</v>
      </c>
      <c r="S57" s="37">
        <v>23000</v>
      </c>
      <c r="T57" s="37">
        <v>20000</v>
      </c>
      <c r="U57" s="37">
        <v>11000</v>
      </c>
      <c r="V57" s="94">
        <f t="shared" si="1"/>
        <v>782231.21</v>
      </c>
    </row>
    <row r="58" spans="1:22" ht="11.25">
      <c r="A58" s="33" t="s">
        <v>310</v>
      </c>
      <c r="B58" s="34" t="s">
        <v>311</v>
      </c>
      <c r="C58" s="34" t="s">
        <v>189</v>
      </c>
      <c r="D58" s="47"/>
      <c r="E58" s="121">
        <v>180000</v>
      </c>
      <c r="F58" s="121">
        <v>150000</v>
      </c>
      <c r="G58" s="96">
        <v>134000</v>
      </c>
      <c r="H58" s="122">
        <v>450000</v>
      </c>
      <c r="I58" s="37">
        <v>160000</v>
      </c>
      <c r="J58" s="121">
        <v>180000</v>
      </c>
      <c r="K58" s="121">
        <v>200000</v>
      </c>
      <c r="L58" s="122">
        <v>132000</v>
      </c>
      <c r="M58" s="121">
        <v>140000</v>
      </c>
      <c r="N58" s="121">
        <v>200000</v>
      </c>
      <c r="O58" s="96">
        <v>200000</v>
      </c>
      <c r="P58" s="37">
        <v>144401.51999999999</v>
      </c>
      <c r="Q58" s="96">
        <v>100000</v>
      </c>
      <c r="R58" s="37">
        <v>90000</v>
      </c>
      <c r="S58" s="37">
        <v>200000</v>
      </c>
      <c r="T58" s="37">
        <v>30000</v>
      </c>
      <c r="U58" s="37">
        <v>30000</v>
      </c>
      <c r="V58" s="94">
        <f t="shared" si="1"/>
        <v>2720401.52</v>
      </c>
    </row>
    <row r="59" spans="1:22" ht="11.25">
      <c r="A59" s="33" t="s">
        <v>312</v>
      </c>
      <c r="B59" s="34" t="s">
        <v>313</v>
      </c>
      <c r="C59" s="34" t="s">
        <v>189</v>
      </c>
      <c r="D59" s="47"/>
      <c r="E59" s="121">
        <v>180000</v>
      </c>
      <c r="F59" s="121">
        <v>10000</v>
      </c>
      <c r="G59" s="96">
        <v>4500</v>
      </c>
      <c r="H59" s="122">
        <v>20000</v>
      </c>
      <c r="I59" s="37">
        <v>13000</v>
      </c>
      <c r="J59" s="121">
        <v>4000</v>
      </c>
      <c r="K59" s="121">
        <v>10000</v>
      </c>
      <c r="L59" s="122">
        <v>59000</v>
      </c>
      <c r="M59" s="121">
        <v>5000</v>
      </c>
      <c r="N59" s="121">
        <v>20000</v>
      </c>
      <c r="O59" s="96">
        <v>10000</v>
      </c>
      <c r="P59" s="37">
        <v>3923.4</v>
      </c>
      <c r="Q59" s="96">
        <v>10000</v>
      </c>
      <c r="R59" s="37">
        <v>2300</v>
      </c>
      <c r="S59" s="37">
        <v>4500</v>
      </c>
      <c r="T59" s="37">
        <v>10000</v>
      </c>
      <c r="U59" s="37">
        <v>20000</v>
      </c>
      <c r="V59" s="94">
        <f t="shared" si="1"/>
        <v>386223.4</v>
      </c>
    </row>
    <row r="60" spans="1:22" ht="11.25">
      <c r="A60" s="33" t="s">
        <v>314</v>
      </c>
      <c r="B60" s="34" t="s">
        <v>315</v>
      </c>
      <c r="C60" s="34" t="s">
        <v>189</v>
      </c>
      <c r="D60" s="47"/>
      <c r="E60" s="121">
        <v>50000</v>
      </c>
      <c r="F60" s="121">
        <v>60000</v>
      </c>
      <c r="G60" s="96">
        <v>5000</v>
      </c>
      <c r="H60" s="122">
        <v>20000</v>
      </c>
      <c r="I60" s="37">
        <v>4000</v>
      </c>
      <c r="J60" s="121">
        <v>10000</v>
      </c>
      <c r="K60" s="121">
        <v>10000</v>
      </c>
      <c r="L60" s="122">
        <v>20000</v>
      </c>
      <c r="M60" s="121">
        <v>10000</v>
      </c>
      <c r="N60" s="121">
        <v>2000</v>
      </c>
      <c r="O60" s="96">
        <v>10000</v>
      </c>
      <c r="P60" s="37">
        <v>2557.5</v>
      </c>
      <c r="Q60" s="96">
        <v>5000</v>
      </c>
      <c r="R60" s="37">
        <v>4000</v>
      </c>
      <c r="S60" s="37">
        <v>4000</v>
      </c>
      <c r="T60" s="37">
        <v>5000</v>
      </c>
      <c r="U60" s="37"/>
      <c r="V60" s="94">
        <f t="shared" si="1"/>
        <v>221557.5</v>
      </c>
    </row>
    <row r="61" spans="1:22" ht="11.25">
      <c r="A61" s="33" t="s">
        <v>316</v>
      </c>
      <c r="B61" s="34" t="s">
        <v>317</v>
      </c>
      <c r="C61" s="34" t="s">
        <v>189</v>
      </c>
      <c r="D61" s="47"/>
      <c r="E61" s="121">
        <v>200000</v>
      </c>
      <c r="F61" s="121">
        <v>300000</v>
      </c>
      <c r="G61" s="96">
        <v>200000</v>
      </c>
      <c r="H61" s="122">
        <v>100000</v>
      </c>
      <c r="I61" s="37">
        <f>1000000+181309.5</f>
        <v>1181309.5</v>
      </c>
      <c r="J61" s="121">
        <v>350000</v>
      </c>
      <c r="K61" s="121">
        <v>50000</v>
      </c>
      <c r="L61" s="122">
        <v>150000</v>
      </c>
      <c r="M61" s="121">
        <v>145000</v>
      </c>
      <c r="N61" s="121">
        <v>300000</v>
      </c>
      <c r="O61" s="96">
        <v>400000</v>
      </c>
      <c r="P61" s="37">
        <v>69795</v>
      </c>
      <c r="Q61" s="96">
        <v>300000</v>
      </c>
      <c r="R61" s="37">
        <v>180000</v>
      </c>
      <c r="S61" s="37">
        <v>319567</v>
      </c>
      <c r="T61" s="37">
        <v>50000</v>
      </c>
      <c r="U61" s="37">
        <v>40000</v>
      </c>
      <c r="V61" s="94">
        <f t="shared" si="1"/>
        <v>4335671.5</v>
      </c>
    </row>
    <row r="62" spans="1:22" ht="11.25">
      <c r="A62" s="33" t="s">
        <v>318</v>
      </c>
      <c r="B62" s="34" t="s">
        <v>319</v>
      </c>
      <c r="C62" s="34" t="s">
        <v>189</v>
      </c>
      <c r="D62" s="47"/>
      <c r="E62" s="121"/>
      <c r="F62" s="121"/>
      <c r="G62" s="96"/>
      <c r="H62" s="122"/>
      <c r="I62" s="37"/>
      <c r="J62" s="121"/>
      <c r="K62" s="121">
        <v>5000</v>
      </c>
      <c r="L62" s="122"/>
      <c r="M62" s="121"/>
      <c r="N62" s="121"/>
      <c r="O62" s="96"/>
      <c r="P62" s="37">
        <v>0</v>
      </c>
      <c r="Q62" s="96"/>
      <c r="R62" s="37"/>
      <c r="S62" s="37"/>
      <c r="T62" s="37"/>
      <c r="U62" s="37"/>
      <c r="V62" s="94">
        <f t="shared" si="1"/>
        <v>5000</v>
      </c>
    </row>
    <row r="63" spans="1:22" ht="11.25">
      <c r="A63" s="33" t="s">
        <v>320</v>
      </c>
      <c r="B63" s="34" t="s">
        <v>321</v>
      </c>
      <c r="C63" s="34" t="s">
        <v>322</v>
      </c>
      <c r="D63" s="47" t="s">
        <v>323</v>
      </c>
      <c r="E63" s="121">
        <v>124236</v>
      </c>
      <c r="F63" s="121">
        <f>121124+565</f>
        <v>121689</v>
      </c>
      <c r="G63" s="96">
        <v>89710.5</v>
      </c>
      <c r="H63" s="126">
        <v>31034</v>
      </c>
      <c r="I63" s="37">
        <v>176461.5</v>
      </c>
      <c r="J63" s="121">
        <v>137903.5</v>
      </c>
      <c r="K63" s="121">
        <v>180496.5</v>
      </c>
      <c r="L63" s="89">
        <v>64642</v>
      </c>
      <c r="M63" s="121">
        <v>89308</v>
      </c>
      <c r="N63" s="121">
        <v>90041</v>
      </c>
      <c r="O63" s="96">
        <v>114779</v>
      </c>
      <c r="P63" s="37">
        <v>114314</v>
      </c>
      <c r="Q63" s="96">
        <v>67473</v>
      </c>
      <c r="R63" s="37">
        <v>36309</v>
      </c>
      <c r="S63" s="37">
        <v>52427</v>
      </c>
      <c r="T63" s="37">
        <v>43092</v>
      </c>
      <c r="U63" s="37">
        <v>9600</v>
      </c>
      <c r="V63" s="94">
        <f t="shared" si="1"/>
        <v>1543516</v>
      </c>
    </row>
    <row r="64" spans="1:22" ht="11.25">
      <c r="A64" s="33" t="s">
        <v>324</v>
      </c>
      <c r="B64" s="34" t="s">
        <v>325</v>
      </c>
      <c r="C64" s="34" t="s">
        <v>189</v>
      </c>
      <c r="D64" s="47"/>
      <c r="E64" s="121"/>
      <c r="F64" s="121"/>
      <c r="G64" s="96"/>
      <c r="H64" s="122">
        <v>10000</v>
      </c>
      <c r="I64" s="37"/>
      <c r="J64" s="121">
        <v>20000</v>
      </c>
      <c r="K64" s="121">
        <v>20000</v>
      </c>
      <c r="L64" s="122">
        <v>5000</v>
      </c>
      <c r="M64" s="121">
        <v>1000</v>
      </c>
      <c r="N64" s="121">
        <v>12000</v>
      </c>
      <c r="O64" s="96">
        <v>12000</v>
      </c>
      <c r="P64" s="37">
        <v>20000</v>
      </c>
      <c r="Q64" s="96">
        <v>6000</v>
      </c>
      <c r="R64" s="37"/>
      <c r="S64" s="37"/>
      <c r="T64" s="37">
        <v>1000</v>
      </c>
      <c r="U64" s="37"/>
      <c r="V64" s="94">
        <f t="shared" si="1"/>
        <v>107000</v>
      </c>
    </row>
    <row r="65" spans="1:22" ht="11.25">
      <c r="A65" s="33" t="s">
        <v>326</v>
      </c>
      <c r="B65" s="34" t="s">
        <v>327</v>
      </c>
      <c r="C65" s="34" t="s">
        <v>189</v>
      </c>
      <c r="D65" s="47"/>
      <c r="E65" s="121">
        <v>100000</v>
      </c>
      <c r="F65" s="121"/>
      <c r="G65" s="96">
        <v>150000</v>
      </c>
      <c r="H65" s="122">
        <v>60000</v>
      </c>
      <c r="I65" s="37">
        <v>500000</v>
      </c>
      <c r="J65" s="121">
        <v>350000</v>
      </c>
      <c r="K65" s="121">
        <v>20000</v>
      </c>
      <c r="L65" s="122">
        <v>200000</v>
      </c>
      <c r="M65" s="121">
        <v>100000</v>
      </c>
      <c r="N65" s="121">
        <v>141725</v>
      </c>
      <c r="O65" s="96">
        <v>200000</v>
      </c>
      <c r="P65" s="37">
        <v>667091.89999999991</v>
      </c>
      <c r="Q65" s="96">
        <v>30000</v>
      </c>
      <c r="R65" s="37">
        <v>32000</v>
      </c>
      <c r="S65" s="37">
        <v>150000</v>
      </c>
      <c r="T65" s="37">
        <v>127100</v>
      </c>
      <c r="U65" s="37"/>
      <c r="V65" s="94">
        <f t="shared" si="1"/>
        <v>2827916.9</v>
      </c>
    </row>
    <row r="66" spans="1:22" ht="11.25">
      <c r="A66" s="33" t="s">
        <v>328</v>
      </c>
      <c r="B66" s="34" t="s">
        <v>329</v>
      </c>
      <c r="C66" s="34" t="s">
        <v>189</v>
      </c>
      <c r="D66" s="47"/>
      <c r="E66" s="121">
        <v>50000</v>
      </c>
      <c r="F66" s="121">
        <v>20000</v>
      </c>
      <c r="G66" s="96">
        <v>5000</v>
      </c>
      <c r="H66" s="122">
        <v>100000</v>
      </c>
      <c r="I66" s="37">
        <v>3000</v>
      </c>
      <c r="J66" s="121">
        <v>40000</v>
      </c>
      <c r="K66" s="121">
        <v>150000</v>
      </c>
      <c r="L66" s="122">
        <v>50000</v>
      </c>
      <c r="M66" s="121">
        <v>50000</v>
      </c>
      <c r="N66" s="121"/>
      <c r="O66" s="96">
        <v>50000</v>
      </c>
      <c r="P66" s="37">
        <v>9130</v>
      </c>
      <c r="Q66" s="96">
        <v>5000</v>
      </c>
      <c r="R66" s="37">
        <v>1000</v>
      </c>
      <c r="S66" s="37">
        <v>5000</v>
      </c>
      <c r="T66" s="37">
        <v>10000</v>
      </c>
      <c r="U66" s="37">
        <v>20000</v>
      </c>
      <c r="V66" s="94">
        <f t="shared" si="1"/>
        <v>568130</v>
      </c>
    </row>
    <row r="67" spans="1:22" ht="11.25">
      <c r="A67" s="33" t="s">
        <v>330</v>
      </c>
      <c r="B67" s="34" t="s">
        <v>331</v>
      </c>
      <c r="C67" s="34" t="s">
        <v>189</v>
      </c>
      <c r="D67" s="47"/>
      <c r="E67" s="121"/>
      <c r="F67" s="121">
        <v>1000</v>
      </c>
      <c r="G67" s="96">
        <v>500</v>
      </c>
      <c r="H67" s="122"/>
      <c r="I67" s="37"/>
      <c r="J67" s="121"/>
      <c r="K67" s="121"/>
      <c r="L67" s="122"/>
      <c r="M67" s="121"/>
      <c r="N67" s="121"/>
      <c r="O67" s="96"/>
      <c r="P67" s="37">
        <v>0</v>
      </c>
      <c r="Q67" s="96">
        <v>10000</v>
      </c>
      <c r="R67" s="37"/>
      <c r="S67" s="37">
        <v>5000</v>
      </c>
      <c r="T67" s="37"/>
      <c r="U67" s="37"/>
      <c r="V67" s="94">
        <f t="shared" ref="V67:V109" si="25">SUM(E67:U67)</f>
        <v>16500</v>
      </c>
    </row>
    <row r="68" spans="1:22" ht="11.25">
      <c r="A68" s="33" t="s">
        <v>332</v>
      </c>
      <c r="B68" s="34" t="s">
        <v>333</v>
      </c>
      <c r="C68" s="34" t="s">
        <v>189</v>
      </c>
      <c r="D68" s="47"/>
      <c r="E68" s="121">
        <f>472064+2120+11300</f>
        <v>485484</v>
      </c>
      <c r="F68" s="121">
        <f>780356-565+11300</f>
        <v>791091</v>
      </c>
      <c r="G68" s="96">
        <v>200000</v>
      </c>
      <c r="H68" s="126">
        <v>106066</v>
      </c>
      <c r="I68" s="37">
        <v>500000</v>
      </c>
      <c r="J68" s="121">
        <v>595695.5</v>
      </c>
      <c r="K68" s="121">
        <v>650000</v>
      </c>
      <c r="L68" s="122">
        <v>400000</v>
      </c>
      <c r="M68" s="121">
        <v>515852</v>
      </c>
      <c r="N68" s="121">
        <v>200000</v>
      </c>
      <c r="O68" s="96">
        <v>300000</v>
      </c>
      <c r="P68" s="37">
        <v>398341.35</v>
      </c>
      <c r="Q68" s="96">
        <v>537738</v>
      </c>
      <c r="R68" s="37">
        <v>230391</v>
      </c>
      <c r="S68" s="37">
        <f>200000+5820</f>
        <v>205820</v>
      </c>
      <c r="T68" s="37">
        <v>100000</v>
      </c>
      <c r="U68" s="37">
        <v>15000</v>
      </c>
      <c r="V68" s="94">
        <f t="shared" si="25"/>
        <v>6231478.8499999996</v>
      </c>
    </row>
    <row r="69" spans="1:22" ht="11.25">
      <c r="A69" s="33" t="s">
        <v>334</v>
      </c>
      <c r="B69" s="34" t="s">
        <v>335</v>
      </c>
      <c r="C69" s="34" t="s">
        <v>189</v>
      </c>
      <c r="D69" s="47"/>
      <c r="E69" s="121">
        <v>260000</v>
      </c>
      <c r="F69" s="121">
        <v>50000</v>
      </c>
      <c r="G69" s="96">
        <v>50000</v>
      </c>
      <c r="H69" s="122">
        <v>100000</v>
      </c>
      <c r="I69" s="37">
        <v>500000</v>
      </c>
      <c r="J69" s="121">
        <v>300000</v>
      </c>
      <c r="K69" s="121">
        <v>20000</v>
      </c>
      <c r="L69" s="122">
        <v>115000</v>
      </c>
      <c r="M69" s="121">
        <v>200000</v>
      </c>
      <c r="N69" s="121">
        <v>200000</v>
      </c>
      <c r="O69" s="96">
        <v>200000</v>
      </c>
      <c r="P69" s="37">
        <v>240855</v>
      </c>
      <c r="Q69" s="96">
        <v>150000</v>
      </c>
      <c r="R69" s="37">
        <v>25000</v>
      </c>
      <c r="S69" s="37">
        <v>60000</v>
      </c>
      <c r="T69" s="37">
        <v>180000</v>
      </c>
      <c r="U69" s="37"/>
      <c r="V69" s="94">
        <f t="shared" si="25"/>
        <v>2650855</v>
      </c>
    </row>
    <row r="70" spans="1:22" ht="11.25">
      <c r="A70" s="33" t="s">
        <v>336</v>
      </c>
      <c r="B70" s="34" t="s">
        <v>337</v>
      </c>
      <c r="C70" s="34" t="s">
        <v>189</v>
      </c>
      <c r="D70" s="47"/>
      <c r="E70" s="121">
        <v>160000</v>
      </c>
      <c r="F70" s="121">
        <v>50000</v>
      </c>
      <c r="G70" s="96">
        <v>30000</v>
      </c>
      <c r="H70" s="122">
        <v>60000</v>
      </c>
      <c r="I70" s="37">
        <v>60000</v>
      </c>
      <c r="J70" s="121">
        <v>200000</v>
      </c>
      <c r="K70" s="121">
        <v>20000</v>
      </c>
      <c r="L70" s="122">
        <v>50000</v>
      </c>
      <c r="M70" s="121">
        <v>50000</v>
      </c>
      <c r="N70" s="121">
        <v>100000</v>
      </c>
      <c r="O70" s="96">
        <v>200000</v>
      </c>
      <c r="P70" s="37">
        <v>192785</v>
      </c>
      <c r="Q70" s="96">
        <v>80000</v>
      </c>
      <c r="R70" s="37">
        <v>15000</v>
      </c>
      <c r="S70" s="37">
        <v>60000</v>
      </c>
      <c r="T70" s="37">
        <v>100000</v>
      </c>
      <c r="U70" s="37"/>
      <c r="V70" s="94">
        <f t="shared" si="25"/>
        <v>1427785</v>
      </c>
    </row>
    <row r="71" spans="1:22" ht="11.25">
      <c r="A71" s="33" t="s">
        <v>338</v>
      </c>
      <c r="B71" s="34" t="s">
        <v>339</v>
      </c>
      <c r="C71" s="34"/>
      <c r="D71" s="35"/>
      <c r="E71" s="97">
        <f>E72</f>
        <v>34800</v>
      </c>
      <c r="F71" s="97">
        <f t="shared" ref="F71:U71" si="26">F72</f>
        <v>33600</v>
      </c>
      <c r="G71" s="97">
        <f t="shared" si="26"/>
        <v>24400</v>
      </c>
      <c r="H71" s="97">
        <f t="shared" si="26"/>
        <v>7200</v>
      </c>
      <c r="I71" s="97">
        <f t="shared" si="26"/>
        <v>33200</v>
      </c>
      <c r="J71" s="97">
        <f t="shared" si="26"/>
        <v>31200</v>
      </c>
      <c r="K71" s="97">
        <f t="shared" si="26"/>
        <v>34400</v>
      </c>
      <c r="L71" s="97">
        <f t="shared" si="26"/>
        <v>16000</v>
      </c>
      <c r="M71" s="97">
        <f t="shared" si="26"/>
        <v>19200</v>
      </c>
      <c r="N71" s="97">
        <f t="shared" si="26"/>
        <v>23200</v>
      </c>
      <c r="O71" s="97">
        <f t="shared" si="26"/>
        <v>25600</v>
      </c>
      <c r="P71" s="97">
        <f t="shared" si="26"/>
        <v>25600</v>
      </c>
      <c r="Q71" s="97">
        <f t="shared" si="26"/>
        <v>12000</v>
      </c>
      <c r="R71" s="97">
        <f t="shared" si="26"/>
        <v>8800</v>
      </c>
      <c r="S71" s="97">
        <f t="shared" si="26"/>
        <v>16400</v>
      </c>
      <c r="T71" s="97">
        <f t="shared" si="26"/>
        <v>4400</v>
      </c>
      <c r="U71" s="97">
        <f t="shared" si="26"/>
        <v>2400</v>
      </c>
      <c r="V71" s="94">
        <f t="shared" si="25"/>
        <v>352400</v>
      </c>
    </row>
    <row r="72" spans="1:22" s="40" customFormat="1" ht="11.25">
      <c r="A72" s="33" t="s">
        <v>340</v>
      </c>
      <c r="B72" s="38" t="s">
        <v>341</v>
      </c>
      <c r="C72" s="38" t="s">
        <v>189</v>
      </c>
      <c r="D72" s="48" t="s">
        <v>342</v>
      </c>
      <c r="E72" s="97">
        <f>E96*400</f>
        <v>34800</v>
      </c>
      <c r="F72" s="97">
        <f>F96*400</f>
        <v>33600</v>
      </c>
      <c r="G72" s="98">
        <v>24400</v>
      </c>
      <c r="H72" s="97">
        <f>H96*400</f>
        <v>7200</v>
      </c>
      <c r="I72" s="36">
        <f>I96*400</f>
        <v>33200</v>
      </c>
      <c r="J72" s="99">
        <v>31200</v>
      </c>
      <c r="K72" s="99">
        <v>34400</v>
      </c>
      <c r="L72" s="97">
        <f>L96*400</f>
        <v>16000</v>
      </c>
      <c r="M72" s="97">
        <f>M96*400</f>
        <v>19200</v>
      </c>
      <c r="N72" s="97">
        <f>N96*400</f>
        <v>23200</v>
      </c>
      <c r="O72" s="98">
        <v>25600</v>
      </c>
      <c r="P72" s="36">
        <f>P96*400</f>
        <v>25600</v>
      </c>
      <c r="Q72" s="98">
        <f>30*400</f>
        <v>12000</v>
      </c>
      <c r="R72" s="36">
        <f>R96*400</f>
        <v>8800</v>
      </c>
      <c r="S72" s="36">
        <f>S96*400</f>
        <v>16400</v>
      </c>
      <c r="T72" s="36">
        <f>T96*400</f>
        <v>4400</v>
      </c>
      <c r="U72" s="36">
        <f>U96*400</f>
        <v>2400</v>
      </c>
      <c r="V72" s="94">
        <f t="shared" si="25"/>
        <v>352400</v>
      </c>
    </row>
    <row r="73" spans="1:22" ht="11.25">
      <c r="A73" s="33" t="s">
        <v>343</v>
      </c>
      <c r="B73" s="34" t="s">
        <v>344</v>
      </c>
      <c r="C73" s="34"/>
      <c r="D73" s="35" t="s">
        <v>183</v>
      </c>
      <c r="E73" s="97">
        <f>E74</f>
        <v>255945</v>
      </c>
      <c r="F73" s="97">
        <f t="shared" ref="F73:U73" si="27">F74</f>
        <v>178845</v>
      </c>
      <c r="G73" s="97">
        <f t="shared" si="27"/>
        <v>191830.5</v>
      </c>
      <c r="H73" s="97">
        <f t="shared" si="27"/>
        <v>715855.35000000009</v>
      </c>
      <c r="I73" s="97">
        <f t="shared" si="27"/>
        <v>353195.25</v>
      </c>
      <c r="J73" s="97">
        <f t="shared" si="27"/>
        <v>235806.9</v>
      </c>
      <c r="K73" s="97">
        <f t="shared" si="27"/>
        <v>328071.59999999998</v>
      </c>
      <c r="L73" s="97">
        <f t="shared" si="27"/>
        <v>249734.55000000002</v>
      </c>
      <c r="M73" s="97">
        <f t="shared" si="27"/>
        <v>178714.35</v>
      </c>
      <c r="N73" s="97">
        <f t="shared" si="27"/>
        <v>114821.55</v>
      </c>
      <c r="O73" s="97">
        <f t="shared" si="27"/>
        <v>181706.7</v>
      </c>
      <c r="P73" s="97">
        <f t="shared" si="27"/>
        <v>249256.8</v>
      </c>
      <c r="Q73" s="97">
        <f t="shared" si="27"/>
        <v>202800</v>
      </c>
      <c r="R73" s="97">
        <f t="shared" si="27"/>
        <v>86216.85</v>
      </c>
      <c r="S73" s="97">
        <f t="shared" si="27"/>
        <v>169290</v>
      </c>
      <c r="T73" s="97">
        <f t="shared" si="27"/>
        <v>91200</v>
      </c>
      <c r="U73" s="97">
        <f t="shared" si="27"/>
        <v>84720</v>
      </c>
      <c r="V73" s="94">
        <f t="shared" si="25"/>
        <v>3868010.4</v>
      </c>
    </row>
    <row r="74" spans="1:22" s="40" customFormat="1" ht="11.25">
      <c r="A74" s="33" t="s">
        <v>345</v>
      </c>
      <c r="B74" s="38" t="s">
        <v>346</v>
      </c>
      <c r="C74" s="38" t="s">
        <v>189</v>
      </c>
      <c r="D74" s="48" t="s">
        <v>347</v>
      </c>
      <c r="E74" s="97">
        <f>E108*15</f>
        <v>255945</v>
      </c>
      <c r="F74" s="97">
        <f>F108*15</f>
        <v>178845</v>
      </c>
      <c r="G74" s="98">
        <v>191830.5</v>
      </c>
      <c r="H74" s="97">
        <f>H108*15</f>
        <v>715855.35000000009</v>
      </c>
      <c r="I74" s="36">
        <f>I108*15</f>
        <v>353195.25</v>
      </c>
      <c r="J74" s="99">
        <v>235806.9</v>
      </c>
      <c r="K74" s="99">
        <v>328071.59999999998</v>
      </c>
      <c r="L74" s="97">
        <f>L108*15</f>
        <v>249734.55000000002</v>
      </c>
      <c r="M74" s="97">
        <f>M108*15</f>
        <v>178714.35</v>
      </c>
      <c r="N74" s="97">
        <f>N108*15</f>
        <v>114821.55</v>
      </c>
      <c r="O74" s="98">
        <f>15*O108</f>
        <v>181706.7</v>
      </c>
      <c r="P74" s="36">
        <f>P108*15</f>
        <v>249256.8</v>
      </c>
      <c r="Q74" s="98">
        <f>13520*15</f>
        <v>202800</v>
      </c>
      <c r="R74" s="36">
        <f>R108*15</f>
        <v>86216.85</v>
      </c>
      <c r="S74" s="36">
        <f>S108*15</f>
        <v>169290</v>
      </c>
      <c r="T74" s="36">
        <f>T108*15</f>
        <v>91200</v>
      </c>
      <c r="U74" s="36">
        <f>U108*15</f>
        <v>84720</v>
      </c>
      <c r="V74" s="94">
        <f t="shared" si="25"/>
        <v>3868010.4</v>
      </c>
    </row>
    <row r="75" spans="1:22" ht="11.25">
      <c r="A75" s="33" t="s">
        <v>348</v>
      </c>
      <c r="B75" s="34" t="s">
        <v>349</v>
      </c>
      <c r="C75" s="34"/>
      <c r="D75" s="35" t="s">
        <v>183</v>
      </c>
      <c r="E75" s="97">
        <f>E76</f>
        <v>126632</v>
      </c>
      <c r="F75" s="97">
        <f t="shared" ref="F75:U75" si="28">F76</f>
        <v>82880</v>
      </c>
      <c r="G75" s="97">
        <f t="shared" si="28"/>
        <v>81432</v>
      </c>
      <c r="H75" s="97">
        <f t="shared" si="28"/>
        <v>130104</v>
      </c>
      <c r="I75" s="97">
        <f t="shared" si="28"/>
        <v>157696</v>
      </c>
      <c r="J75" s="97">
        <f t="shared" si="28"/>
        <v>89280</v>
      </c>
      <c r="K75" s="97">
        <f t="shared" si="28"/>
        <v>125600</v>
      </c>
      <c r="L75" s="97">
        <f t="shared" si="28"/>
        <v>89000</v>
      </c>
      <c r="M75" s="97">
        <f t="shared" si="28"/>
        <v>67576.800000000003</v>
      </c>
      <c r="N75" s="97">
        <f t="shared" si="28"/>
        <v>41072</v>
      </c>
      <c r="O75" s="97">
        <f t="shared" si="28"/>
        <v>34640</v>
      </c>
      <c r="P75" s="97">
        <f t="shared" si="28"/>
        <v>53384</v>
      </c>
      <c r="Q75" s="97">
        <f t="shared" si="28"/>
        <v>40360</v>
      </c>
      <c r="R75" s="97">
        <f t="shared" si="28"/>
        <v>20152</v>
      </c>
      <c r="S75" s="97">
        <f t="shared" si="28"/>
        <v>37018.720000000001</v>
      </c>
      <c r="T75" s="97">
        <f t="shared" si="28"/>
        <v>20000</v>
      </c>
      <c r="U75" s="97">
        <f t="shared" si="28"/>
        <v>18560</v>
      </c>
      <c r="V75" s="94">
        <f t="shared" si="25"/>
        <v>1215387.52</v>
      </c>
    </row>
    <row r="76" spans="1:22" s="40" customFormat="1" ht="11.25">
      <c r="A76" s="33" t="s">
        <v>350</v>
      </c>
      <c r="B76" s="38" t="s">
        <v>351</v>
      </c>
      <c r="C76" s="38" t="s">
        <v>189</v>
      </c>
      <c r="D76" s="48" t="s">
        <v>352</v>
      </c>
      <c r="E76" s="97">
        <f>E109*8</f>
        <v>126632</v>
      </c>
      <c r="F76" s="97">
        <f>F109*8</f>
        <v>82880</v>
      </c>
      <c r="G76" s="98">
        <v>81432</v>
      </c>
      <c r="H76" s="97">
        <f>H109*8</f>
        <v>130104</v>
      </c>
      <c r="I76" s="36">
        <f>I109*8</f>
        <v>157696</v>
      </c>
      <c r="J76" s="99">
        <v>89280</v>
      </c>
      <c r="K76" s="99">
        <v>125600</v>
      </c>
      <c r="L76" s="97">
        <f>L109*8</f>
        <v>89000</v>
      </c>
      <c r="M76" s="97">
        <f>M109*8</f>
        <v>67576.800000000003</v>
      </c>
      <c r="N76" s="97">
        <f>N109*8</f>
        <v>41072</v>
      </c>
      <c r="O76" s="98">
        <f>8*O109</f>
        <v>34640</v>
      </c>
      <c r="P76" s="36">
        <f>P109*8</f>
        <v>53384</v>
      </c>
      <c r="Q76" s="98">
        <f>5045*8</f>
        <v>40360</v>
      </c>
      <c r="R76" s="36">
        <f>R109*8</f>
        <v>20152</v>
      </c>
      <c r="S76" s="36">
        <f>S109*8</f>
        <v>37018.720000000001</v>
      </c>
      <c r="T76" s="36">
        <f>T109*8</f>
        <v>20000</v>
      </c>
      <c r="U76" s="36">
        <f>U109*8</f>
        <v>18560</v>
      </c>
      <c r="V76" s="94">
        <f t="shared" si="25"/>
        <v>1215387.52</v>
      </c>
    </row>
    <row r="77" spans="1:22" ht="11.25">
      <c r="A77" s="33" t="s">
        <v>353</v>
      </c>
      <c r="B77" s="34" t="s">
        <v>354</v>
      </c>
      <c r="C77" s="34"/>
      <c r="D77" s="35" t="s">
        <v>183</v>
      </c>
      <c r="E77" s="97">
        <f>E78</f>
        <v>0</v>
      </c>
      <c r="F77" s="97">
        <f>F78</f>
        <v>0</v>
      </c>
      <c r="G77" s="98">
        <v>0</v>
      </c>
      <c r="H77" s="97">
        <f>H78</f>
        <v>0</v>
      </c>
      <c r="I77" s="36">
        <f>I78</f>
        <v>0</v>
      </c>
      <c r="J77" s="99">
        <v>0</v>
      </c>
      <c r="K77" s="99">
        <v>0</v>
      </c>
      <c r="L77" s="97">
        <f>L78</f>
        <v>0</v>
      </c>
      <c r="M77" s="97">
        <f>M78</f>
        <v>0</v>
      </c>
      <c r="N77" s="97">
        <f>N78</f>
        <v>0</v>
      </c>
      <c r="O77" s="98">
        <v>0</v>
      </c>
      <c r="P77" s="36">
        <f t="shared" ref="P77:U77" si="29">P78</f>
        <v>0</v>
      </c>
      <c r="Q77" s="98">
        <f t="shared" si="29"/>
        <v>0</v>
      </c>
      <c r="R77" s="36">
        <f t="shared" si="29"/>
        <v>0</v>
      </c>
      <c r="S77" s="36">
        <f t="shared" si="29"/>
        <v>0</v>
      </c>
      <c r="T77" s="36">
        <f t="shared" si="29"/>
        <v>0</v>
      </c>
      <c r="U77" s="36">
        <f t="shared" si="29"/>
        <v>0</v>
      </c>
      <c r="V77" s="94">
        <f t="shared" si="25"/>
        <v>0</v>
      </c>
    </row>
    <row r="78" spans="1:22" s="40" customFormat="1" ht="11.25">
      <c r="A78" s="33" t="s">
        <v>355</v>
      </c>
      <c r="B78" s="38" t="s">
        <v>356</v>
      </c>
      <c r="C78" s="38" t="s">
        <v>189</v>
      </c>
      <c r="D78" s="48" t="s">
        <v>291</v>
      </c>
      <c r="E78" s="118"/>
      <c r="F78" s="118"/>
      <c r="G78" s="119"/>
      <c r="H78" s="118"/>
      <c r="I78" s="46"/>
      <c r="J78" s="120"/>
      <c r="K78" s="120"/>
      <c r="L78" s="118"/>
      <c r="M78" s="118"/>
      <c r="N78" s="118"/>
      <c r="O78" s="119"/>
      <c r="P78" s="46"/>
      <c r="Q78" s="119">
        <v>0</v>
      </c>
      <c r="R78" s="46"/>
      <c r="S78" s="46"/>
      <c r="T78" s="46"/>
      <c r="U78" s="46"/>
      <c r="V78" s="94">
        <f t="shared" si="25"/>
        <v>0</v>
      </c>
    </row>
    <row r="79" spans="1:22" ht="11.25">
      <c r="A79" s="33" t="s">
        <v>357</v>
      </c>
      <c r="B79" s="34" t="s">
        <v>358</v>
      </c>
      <c r="C79" s="34"/>
      <c r="D79" s="35" t="s">
        <v>183</v>
      </c>
      <c r="E79" s="36">
        <f>E80</f>
        <v>375840</v>
      </c>
      <c r="F79" s="36">
        <f t="shared" ref="F79:U79" si="30">F80</f>
        <v>362880</v>
      </c>
      <c r="G79" s="36">
        <f t="shared" si="30"/>
        <v>263520</v>
      </c>
      <c r="H79" s="36">
        <f t="shared" si="30"/>
        <v>77760</v>
      </c>
      <c r="I79" s="36">
        <f t="shared" si="30"/>
        <v>358560</v>
      </c>
      <c r="J79" s="36">
        <f t="shared" si="30"/>
        <v>336960</v>
      </c>
      <c r="K79" s="36">
        <f t="shared" si="30"/>
        <v>371520</v>
      </c>
      <c r="L79" s="36">
        <f t="shared" si="30"/>
        <v>172800</v>
      </c>
      <c r="M79" s="36">
        <f t="shared" si="30"/>
        <v>207360</v>
      </c>
      <c r="N79" s="36">
        <f t="shared" si="30"/>
        <v>250560</v>
      </c>
      <c r="O79" s="36">
        <f t="shared" si="30"/>
        <v>276480</v>
      </c>
      <c r="P79" s="36">
        <f t="shared" si="30"/>
        <v>276480</v>
      </c>
      <c r="Q79" s="36">
        <f t="shared" si="30"/>
        <v>129600</v>
      </c>
      <c r="R79" s="36">
        <f t="shared" si="30"/>
        <v>95040</v>
      </c>
      <c r="S79" s="36">
        <f t="shared" si="30"/>
        <v>177120</v>
      </c>
      <c r="T79" s="36">
        <f t="shared" si="30"/>
        <v>47520</v>
      </c>
      <c r="U79" s="36">
        <f t="shared" si="30"/>
        <v>25920</v>
      </c>
      <c r="V79" s="94">
        <f t="shared" si="25"/>
        <v>3805920</v>
      </c>
    </row>
    <row r="80" spans="1:22" s="40" customFormat="1" ht="11.2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375840</v>
      </c>
      <c r="F80" s="36">
        <f>F96*4320</f>
        <v>362880</v>
      </c>
      <c r="G80" s="98">
        <v>263520</v>
      </c>
      <c r="H80" s="36">
        <f>H96*4320</f>
        <v>77760</v>
      </c>
      <c r="I80" s="36">
        <f>I96*4320</f>
        <v>358560</v>
      </c>
      <c r="J80" s="98">
        <v>336960</v>
      </c>
      <c r="K80" s="98">
        <v>371520</v>
      </c>
      <c r="L80" s="36">
        <f>L96*4320</f>
        <v>172800</v>
      </c>
      <c r="M80" s="36">
        <f>M96*4320</f>
        <v>207360</v>
      </c>
      <c r="N80" s="36">
        <f>N96*4320</f>
        <v>250560</v>
      </c>
      <c r="O80" s="98">
        <f>4320*O99</f>
        <v>276480</v>
      </c>
      <c r="P80" s="36">
        <f>P96*4320</f>
        <v>276480</v>
      </c>
      <c r="Q80" s="98">
        <f>4320*30</f>
        <v>129600</v>
      </c>
      <c r="R80" s="36">
        <f>R96*4320</f>
        <v>95040</v>
      </c>
      <c r="S80" s="36">
        <f>S96*4320</f>
        <v>177120</v>
      </c>
      <c r="T80" s="36">
        <f>T96*4320</f>
        <v>47520</v>
      </c>
      <c r="U80" s="36">
        <f>U96*4320</f>
        <v>25920</v>
      </c>
      <c r="V80" s="94">
        <f t="shared" si="25"/>
        <v>3805920</v>
      </c>
    </row>
    <row r="81" spans="1:22" ht="11.25">
      <c r="A81" s="33" t="s">
        <v>362</v>
      </c>
      <c r="B81" s="34" t="s">
        <v>363</v>
      </c>
      <c r="C81" s="34"/>
      <c r="D81" s="35" t="s">
        <v>183</v>
      </c>
      <c r="E81" s="36">
        <f>E82</f>
        <v>339998.4</v>
      </c>
      <c r="F81" s="36">
        <f t="shared" ref="F81:U81" si="31">F82</f>
        <v>340785.6</v>
      </c>
      <c r="G81" s="36">
        <f t="shared" si="31"/>
        <v>251630.40000000002</v>
      </c>
      <c r="H81" s="36">
        <f t="shared" si="31"/>
        <v>76727.039999999994</v>
      </c>
      <c r="I81" s="36">
        <f t="shared" si="31"/>
        <v>314577.59999999998</v>
      </c>
      <c r="J81" s="36">
        <f t="shared" si="31"/>
        <v>269918.40000000002</v>
      </c>
      <c r="K81" s="36">
        <f t="shared" si="31"/>
        <v>295766.40000000002</v>
      </c>
      <c r="L81" s="36">
        <f t="shared" si="31"/>
        <v>149649.59999999998</v>
      </c>
      <c r="M81" s="36">
        <f t="shared" si="31"/>
        <v>177182.40000000002</v>
      </c>
      <c r="N81" s="36">
        <f t="shared" si="31"/>
        <v>195303.2</v>
      </c>
      <c r="O81" s="36">
        <f t="shared" si="31"/>
        <v>229540</v>
      </c>
      <c r="P81" s="36">
        <f t="shared" si="31"/>
        <v>242268</v>
      </c>
      <c r="Q81" s="36">
        <f t="shared" si="31"/>
        <v>99376.8</v>
      </c>
      <c r="R81" s="36">
        <f t="shared" si="31"/>
        <v>73017.600000000006</v>
      </c>
      <c r="S81" s="36">
        <f t="shared" si="31"/>
        <v>138067.20000000001</v>
      </c>
      <c r="T81" s="36">
        <f t="shared" si="31"/>
        <v>32360</v>
      </c>
      <c r="U81" s="36">
        <f t="shared" si="31"/>
        <v>23320</v>
      </c>
      <c r="V81" s="94">
        <f t="shared" si="25"/>
        <v>3249488.64</v>
      </c>
    </row>
    <row r="82" spans="1:22" s="131" customFormat="1" ht="11.25">
      <c r="A82" s="127" t="s">
        <v>364</v>
      </c>
      <c r="B82" s="128" t="s">
        <v>365</v>
      </c>
      <c r="C82" s="128" t="s">
        <v>189</v>
      </c>
      <c r="D82" s="129" t="s">
        <v>208</v>
      </c>
      <c r="E82" s="107">
        <f t="shared" ref="E82:U82" si="32">E16*4</f>
        <v>339998.4</v>
      </c>
      <c r="F82" s="107">
        <f t="shared" si="32"/>
        <v>340785.6</v>
      </c>
      <c r="G82" s="107">
        <f t="shared" si="32"/>
        <v>251630.40000000002</v>
      </c>
      <c r="H82" s="107">
        <f t="shared" si="32"/>
        <v>76727.039999999994</v>
      </c>
      <c r="I82" s="107">
        <f t="shared" si="32"/>
        <v>314577.59999999998</v>
      </c>
      <c r="J82" s="107">
        <f t="shared" si="32"/>
        <v>269918.40000000002</v>
      </c>
      <c r="K82" s="107">
        <f t="shared" si="32"/>
        <v>295766.40000000002</v>
      </c>
      <c r="L82" s="107">
        <f t="shared" si="32"/>
        <v>149649.59999999998</v>
      </c>
      <c r="M82" s="107">
        <f t="shared" si="32"/>
        <v>177182.40000000002</v>
      </c>
      <c r="N82" s="107">
        <f t="shared" si="32"/>
        <v>195303.2</v>
      </c>
      <c r="O82" s="107">
        <f t="shared" si="32"/>
        <v>229540</v>
      </c>
      <c r="P82" s="107">
        <f t="shared" si="32"/>
        <v>242268</v>
      </c>
      <c r="Q82" s="107">
        <f t="shared" si="32"/>
        <v>99376.8</v>
      </c>
      <c r="R82" s="107">
        <f t="shared" si="32"/>
        <v>73017.600000000006</v>
      </c>
      <c r="S82" s="107">
        <f t="shared" si="32"/>
        <v>138067.20000000001</v>
      </c>
      <c r="T82" s="107">
        <f t="shared" si="32"/>
        <v>32360</v>
      </c>
      <c r="U82" s="107">
        <f t="shared" si="32"/>
        <v>23320</v>
      </c>
      <c r="V82" s="130">
        <f t="shared" si="25"/>
        <v>3249488.64</v>
      </c>
    </row>
    <row r="83" spans="1:22" ht="11.25">
      <c r="A83" s="132" t="s">
        <v>366</v>
      </c>
      <c r="B83" s="133" t="s">
        <v>367</v>
      </c>
      <c r="C83" s="133"/>
      <c r="D83" s="134" t="s">
        <v>183</v>
      </c>
      <c r="E83" s="135">
        <f>E84</f>
        <v>32000</v>
      </c>
      <c r="F83" s="135">
        <f t="shared" ref="F83:U83" si="33">F84</f>
        <v>32000</v>
      </c>
      <c r="G83" s="135">
        <f t="shared" si="33"/>
        <v>0</v>
      </c>
      <c r="H83" s="135">
        <f t="shared" si="33"/>
        <v>0</v>
      </c>
      <c r="I83" s="135">
        <f t="shared" si="33"/>
        <v>32000</v>
      </c>
      <c r="J83" s="135">
        <f t="shared" si="33"/>
        <v>32000</v>
      </c>
      <c r="K83" s="135">
        <f t="shared" si="33"/>
        <v>0</v>
      </c>
      <c r="L83" s="135">
        <f t="shared" si="33"/>
        <v>0</v>
      </c>
      <c r="M83" s="135">
        <f t="shared" si="33"/>
        <v>0</v>
      </c>
      <c r="N83" s="135">
        <f t="shared" si="33"/>
        <v>32000</v>
      </c>
      <c r="O83" s="135">
        <f t="shared" si="33"/>
        <v>32000</v>
      </c>
      <c r="P83" s="135">
        <f t="shared" si="33"/>
        <v>0</v>
      </c>
      <c r="Q83" s="135">
        <f t="shared" si="33"/>
        <v>0</v>
      </c>
      <c r="R83" s="135">
        <f t="shared" si="33"/>
        <v>0</v>
      </c>
      <c r="S83" s="135">
        <f t="shared" si="33"/>
        <v>0</v>
      </c>
      <c r="T83" s="135">
        <f t="shared" si="33"/>
        <v>0</v>
      </c>
      <c r="U83" s="135">
        <f t="shared" si="33"/>
        <v>32000</v>
      </c>
      <c r="V83" s="136">
        <f t="shared" si="25"/>
        <v>224000</v>
      </c>
    </row>
    <row r="84" spans="1:2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96"/>
      <c r="H84" s="37"/>
      <c r="I84" s="37">
        <v>32000</v>
      </c>
      <c r="J84" s="96">
        <v>32000</v>
      </c>
      <c r="K84" s="96"/>
      <c r="L84" s="37"/>
      <c r="M84" s="37"/>
      <c r="N84" s="37">
        <v>32000</v>
      </c>
      <c r="O84" s="96">
        <v>32000</v>
      </c>
      <c r="P84" s="37"/>
      <c r="Q84" s="96"/>
      <c r="R84" s="37"/>
      <c r="S84" s="37"/>
      <c r="T84" s="37"/>
      <c r="U84" s="37">
        <v>32000</v>
      </c>
      <c r="V84" s="94">
        <f t="shared" si="25"/>
        <v>224000</v>
      </c>
    </row>
    <row r="85" spans="1:22" ht="11.25">
      <c r="A85" s="33" t="s">
        <v>371</v>
      </c>
      <c r="B85" s="34" t="s">
        <v>372</v>
      </c>
      <c r="C85" s="34"/>
      <c r="D85" s="35" t="s">
        <v>183</v>
      </c>
      <c r="E85" s="36">
        <f>E86+E89+E92</f>
        <v>292640</v>
      </c>
      <c r="F85" s="36">
        <f t="shared" ref="F85:U85" si="34">F86+F89+F92</f>
        <v>320960</v>
      </c>
      <c r="G85" s="36">
        <f t="shared" si="34"/>
        <v>0</v>
      </c>
      <c r="H85" s="36">
        <f t="shared" si="34"/>
        <v>0</v>
      </c>
      <c r="I85" s="36">
        <f t="shared" si="34"/>
        <v>490880</v>
      </c>
      <c r="J85" s="36">
        <f t="shared" si="34"/>
        <v>500320</v>
      </c>
      <c r="K85" s="36">
        <f t="shared" si="34"/>
        <v>0</v>
      </c>
      <c r="L85" s="36">
        <f t="shared" si="34"/>
        <v>0</v>
      </c>
      <c r="M85" s="36">
        <f t="shared" si="34"/>
        <v>0</v>
      </c>
      <c r="N85" s="36">
        <f t="shared" si="34"/>
        <v>99120</v>
      </c>
      <c r="O85" s="36">
        <f t="shared" si="34"/>
        <v>108560</v>
      </c>
      <c r="P85" s="36">
        <f t="shared" si="34"/>
        <v>0</v>
      </c>
      <c r="Q85" s="36">
        <f t="shared" si="34"/>
        <v>0</v>
      </c>
      <c r="R85" s="36">
        <f t="shared" si="34"/>
        <v>0</v>
      </c>
      <c r="S85" s="36">
        <f t="shared" si="34"/>
        <v>0</v>
      </c>
      <c r="T85" s="36">
        <f t="shared" si="34"/>
        <v>0</v>
      </c>
      <c r="U85" s="36">
        <f t="shared" si="34"/>
        <v>84960</v>
      </c>
      <c r="V85" s="94">
        <f t="shared" si="25"/>
        <v>1897440</v>
      </c>
    </row>
    <row r="86" spans="1:22" ht="11.25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>F87+F88</f>
        <v>0</v>
      </c>
      <c r="G86" s="98">
        <v>0</v>
      </c>
      <c r="H86" s="36">
        <f>H87+H88</f>
        <v>0</v>
      </c>
      <c r="I86" s="36">
        <f>I87+I88</f>
        <v>0</v>
      </c>
      <c r="J86" s="98">
        <v>0</v>
      </c>
      <c r="K86" s="98">
        <v>0</v>
      </c>
      <c r="L86" s="36">
        <f>L87+L88</f>
        <v>0</v>
      </c>
      <c r="M86" s="36">
        <f>M87+M88</f>
        <v>0</v>
      </c>
      <c r="N86" s="36">
        <f>N87+N88</f>
        <v>0</v>
      </c>
      <c r="O86" s="98">
        <v>0</v>
      </c>
      <c r="P86" s="36">
        <f>P87+P88</f>
        <v>0</v>
      </c>
      <c r="Q86" s="98">
        <v>0</v>
      </c>
      <c r="R86" s="36">
        <f>R87+R88</f>
        <v>0</v>
      </c>
      <c r="S86" s="36">
        <f>S87+S88</f>
        <v>0</v>
      </c>
      <c r="T86" s="36">
        <f>T87+T88</f>
        <v>0</v>
      </c>
      <c r="U86" s="36">
        <f>U87+U88</f>
        <v>0</v>
      </c>
      <c r="V86" s="94">
        <f t="shared" si="25"/>
        <v>0</v>
      </c>
    </row>
    <row r="87" spans="1:22" ht="11.25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114"/>
      <c r="H87" s="43"/>
      <c r="I87" s="43"/>
      <c r="J87" s="114"/>
      <c r="K87" s="114"/>
      <c r="L87" s="43"/>
      <c r="M87" s="43"/>
      <c r="N87" s="43"/>
      <c r="O87" s="114"/>
      <c r="P87" s="43"/>
      <c r="Q87" s="114"/>
      <c r="R87" s="43"/>
      <c r="S87" s="43"/>
      <c r="T87" s="43"/>
      <c r="U87" s="43"/>
      <c r="V87" s="94">
        <f t="shared" si="25"/>
        <v>0</v>
      </c>
    </row>
    <row r="88" spans="1:22" ht="11.25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114"/>
      <c r="H88" s="43"/>
      <c r="I88" s="43"/>
      <c r="J88" s="114"/>
      <c r="K88" s="114"/>
      <c r="L88" s="43"/>
      <c r="M88" s="43"/>
      <c r="N88" s="43"/>
      <c r="O88" s="114"/>
      <c r="P88" s="43"/>
      <c r="Q88" s="114"/>
      <c r="R88" s="43"/>
      <c r="S88" s="43"/>
      <c r="T88" s="43"/>
      <c r="U88" s="43"/>
      <c r="V88" s="94">
        <f t="shared" si="25"/>
        <v>0</v>
      </c>
    </row>
    <row r="89" spans="1:22" ht="11.25">
      <c r="A89" s="33" t="s">
        <v>380</v>
      </c>
      <c r="B89" s="34" t="s">
        <v>381</v>
      </c>
      <c r="C89" s="34"/>
      <c r="D89" s="35" t="s">
        <v>183</v>
      </c>
      <c r="E89" s="36">
        <f>E90+E91</f>
        <v>292640</v>
      </c>
      <c r="F89" s="36">
        <f t="shared" ref="F89:U89" si="35">F90+F91</f>
        <v>320960</v>
      </c>
      <c r="G89" s="36">
        <f t="shared" si="35"/>
        <v>0</v>
      </c>
      <c r="H89" s="36">
        <f t="shared" si="35"/>
        <v>0</v>
      </c>
      <c r="I89" s="36">
        <f t="shared" si="35"/>
        <v>490880</v>
      </c>
      <c r="J89" s="36">
        <f t="shared" si="35"/>
        <v>500320</v>
      </c>
      <c r="K89" s="36">
        <f t="shared" si="35"/>
        <v>0</v>
      </c>
      <c r="L89" s="36">
        <f t="shared" si="35"/>
        <v>0</v>
      </c>
      <c r="M89" s="36">
        <f t="shared" si="35"/>
        <v>0</v>
      </c>
      <c r="N89" s="36">
        <f t="shared" si="35"/>
        <v>99120</v>
      </c>
      <c r="O89" s="36">
        <f t="shared" si="35"/>
        <v>108560</v>
      </c>
      <c r="P89" s="36">
        <f t="shared" si="35"/>
        <v>0</v>
      </c>
      <c r="Q89" s="36">
        <f t="shared" si="35"/>
        <v>0</v>
      </c>
      <c r="R89" s="36">
        <f t="shared" si="35"/>
        <v>0</v>
      </c>
      <c r="S89" s="36">
        <f t="shared" si="35"/>
        <v>0</v>
      </c>
      <c r="T89" s="36">
        <f t="shared" si="35"/>
        <v>0</v>
      </c>
      <c r="U89" s="36">
        <f t="shared" si="35"/>
        <v>84960</v>
      </c>
      <c r="V89" s="94">
        <f t="shared" si="25"/>
        <v>1897440</v>
      </c>
    </row>
    <row r="90" spans="1:22" s="40" customFormat="1" ht="11.2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24800</v>
      </c>
      <c r="F90" s="36">
        <f>F107*400</f>
        <v>27200</v>
      </c>
      <c r="G90" s="98">
        <v>0</v>
      </c>
      <c r="H90" s="36">
        <f>H107*400</f>
        <v>0</v>
      </c>
      <c r="I90" s="36">
        <f>I107*400</f>
        <v>41600</v>
      </c>
      <c r="J90" s="98">
        <v>42400</v>
      </c>
      <c r="K90" s="98">
        <v>0</v>
      </c>
      <c r="L90" s="36">
        <f>L107*400</f>
        <v>0</v>
      </c>
      <c r="M90" s="36">
        <f>M107*400</f>
        <v>0</v>
      </c>
      <c r="N90" s="36">
        <f>N107*400</f>
        <v>8400</v>
      </c>
      <c r="O90" s="98">
        <f>O107*400</f>
        <v>9200</v>
      </c>
      <c r="P90" s="36">
        <f>P107*400</f>
        <v>0</v>
      </c>
      <c r="Q90" s="98">
        <v>0</v>
      </c>
      <c r="R90" s="36">
        <f>R107*400</f>
        <v>0</v>
      </c>
      <c r="S90" s="36">
        <f>S107*400</f>
        <v>0</v>
      </c>
      <c r="T90" s="36">
        <f>T107*400</f>
        <v>0</v>
      </c>
      <c r="U90" s="36">
        <f>U107*400</f>
        <v>7200</v>
      </c>
      <c r="V90" s="94">
        <f t="shared" si="25"/>
        <v>160800</v>
      </c>
    </row>
    <row r="91" spans="1:22" s="40" customFormat="1" ht="11.2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267840</v>
      </c>
      <c r="F91" s="36">
        <f>F107*4320</f>
        <v>293760</v>
      </c>
      <c r="G91" s="98">
        <v>0</v>
      </c>
      <c r="H91" s="36">
        <f>H107*4320</f>
        <v>0</v>
      </c>
      <c r="I91" s="36">
        <f>I107*4320</f>
        <v>449280</v>
      </c>
      <c r="J91" s="98">
        <v>457920</v>
      </c>
      <c r="K91" s="98">
        <v>0</v>
      </c>
      <c r="L91" s="36">
        <f>L107*4320</f>
        <v>0</v>
      </c>
      <c r="M91" s="36">
        <f>M107*4320</f>
        <v>0</v>
      </c>
      <c r="N91" s="36">
        <f>N107*4320</f>
        <v>90720</v>
      </c>
      <c r="O91" s="98">
        <f>O107*4320</f>
        <v>99360</v>
      </c>
      <c r="P91" s="36">
        <f>P107*4320</f>
        <v>0</v>
      </c>
      <c r="Q91" s="98">
        <v>0</v>
      </c>
      <c r="R91" s="36">
        <f>R107*4320</f>
        <v>0</v>
      </c>
      <c r="S91" s="36">
        <f>S107*4320</f>
        <v>0</v>
      </c>
      <c r="T91" s="36">
        <f>T107*4320</f>
        <v>0</v>
      </c>
      <c r="U91" s="36">
        <f>U107*4320</f>
        <v>77760</v>
      </c>
      <c r="V91" s="94">
        <f t="shared" si="25"/>
        <v>1736640</v>
      </c>
    </row>
    <row r="92" spans="1:22" ht="11.25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137"/>
      <c r="H92" s="49"/>
      <c r="I92" s="49"/>
      <c r="J92" s="137"/>
      <c r="K92" s="137"/>
      <c r="L92" s="49"/>
      <c r="M92" s="49"/>
      <c r="N92" s="49"/>
      <c r="O92" s="137"/>
      <c r="P92" s="49"/>
      <c r="Q92" s="137"/>
      <c r="R92" s="49"/>
      <c r="S92" s="49"/>
      <c r="T92" s="49"/>
      <c r="U92" s="49"/>
      <c r="V92" s="94">
        <f t="shared" si="25"/>
        <v>0</v>
      </c>
    </row>
    <row r="93" spans="1:22" ht="11.25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U93" si="36">F94</f>
        <v>0</v>
      </c>
      <c r="G93" s="36">
        <f t="shared" si="36"/>
        <v>32000</v>
      </c>
      <c r="H93" s="36">
        <f t="shared" si="36"/>
        <v>32000</v>
      </c>
      <c r="I93" s="36">
        <f t="shared" si="36"/>
        <v>10000</v>
      </c>
      <c r="J93" s="36">
        <f t="shared" si="36"/>
        <v>0</v>
      </c>
      <c r="K93" s="36">
        <f t="shared" si="36"/>
        <v>32000</v>
      </c>
      <c r="L93" s="36">
        <f t="shared" si="36"/>
        <v>32000</v>
      </c>
      <c r="M93" s="36">
        <f t="shared" si="36"/>
        <v>32000</v>
      </c>
      <c r="N93" s="36">
        <f t="shared" si="36"/>
        <v>5000</v>
      </c>
      <c r="O93" s="36">
        <f t="shared" si="36"/>
        <v>5000</v>
      </c>
      <c r="P93" s="36">
        <f t="shared" si="36"/>
        <v>32000</v>
      </c>
      <c r="Q93" s="36">
        <f t="shared" si="36"/>
        <v>32000</v>
      </c>
      <c r="R93" s="36">
        <f t="shared" si="36"/>
        <v>32000</v>
      </c>
      <c r="S93" s="36">
        <f t="shared" si="36"/>
        <v>32000</v>
      </c>
      <c r="T93" s="36">
        <f t="shared" si="36"/>
        <v>32000</v>
      </c>
      <c r="U93" s="36">
        <f t="shared" si="36"/>
        <v>0</v>
      </c>
      <c r="V93" s="94">
        <f t="shared" si="25"/>
        <v>340000</v>
      </c>
    </row>
    <row r="94" spans="1:22" ht="57" thickBot="1">
      <c r="A94" s="33" t="s">
        <v>392</v>
      </c>
      <c r="B94" s="50" t="s">
        <v>393</v>
      </c>
      <c r="C94" s="34" t="s">
        <v>189</v>
      </c>
      <c r="D94" s="51" t="s">
        <v>529</v>
      </c>
      <c r="E94" s="52"/>
      <c r="F94" s="52"/>
      <c r="G94" s="138">
        <v>32000</v>
      </c>
      <c r="H94" s="52">
        <v>32000</v>
      </c>
      <c r="I94" s="52">
        <v>10000</v>
      </c>
      <c r="J94" s="138"/>
      <c r="K94" s="138">
        <v>32000</v>
      </c>
      <c r="L94" s="52">
        <v>32000</v>
      </c>
      <c r="M94" s="52">
        <v>32000</v>
      </c>
      <c r="N94" s="52">
        <v>5000</v>
      </c>
      <c r="O94" s="138">
        <v>5000</v>
      </c>
      <c r="P94" s="52">
        <v>32000</v>
      </c>
      <c r="Q94" s="138">
        <v>32000</v>
      </c>
      <c r="R94" s="52">
        <v>32000</v>
      </c>
      <c r="S94" s="52">
        <v>32000</v>
      </c>
      <c r="T94" s="52">
        <v>32000</v>
      </c>
      <c r="U94" s="52"/>
      <c r="V94" s="94">
        <f t="shared" si="25"/>
        <v>340000</v>
      </c>
    </row>
    <row r="95" spans="1:2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139"/>
      <c r="H95" s="55"/>
      <c r="I95" s="55"/>
      <c r="J95" s="139"/>
      <c r="K95" s="139"/>
      <c r="L95" s="55"/>
      <c r="M95" s="55"/>
      <c r="N95" s="55"/>
      <c r="O95" s="139"/>
      <c r="P95" s="55"/>
      <c r="Q95" s="139"/>
      <c r="R95" s="55"/>
      <c r="S95" s="55"/>
      <c r="T95" s="55"/>
      <c r="U95" s="55"/>
      <c r="V95" s="94">
        <f t="shared" si="25"/>
        <v>0</v>
      </c>
    </row>
    <row r="96" spans="1:22" ht="11.25">
      <c r="A96" s="33" t="s">
        <v>397</v>
      </c>
      <c r="B96" s="34" t="s">
        <v>398</v>
      </c>
      <c r="C96" s="34"/>
      <c r="D96" s="35" t="s">
        <v>530</v>
      </c>
      <c r="E96" s="36">
        <f>E97+E98+E99+E100</f>
        <v>87</v>
      </c>
      <c r="F96" s="36">
        <f>F97+F98+F99+F100</f>
        <v>84</v>
      </c>
      <c r="G96" s="98">
        <v>61</v>
      </c>
      <c r="H96" s="36">
        <f>H97+H98+H99+H100</f>
        <v>18</v>
      </c>
      <c r="I96" s="36">
        <f>I97+I98+I99+I100</f>
        <v>83</v>
      </c>
      <c r="J96" s="98">
        <f>J97+J98+J99+J100</f>
        <v>78</v>
      </c>
      <c r="K96" s="98">
        <v>86</v>
      </c>
      <c r="L96" s="36">
        <f>L97+L98+L99+L100</f>
        <v>40</v>
      </c>
      <c r="M96" s="36">
        <f>M97+M98+M99+M100</f>
        <v>48</v>
      </c>
      <c r="N96" s="36">
        <f>N97+N98+N99+N100</f>
        <v>58</v>
      </c>
      <c r="O96" s="98">
        <v>64</v>
      </c>
      <c r="P96" s="36">
        <f>P97+P98+P99+P100</f>
        <v>64</v>
      </c>
      <c r="Q96" s="98">
        <v>30</v>
      </c>
      <c r="R96" s="36">
        <f>R97+R98+R99+R100</f>
        <v>22</v>
      </c>
      <c r="S96" s="36">
        <f>S97+S98+S99+S100</f>
        <v>41</v>
      </c>
      <c r="T96" s="36">
        <f>T97+T98+T99+T100</f>
        <v>11</v>
      </c>
      <c r="U96" s="36">
        <f>U97+U98+U99+U100</f>
        <v>6</v>
      </c>
      <c r="V96" s="94">
        <f t="shared" si="25"/>
        <v>881</v>
      </c>
    </row>
    <row r="97" spans="1:22" ht="11.25">
      <c r="A97" s="33" t="s">
        <v>400</v>
      </c>
      <c r="B97" s="56" t="s">
        <v>401</v>
      </c>
      <c r="C97" s="56"/>
      <c r="D97" s="42"/>
      <c r="E97" s="43">
        <v>87</v>
      </c>
      <c r="F97" s="43">
        <v>84</v>
      </c>
      <c r="G97" s="114">
        <v>61</v>
      </c>
      <c r="H97" s="43">
        <v>11</v>
      </c>
      <c r="I97" s="43"/>
      <c r="J97" s="114"/>
      <c r="K97" s="114"/>
      <c r="L97" s="43"/>
      <c r="M97" s="43"/>
      <c r="N97" s="43"/>
      <c r="O97" s="114"/>
      <c r="P97" s="43"/>
      <c r="Q97" s="114"/>
      <c r="R97" s="43"/>
      <c r="S97" s="43"/>
      <c r="T97" s="43"/>
      <c r="U97" s="43"/>
      <c r="V97" s="94">
        <f t="shared" si="25"/>
        <v>243</v>
      </c>
    </row>
    <row r="98" spans="1:22" ht="11.25">
      <c r="A98" s="33" t="s">
        <v>402</v>
      </c>
      <c r="B98" s="56" t="s">
        <v>403</v>
      </c>
      <c r="C98" s="56"/>
      <c r="D98" s="35"/>
      <c r="E98" s="37"/>
      <c r="F98" s="37"/>
      <c r="G98" s="96"/>
      <c r="H98" s="37">
        <v>7</v>
      </c>
      <c r="I98" s="37">
        <v>83</v>
      </c>
      <c r="J98" s="96">
        <v>78</v>
      </c>
      <c r="K98" s="96">
        <v>86</v>
      </c>
      <c r="L98" s="37">
        <v>40</v>
      </c>
      <c r="M98" s="37">
        <v>48</v>
      </c>
      <c r="N98" s="37"/>
      <c r="O98" s="96"/>
      <c r="P98" s="37"/>
      <c r="Q98" s="96"/>
      <c r="R98" s="37"/>
      <c r="S98" s="37"/>
      <c r="T98" s="37"/>
      <c r="U98" s="37"/>
      <c r="V98" s="94">
        <f t="shared" si="25"/>
        <v>342</v>
      </c>
    </row>
    <row r="99" spans="1:22" ht="11.25">
      <c r="A99" s="33" t="s">
        <v>404</v>
      </c>
      <c r="B99" s="56" t="s">
        <v>405</v>
      </c>
      <c r="C99" s="56"/>
      <c r="D99" s="42"/>
      <c r="E99" s="43"/>
      <c r="F99" s="43"/>
      <c r="G99" s="114"/>
      <c r="H99" s="43"/>
      <c r="I99" s="43"/>
      <c r="J99" s="114"/>
      <c r="K99" s="114"/>
      <c r="L99" s="43"/>
      <c r="M99" s="43"/>
      <c r="N99" s="43">
        <v>58</v>
      </c>
      <c r="O99" s="114">
        <v>64</v>
      </c>
      <c r="P99" s="43">
        <v>64</v>
      </c>
      <c r="Q99" s="114">
        <v>30</v>
      </c>
      <c r="R99" s="43">
        <v>22</v>
      </c>
      <c r="S99" s="43">
        <v>41</v>
      </c>
      <c r="T99" s="43">
        <v>11</v>
      </c>
      <c r="U99" s="43"/>
      <c r="V99" s="94">
        <f t="shared" si="25"/>
        <v>290</v>
      </c>
    </row>
    <row r="100" spans="1:22" ht="11.25">
      <c r="A100" s="33" t="s">
        <v>406</v>
      </c>
      <c r="B100" s="56" t="s">
        <v>407</v>
      </c>
      <c r="C100" s="56"/>
      <c r="D100" s="42"/>
      <c r="E100" s="43"/>
      <c r="F100" s="43"/>
      <c r="G100" s="114"/>
      <c r="H100" s="43"/>
      <c r="I100" s="43"/>
      <c r="J100" s="114"/>
      <c r="K100" s="114"/>
      <c r="L100" s="43"/>
      <c r="M100" s="43"/>
      <c r="N100" s="43"/>
      <c r="O100" s="114"/>
      <c r="P100" s="43"/>
      <c r="Q100" s="114"/>
      <c r="R100" s="43"/>
      <c r="S100" s="43"/>
      <c r="T100" s="43"/>
      <c r="U100" s="43">
        <v>6</v>
      </c>
      <c r="V100" s="94">
        <f t="shared" si="25"/>
        <v>6</v>
      </c>
    </row>
    <row r="101" spans="1:22" ht="22.5">
      <c r="A101" s="33" t="s">
        <v>408</v>
      </c>
      <c r="B101" s="34" t="s">
        <v>409</v>
      </c>
      <c r="C101" s="34"/>
      <c r="D101" s="35" t="s">
        <v>531</v>
      </c>
      <c r="E101" s="36">
        <f>E102+E103+E104+E105</f>
        <v>874</v>
      </c>
      <c r="F101" s="36">
        <f>F102+F103+F104+F105</f>
        <v>856</v>
      </c>
      <c r="G101" s="98">
        <v>632</v>
      </c>
      <c r="H101" s="36">
        <f>H102+H103+H104+H105</f>
        <v>226</v>
      </c>
      <c r="I101" s="36">
        <f>I102+I103+I104+I105</f>
        <v>1284</v>
      </c>
      <c r="J101" s="98">
        <f>J102+J103+J104+J105</f>
        <v>1021</v>
      </c>
      <c r="K101" s="98">
        <v>1314</v>
      </c>
      <c r="L101" s="36">
        <f>L102+L103+L104+L105</f>
        <v>472</v>
      </c>
      <c r="M101" s="36">
        <f>M102+M103+M104+M105</f>
        <v>664</v>
      </c>
      <c r="N101" s="36">
        <f>N102+N103+N104+N105</f>
        <v>677</v>
      </c>
      <c r="O101" s="98">
        <v>863</v>
      </c>
      <c r="P101" s="36">
        <f>P102+P103+P104+P105</f>
        <v>842</v>
      </c>
      <c r="Q101" s="98">
        <v>492</v>
      </c>
      <c r="R101" s="36">
        <f>R102+R103+R104+R105</f>
        <v>273</v>
      </c>
      <c r="S101" s="36">
        <f>S102+S103+S104+S105</f>
        <v>392</v>
      </c>
      <c r="T101" s="36">
        <f>T102+T103+T104+T105</f>
        <v>324</v>
      </c>
      <c r="U101" s="36">
        <f>U102+U103+U104+U105</f>
        <v>0</v>
      </c>
      <c r="V101" s="94">
        <f t="shared" si="25"/>
        <v>11206</v>
      </c>
    </row>
    <row r="102" spans="1:22" ht="11.25">
      <c r="A102" s="33" t="s">
        <v>411</v>
      </c>
      <c r="B102" s="56" t="s">
        <v>401</v>
      </c>
      <c r="C102" s="56"/>
      <c r="D102" s="42"/>
      <c r="E102" s="43">
        <v>874</v>
      </c>
      <c r="F102" s="43">
        <v>856</v>
      </c>
      <c r="G102" s="114">
        <v>632</v>
      </c>
      <c r="H102" s="43">
        <v>91</v>
      </c>
      <c r="I102" s="43"/>
      <c r="J102" s="114"/>
      <c r="K102" s="114"/>
      <c r="L102" s="43"/>
      <c r="M102" s="43"/>
      <c r="N102" s="43"/>
      <c r="O102" s="114"/>
      <c r="P102" s="43"/>
      <c r="Q102" s="114"/>
      <c r="R102" s="43"/>
      <c r="S102" s="43"/>
      <c r="T102" s="43"/>
      <c r="U102" s="43"/>
      <c r="V102" s="94">
        <f t="shared" si="25"/>
        <v>2453</v>
      </c>
    </row>
    <row r="103" spans="1:22" ht="11.25">
      <c r="A103" s="33" t="s">
        <v>412</v>
      </c>
      <c r="B103" s="56" t="s">
        <v>403</v>
      </c>
      <c r="C103" s="56"/>
      <c r="D103" s="35"/>
      <c r="E103" s="37"/>
      <c r="F103" s="37"/>
      <c r="G103" s="96"/>
      <c r="H103" s="37">
        <v>135</v>
      </c>
      <c r="I103" s="37">
        <v>1284</v>
      </c>
      <c r="J103" s="96">
        <v>1021</v>
      </c>
      <c r="K103" s="96">
        <v>1314</v>
      </c>
      <c r="L103" s="37">
        <v>472</v>
      </c>
      <c r="M103" s="37">
        <v>664</v>
      </c>
      <c r="N103" s="37"/>
      <c r="O103" s="96"/>
      <c r="P103" s="37"/>
      <c r="Q103" s="96"/>
      <c r="R103" s="37"/>
      <c r="S103" s="37"/>
      <c r="T103" s="37"/>
      <c r="U103" s="37"/>
      <c r="V103" s="94">
        <f t="shared" si="25"/>
        <v>4890</v>
      </c>
    </row>
    <row r="104" spans="1:22" ht="11.25">
      <c r="A104" s="33" t="s">
        <v>413</v>
      </c>
      <c r="B104" s="56" t="s">
        <v>405</v>
      </c>
      <c r="C104" s="56"/>
      <c r="D104" s="42"/>
      <c r="E104" s="43"/>
      <c r="F104" s="43"/>
      <c r="G104" s="114"/>
      <c r="H104" s="43"/>
      <c r="I104" s="43"/>
      <c r="J104" s="114"/>
      <c r="K104" s="114"/>
      <c r="L104" s="43"/>
      <c r="M104" s="43"/>
      <c r="N104" s="43">
        <v>677</v>
      </c>
      <c r="O104" s="114">
        <v>863</v>
      </c>
      <c r="P104" s="43">
        <v>842</v>
      </c>
      <c r="Q104" s="114">
        <v>492</v>
      </c>
      <c r="R104" s="43">
        <v>273</v>
      </c>
      <c r="S104" s="43">
        <v>392</v>
      </c>
      <c r="T104" s="43">
        <v>324</v>
      </c>
      <c r="U104" s="43"/>
      <c r="V104" s="94">
        <f t="shared" si="25"/>
        <v>3863</v>
      </c>
    </row>
    <row r="105" spans="1:22" ht="11.25">
      <c r="A105" s="33" t="s">
        <v>414</v>
      </c>
      <c r="B105" s="56" t="s">
        <v>407</v>
      </c>
      <c r="C105" s="56"/>
      <c r="D105" s="42"/>
      <c r="E105" s="43"/>
      <c r="F105" s="43"/>
      <c r="G105" s="114"/>
      <c r="H105" s="43"/>
      <c r="I105" s="43"/>
      <c r="J105" s="114"/>
      <c r="K105" s="114"/>
      <c r="L105" s="43"/>
      <c r="M105" s="43"/>
      <c r="N105" s="43"/>
      <c r="O105" s="114"/>
      <c r="P105" s="43"/>
      <c r="Q105" s="114"/>
      <c r="R105" s="43"/>
      <c r="S105" s="43"/>
      <c r="T105" s="43"/>
      <c r="U105" s="43"/>
      <c r="V105" s="94">
        <f t="shared" si="25"/>
        <v>0</v>
      </c>
    </row>
    <row r="106" spans="1:22" ht="11.25">
      <c r="A106" s="33" t="s">
        <v>415</v>
      </c>
      <c r="B106" s="34" t="s">
        <v>416</v>
      </c>
      <c r="C106" s="34"/>
      <c r="D106" s="47"/>
      <c r="E106" s="57"/>
      <c r="F106" s="57"/>
      <c r="G106" s="140"/>
      <c r="H106" s="57"/>
      <c r="I106" s="57"/>
      <c r="J106" s="140"/>
      <c r="K106" s="140"/>
      <c r="L106" s="57"/>
      <c r="M106" s="57"/>
      <c r="N106" s="57"/>
      <c r="O106" s="140"/>
      <c r="P106" s="57"/>
      <c r="Q106" s="140"/>
      <c r="R106" s="57"/>
      <c r="S106" s="57"/>
      <c r="T106" s="57"/>
      <c r="U106" s="57"/>
      <c r="V106" s="94">
        <f t="shared" si="25"/>
        <v>0</v>
      </c>
    </row>
    <row r="107" spans="1:22" ht="11.25">
      <c r="A107" s="33" t="s">
        <v>417</v>
      </c>
      <c r="B107" s="34" t="s">
        <v>418</v>
      </c>
      <c r="C107" s="34"/>
      <c r="D107" s="35"/>
      <c r="E107" s="37">
        <v>62</v>
      </c>
      <c r="F107" s="37">
        <v>68</v>
      </c>
      <c r="G107" s="96"/>
      <c r="H107" s="37"/>
      <c r="I107" s="37">
        <v>104</v>
      </c>
      <c r="J107" s="96">
        <v>106</v>
      </c>
      <c r="K107" s="96"/>
      <c r="L107" s="37"/>
      <c r="M107" s="37"/>
      <c r="N107" s="37">
        <v>21</v>
      </c>
      <c r="O107" s="96">
        <v>23</v>
      </c>
      <c r="P107" s="37"/>
      <c r="Q107" s="96"/>
      <c r="R107" s="37"/>
      <c r="S107" s="37"/>
      <c r="T107" s="37"/>
      <c r="U107" s="37">
        <v>18</v>
      </c>
      <c r="V107" s="94">
        <f t="shared" si="25"/>
        <v>402</v>
      </c>
    </row>
    <row r="108" spans="1:22" ht="11.25">
      <c r="A108" s="33" t="s">
        <v>419</v>
      </c>
      <c r="B108" s="56" t="s">
        <v>420</v>
      </c>
      <c r="C108" s="56"/>
      <c r="D108" s="47"/>
      <c r="E108" s="37">
        <v>17063</v>
      </c>
      <c r="F108" s="37">
        <v>11923</v>
      </c>
      <c r="G108" s="96">
        <v>12788.7</v>
      </c>
      <c r="H108" s="37">
        <v>47723.69</v>
      </c>
      <c r="I108" s="37">
        <v>23546.35</v>
      </c>
      <c r="J108" s="96">
        <v>15720.46</v>
      </c>
      <c r="K108" s="96">
        <v>21871.439999999999</v>
      </c>
      <c r="L108" s="37">
        <v>16648.97</v>
      </c>
      <c r="M108" s="37">
        <v>11914.29</v>
      </c>
      <c r="N108" s="96">
        <v>7654.77</v>
      </c>
      <c r="O108" s="96">
        <v>12113.78</v>
      </c>
      <c r="P108" s="37">
        <v>16617.12</v>
      </c>
      <c r="Q108" s="96">
        <v>13520</v>
      </c>
      <c r="R108" s="37">
        <v>5747.79</v>
      </c>
      <c r="S108" s="37">
        <v>11286</v>
      </c>
      <c r="T108" s="37">
        <v>6080</v>
      </c>
      <c r="U108" s="37">
        <v>5648</v>
      </c>
      <c r="V108" s="94">
        <f t="shared" si="25"/>
        <v>257867.36</v>
      </c>
    </row>
    <row r="109" spans="1:22" ht="11.25">
      <c r="A109" s="33" t="s">
        <v>421</v>
      </c>
      <c r="B109" s="56" t="s">
        <v>422</v>
      </c>
      <c r="C109" s="56"/>
      <c r="D109" s="47"/>
      <c r="E109" s="37">
        <v>15829</v>
      </c>
      <c r="F109" s="37">
        <v>10360</v>
      </c>
      <c r="G109" s="96">
        <v>10179</v>
      </c>
      <c r="H109" s="37">
        <v>16263</v>
      </c>
      <c r="I109" s="37">
        <v>19712</v>
      </c>
      <c r="J109" s="96">
        <v>11160</v>
      </c>
      <c r="K109" s="96">
        <v>15700</v>
      </c>
      <c r="L109" s="37">
        <v>11125</v>
      </c>
      <c r="M109" s="37">
        <v>8447.1</v>
      </c>
      <c r="N109" s="96">
        <v>5134</v>
      </c>
      <c r="O109" s="96">
        <v>4330</v>
      </c>
      <c r="P109" s="37">
        <v>6673</v>
      </c>
      <c r="Q109" s="96">
        <v>5045</v>
      </c>
      <c r="R109" s="37">
        <v>2519</v>
      </c>
      <c r="S109" s="37">
        <v>4627.34</v>
      </c>
      <c r="T109" s="37">
        <v>2500</v>
      </c>
      <c r="U109" s="37">
        <v>2320</v>
      </c>
      <c r="V109" s="94">
        <f t="shared" si="25"/>
        <v>151923.44</v>
      </c>
    </row>
    <row r="121" spans="8:12">
      <c r="H121" s="141"/>
      <c r="L121" s="141"/>
    </row>
    <row r="122" spans="8:12">
      <c r="H122" s="141"/>
      <c r="L122" s="141"/>
    </row>
  </sheetData>
  <protectedRanges>
    <protectedRange password="E9C1" sqref="B31:D109 B13:D28 A13:A109 A2:D12 J2:K2 O2 Q2 V2:V109" name="区域1_1_2_1"/>
    <protectedRange password="E9C1" sqref="B29:C30" name="区域1_1_1_1_1"/>
    <protectedRange password="E9C1" sqref="D29" name="区域1_3_1"/>
    <protectedRange password="E9C1" sqref="D30" name="区域1_2_1_1"/>
    <protectedRange password="E9C1" sqref="G2" name="区域1_1_1"/>
    <protectedRange password="E9C1" sqref="L2" name="区域1_1_3_1"/>
    <protectedRange password="E9C1" sqref="E3:U3" name="区域1_1_4_1"/>
    <protectedRange password="E9C1" sqref="R2" name="区域1_1_6_1"/>
    <protectedRange password="E9C1" sqref="T2" name="区域1_1_7_1"/>
    <protectedRange password="E9C1" sqref="N2" name="区域1_1_8_1"/>
    <protectedRange password="E9C1" sqref="P2" name="区域1_1_9_1"/>
    <protectedRange password="E9C1" sqref="S2" name="区域1_1_10_1"/>
    <protectedRange password="E9C1" sqref="H2" name="区域1_1_11_1"/>
    <protectedRange password="E9C1" sqref="U2" name="区域1_1_12_1"/>
    <protectedRange password="E9C1" sqref="I2" name="区域1_1_13_1"/>
  </protectedRanges>
  <mergeCells count="1">
    <mergeCell ref="A1:V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基本支出汇总</vt:lpstr>
      <vt:lpstr>社区教育</vt:lpstr>
      <vt:lpstr>志愿者联盟</vt:lpstr>
      <vt:lpstr>2021年绩效预估</vt:lpstr>
      <vt:lpstr>保安经费</vt:lpstr>
      <vt:lpstr>莘庄</vt:lpstr>
      <vt:lpstr>吴泾</vt:lpstr>
      <vt:lpstr>七宝</vt:lpstr>
      <vt:lpstr>浦江</vt:lpstr>
      <vt:lpstr>梅陇</vt:lpstr>
      <vt:lpstr>马桥</vt:lpstr>
      <vt:lpstr>华漕</vt:lpstr>
      <vt:lpstr>颛桥</vt:lpstr>
      <vt:lpstr>虹桥</vt:lpstr>
      <vt:lpstr>吴泾镇</vt:lpstr>
      <vt:lpstr>扩班设备</vt:lpstr>
      <vt:lpstr>2021年尾款清算</vt:lpstr>
      <vt:lpstr>吴泾维修</vt:lpstr>
      <vt:lpstr>教育学院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2022-07-15T05:51:36Z</cp:lastPrinted>
  <dcterms:created xsi:type="dcterms:W3CDTF">2019-11-08T06:57:41Z</dcterms:created>
  <dcterms:modified xsi:type="dcterms:W3CDTF">2022-07-15T05:51:43Z</dcterms:modified>
</cp:coreProperties>
</file>