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80" windowHeight="11655"/>
  </bookViews>
  <sheets>
    <sheet name="七宝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农民工学校生均补贴" sheetId="9" state="hidden" r:id="rId9"/>
    <sheet name="农民工学校资助" sheetId="10" state="hidden" r:id="rId10"/>
    <sheet name="农民工学校减免书薄费" sheetId="11" state="hidden" r:id="rId11"/>
    <sheet name="小区生补贴" sheetId="12" state="hidden" r:id="rId12"/>
    <sheet name="民办学校补贴" sheetId="13" state="hidden" r:id="rId13"/>
    <sheet name="民办义务教育资助" sheetId="14" state="hidden" r:id="rId14"/>
    <sheet name="民办义务教育减免书薄费" sheetId="15" state="hidden" r:id="rId15"/>
    <sheet name="民办义务教育营养午餐" sheetId="16" state="hidden" r:id="rId16"/>
    <sheet name="政府购买学位" sheetId="17" state="hidden" r:id="rId17"/>
    <sheet name="七宝校舍维修2022" sheetId="20" state="hidden" r:id="rId18"/>
  </sheets>
  <definedNames>
    <definedName name="_xlnm._FilterDatabase" localSheetId="3" hidden="1">保安经费!$A$2:$L$51</definedName>
    <definedName name="_xlnm.Print_Area" localSheetId="3">保安经费!$A$1:$L$51</definedName>
    <definedName name="_xlnm.Print_Area" localSheetId="1">补充公用经费!$A$1:$AP$23</definedName>
    <definedName name="_xlnm.Print_Area" localSheetId="5">公办义务教育减免书薄费!$A$1:$I$13</definedName>
    <definedName name="_xlnm.Print_Area" localSheetId="6">公办义务教育营养午餐!$A$1:$E$14</definedName>
    <definedName name="_xlnm.Print_Area" localSheetId="7">公办义务教育资助!$A$1:$L$16</definedName>
    <definedName name="_xlnm.Print_Area" localSheetId="12">民办学校补贴!$A$1:$O$9</definedName>
    <definedName name="_xlnm.Print_Area" localSheetId="14">民办义务教育减免书薄费!$A$1:$F$8</definedName>
    <definedName name="_xlnm.Print_Area" localSheetId="15">民办义务教育营养午餐!$A$1:$D$4</definedName>
    <definedName name="_xlnm.Print_Area" localSheetId="10">农民工学校减免书薄费!$A$1:$O$5</definedName>
    <definedName name="_xlnm.Print_Area" localSheetId="8">农民工学校生均补贴!$A$1:$H$4</definedName>
    <definedName name="_xlnm.Print_Area" localSheetId="9">农民工学校资助!$A$1:$L$6</definedName>
    <definedName name="_xlnm.Print_Area" localSheetId="17">七宝校舍维修2022!$A$1:$M$57</definedName>
    <definedName name="_xlnm.Print_Area" localSheetId="2">'清算2022补充公用经费（课后延时）'!$A$1:$E$13</definedName>
    <definedName name="_xlnm.Print_Area" localSheetId="4">视频联网!$A$1:$K$35</definedName>
    <definedName name="_xlnm.Print_Area" localSheetId="11">小区生补贴!$A$1:$K$11</definedName>
    <definedName name="_xlnm.Print_Area" localSheetId="16">政府购买学位!$A$1:$T$9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2">民办学校补贴!$1:$3</definedName>
    <definedName name="_xlnm.Print_Titles" localSheetId="17">七宝校舍维修2022!$1:$3</definedName>
    <definedName name="_xlnm.Print_Titles" localSheetId="2">'清算2022补充公用经费（课后延时）'!$1:$2</definedName>
    <definedName name="_xlnm.Print_Titles" localSheetId="4">视频联网!$1:$2</definedName>
    <definedName name="_xlnm.Print_Titles" localSheetId="11">小区生补贴!$1:$3</definedName>
    <definedName name="_xlnm.Print_Titles" localSheetId="16">政府购买学位!$1:$3</definedName>
  </definedNames>
  <calcPr calcId="145621"/>
</workbook>
</file>

<file path=xl/calcChain.xml><?xml version="1.0" encoding="utf-8"?>
<calcChain xmlns="http://schemas.openxmlformats.org/spreadsheetml/2006/main">
  <c r="AO23" i="2" l="1"/>
  <c r="Q7" i="17" l="1"/>
  <c r="O9" i="17" l="1"/>
  <c r="L9" i="17"/>
  <c r="Q8" i="17"/>
  <c r="N8" i="17"/>
  <c r="Q6" i="17"/>
  <c r="R6" i="17" s="1"/>
  <c r="S6" i="17" s="1"/>
  <c r="Q5" i="17"/>
  <c r="N5" i="17"/>
  <c r="Q4" i="17"/>
  <c r="N4" i="17"/>
  <c r="R8" i="17" l="1"/>
  <c r="S8" i="17" s="1"/>
  <c r="Q9" i="17"/>
  <c r="N9" i="17"/>
  <c r="R4" i="17"/>
  <c r="S4" i="17" s="1"/>
  <c r="S9" i="17" l="1"/>
  <c r="R9" i="17"/>
  <c r="F5" i="17" l="1"/>
  <c r="F4" i="17"/>
  <c r="D13" i="27"/>
  <c r="E3" i="27"/>
  <c r="E4" i="27"/>
  <c r="E5" i="27"/>
  <c r="E6" i="27"/>
  <c r="E7" i="27"/>
  <c r="E8" i="27"/>
  <c r="E9" i="27"/>
  <c r="E10" i="27"/>
  <c r="E11" i="27"/>
  <c r="E12" i="27"/>
  <c r="E13" i="27" l="1"/>
  <c r="C13" i="27"/>
  <c r="I6" i="17" l="1"/>
  <c r="J6" i="17" s="1"/>
  <c r="K6" i="17" s="1"/>
  <c r="T6" i="17" s="1"/>
  <c r="I5" i="17"/>
  <c r="L53" i="20" l="1"/>
  <c r="I53" i="20"/>
  <c r="L52" i="20"/>
  <c r="I52" i="20"/>
  <c r="L51" i="20"/>
  <c r="I51" i="20"/>
  <c r="L50" i="20"/>
  <c r="I50" i="20"/>
  <c r="L49" i="20"/>
  <c r="I49" i="20"/>
  <c r="L48" i="20"/>
  <c r="L54" i="20" s="1"/>
  <c r="I48" i="20"/>
  <c r="L47" i="20"/>
  <c r="I47" i="20"/>
  <c r="L42" i="20"/>
  <c r="I42" i="20"/>
  <c r="L41" i="20"/>
  <c r="I41" i="20"/>
  <c r="L36" i="20"/>
  <c r="I36" i="20"/>
  <c r="L35" i="20"/>
  <c r="I35" i="20"/>
  <c r="L34" i="20"/>
  <c r="I34" i="20"/>
  <c r="L33" i="20"/>
  <c r="I33" i="20"/>
  <c r="L32" i="20"/>
  <c r="I32" i="20"/>
  <c r="L31" i="20"/>
  <c r="I31" i="20"/>
  <c r="L30" i="20"/>
  <c r="I30" i="20"/>
  <c r="L29" i="20"/>
  <c r="I29" i="20"/>
  <c r="I26" i="20"/>
  <c r="L24" i="20"/>
  <c r="L23" i="20"/>
  <c r="I23" i="20"/>
  <c r="L22" i="20"/>
  <c r="I22" i="20"/>
  <c r="L21" i="20"/>
  <c r="I21" i="20"/>
  <c r="L20" i="20"/>
  <c r="I20" i="20"/>
  <c r="L19" i="20"/>
  <c r="I19" i="20"/>
  <c r="L18" i="20"/>
  <c r="I18" i="20"/>
  <c r="L17" i="20"/>
  <c r="I17" i="20"/>
  <c r="L16" i="20"/>
  <c r="L25" i="20" s="1"/>
  <c r="I16" i="20"/>
  <c r="I25" i="20" s="1"/>
  <c r="I28" i="20" s="1"/>
  <c r="L11" i="20"/>
  <c r="L12" i="20" s="1"/>
  <c r="L13" i="20" s="1"/>
  <c r="I11" i="20"/>
  <c r="I12" i="20" s="1"/>
  <c r="I15" i="20" s="1"/>
  <c r="L6" i="20"/>
  <c r="I6" i="20"/>
  <c r="L5" i="20"/>
  <c r="L7" i="20" s="1"/>
  <c r="I5" i="20"/>
  <c r="I7" i="20" s="1"/>
  <c r="I37" i="20" l="1"/>
  <c r="I38" i="20" s="1"/>
  <c r="I43" i="20"/>
  <c r="I54" i="20"/>
  <c r="I55" i="20" s="1"/>
  <c r="L37" i="20"/>
  <c r="L43" i="20"/>
  <c r="L45" i="20" s="1"/>
  <c r="L46" i="20" s="1"/>
  <c r="M41" i="20" s="1"/>
  <c r="I44" i="20"/>
  <c r="I45" i="20" s="1"/>
  <c r="I46" i="20" s="1"/>
  <c r="L8" i="20"/>
  <c r="L9" i="20" s="1"/>
  <c r="L10" i="20" s="1"/>
  <c r="M5" i="20" s="1"/>
  <c r="L26" i="20"/>
  <c r="L27" i="20" s="1"/>
  <c r="L55" i="20"/>
  <c r="I8" i="20"/>
  <c r="L38" i="20"/>
  <c r="L44" i="20"/>
  <c r="L15" i="20"/>
  <c r="M11" i="20" s="1"/>
  <c r="L14" i="20"/>
  <c r="I56" i="20" l="1"/>
  <c r="I57" i="20" s="1"/>
  <c r="L28" i="20"/>
  <c r="M16" i="20" s="1"/>
  <c r="M4" i="20" s="1"/>
  <c r="C19" i="30" s="1"/>
  <c r="E19" i="30" s="1"/>
  <c r="L39" i="20"/>
  <c r="L40" i="20" s="1"/>
  <c r="M29" i="20" s="1"/>
  <c r="I10" i="20"/>
  <c r="I39" i="20"/>
  <c r="I40" i="20" s="1"/>
  <c r="I9" i="20"/>
  <c r="L56" i="20"/>
  <c r="L57" i="20" s="1"/>
  <c r="M47" i="20" s="1"/>
  <c r="I4" i="20" l="1"/>
  <c r="L4" i="20"/>
  <c r="D6" i="10" l="1"/>
  <c r="E6" i="10"/>
  <c r="F6" i="10"/>
  <c r="G6" i="10"/>
  <c r="H6" i="10"/>
  <c r="I6" i="10"/>
  <c r="J6" i="10"/>
  <c r="D16" i="8"/>
  <c r="E16" i="8"/>
  <c r="F16" i="8"/>
  <c r="G16" i="8"/>
  <c r="H16" i="8"/>
  <c r="I16" i="8"/>
  <c r="J16" i="8"/>
  <c r="G11" i="6"/>
  <c r="G9" i="17" l="1"/>
  <c r="D9" i="17"/>
  <c r="I8" i="17"/>
  <c r="F8" i="17"/>
  <c r="I4" i="17"/>
  <c r="J4" i="17" s="1"/>
  <c r="K4" i="17" s="1"/>
  <c r="T4" i="17" s="1"/>
  <c r="D3" i="16"/>
  <c r="D4" i="16" s="1"/>
  <c r="C17" i="30" s="1"/>
  <c r="D17" i="30" s="1"/>
  <c r="E17" i="30" s="1"/>
  <c r="E8" i="15"/>
  <c r="D8" i="15"/>
  <c r="F7" i="15"/>
  <c r="F6" i="15"/>
  <c r="F5" i="15"/>
  <c r="F4" i="15"/>
  <c r="F3" i="15"/>
  <c r="C6" i="14"/>
  <c r="D5" i="14"/>
  <c r="D6" i="14" s="1"/>
  <c r="L9" i="13"/>
  <c r="I9" i="13"/>
  <c r="F9" i="13"/>
  <c r="C9" i="13"/>
  <c r="N8" i="13"/>
  <c r="K8" i="13"/>
  <c r="H8" i="13"/>
  <c r="E8" i="13"/>
  <c r="N7" i="13"/>
  <c r="K7" i="13"/>
  <c r="H7" i="13"/>
  <c r="E7" i="13"/>
  <c r="N6" i="13"/>
  <c r="K6" i="13"/>
  <c r="H6" i="13"/>
  <c r="E6" i="13"/>
  <c r="N5" i="13"/>
  <c r="K5" i="13"/>
  <c r="H5" i="13"/>
  <c r="E5" i="13"/>
  <c r="N4" i="13"/>
  <c r="K4" i="13"/>
  <c r="H4" i="13"/>
  <c r="E4" i="13"/>
  <c r="F10" i="12"/>
  <c r="H10" i="12" s="1"/>
  <c r="F9" i="12"/>
  <c r="I9" i="12" s="1"/>
  <c r="F8" i="12"/>
  <c r="H8" i="12" s="1"/>
  <c r="F7" i="12"/>
  <c r="G7" i="12" s="1"/>
  <c r="F6" i="12"/>
  <c r="H6" i="12" s="1"/>
  <c r="F5" i="12"/>
  <c r="I5" i="12" s="1"/>
  <c r="F4" i="12"/>
  <c r="I4" i="12" s="1"/>
  <c r="O5" i="13" l="1"/>
  <c r="O8" i="13"/>
  <c r="G9" i="12"/>
  <c r="H4" i="12"/>
  <c r="I9" i="17"/>
  <c r="O7" i="13"/>
  <c r="O6" i="13"/>
  <c r="J8" i="17"/>
  <c r="K8" i="17" s="1"/>
  <c r="T8" i="17" s="1"/>
  <c r="T9" i="17" s="1"/>
  <c r="C18" i="30" s="1"/>
  <c r="D18" i="30" s="1"/>
  <c r="E18" i="30" s="1"/>
  <c r="F9" i="17"/>
  <c r="K9" i="13"/>
  <c r="O4" i="13"/>
  <c r="F8" i="15"/>
  <c r="C15" i="30" s="1"/>
  <c r="E5" i="14"/>
  <c r="H9" i="13"/>
  <c r="E9" i="13"/>
  <c r="N9" i="13"/>
  <c r="G5" i="12"/>
  <c r="G4" i="12"/>
  <c r="H5" i="12"/>
  <c r="G8" i="12"/>
  <c r="I8" i="12"/>
  <c r="H9" i="12"/>
  <c r="J9" i="12" s="1"/>
  <c r="K9" i="12" s="1"/>
  <c r="G6" i="12"/>
  <c r="G10" i="12"/>
  <c r="F11" i="12"/>
  <c r="I7" i="12"/>
  <c r="H7" i="12"/>
  <c r="I6" i="12"/>
  <c r="I10" i="12"/>
  <c r="D15" i="30" l="1"/>
  <c r="E15" i="30"/>
  <c r="J4" i="12"/>
  <c r="J8" i="12"/>
  <c r="K8" i="12" s="1"/>
  <c r="K9" i="17"/>
  <c r="J7" i="12"/>
  <c r="K7" i="12" s="1"/>
  <c r="J5" i="12"/>
  <c r="K5" i="12" s="1"/>
  <c r="J9" i="17"/>
  <c r="O9" i="13"/>
  <c r="C14" i="30" s="1"/>
  <c r="D14" i="30" s="1"/>
  <c r="E14" i="30" s="1"/>
  <c r="E6" i="14"/>
  <c r="C16" i="30" s="1"/>
  <c r="D16" i="30" s="1"/>
  <c r="E16" i="30" s="1"/>
  <c r="K4" i="12"/>
  <c r="G11" i="12"/>
  <c r="H11" i="12"/>
  <c r="I11" i="12"/>
  <c r="J6" i="12"/>
  <c r="K6" i="12" s="1"/>
  <c r="J10" i="12"/>
  <c r="K10" i="12" s="1"/>
  <c r="K11" i="12" l="1"/>
  <c r="C13" i="30" s="1"/>
  <c r="D13" i="30" s="1"/>
  <c r="E13" i="30" s="1"/>
  <c r="J11" i="12"/>
  <c r="O4" i="11" l="1"/>
  <c r="O5" i="11" s="1"/>
  <c r="C12" i="30" s="1"/>
  <c r="N5" i="11"/>
  <c r="M4" i="11"/>
  <c r="D12" i="30" l="1"/>
  <c r="E12" i="30"/>
  <c r="K5" i="10"/>
  <c r="L5" i="10" l="1"/>
  <c r="L6" i="10" s="1"/>
  <c r="C11" i="30" s="1"/>
  <c r="D11" i="30" s="1"/>
  <c r="E11" i="30" s="1"/>
  <c r="K6" i="10"/>
  <c r="G3" i="9" l="1"/>
  <c r="F3" i="9"/>
  <c r="E3" i="9"/>
  <c r="H3" i="9" s="1"/>
  <c r="H4" i="9" s="1"/>
  <c r="C10" i="30" s="1"/>
  <c r="D10" i="30" s="1"/>
  <c r="E10" i="30" s="1"/>
  <c r="K15" i="8"/>
  <c r="L15" i="8" s="1"/>
  <c r="K14" i="8"/>
  <c r="L14" i="8" s="1"/>
  <c r="K13" i="8"/>
  <c r="L13" i="8" s="1"/>
  <c r="K12" i="8"/>
  <c r="L12" i="8" s="1"/>
  <c r="K11" i="8"/>
  <c r="L11" i="8" s="1"/>
  <c r="K10" i="8"/>
  <c r="L10" i="8" s="1"/>
  <c r="K9" i="8"/>
  <c r="L9" i="8" s="1"/>
  <c r="K8" i="8"/>
  <c r="L8" i="8" s="1"/>
  <c r="K7" i="8"/>
  <c r="L7" i="8" s="1"/>
  <c r="K6" i="8"/>
  <c r="L6" i="8" s="1"/>
  <c r="K5" i="8"/>
  <c r="D14" i="7"/>
  <c r="E12" i="7"/>
  <c r="L5" i="8" l="1"/>
  <c r="L16" i="8" s="1"/>
  <c r="C7" i="30" s="1"/>
  <c r="E7" i="30" s="1"/>
  <c r="K16" i="8"/>
  <c r="E13" i="7" l="1"/>
  <c r="E11" i="7"/>
  <c r="E10" i="7"/>
  <c r="E9" i="7"/>
  <c r="E8" i="7"/>
  <c r="E7" i="7"/>
  <c r="E6" i="7"/>
  <c r="E5" i="7"/>
  <c r="E4" i="7"/>
  <c r="E3" i="7"/>
  <c r="F13" i="6"/>
  <c r="E13" i="6"/>
  <c r="G9" i="6"/>
  <c r="H9" i="6"/>
  <c r="E14" i="7" l="1"/>
  <c r="C6" i="30" s="1"/>
  <c r="E6" i="30" s="1"/>
  <c r="H12" i="6"/>
  <c r="G12" i="6"/>
  <c r="H11" i="6"/>
  <c r="I11" i="6" s="1"/>
  <c r="H10" i="6"/>
  <c r="G10" i="6"/>
  <c r="H8" i="6"/>
  <c r="G8" i="6"/>
  <c r="H7" i="6"/>
  <c r="G7" i="6"/>
  <c r="H6" i="6"/>
  <c r="G6" i="6"/>
  <c r="H5" i="6"/>
  <c r="G5" i="6"/>
  <c r="H4" i="6"/>
  <c r="G4" i="6"/>
  <c r="H3" i="6"/>
  <c r="G3" i="6"/>
  <c r="J51" i="3"/>
  <c r="K51" i="3"/>
  <c r="G13" i="6" l="1"/>
  <c r="H13" i="6"/>
  <c r="I3" i="6"/>
  <c r="I12" i="6"/>
  <c r="I4" i="6"/>
  <c r="I6" i="6"/>
  <c r="I8" i="6"/>
  <c r="I10" i="6"/>
  <c r="I5" i="6"/>
  <c r="I7" i="6"/>
  <c r="I9" i="6"/>
  <c r="I13" i="6" l="1"/>
  <c r="C5" i="30" s="1"/>
  <c r="E5" i="30" s="1"/>
  <c r="K31" i="4"/>
  <c r="K30" i="4"/>
  <c r="K33" i="4"/>
  <c r="K34" i="4"/>
  <c r="K32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G51" i="3"/>
  <c r="F51" i="3"/>
  <c r="I50" i="3"/>
  <c r="L50" i="3" s="1"/>
  <c r="I49" i="3"/>
  <c r="L49" i="3" s="1"/>
  <c r="I48" i="3"/>
  <c r="L48" i="3" s="1"/>
  <c r="I47" i="3"/>
  <c r="L47" i="3" s="1"/>
  <c r="I35" i="3"/>
  <c r="L35" i="3" s="1"/>
  <c r="I36" i="3"/>
  <c r="L36" i="3" s="1"/>
  <c r="I37" i="3"/>
  <c r="L37" i="3" s="1"/>
  <c r="I38" i="3"/>
  <c r="L38" i="3" s="1"/>
  <c r="I39" i="3"/>
  <c r="L39" i="3" s="1"/>
  <c r="I40" i="3"/>
  <c r="L40" i="3" s="1"/>
  <c r="I41" i="3"/>
  <c r="L41" i="3" s="1"/>
  <c r="I42" i="3"/>
  <c r="L42" i="3" s="1"/>
  <c r="I43" i="3"/>
  <c r="L43" i="3" s="1"/>
  <c r="I44" i="3"/>
  <c r="L44" i="3" s="1"/>
  <c r="I45" i="3"/>
  <c r="L45" i="3" s="1"/>
  <c r="I46" i="3"/>
  <c r="L46" i="3" s="1"/>
  <c r="I34" i="3"/>
  <c r="L34" i="3" s="1"/>
  <c r="K35" i="4" l="1"/>
  <c r="C9" i="30" s="1"/>
  <c r="D9" i="30" s="1"/>
  <c r="E9" i="30" s="1"/>
  <c r="I33" i="3"/>
  <c r="L33" i="3" s="1"/>
  <c r="I32" i="3"/>
  <c r="L32" i="3" s="1"/>
  <c r="I31" i="3"/>
  <c r="L31" i="3" s="1"/>
  <c r="I30" i="3"/>
  <c r="L30" i="3" s="1"/>
  <c r="I29" i="3"/>
  <c r="L29" i="3" s="1"/>
  <c r="I28" i="3"/>
  <c r="L28" i="3" s="1"/>
  <c r="I27" i="3"/>
  <c r="L27" i="3" s="1"/>
  <c r="I26" i="3"/>
  <c r="L26" i="3" s="1"/>
  <c r="I25" i="3"/>
  <c r="L25" i="3" s="1"/>
  <c r="I24" i="3"/>
  <c r="L24" i="3" s="1"/>
  <c r="I23" i="3"/>
  <c r="L23" i="3" s="1"/>
  <c r="I22" i="3"/>
  <c r="L22" i="3" s="1"/>
  <c r="I21" i="3"/>
  <c r="L21" i="3" s="1"/>
  <c r="I20" i="3"/>
  <c r="L20" i="3" s="1"/>
  <c r="I19" i="3"/>
  <c r="L19" i="3" s="1"/>
  <c r="I18" i="3"/>
  <c r="L18" i="3" s="1"/>
  <c r="I17" i="3"/>
  <c r="L17" i="3" s="1"/>
  <c r="I16" i="3"/>
  <c r="L16" i="3" s="1"/>
  <c r="I15" i="3"/>
  <c r="L15" i="3" s="1"/>
  <c r="I14" i="3"/>
  <c r="L14" i="3" s="1"/>
  <c r="I13" i="3"/>
  <c r="L13" i="3" s="1"/>
  <c r="I12" i="3"/>
  <c r="L12" i="3" s="1"/>
  <c r="I11" i="3"/>
  <c r="L11" i="3" s="1"/>
  <c r="I10" i="3"/>
  <c r="L10" i="3" s="1"/>
  <c r="I9" i="3"/>
  <c r="L9" i="3" s="1"/>
  <c r="I8" i="3"/>
  <c r="L8" i="3" s="1"/>
  <c r="I7" i="3"/>
  <c r="L7" i="3" s="1"/>
  <c r="I6" i="3"/>
  <c r="L6" i="3" s="1"/>
  <c r="I5" i="3"/>
  <c r="L5" i="3" s="1"/>
  <c r="I4" i="3"/>
  <c r="L4" i="3" s="1"/>
  <c r="I3" i="3"/>
  <c r="L3" i="3" l="1"/>
  <c r="L51" i="3" s="1"/>
  <c r="C8" i="30" s="1"/>
  <c r="I51" i="3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B23" i="2"/>
  <c r="AA23" i="2"/>
  <c r="Z23" i="2"/>
  <c r="Y23" i="2"/>
  <c r="W23" i="2"/>
  <c r="V23" i="2"/>
  <c r="U23" i="2"/>
  <c r="T23" i="2"/>
  <c r="M23" i="2"/>
  <c r="L23" i="2"/>
  <c r="K23" i="2"/>
  <c r="J23" i="2"/>
  <c r="H23" i="2"/>
  <c r="G23" i="2"/>
  <c r="F23" i="2"/>
  <c r="E23" i="2"/>
  <c r="D23" i="2"/>
  <c r="AC22" i="2"/>
  <c r="AI22" i="2" s="1"/>
  <c r="X22" i="2"/>
  <c r="R22" i="2"/>
  <c r="Q22" i="2"/>
  <c r="P22" i="2"/>
  <c r="O22" i="2"/>
  <c r="N22" i="2"/>
  <c r="I22" i="2"/>
  <c r="AC21" i="2"/>
  <c r="AK21" i="2" s="1"/>
  <c r="X21" i="2"/>
  <c r="R21" i="2"/>
  <c r="Q21" i="2"/>
  <c r="P21" i="2"/>
  <c r="O21" i="2"/>
  <c r="N21" i="2"/>
  <c r="I21" i="2"/>
  <c r="AC20" i="2"/>
  <c r="AK20" i="2" s="1"/>
  <c r="X20" i="2"/>
  <c r="R20" i="2"/>
  <c r="Q20" i="2"/>
  <c r="P20" i="2"/>
  <c r="O20" i="2"/>
  <c r="N20" i="2"/>
  <c r="I20" i="2"/>
  <c r="AC19" i="2"/>
  <c r="AI19" i="2" s="1"/>
  <c r="X19" i="2"/>
  <c r="R19" i="2"/>
  <c r="Q19" i="2"/>
  <c r="P19" i="2"/>
  <c r="O19" i="2"/>
  <c r="N19" i="2"/>
  <c r="I19" i="2"/>
  <c r="AC18" i="2"/>
  <c r="AI18" i="2" s="1"/>
  <c r="X18" i="2"/>
  <c r="R18" i="2"/>
  <c r="Q18" i="2"/>
  <c r="P18" i="2"/>
  <c r="O18" i="2"/>
  <c r="N18" i="2"/>
  <c r="I18" i="2"/>
  <c r="AC17" i="2"/>
  <c r="AK17" i="2" s="1"/>
  <c r="X17" i="2"/>
  <c r="R17" i="2"/>
  <c r="Q17" i="2"/>
  <c r="P17" i="2"/>
  <c r="O17" i="2"/>
  <c r="N17" i="2"/>
  <c r="I17" i="2"/>
  <c r="AC16" i="2"/>
  <c r="AK16" i="2" s="1"/>
  <c r="X16" i="2"/>
  <c r="R16" i="2"/>
  <c r="Q16" i="2"/>
  <c r="P16" i="2"/>
  <c r="O16" i="2"/>
  <c r="N16" i="2"/>
  <c r="I16" i="2"/>
  <c r="AC15" i="2"/>
  <c r="AI15" i="2" s="1"/>
  <c r="X15" i="2"/>
  <c r="R15" i="2"/>
  <c r="Q15" i="2"/>
  <c r="P15" i="2"/>
  <c r="O15" i="2"/>
  <c r="N15" i="2"/>
  <c r="I15" i="2"/>
  <c r="AC14" i="2"/>
  <c r="AI14" i="2" s="1"/>
  <c r="X14" i="2"/>
  <c r="R14" i="2"/>
  <c r="Q14" i="2"/>
  <c r="P14" i="2"/>
  <c r="O14" i="2"/>
  <c r="N14" i="2"/>
  <c r="I14" i="2"/>
  <c r="AC13" i="2"/>
  <c r="AK13" i="2" s="1"/>
  <c r="X13" i="2"/>
  <c r="R13" i="2"/>
  <c r="Q13" i="2"/>
  <c r="P13" i="2"/>
  <c r="O13" i="2"/>
  <c r="N13" i="2"/>
  <c r="I13" i="2"/>
  <c r="AC12" i="2"/>
  <c r="AK12" i="2" s="1"/>
  <c r="X12" i="2"/>
  <c r="R12" i="2"/>
  <c r="Q12" i="2"/>
  <c r="P12" i="2"/>
  <c r="O12" i="2"/>
  <c r="N12" i="2"/>
  <c r="I12" i="2"/>
  <c r="AC11" i="2"/>
  <c r="AI11" i="2" s="1"/>
  <c r="X11" i="2"/>
  <c r="R11" i="2"/>
  <c r="Q11" i="2"/>
  <c r="P11" i="2"/>
  <c r="O11" i="2"/>
  <c r="N11" i="2"/>
  <c r="I11" i="2"/>
  <c r="AC10" i="2"/>
  <c r="AI10" i="2" s="1"/>
  <c r="X10" i="2"/>
  <c r="R10" i="2"/>
  <c r="Q10" i="2"/>
  <c r="P10" i="2"/>
  <c r="O10" i="2"/>
  <c r="N10" i="2"/>
  <c r="I10" i="2"/>
  <c r="AC9" i="2"/>
  <c r="AK9" i="2" s="1"/>
  <c r="X9" i="2"/>
  <c r="R9" i="2"/>
  <c r="Q9" i="2"/>
  <c r="P9" i="2"/>
  <c r="O9" i="2"/>
  <c r="N9" i="2"/>
  <c r="I9" i="2"/>
  <c r="AC8" i="2"/>
  <c r="AK8" i="2" s="1"/>
  <c r="X8" i="2"/>
  <c r="R8" i="2"/>
  <c r="Q8" i="2"/>
  <c r="P8" i="2"/>
  <c r="O8" i="2"/>
  <c r="N8" i="2"/>
  <c r="I8" i="2"/>
  <c r="AC7" i="2"/>
  <c r="AI7" i="2" s="1"/>
  <c r="X7" i="2"/>
  <c r="R7" i="2"/>
  <c r="Q7" i="2"/>
  <c r="P7" i="2"/>
  <c r="O7" i="2"/>
  <c r="N7" i="2"/>
  <c r="I7" i="2"/>
  <c r="AC6" i="2"/>
  <c r="AI6" i="2" s="1"/>
  <c r="X6" i="2"/>
  <c r="R6" i="2"/>
  <c r="Q6" i="2"/>
  <c r="P6" i="2"/>
  <c r="O6" i="2"/>
  <c r="N6" i="2"/>
  <c r="I6" i="2"/>
  <c r="AC5" i="2"/>
  <c r="AK5" i="2" s="1"/>
  <c r="X5" i="2"/>
  <c r="R5" i="2"/>
  <c r="Q5" i="2"/>
  <c r="P5" i="2"/>
  <c r="O5" i="2"/>
  <c r="N5" i="2"/>
  <c r="I5" i="2"/>
  <c r="AC4" i="2"/>
  <c r="AK4" i="2" s="1"/>
  <c r="X4" i="2"/>
  <c r="X23" i="2" s="1"/>
  <c r="R4" i="2"/>
  <c r="Q4" i="2"/>
  <c r="P4" i="2"/>
  <c r="O4" i="2"/>
  <c r="N4" i="2"/>
  <c r="I4" i="2"/>
  <c r="D8" i="30" l="1"/>
  <c r="D20" i="30" s="1"/>
  <c r="E8" i="30"/>
  <c r="S4" i="2"/>
  <c r="AJ23" i="2"/>
  <c r="AD23" i="2"/>
  <c r="AH21" i="2"/>
  <c r="AF21" i="2"/>
  <c r="S7" i="2"/>
  <c r="AE20" i="2"/>
  <c r="AE16" i="2"/>
  <c r="AE12" i="2"/>
  <c r="AE8" i="2"/>
  <c r="AE4" i="2"/>
  <c r="AF22" i="2"/>
  <c r="AF18" i="2"/>
  <c r="AF14" i="2"/>
  <c r="AF10" i="2"/>
  <c r="AF6" i="2"/>
  <c r="AG20" i="2"/>
  <c r="AG16" i="2"/>
  <c r="AG12" i="2"/>
  <c r="AG8" i="2"/>
  <c r="AG4" i="2"/>
  <c r="AH22" i="2"/>
  <c r="AL22" i="2" s="1"/>
  <c r="AH18" i="2"/>
  <c r="AL18" i="2" s="1"/>
  <c r="AH14" i="2"/>
  <c r="AL14" i="2" s="1"/>
  <c r="AH10" i="2"/>
  <c r="AL10" i="2" s="1"/>
  <c r="AH6" i="2"/>
  <c r="AL6" i="2" s="1"/>
  <c r="AI20" i="2"/>
  <c r="AI16" i="2"/>
  <c r="AI12" i="2"/>
  <c r="AI8" i="2"/>
  <c r="AI4" i="2"/>
  <c r="AK22" i="2"/>
  <c r="AK18" i="2"/>
  <c r="AK14" i="2"/>
  <c r="AK10" i="2"/>
  <c r="AK6" i="2"/>
  <c r="AE21" i="2"/>
  <c r="AE17" i="2"/>
  <c r="AE13" i="2"/>
  <c r="AE9" i="2"/>
  <c r="AE5" i="2"/>
  <c r="AF19" i="2"/>
  <c r="AF15" i="2"/>
  <c r="AF11" i="2"/>
  <c r="AF7" i="2"/>
  <c r="AG21" i="2"/>
  <c r="AG17" i="2"/>
  <c r="AG13" i="2"/>
  <c r="AG9" i="2"/>
  <c r="AG5" i="2"/>
  <c r="AH19" i="2"/>
  <c r="AL19" i="2" s="1"/>
  <c r="AH15" i="2"/>
  <c r="AL15" i="2" s="1"/>
  <c r="AH11" i="2"/>
  <c r="AL11" i="2" s="1"/>
  <c r="AH7" i="2"/>
  <c r="AL7" i="2" s="1"/>
  <c r="AI21" i="2"/>
  <c r="AI17" i="2"/>
  <c r="AI13" i="2"/>
  <c r="AI9" i="2"/>
  <c r="AI5" i="2"/>
  <c r="AK19" i="2"/>
  <c r="AK15" i="2"/>
  <c r="AK11" i="2"/>
  <c r="AK7" i="2"/>
  <c r="AE22" i="2"/>
  <c r="AE18" i="2"/>
  <c r="AE14" i="2"/>
  <c r="AE10" i="2"/>
  <c r="AE6" i="2"/>
  <c r="AF20" i="2"/>
  <c r="AF16" i="2"/>
  <c r="AF12" i="2"/>
  <c r="AF8" i="2"/>
  <c r="AF4" i="2"/>
  <c r="AG22" i="2"/>
  <c r="AG18" i="2"/>
  <c r="AG14" i="2"/>
  <c r="AG10" i="2"/>
  <c r="AG6" i="2"/>
  <c r="AH20" i="2"/>
  <c r="AH16" i="2"/>
  <c r="AL16" i="2" s="1"/>
  <c r="AH12" i="2"/>
  <c r="AH8" i="2"/>
  <c r="AL8" i="2" s="1"/>
  <c r="AH4" i="2"/>
  <c r="AE19" i="2"/>
  <c r="AE15" i="2"/>
  <c r="AE11" i="2"/>
  <c r="AE7" i="2"/>
  <c r="AF17" i="2"/>
  <c r="AF13" i="2"/>
  <c r="AF9" i="2"/>
  <c r="AF5" i="2"/>
  <c r="AG19" i="2"/>
  <c r="AG15" i="2"/>
  <c r="AG11" i="2"/>
  <c r="AG7" i="2"/>
  <c r="AH17" i="2"/>
  <c r="AL17" i="2" s="1"/>
  <c r="AH13" i="2"/>
  <c r="AL13" i="2" s="1"/>
  <c r="AH9" i="2"/>
  <c r="AL9" i="2" s="1"/>
  <c r="AH5" i="2"/>
  <c r="S15" i="2"/>
  <c r="S12" i="2"/>
  <c r="S20" i="2"/>
  <c r="P23" i="2"/>
  <c r="AC23" i="2"/>
  <c r="S22" i="2"/>
  <c r="N23" i="2"/>
  <c r="R23" i="2"/>
  <c r="S9" i="2"/>
  <c r="S10" i="2"/>
  <c r="S17" i="2"/>
  <c r="S18" i="2"/>
  <c r="I23" i="2"/>
  <c r="Q23" i="2"/>
  <c r="S8" i="2"/>
  <c r="S11" i="2"/>
  <c r="S16" i="2"/>
  <c r="S19" i="2"/>
  <c r="S5" i="2"/>
  <c r="S6" i="2"/>
  <c r="S13" i="2"/>
  <c r="S14" i="2"/>
  <c r="S21" i="2"/>
  <c r="O23" i="2"/>
  <c r="AL21" i="2" l="1"/>
  <c r="AL5" i="2"/>
  <c r="AL20" i="2"/>
  <c r="AM20" i="2" s="1"/>
  <c r="AN20" i="2" s="1"/>
  <c r="AP20" i="2" s="1"/>
  <c r="AM19" i="2"/>
  <c r="AN19" i="2" s="1"/>
  <c r="AP19" i="2" s="1"/>
  <c r="AL12" i="2"/>
  <c r="AM18" i="2"/>
  <c r="AN18" i="2" s="1"/>
  <c r="AP18" i="2" s="1"/>
  <c r="AK23" i="2"/>
  <c r="AM15" i="2"/>
  <c r="AN15" i="2" s="1"/>
  <c r="AP15" i="2" s="1"/>
  <c r="AM10" i="2"/>
  <c r="AN10" i="2" s="1"/>
  <c r="AP10" i="2" s="1"/>
  <c r="AE23" i="2"/>
  <c r="AL4" i="2"/>
  <c r="AH23" i="2"/>
  <c r="AM11" i="2"/>
  <c r="AN11" i="2" s="1"/>
  <c r="AP11" i="2" s="1"/>
  <c r="AI23" i="2"/>
  <c r="AM7" i="2"/>
  <c r="AN7" i="2" s="1"/>
  <c r="AP7" i="2" s="1"/>
  <c r="AM17" i="2"/>
  <c r="AN17" i="2" s="1"/>
  <c r="AP17" i="2" s="1"/>
  <c r="AF23" i="2"/>
  <c r="AM14" i="2"/>
  <c r="AN14" i="2" s="1"/>
  <c r="AP14" i="2" s="1"/>
  <c r="AG23" i="2"/>
  <c r="AM5" i="2"/>
  <c r="AN5" i="2" s="1"/>
  <c r="AP5" i="2" s="1"/>
  <c r="AM21" i="2"/>
  <c r="AN21" i="2" s="1"/>
  <c r="AP21" i="2" s="1"/>
  <c r="AM6" i="2"/>
  <c r="AN6" i="2" s="1"/>
  <c r="AP6" i="2" s="1"/>
  <c r="AM22" i="2"/>
  <c r="AN22" i="2" s="1"/>
  <c r="AP22" i="2" s="1"/>
  <c r="AM13" i="2"/>
  <c r="AN13" i="2" s="1"/>
  <c r="AP13" i="2" s="1"/>
  <c r="AM9" i="2"/>
  <c r="AN9" i="2" s="1"/>
  <c r="AP9" i="2" s="1"/>
  <c r="AM16" i="2"/>
  <c r="AN16" i="2" s="1"/>
  <c r="AP16" i="2" s="1"/>
  <c r="AM12" i="2"/>
  <c r="AN12" i="2" s="1"/>
  <c r="AP12" i="2" s="1"/>
  <c r="AM8" i="2"/>
  <c r="AN8" i="2" s="1"/>
  <c r="AP8" i="2" s="1"/>
  <c r="S23" i="2"/>
  <c r="AL23" i="2" l="1"/>
  <c r="AM4" i="2"/>
  <c r="AN4" i="2" s="1"/>
  <c r="AM23" i="2" l="1"/>
  <c r="AN23" i="2"/>
  <c r="AP4" i="2"/>
  <c r="AP23" i="2" s="1"/>
  <c r="C4" i="30" s="1"/>
  <c r="E4" i="30" l="1"/>
  <c r="E20" i="30" s="1"/>
  <c r="C20" i="30"/>
</calcChain>
</file>

<file path=xl/comments1.xml><?xml version="1.0" encoding="utf-8"?>
<comments xmlns="http://schemas.openxmlformats.org/spreadsheetml/2006/main">
  <authors>
    <author>钱兢</author>
  </authors>
  <commentList>
    <comment ref="C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C10" author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C36" authorId="0">
      <text>
        <r>
          <rPr>
            <b/>
            <sz val="9"/>
            <color indexed="81"/>
            <rFont val="宋体"/>
            <family val="3"/>
            <charset val="134"/>
          </rPr>
          <t>与聋儿语训部共有校区但校门独立，上下学时段错峰（各管各），聋儿语训部为公办，实行1门5保，启英为民办，补贴1保。</t>
        </r>
      </text>
    </comment>
  </commentList>
</comments>
</file>

<file path=xl/comments2.xml><?xml version="1.0" encoding="utf-8"?>
<comments xmlns="http://schemas.openxmlformats.org/spreadsheetml/2006/main">
  <authors>
    <author>孟爱红</author>
  </authors>
  <commentList>
    <comment ref="D4" authorId="0">
      <text>
        <r>
          <rPr>
            <sz val="9"/>
            <color indexed="81"/>
            <rFont val="Tahoma"/>
            <family val="2"/>
          </rPr>
          <t>AC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AC</t>
        </r>
        <r>
          <rPr>
            <b/>
            <sz val="9"/>
            <color indexed="81"/>
            <rFont val="宋体"/>
            <family val="3"/>
            <charset val="134"/>
          </rPr>
          <t>班</t>
        </r>
        <r>
          <rPr>
            <b/>
            <sz val="9"/>
            <color indexed="81"/>
            <rFont val="Tahoma"/>
            <family val="2"/>
          </rPr>
          <t>6-8</t>
        </r>
        <r>
          <rPr>
            <b/>
            <sz val="9"/>
            <color indexed="81"/>
            <rFont val="宋体"/>
            <family val="3"/>
            <charset val="134"/>
          </rPr>
          <t>年级</t>
        </r>
      </text>
    </comment>
    <comment ref="D5" authorId="0">
      <text>
        <r>
          <rPr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>
      <text>
        <r>
          <rPr>
            <sz val="9"/>
            <color indexed="81"/>
            <rFont val="Tahoma"/>
            <family val="2"/>
          </rPr>
          <t>AC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年级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<sst xmlns="http://schemas.openxmlformats.org/spreadsheetml/2006/main" count="1023" uniqueCount="401">
  <si>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</si>
  <si>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</si>
  <si>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</si>
  <si>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</si>
  <si>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</si>
  <si>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</si>
  <si>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</si>
  <si>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</si>
  <si>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</si>
  <si>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</si>
  <si>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</si>
  <si>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</si>
  <si>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</si>
  <si>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</si>
  <si>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</si>
  <si>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</si>
  <si>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</si>
  <si>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</si>
  <si>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</si>
  <si>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</si>
  <si>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</si>
  <si>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</si>
  <si>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</si>
  <si>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</si>
  <si>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七宝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</si>
  <si>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</si>
  <si>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</si>
  <si>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</si>
  <si>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</si>
  <si>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</si>
  <si>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上海市七宝实验小学</t>
  </si>
  <si>
    <t>闵行区黎明小学</t>
  </si>
  <si>
    <t>闵行区七宝明强第二小学</t>
  </si>
  <si>
    <t>闵行区七宝镇明强小学</t>
  </si>
  <si>
    <t>闵行区航华二小</t>
  </si>
  <si>
    <t>上海市七宝实验中学</t>
  </si>
  <si>
    <t>闵行区七宝第三中学</t>
  </si>
  <si>
    <t>闵行区七宝第二中学</t>
  </si>
  <si>
    <t>上海市航华中学</t>
  </si>
  <si>
    <t>七宝皇都幼儿园</t>
  </si>
  <si>
    <t>七宝幼儿园</t>
  </si>
  <si>
    <t>七宝启英宝盛幼儿园</t>
    <phoneticPr fontId="1" type="noConversion"/>
  </si>
  <si>
    <t>七宝明强幼儿园</t>
  </si>
  <si>
    <t>七宝文来学校</t>
  </si>
  <si>
    <t>七宝合计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</si>
  <si>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</si>
  <si>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</si>
  <si>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</si>
  <si>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</si>
  <si>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</si>
  <si>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</si>
  <si>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t>三</t>
    <phoneticPr fontId="3" type="noConversion"/>
  </si>
  <si>
    <t>总园</t>
    <phoneticPr fontId="3" type="noConversion"/>
  </si>
  <si>
    <t>分园</t>
    <phoneticPr fontId="3" type="noConversion"/>
  </si>
  <si>
    <t>二</t>
    <phoneticPr fontId="3" type="noConversion"/>
  </si>
  <si>
    <r>
      <rPr>
        <sz val="10"/>
        <rFont val="宋体"/>
        <family val="3"/>
        <charset val="134"/>
      </rPr>
      <t>七宝二中</t>
    </r>
    <phoneticPr fontId="3" type="noConversion"/>
  </si>
  <si>
    <t>七宝镇</t>
    <phoneticPr fontId="3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</si>
  <si>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3" type="noConversion"/>
  </si>
  <si>
    <r>
      <rPr>
        <sz val="10"/>
        <rFont val="宋体"/>
        <family val="3"/>
        <charset val="134"/>
      </rPr>
      <t>七宝实验中学</t>
    </r>
    <phoneticPr fontId="3" type="noConversion"/>
  </si>
  <si>
    <r>
      <rPr>
        <sz val="10"/>
        <rFont val="宋体"/>
        <family val="3"/>
        <charset val="134"/>
      </rPr>
      <t>明强小学</t>
    </r>
    <phoneticPr fontId="3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</si>
  <si>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3" type="noConversion"/>
  </si>
  <si>
    <r>
      <rPr>
        <sz val="10"/>
        <rFont val="宋体"/>
        <family val="3"/>
        <charset val="134"/>
      </rPr>
      <t>明强小学（西校）</t>
    </r>
    <phoneticPr fontId="3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</si>
  <si>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3" type="noConversion"/>
  </si>
  <si>
    <t>明强小学（宝南路教学点）</t>
    <phoneticPr fontId="3" type="noConversion"/>
  </si>
  <si>
    <r>
      <rPr>
        <sz val="10"/>
        <rFont val="宋体"/>
        <family val="3"/>
        <charset val="134"/>
      </rPr>
      <t>黎明小学</t>
    </r>
    <phoneticPr fontId="3" type="noConversion"/>
  </si>
  <si>
    <r>
      <rPr>
        <sz val="10"/>
        <rFont val="宋体"/>
        <family val="3"/>
        <charset val="134"/>
      </rPr>
      <t>七宝实验小学</t>
    </r>
    <phoneticPr fontId="3" type="noConversion"/>
  </si>
  <si>
    <t>七宝幼儿园</t>
    <phoneticPr fontId="3" type="noConversion"/>
  </si>
  <si>
    <r>
      <rPr>
        <sz val="10"/>
        <rFont val="宋体"/>
        <family val="3"/>
        <charset val="134"/>
      </rPr>
      <t>七宝中心幼儿园</t>
    </r>
    <phoneticPr fontId="3" type="noConversion"/>
  </si>
  <si>
    <t>佳宝</t>
    <phoneticPr fontId="3" type="noConversion"/>
  </si>
  <si>
    <t>万泰</t>
    <phoneticPr fontId="3" type="noConversion"/>
  </si>
  <si>
    <t>广海</t>
    <phoneticPr fontId="3" type="noConversion"/>
  </si>
  <si>
    <t>莱茵</t>
    <phoneticPr fontId="3" type="noConversion"/>
  </si>
  <si>
    <t>叠彩</t>
    <phoneticPr fontId="3" type="noConversion"/>
  </si>
  <si>
    <r>
      <rPr>
        <sz val="10"/>
        <rFont val="宋体"/>
        <family val="3"/>
        <charset val="134"/>
      </rPr>
      <t>星辰幼儿园金太阳分园</t>
    </r>
    <phoneticPr fontId="3" type="noConversion"/>
  </si>
  <si>
    <r>
      <rPr>
        <sz val="10"/>
        <rFont val="宋体"/>
        <family val="3"/>
        <charset val="134"/>
      </rPr>
      <t>星辰幼儿园</t>
    </r>
    <phoneticPr fontId="3" type="noConversion"/>
  </si>
  <si>
    <r>
      <rPr>
        <sz val="10"/>
        <rFont val="宋体"/>
        <family val="3"/>
        <charset val="134"/>
      </rPr>
      <t>春欣幼儿园</t>
    </r>
    <phoneticPr fontId="3" type="noConversion"/>
  </si>
  <si>
    <t>春欣幼儿园分园（城花新苑）</t>
    <phoneticPr fontId="3" type="noConversion"/>
  </si>
  <si>
    <r>
      <rPr>
        <sz val="10"/>
        <rFont val="宋体"/>
        <family val="3"/>
        <charset val="134"/>
      </rPr>
      <t>航华中学</t>
    </r>
    <phoneticPr fontId="3" type="noConversion"/>
  </si>
  <si>
    <t>一</t>
    <phoneticPr fontId="3" type="noConversion"/>
  </si>
  <si>
    <r>
      <rPr>
        <sz val="10"/>
        <rFont val="宋体"/>
        <family val="3"/>
        <charset val="134"/>
      </rPr>
      <t>航华二中</t>
    </r>
    <phoneticPr fontId="3" type="noConversion"/>
  </si>
  <si>
    <r>
      <rPr>
        <sz val="10"/>
        <rFont val="宋体"/>
        <family val="3"/>
        <charset val="134"/>
      </rPr>
      <t>航华二小</t>
    </r>
    <phoneticPr fontId="3" type="noConversion"/>
  </si>
  <si>
    <r>
      <rPr>
        <sz val="10"/>
        <rFont val="宋体"/>
        <family val="3"/>
        <charset val="134"/>
      </rPr>
      <t>航华二幼</t>
    </r>
    <phoneticPr fontId="3" type="noConversion"/>
  </si>
  <si>
    <r>
      <rPr>
        <sz val="10"/>
        <rFont val="宋体"/>
        <family val="3"/>
        <charset val="134"/>
      </rPr>
      <t>七宝实验幼儿园</t>
    </r>
    <phoneticPr fontId="3" type="noConversion"/>
  </si>
  <si>
    <r>
      <rPr>
        <sz val="10"/>
        <rFont val="宋体"/>
        <family val="3"/>
        <charset val="134"/>
      </rPr>
      <t>明强第二小学</t>
    </r>
    <phoneticPr fontId="3" type="noConversion"/>
  </si>
  <si>
    <r>
      <rPr>
        <sz val="10"/>
        <rFont val="宋体"/>
        <family val="3"/>
        <charset val="134"/>
      </rPr>
      <t>七宝三中</t>
    </r>
    <phoneticPr fontId="3" type="noConversion"/>
  </si>
  <si>
    <t>上海市七宝实验小学（大上海校区）</t>
    <phoneticPr fontId="3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</si>
  <si>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3" type="noConversion"/>
  </si>
  <si>
    <t>上海市闵行区七宝皇都幼儿园</t>
    <phoneticPr fontId="3" type="noConversion"/>
  </si>
  <si>
    <t>上海市闵行区七宝明强幼儿园</t>
    <phoneticPr fontId="3" type="noConversion"/>
  </si>
  <si>
    <t>上海市闵行区启英宝盛幼儿园</t>
    <phoneticPr fontId="3" type="noConversion"/>
  </si>
  <si>
    <t>上海市闵行区七宝文来学校</t>
  </si>
  <si>
    <t>振兴小学</t>
    <phoneticPr fontId="1" type="noConversion"/>
  </si>
  <si>
    <t>学段</t>
    <phoneticPr fontId="1" type="noConversion"/>
  </si>
  <si>
    <t>一贯制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</si>
  <si>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</si>
  <si>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</si>
  <si>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</si>
  <si>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</si>
  <si>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</si>
  <si>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</si>
  <si>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</si>
  <si>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博爱双语艺术幼儿园</t>
    </r>
    <phoneticPr fontId="1" type="noConversion"/>
  </si>
  <si>
    <r>
      <rPr>
        <sz val="10"/>
        <color indexed="8"/>
        <rFont val="宋体"/>
        <family val="3"/>
        <charset val="134"/>
      </rPr>
      <t>闵行小星星幼儿园</t>
    </r>
    <phoneticPr fontId="1" type="noConversion"/>
  </si>
  <si>
    <r>
      <rPr>
        <sz val="10"/>
        <color indexed="8"/>
        <rFont val="宋体"/>
        <family val="3"/>
        <charset val="134"/>
      </rPr>
      <t>启英幼儿园</t>
    </r>
    <phoneticPr fontId="1" type="noConversion"/>
  </si>
  <si>
    <r>
      <rPr>
        <sz val="10"/>
        <color indexed="8"/>
        <rFont val="宋体"/>
        <family val="3"/>
        <charset val="134"/>
      </rPr>
      <t>小红帽幼儿园</t>
    </r>
    <phoneticPr fontId="1" type="noConversion"/>
  </si>
  <si>
    <r>
      <rPr>
        <sz val="10"/>
        <color indexed="8"/>
        <rFont val="宋体"/>
        <family val="3"/>
        <charset val="134"/>
      </rPr>
      <t>静安新城新世纪幼儿园</t>
    </r>
    <phoneticPr fontId="1" type="noConversion"/>
  </si>
  <si>
    <r>
      <rPr>
        <sz val="10"/>
        <color indexed="8"/>
        <rFont val="宋体"/>
        <family val="3"/>
        <charset val="134"/>
      </rPr>
      <t>启英茂盛幼稚园</t>
    </r>
    <phoneticPr fontId="1" type="noConversion"/>
  </si>
  <si>
    <r>
      <rPr>
        <sz val="10"/>
        <color indexed="8"/>
        <rFont val="宋体"/>
        <family val="3"/>
        <charset val="134"/>
      </rPr>
      <t>鹤琴爱真幼儿园</t>
    </r>
    <phoneticPr fontId="1" type="noConversion"/>
  </si>
  <si>
    <r>
      <rPr>
        <sz val="10"/>
        <color indexed="8"/>
        <rFont val="宋体"/>
        <family val="3"/>
        <charset val="134"/>
      </rPr>
      <t>哈佛士幼儿园</t>
    </r>
    <phoneticPr fontId="1" type="noConversion"/>
  </si>
  <si>
    <r>
      <rPr>
        <sz val="10"/>
        <color indexed="8"/>
        <rFont val="宋体"/>
        <family val="3"/>
        <charset val="134"/>
      </rPr>
      <t>飞尔幼儿园</t>
    </r>
    <phoneticPr fontId="1" type="noConversion"/>
  </si>
  <si>
    <t>碧城联明幼儿园</t>
    <phoneticPr fontId="1" type="noConversion"/>
  </si>
  <si>
    <t>知序实验幼儿园</t>
    <phoneticPr fontId="1" type="noConversion"/>
  </si>
  <si>
    <t>维多利亚幼儿园</t>
    <phoneticPr fontId="1" type="noConversion"/>
  </si>
  <si>
    <t>民办宝华幼儿园</t>
    <phoneticPr fontId="1" type="noConversion"/>
  </si>
  <si>
    <t>高中</t>
    <phoneticPr fontId="1" type="noConversion"/>
  </si>
  <si>
    <t>文来高中</t>
    <phoneticPr fontId="1" type="noConversion"/>
  </si>
  <si>
    <r>
      <rPr>
        <sz val="9"/>
        <rFont val="微软雅黑"/>
        <family val="2"/>
        <charset val="134"/>
      </rPr>
      <t>德怀特学校</t>
    </r>
    <phoneticPr fontId="1" type="noConversion"/>
  </si>
  <si>
    <r>
      <rPr>
        <sz val="9"/>
        <rFont val="微软雅黑"/>
        <family val="2"/>
        <charset val="134"/>
      </rPr>
      <t>万科双语学校</t>
    </r>
    <phoneticPr fontId="1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</si>
  <si>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</si>
  <si>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</si>
  <si>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</si>
  <si>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</si>
  <si>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</si>
  <si>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</si>
  <si>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</si>
  <si>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</si>
  <si>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</si>
  <si>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</si>
  <si>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</si>
  <si>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</si>
  <si>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</si>
  <si>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初级中学</t>
  </si>
  <si>
    <t>九年一贯制</t>
  </si>
  <si>
    <t>幼儿园</t>
  </si>
  <si>
    <t>七宝镇</t>
  </si>
  <si>
    <t>上海市闵行区七宝第二中学</t>
  </si>
  <si>
    <t>上海市航华第二中学</t>
  </si>
  <si>
    <t>闵行区航华第二小学</t>
  </si>
  <si>
    <t>上海市闵行区七宝明强第二小学</t>
  </si>
  <si>
    <t>上海市闵行区七宝第三中学</t>
  </si>
  <si>
    <t>闵行区七宝镇明强小学西校区</t>
  </si>
  <si>
    <t>闵行区七宝镇明强小学宝南路教学点</t>
  </si>
  <si>
    <t>闵行区航华第二幼儿园</t>
  </si>
  <si>
    <t>闵行区航华第二幼儿园分园</t>
  </si>
  <si>
    <t>闵行区七宝中心幼儿园叠彩分园</t>
  </si>
  <si>
    <t>闵行区七宝中心幼儿园广海分园</t>
  </si>
  <si>
    <t>闵行区七宝中心幼儿园佳宝分园</t>
  </si>
  <si>
    <t>闵行区七宝中心幼儿园莱茵分园</t>
  </si>
  <si>
    <t>闵行区七宝中心幼儿园万泰分园</t>
  </si>
  <si>
    <t>上海市闵行区星辰幼儿园</t>
  </si>
  <si>
    <t>上海市闵行区星辰幼儿园金太阳分园</t>
  </si>
  <si>
    <t>上海市闵行区春欣幼儿园</t>
  </si>
  <si>
    <t>上海市闵行区七宝实验幼儿园</t>
  </si>
  <si>
    <t>上海市闵行区七宝皇都幼儿园</t>
  </si>
  <si>
    <t>七宝实验小学大上海校区</t>
  </si>
  <si>
    <t>上海闵行区民办振兴小学</t>
  </si>
  <si>
    <t>上海市闵行区七宝明强幼儿园</t>
  </si>
  <si>
    <t>上海市闵行区春欣幼儿园分园</t>
  </si>
  <si>
    <t>闵行区启英宝盛幼儿园</t>
  </si>
  <si>
    <t>闵行区七宝文来学校</t>
  </si>
  <si>
    <t>七宝镇 汇总</t>
  </si>
  <si>
    <t>镇属</t>
    <phoneticPr fontId="1" type="noConversion"/>
  </si>
  <si>
    <t>七宝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</si>
  <si>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</si>
  <si>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</si>
  <si>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</si>
  <si>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</si>
  <si>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10"/>
        <rFont val="宋体"/>
        <family val="3"/>
        <charset val="134"/>
      </rPr>
      <t>闵行区航华第二小学</t>
    </r>
  </si>
  <si>
    <r>
      <rPr>
        <sz val="10"/>
        <rFont val="宋体"/>
        <family val="3"/>
        <charset val="134"/>
      </rPr>
      <t>闵行区七宝镇明强小学</t>
    </r>
  </si>
  <si>
    <r>
      <rPr>
        <sz val="10"/>
        <rFont val="宋体"/>
        <family val="3"/>
        <charset val="134"/>
      </rPr>
      <t>上海市七宝实验小学</t>
    </r>
  </si>
  <si>
    <r>
      <rPr>
        <sz val="10"/>
        <rFont val="宋体"/>
        <family val="3"/>
        <charset val="134"/>
      </rPr>
      <t>闵行区黎明小学</t>
    </r>
  </si>
  <si>
    <r>
      <rPr>
        <sz val="10"/>
        <rFont val="宋体"/>
        <family val="3"/>
        <charset val="134"/>
      </rPr>
      <t>上海市闵行区七宝明强第二小学</t>
    </r>
  </si>
  <si>
    <r>
      <rPr>
        <sz val="10"/>
        <rFont val="宋体"/>
        <family val="3"/>
        <charset val="134"/>
      </rPr>
      <t>上海市航华中学</t>
    </r>
  </si>
  <si>
    <r>
      <rPr>
        <sz val="10"/>
        <rFont val="宋体"/>
        <family val="3"/>
        <charset val="134"/>
      </rPr>
      <t>上海市闵行区七宝第二中学</t>
    </r>
  </si>
  <si>
    <r>
      <rPr>
        <sz val="10"/>
        <rFont val="宋体"/>
        <family val="3"/>
        <charset val="134"/>
      </rPr>
      <t>上海市七宝实验中学</t>
    </r>
  </si>
  <si>
    <r>
      <rPr>
        <sz val="10"/>
        <rFont val="宋体"/>
        <family val="3"/>
        <charset val="134"/>
      </rPr>
      <t>上海市闵行区七宝第三中学</t>
    </r>
  </si>
  <si>
    <t>七宝 汇总</t>
  </si>
  <si>
    <t xml:space="preserve"> 单位名称</t>
  </si>
  <si>
    <t>单位类别</t>
  </si>
  <si>
    <t>合计</t>
    <phoneticPr fontId="1" type="noConversion"/>
  </si>
  <si>
    <t>航华二小</t>
  </si>
  <si>
    <t>黎明小学</t>
  </si>
  <si>
    <t>明强二小</t>
  </si>
  <si>
    <t>明强小学</t>
  </si>
  <si>
    <t>七宝实验小学</t>
  </si>
  <si>
    <t>七宝二中</t>
  </si>
  <si>
    <t>航华中学</t>
  </si>
  <si>
    <t>七宝三中</t>
  </si>
  <si>
    <t>七宝实验中学</t>
  </si>
  <si>
    <t>九年一贯</t>
  </si>
  <si>
    <t>文来学校（中学）</t>
    <phoneticPr fontId="1" type="noConversion"/>
  </si>
  <si>
    <t>文来学校(小学）</t>
    <phoneticPr fontId="1" type="noConversion"/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</si>
  <si>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</si>
  <si>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</si>
  <si>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</si>
  <si>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</si>
  <si>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</si>
  <si>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</si>
  <si>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</si>
  <si>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</si>
  <si>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</si>
  <si>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</si>
  <si>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</si>
  <si>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</si>
  <si>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七宝二中北校</t>
    <phoneticPr fontId="1" type="noConversion"/>
  </si>
  <si>
    <t>七宝文来</t>
    <phoneticPr fontId="1" type="noConversion"/>
  </si>
  <si>
    <t>2023年公办义务教育资助预算表</t>
    <phoneticPr fontId="1" type="noConversion"/>
  </si>
  <si>
    <t>合计</t>
    <phoneticPr fontId="3" type="noConversion"/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</si>
  <si>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</si>
  <si>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</si>
  <si>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</si>
  <si>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</si>
  <si>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</si>
  <si>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</si>
  <si>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半年</t>
    <phoneticPr fontId="1" type="noConversion"/>
  </si>
  <si>
    <t>振兴小学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</si>
  <si>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</si>
  <si>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</si>
  <si>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</si>
  <si>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</si>
  <si>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</si>
  <si>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</si>
  <si>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</si>
  <si>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</si>
  <si>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</si>
  <si>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</si>
  <si>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</si>
  <si>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</si>
  <si>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补贴标准元/生/半年</t>
  </si>
  <si>
    <t>金额（元）</t>
  </si>
  <si>
    <t>上海闵行区博爱幼儿园</t>
  </si>
  <si>
    <t>上海市闵行小星星幼儿园</t>
  </si>
  <si>
    <t>上海闵行区小红帽艺术幼儿园</t>
  </si>
  <si>
    <t>上海闵行区新世纪静安新城幼儿园</t>
  </si>
  <si>
    <t>上海闵行区启英茂盛幼稚园</t>
  </si>
  <si>
    <t>上海闵行区鹤琴爱真幼儿园</t>
  </si>
  <si>
    <t>上海闵行区哈弗士幼儿园</t>
  </si>
  <si>
    <t>七宝小计</t>
  </si>
  <si>
    <t>幼儿园二级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</si>
  <si>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</si>
  <si>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</si>
  <si>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</si>
  <si>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</si>
  <si>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</si>
  <si>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</si>
  <si>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</si>
  <si>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</si>
  <si>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</si>
  <si>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</si>
  <si>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</si>
  <si>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</si>
  <si>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</si>
  <si>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</si>
  <si>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小计</t>
    <phoneticPr fontId="3" type="noConversion"/>
  </si>
  <si>
    <t>民办高中学费补贴（650/学期）</t>
  </si>
  <si>
    <t>人数</t>
  </si>
  <si>
    <t>标准</t>
  </si>
  <si>
    <t>上海闵行区万科双语学校</t>
  </si>
  <si>
    <t>上海市民办德英乐实验学校</t>
    <phoneticPr fontId="3" type="noConversion"/>
  </si>
  <si>
    <t>上海市民办上宝中学</t>
  </si>
  <si>
    <t>上海市七宝外国语小学</t>
  </si>
  <si>
    <t>上海市文来中学</t>
  </si>
  <si>
    <t>2022年第一学期</t>
    <phoneticPr fontId="1" type="noConversion"/>
  </si>
  <si>
    <t>上宝中学</t>
    <phoneticPr fontId="1" type="noConversion"/>
  </si>
  <si>
    <t>2023年民办义务教育资助预算表</t>
    <phoneticPr fontId="1" type="noConversion"/>
  </si>
  <si>
    <t>七宝合计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</si>
  <si>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</si>
  <si>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</si>
  <si>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</si>
  <si>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</si>
  <si>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下半年金额</t>
  </si>
  <si>
    <t>上宝中学</t>
  </si>
  <si>
    <t>2023年民办义务教育营养午餐预算表</t>
    <phoneticPr fontId="1" type="noConversion"/>
  </si>
  <si>
    <t>小学（14250元/学期/人）</t>
    <phoneticPr fontId="3" type="noConversion"/>
  </si>
  <si>
    <t>中学（19250元/学期/人）</t>
    <phoneticPr fontId="3" type="noConversion"/>
  </si>
  <si>
    <t>2023年政府购买学位预算表</t>
    <phoneticPr fontId="3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</si>
  <si>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</si>
  <si>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</si>
  <si>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</si>
  <si>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</si>
  <si>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</si>
  <si>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</si>
  <si>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</si>
  <si>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</si>
  <si>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万科幼儿园</t>
    <phoneticPr fontId="1" type="noConversion"/>
  </si>
  <si>
    <t>七宝小计</t>
    <phoneticPr fontId="3" type="noConversion"/>
  </si>
  <si>
    <t>农民工小学</t>
    <phoneticPr fontId="1" type="noConversion"/>
  </si>
  <si>
    <t>小学金额
（175元/学期*2）</t>
    <phoneticPr fontId="3" type="noConversion"/>
  </si>
  <si>
    <t>初中金额
（215元/学期*2）</t>
    <phoneticPr fontId="3" type="noConversion"/>
  </si>
  <si>
    <t>九年一贯制</t>
    <phoneticPr fontId="1" type="noConversion"/>
  </si>
  <si>
    <t>下半年金额</t>
    <phoneticPr fontId="1" type="noConversion"/>
  </si>
  <si>
    <t>九年一贯</t>
    <phoneticPr fontId="1" type="noConversion"/>
  </si>
  <si>
    <t>中学</t>
    <phoneticPr fontId="1" type="noConversion"/>
  </si>
  <si>
    <t>七宝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</si>
  <si>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</si>
  <si>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</si>
  <si>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</si>
  <si>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</si>
  <si>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</si>
  <si>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</si>
  <si>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</si>
  <si>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七宝</t>
    <phoneticPr fontId="1" type="noConversion"/>
  </si>
  <si>
    <t>七宝小计</t>
    <phoneticPr fontId="1" type="noConversion"/>
  </si>
  <si>
    <t>2022年第一学期各资助类型金额</t>
    <phoneticPr fontId="1" type="noConversion"/>
  </si>
  <si>
    <t>半年</t>
    <phoneticPr fontId="1" type="noConversion"/>
  </si>
  <si>
    <t>序号</t>
  </si>
  <si>
    <t>修缮
类型</t>
  </si>
  <si>
    <t>修缮
对象</t>
  </si>
  <si>
    <t>修缮内容</t>
  </si>
  <si>
    <t>单位</t>
  </si>
  <si>
    <t>申报金额（元）</t>
  </si>
  <si>
    <t>审核金额（元）</t>
  </si>
  <si>
    <t>工程量</t>
  </si>
  <si>
    <t>单价</t>
  </si>
  <si>
    <t>合价</t>
  </si>
  <si>
    <t>㎡</t>
  </si>
  <si>
    <t>篮球场</t>
  </si>
  <si>
    <t>建安费合计</t>
  </si>
  <si>
    <t>二类费用</t>
  </si>
  <si>
    <t>预备费(按5%计）</t>
  </si>
  <si>
    <t>校舍修缮</t>
  </si>
  <si>
    <t>预备费（按5%计）</t>
  </si>
  <si>
    <t>一</t>
    <phoneticPr fontId="6" type="noConversion"/>
  </si>
  <si>
    <t>教学楼</t>
  </si>
  <si>
    <t>项</t>
  </si>
  <si>
    <t>上海市闵行区教育局2022年镇管学校校舍修缮预算明细表（七宝镇）</t>
    <phoneticPr fontId="6" type="noConversion"/>
  </si>
  <si>
    <t>闵行区航华第二幼儿园（总园）</t>
  </si>
  <si>
    <t>校舍维修</t>
  </si>
  <si>
    <t>屋顶</t>
  </si>
  <si>
    <t>坡屋顶面层防水修缮（含脚手架）</t>
  </si>
  <si>
    <t>强电整体改造</t>
  </si>
  <si>
    <r>
      <rPr>
        <sz val="7.5"/>
        <color rgb="FF000000"/>
        <rFont val="宋体"/>
        <family val="3"/>
        <charset val="134"/>
        <scheme val="minor"/>
      </rPr>
      <t>二类费（按10</t>
    </r>
    <r>
      <rPr>
        <sz val="7.5"/>
        <rFont val="宋体"/>
        <family val="3"/>
        <charset val="134"/>
      </rPr>
      <t>%计）</t>
    </r>
  </si>
  <si>
    <t>上海市闵行区航华第二幼儿园（分园）</t>
  </si>
  <si>
    <t>二类费（按10%计）</t>
  </si>
  <si>
    <t>场地</t>
  </si>
  <si>
    <t>篮球场基础修补</t>
  </si>
  <si>
    <t>篮球场新做8厚硅PU</t>
  </si>
  <si>
    <t>跑道</t>
  </si>
  <si>
    <t>塑胶跑道基础修补</t>
  </si>
  <si>
    <t>塑胶跑道新做13厚塑胶面层</t>
  </si>
  <si>
    <t>塑胶跑道排水沟盖板及疏通</t>
  </si>
  <si>
    <t>篮球场（追加）</t>
  </si>
  <si>
    <t>半圆塑胶面层</t>
  </si>
  <si>
    <t>平方米</t>
  </si>
  <si>
    <t>基础修补找平</t>
  </si>
  <si>
    <t>运动场地（追加）</t>
  </si>
  <si>
    <t>沙池改EPDM塑胶</t>
  </si>
  <si>
    <t>室外</t>
  </si>
  <si>
    <t>门头</t>
  </si>
  <si>
    <t>消防通道门头改造</t>
  </si>
  <si>
    <t>室内</t>
  </si>
  <si>
    <t>图书馆</t>
  </si>
  <si>
    <t>石膏板及铝方通造型吊顶</t>
  </si>
  <si>
    <t>内墙涂料</t>
  </si>
  <si>
    <t>生态木造型墙面(含基层)</t>
  </si>
  <si>
    <t>实木复合地板</t>
  </si>
  <si>
    <t>新做造型台阶</t>
  </si>
  <si>
    <t>12厚钢化玻璃门</t>
  </si>
  <si>
    <t>强弱电改造</t>
  </si>
  <si>
    <t>50厚人工草皮</t>
  </si>
  <si>
    <t>场地基础修补</t>
  </si>
  <si>
    <t>足球场</t>
  </si>
  <si>
    <t>足球场基础修补</t>
  </si>
  <si>
    <t>足球场新做50厚人工草坪</t>
  </si>
  <si>
    <t>镇属</t>
    <phoneticPr fontId="6" type="noConversion"/>
  </si>
  <si>
    <t>七宝</t>
    <phoneticPr fontId="6" type="noConversion"/>
  </si>
  <si>
    <t>2022年已下达金额</t>
    <phoneticPr fontId="1" type="noConversion"/>
  </si>
  <si>
    <t>七宝</t>
    <phoneticPr fontId="6" type="noConversion"/>
  </si>
  <si>
    <t>核定金额</t>
    <phoneticPr fontId="6" type="noConversion"/>
  </si>
  <si>
    <t>清算金额</t>
    <phoneticPr fontId="1" type="noConversion"/>
  </si>
  <si>
    <t>2022年镇管学校延时服务核定表（补充公用经费）</t>
    <phoneticPr fontId="6" type="noConversion"/>
  </si>
  <si>
    <t>七宝</t>
    <phoneticPr fontId="3" type="noConversion"/>
  </si>
  <si>
    <t>2022学年
第二学期(4-8)</t>
    <phoneticPr fontId="3" type="noConversion"/>
  </si>
  <si>
    <t>镇管</t>
    <phoneticPr fontId="3" type="noConversion"/>
  </si>
  <si>
    <t>上海市民办上宝中学</t>
    <phoneticPr fontId="3" type="noConversion"/>
  </si>
  <si>
    <t>2023学年
第一学期(9-12)</t>
    <phoneticPr fontId="3" type="noConversion"/>
  </si>
  <si>
    <t>离职补偿</t>
    <phoneticPr fontId="1" type="noConversion"/>
  </si>
  <si>
    <t>合计预下达</t>
    <phoneticPr fontId="1" type="noConversion"/>
  </si>
  <si>
    <t>预下达</t>
    <phoneticPr fontId="1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</si>
  <si>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</si>
  <si>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</si>
  <si>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</si>
  <si>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</si>
  <si>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</si>
  <si>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</si>
  <si>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</si>
  <si>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</si>
  <si>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</si>
  <si>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</si>
  <si>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</si>
  <si>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</si>
  <si>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</si>
  <si>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</si>
  <si>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民办幼儿园小区生补贴</t>
    <phoneticPr fontId="1" type="noConversion"/>
  </si>
  <si>
    <t>民办学校生均补贴</t>
    <phoneticPr fontId="1" type="noConversion"/>
  </si>
  <si>
    <t>民办学校减免书簿费</t>
    <phoneticPr fontId="1" type="noConversion"/>
  </si>
  <si>
    <t>校舍维修</t>
    <phoneticPr fontId="1" type="noConversion"/>
  </si>
  <si>
    <t>七宝镇：</t>
    <phoneticPr fontId="3" type="noConversion"/>
  </si>
  <si>
    <t>民办义务教育营养午餐</t>
    <phoneticPr fontId="1" type="noConversion"/>
  </si>
  <si>
    <t>政府购买民办学校学位专项</t>
    <phoneticPr fontId="1" type="noConversion"/>
  </si>
  <si>
    <t>民办义务教育资助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</si>
</sst>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.0_ "/>
    <numFmt numFmtId="180" formatCode="0_);\(0\)"/>
    <numFmt numFmtId="181" formatCode="0_);[Red]\(0\)"/>
    <numFmt numFmtId="182" formatCode="#,##0.00_ "/>
    <numFmt numFmtId="183" formatCode="_-* #,##0_-;\-* #,##0_-;_-* &quot;-&quot;_-;_-@_-"/>
    <numFmt numFmtId="184" formatCode="0_ "/>
    <numFmt numFmtId="185" formatCode="0.00_);\(0.00\)"/>
    <numFmt numFmtId="186" formatCode="#,##0.0"/>
    <numFmt numFmtId="187" formatCode="#,##0.0_ "/>
    <numFmt numFmtId="188" formatCode="[$-409]d/mmm/yy;@"/>
  </numFmts>
  <fonts count="7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7.5"/>
      <color theme="1"/>
      <name val="宋体"/>
      <family val="3"/>
      <charset val="134"/>
      <scheme val="minor"/>
    </font>
    <font>
      <sz val="7.5"/>
      <color theme="1"/>
      <name val="宋体"/>
      <family val="3"/>
      <charset val="134"/>
      <scheme val="minor"/>
    </font>
    <font>
      <sz val="7.5"/>
      <name val="宋体"/>
      <family val="3"/>
      <charset val="134"/>
    </font>
    <font>
      <sz val="7.5"/>
      <name val="宋体"/>
      <family val="3"/>
      <charset val="134"/>
      <scheme val="minor"/>
    </font>
    <font>
      <b/>
      <sz val="7.5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b/>
      <sz val="7.5"/>
      <color rgb="FF000000"/>
      <name val="宋体"/>
      <family val="3"/>
      <charset val="134"/>
      <scheme val="minor"/>
    </font>
    <font>
      <b/>
      <sz val="7.5"/>
      <color rgb="FF000000"/>
      <name val="宋体"/>
      <family val="3"/>
      <charset val="134"/>
    </font>
    <font>
      <sz val="7.5"/>
      <color rgb="FF000000"/>
      <name val="宋体"/>
      <family val="3"/>
      <charset val="134"/>
      <scheme val="minor"/>
    </font>
    <font>
      <sz val="7.5"/>
      <color rgb="FF000000"/>
      <name val="宋体"/>
      <family val="3"/>
      <charset val="134"/>
    </font>
    <font>
      <b/>
      <sz val="7.5"/>
      <color theme="1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0" fontId="31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176" fontId="1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183" fontId="14" fillId="0" borderId="0" applyFont="0" applyFill="0" applyBorder="0" applyAlignment="0" applyProtection="0">
      <alignment vertical="center"/>
    </xf>
    <xf numFmtId="18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188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3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5" fillId="0" borderId="0" xfId="0" applyNumberFormat="1" applyFont="1">
      <alignment vertical="center"/>
    </xf>
    <xf numFmtId="0" fontId="26" fillId="3" borderId="1" xfId="10" applyNumberFormat="1" applyFont="1" applyFill="1" applyBorder="1" applyAlignment="1">
      <alignment horizontal="center" vertical="center" wrapText="1"/>
    </xf>
    <xf numFmtId="0" fontId="27" fillId="3" borderId="1" xfId="10" applyNumberFormat="1" applyFont="1" applyFill="1" applyBorder="1" applyAlignment="1">
      <alignment horizontal="center" vertical="center" wrapText="1"/>
    </xf>
    <xf numFmtId="0" fontId="24" fillId="0" borderId="1" xfId="11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28" fillId="0" borderId="1" xfId="11" applyFont="1" applyBorder="1" applyAlignment="1">
      <alignment horizontal="center" vertical="center"/>
    </xf>
    <xf numFmtId="0" fontId="29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28" fillId="2" borderId="1" xfId="11" applyFont="1" applyFill="1" applyBorder="1" applyAlignment="1">
      <alignment horizontal="center" vertical="center"/>
    </xf>
    <xf numFmtId="0" fontId="13" fillId="0" borderId="0" xfId="4" applyNumberFormat="1" applyFont="1" applyBorder="1" applyAlignment="1">
      <alignment horizontal="left" vertical="center"/>
    </xf>
    <xf numFmtId="0" fontId="25" fillId="0" borderId="0" xfId="0" applyNumberFormat="1" applyFont="1">
      <alignment vertical="center"/>
    </xf>
    <xf numFmtId="176" fontId="25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26" fillId="3" borderId="1" xfId="1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3" fillId="2" borderId="1" xfId="14" applyNumberFormat="1" applyFont="1" applyFill="1" applyBorder="1" applyAlignment="1">
      <alignment horizontal="right" vertical="center"/>
    </xf>
    <xf numFmtId="0" fontId="33" fillId="0" borderId="1" xfId="14" applyFont="1" applyBorder="1" applyAlignment="1">
      <alignment horizontal="right" vertical="center"/>
    </xf>
    <xf numFmtId="177" fontId="2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35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6" fillId="2" borderId="1" xfId="15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11">
      <alignment vertical="center"/>
    </xf>
    <xf numFmtId="0" fontId="37" fillId="2" borderId="1" xfId="3" applyFont="1" applyFill="1" applyBorder="1" applyAlignment="1">
      <alignment horizontal="center" vertical="center"/>
    </xf>
    <xf numFmtId="0" fontId="2" fillId="0" borderId="0" xfId="11" applyFo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6" fillId="3" borderId="1" xfId="16" applyNumberFormat="1" applyFont="1" applyFill="1" applyBorder="1" applyAlignment="1">
      <alignment horizontal="center" vertical="center" wrapText="1"/>
    </xf>
    <xf numFmtId="0" fontId="37" fillId="3" borderId="1" xfId="18" applyFont="1" applyFill="1" applyBorder="1" applyAlignment="1">
      <alignment horizontal="center" vertical="center" wrapText="1"/>
    </xf>
    <xf numFmtId="0" fontId="37" fillId="3" borderId="1" xfId="19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 wrapText="1"/>
    </xf>
    <xf numFmtId="0" fontId="6" fillId="2" borderId="1" xfId="17" applyFont="1" applyFill="1" applyBorder="1" applyAlignment="1">
      <alignment horizontal="center" vertical="center"/>
    </xf>
    <xf numFmtId="0" fontId="6" fillId="2" borderId="1" xfId="17" applyNumberFormat="1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/>
    </xf>
    <xf numFmtId="0" fontId="6" fillId="3" borderId="1" xfId="17" applyNumberFormat="1" applyFont="1" applyFill="1" applyBorder="1" applyAlignment="1">
      <alignment horizontal="center" vertical="center" wrapText="1"/>
    </xf>
    <xf numFmtId="181" fontId="5" fillId="2" borderId="1" xfId="11" applyNumberFormat="1" applyFont="1" applyFill="1" applyBorder="1" applyAlignment="1">
      <alignment horizontal="center" vertical="center" wrapText="1"/>
    </xf>
    <xf numFmtId="181" fontId="5" fillId="3" borderId="1" xfId="11" applyNumberFormat="1" applyFont="1" applyFill="1" applyBorder="1" applyAlignment="1">
      <alignment horizontal="center" vertical="center" wrapText="1"/>
    </xf>
    <xf numFmtId="0" fontId="18" fillId="2" borderId="1" xfId="16" applyNumberFormat="1" applyFont="1" applyFill="1" applyBorder="1" applyAlignment="1">
      <alignment horizontal="center" vertical="center" wrapText="1"/>
    </xf>
    <xf numFmtId="0" fontId="38" fillId="2" borderId="1" xfId="11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/>
    </xf>
    <xf numFmtId="180" fontId="37" fillId="2" borderId="1" xfId="3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38" fillId="3" borderId="1" xfId="11" applyFont="1" applyFill="1" applyBorder="1" applyAlignment="1">
      <alignment horizontal="center" vertical="center" wrapText="1"/>
    </xf>
    <xf numFmtId="0" fontId="6" fillId="3" borderId="1" xfId="16" applyNumberFormat="1" applyFont="1" applyFill="1" applyBorder="1" applyAlignment="1">
      <alignment horizontal="center" vertical="center"/>
    </xf>
    <xf numFmtId="180" fontId="37" fillId="3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2" borderId="1" xfId="18" applyFont="1" applyFill="1" applyBorder="1" applyAlignment="1">
      <alignment horizontal="center" vertical="center"/>
    </xf>
    <xf numFmtId="0" fontId="37" fillId="2" borderId="1" xfId="1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80" fontId="37" fillId="3" borderId="1" xfId="18" applyNumberFormat="1" applyFont="1" applyFill="1" applyBorder="1" applyAlignment="1">
      <alignment horizontal="center" vertical="center"/>
    </xf>
    <xf numFmtId="0" fontId="37" fillId="3" borderId="1" xfId="3" applyFont="1" applyFill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180" fontId="37" fillId="0" borderId="1" xfId="18" applyNumberFormat="1" applyFont="1" applyBorder="1" applyAlignment="1">
      <alignment horizontal="center" vertical="center"/>
    </xf>
    <xf numFmtId="180" fontId="37" fillId="0" borderId="1" xfId="18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 wrapText="1"/>
    </xf>
    <xf numFmtId="0" fontId="3" fillId="3" borderId="1" xfId="4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0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0" applyNumberFormat="1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/>
    </xf>
    <xf numFmtId="0" fontId="24" fillId="3" borderId="1" xfId="21" applyNumberFormat="1" applyFont="1" applyFill="1" applyBorder="1" applyAlignment="1">
      <alignment horizontal="center" vertical="center"/>
    </xf>
    <xf numFmtId="0" fontId="6" fillId="2" borderId="1" xfId="21" applyNumberFormat="1" applyFont="1" applyFill="1" applyBorder="1" applyAlignment="1">
      <alignment horizontal="center" vertical="center"/>
    </xf>
    <xf numFmtId="0" fontId="6" fillId="3" borderId="1" xfId="2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180" fontId="37" fillId="2" borderId="1" xfId="1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5" fillId="3" borderId="1" xfId="20" applyNumberFormat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178" fontId="26" fillId="4" borderId="1" xfId="2" applyNumberFormat="1" applyFont="1" applyFill="1" applyBorder="1" applyAlignment="1">
      <alignment horizontal="center" vertical="center" wrapText="1"/>
    </xf>
    <xf numFmtId="178" fontId="26" fillId="4" borderId="1" xfId="0" applyNumberFormat="1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3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4" fillId="0" borderId="1" xfId="5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4" fillId="3" borderId="1" xfId="5" applyNumberFormat="1" applyFont="1" applyFill="1" applyBorder="1" applyAlignment="1">
      <alignment horizontal="center" vertical="center"/>
    </xf>
    <xf numFmtId="176" fontId="30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3" fillId="3" borderId="1" xfId="14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3" fillId="3" borderId="1" xfId="14" applyNumberFormat="1" applyFont="1" applyFill="1" applyBorder="1" applyAlignment="1">
      <alignment horizontal="right" vertical="center"/>
    </xf>
    <xf numFmtId="0" fontId="33" fillId="3" borderId="1" xfId="14" applyFont="1" applyFill="1" applyBorder="1" applyAlignment="1">
      <alignment horizontal="right" vertical="center"/>
    </xf>
    <xf numFmtId="177" fontId="28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3" fillId="2" borderId="1" xfId="18" applyNumberFormat="1" applyFont="1" applyFill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50" fillId="3" borderId="1" xfId="10" applyNumberFormat="1" applyFont="1" applyFill="1" applyBorder="1" applyAlignment="1">
      <alignment horizontal="center" vertical="center" wrapText="1"/>
    </xf>
    <xf numFmtId="176" fontId="49" fillId="0" borderId="1" xfId="0" applyNumberFormat="1" applyFont="1" applyBorder="1" applyAlignment="1">
      <alignment horizontal="center" vertical="center"/>
    </xf>
    <xf numFmtId="177" fontId="49" fillId="0" borderId="1" xfId="0" applyNumberFormat="1" applyFont="1" applyBorder="1" applyAlignment="1">
      <alignment horizontal="center" vertical="center"/>
    </xf>
    <xf numFmtId="177" fontId="49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/>
    </xf>
    <xf numFmtId="182" fontId="52" fillId="0" borderId="1" xfId="0" applyNumberFormat="1" applyFont="1" applyFill="1" applyBorder="1" applyAlignment="1">
      <alignment horizontal="center" vertical="center" wrapText="1"/>
    </xf>
    <xf numFmtId="182" fontId="54" fillId="0" borderId="1" xfId="23" applyNumberFormat="1" applyFont="1" applyFill="1" applyBorder="1" applyAlignment="1">
      <alignment horizontal="center" vertical="center" wrapText="1"/>
    </xf>
    <xf numFmtId="182" fontId="54" fillId="0" borderId="1" xfId="0" applyNumberFormat="1" applyFont="1" applyFill="1" applyBorder="1" applyAlignment="1">
      <alignment horizontal="center" vertical="center" wrapText="1"/>
    </xf>
    <xf numFmtId="182" fontId="53" fillId="0" borderId="1" xfId="0" applyNumberFormat="1" applyFont="1" applyFill="1" applyBorder="1" applyAlignment="1">
      <alignment horizontal="center" vertical="center" wrapText="1"/>
    </xf>
    <xf numFmtId="182" fontId="55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182" fontId="53" fillId="0" borderId="1" xfId="0" applyNumberFormat="1" applyFont="1" applyFill="1" applyBorder="1" applyAlignment="1">
      <alignment horizontal="center" vertical="center"/>
    </xf>
    <xf numFmtId="9" fontId="53" fillId="0" borderId="1" xfId="22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82" fontId="52" fillId="0" borderId="1" xfId="0" applyNumberFormat="1" applyFont="1" applyFill="1" applyBorder="1" applyAlignment="1">
      <alignment horizontal="left" vertical="center" wrapText="1"/>
    </xf>
    <xf numFmtId="182" fontId="57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82" fontId="59" fillId="0" borderId="1" xfId="0" applyNumberFormat="1" applyFont="1" applyFill="1" applyBorder="1" applyAlignment="1">
      <alignment horizontal="left" vertical="center" wrapText="1"/>
    </xf>
    <xf numFmtId="182" fontId="57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 wrapText="1"/>
    </xf>
    <xf numFmtId="182" fontId="61" fillId="0" borderId="1" xfId="0" applyNumberFormat="1" applyFont="1" applyFill="1" applyBorder="1" applyAlignment="1">
      <alignment horizontal="left" vertical="center" wrapText="1"/>
    </xf>
    <xf numFmtId="182" fontId="54" fillId="0" borderId="1" xfId="23" applyNumberFormat="1" applyFont="1" applyFill="1" applyBorder="1" applyAlignment="1">
      <alignment horizontal="left" vertical="center" wrapText="1"/>
    </xf>
    <xf numFmtId="182" fontId="62" fillId="0" borderId="1" xfId="0" applyNumberFormat="1" applyFont="1" applyFill="1" applyBorder="1" applyAlignment="1">
      <alignment horizontal="left" vertical="center"/>
    </xf>
    <xf numFmtId="182" fontId="53" fillId="0" borderId="1" xfId="0" applyNumberFormat="1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182" fontId="58" fillId="0" borderId="1" xfId="0" applyNumberFormat="1" applyFont="1" applyFill="1" applyBorder="1" applyAlignment="1">
      <alignment horizontal="left" vertical="center" wrapText="1"/>
    </xf>
    <xf numFmtId="182" fontId="60" fillId="0" borderId="1" xfId="0" applyNumberFormat="1" applyFont="1" applyFill="1" applyBorder="1" applyAlignment="1">
      <alignment horizontal="left" vertical="center" wrapText="1"/>
    </xf>
    <xf numFmtId="182" fontId="60" fillId="0" borderId="1" xfId="0" applyNumberFormat="1" applyFont="1" applyFill="1" applyBorder="1" applyAlignment="1">
      <alignment horizontal="center" vertical="center" wrapText="1"/>
    </xf>
    <xf numFmtId="177" fontId="53" fillId="0" borderId="1" xfId="0" applyNumberFormat="1" applyFont="1" applyFill="1" applyBorder="1" applyAlignment="1">
      <alignment horizontal="left" vertical="center" wrapText="1"/>
    </xf>
    <xf numFmtId="177" fontId="55" fillId="0" borderId="1" xfId="0" applyNumberFormat="1" applyFont="1" applyFill="1" applyBorder="1" applyAlignment="1">
      <alignment horizontal="left" vertical="center" wrapText="1"/>
    </xf>
    <xf numFmtId="182" fontId="55" fillId="0" borderId="1" xfId="0" applyNumberFormat="1" applyFont="1" applyFill="1" applyBorder="1" applyAlignment="1">
      <alignment horizontal="left" vertical="center" wrapText="1"/>
    </xf>
    <xf numFmtId="177" fontId="58" fillId="0" borderId="1" xfId="0" applyNumberFormat="1" applyFont="1" applyFill="1" applyBorder="1" applyAlignment="1">
      <alignment horizontal="left" vertical="center" wrapText="1"/>
    </xf>
    <xf numFmtId="182" fontId="53" fillId="0" borderId="1" xfId="0" applyNumberFormat="1" applyFont="1" applyFill="1" applyBorder="1" applyAlignment="1">
      <alignment horizontal="left" vertical="center"/>
    </xf>
    <xf numFmtId="177" fontId="60" fillId="0" borderId="1" xfId="0" applyNumberFormat="1" applyFont="1" applyFill="1" applyBorder="1" applyAlignment="1">
      <alignment horizontal="left" vertical="center" wrapText="1"/>
    </xf>
    <xf numFmtId="177" fontId="52" fillId="0" borderId="1" xfId="0" applyNumberFormat="1" applyFont="1" applyFill="1" applyBorder="1" applyAlignment="1">
      <alignment horizontal="left" vertical="center"/>
    </xf>
    <xf numFmtId="181" fontId="54" fillId="0" borderId="1" xfId="23" applyNumberFormat="1" applyFont="1" applyFill="1" applyBorder="1" applyAlignment="1">
      <alignment horizontal="left" vertical="center" wrapText="1"/>
    </xf>
    <xf numFmtId="182" fontId="52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/>
    </xf>
    <xf numFmtId="177" fontId="54" fillId="0" borderId="1" xfId="23" applyNumberFormat="1" applyFont="1" applyFill="1" applyBorder="1" applyAlignment="1">
      <alignment horizontal="left" vertical="center" wrapText="1"/>
    </xf>
    <xf numFmtId="182" fontId="54" fillId="0" borderId="1" xfId="23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>
      <alignment vertical="center"/>
    </xf>
    <xf numFmtId="0" fontId="39" fillId="0" borderId="10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86" fontId="37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37" fillId="0" borderId="10" xfId="0" applyNumberFormat="1" applyFont="1" applyFill="1" applyBorder="1">
      <alignment vertical="center"/>
    </xf>
    <xf numFmtId="186" fontId="15" fillId="2" borderId="10" xfId="0" applyNumberFormat="1" applyFont="1" applyFill="1" applyBorder="1">
      <alignment vertical="center"/>
    </xf>
    <xf numFmtId="187" fontId="39" fillId="0" borderId="10" xfId="0" applyNumberFormat="1" applyFont="1" applyBorder="1">
      <alignment vertical="center"/>
    </xf>
    <xf numFmtId="0" fontId="64" fillId="0" borderId="10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7" fillId="2" borderId="7" xfId="18" applyFont="1" applyFill="1" applyBorder="1" applyAlignment="1">
      <alignment horizontal="center" vertical="center" wrapText="1"/>
    </xf>
    <xf numFmtId="0" fontId="37" fillId="2" borderId="10" xfId="3" applyFont="1" applyFill="1" applyBorder="1" applyAlignment="1">
      <alignment horizontal="center" vertical="center"/>
    </xf>
    <xf numFmtId="180" fontId="37" fillId="2" borderId="10" xfId="18" applyNumberFormat="1" applyFont="1" applyFill="1" applyBorder="1" applyAlignment="1">
      <alignment horizontal="center" vertical="center"/>
    </xf>
    <xf numFmtId="0" fontId="37" fillId="3" borderId="1" xfId="3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>
      <alignment vertical="center"/>
    </xf>
    <xf numFmtId="184" fontId="39" fillId="2" borderId="10" xfId="0" applyNumberFormat="1" applyFont="1" applyFill="1" applyBorder="1" applyAlignment="1">
      <alignment horizontal="center" vertical="center"/>
    </xf>
    <xf numFmtId="184" fontId="37" fillId="3" borderId="1" xfId="3" applyNumberFormat="1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68" fillId="0" borderId="0" xfId="0" applyNumberFormat="1" applyFont="1" applyBorder="1" applyAlignment="1">
      <alignment horizontal="right" vertical="center"/>
    </xf>
    <xf numFmtId="0" fontId="69" fillId="0" borderId="9" xfId="0" applyNumberFormat="1" applyFont="1" applyBorder="1" applyAlignment="1">
      <alignment horizontal="center" vertical="center"/>
    </xf>
    <xf numFmtId="0" fontId="69" fillId="0" borderId="9" xfId="0" applyNumberFormat="1" applyFont="1" applyFill="1" applyBorder="1" applyAlignment="1">
      <alignment horizontal="center" vertical="center"/>
    </xf>
    <xf numFmtId="177" fontId="69" fillId="0" borderId="9" xfId="0" applyNumberFormat="1" applyFont="1" applyFill="1" applyBorder="1" applyAlignment="1">
      <alignment horizontal="right" vertical="center"/>
    </xf>
    <xf numFmtId="0" fontId="69" fillId="0" borderId="9" xfId="0" applyNumberFormat="1" applyFont="1" applyBorder="1" applyAlignment="1">
      <alignment horizontal="center" vertical="center" wrapText="1"/>
    </xf>
    <xf numFmtId="177" fontId="70" fillId="0" borderId="9" xfId="0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69" fillId="0" borderId="9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67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68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4" fillId="0" borderId="2" xfId="0" applyNumberFormat="1" applyFont="1" applyBorder="1" applyAlignment="1">
      <alignment horizontal="center" vertical="center"/>
    </xf>
    <xf numFmtId="0" fontId="45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6" fillId="3" borderId="1" xfId="4" applyNumberFormat="1" applyFont="1" applyFill="1" applyBorder="1" applyAlignment="1">
      <alignment horizontal="center" vertical="center"/>
    </xf>
    <xf numFmtId="0" fontId="25" fillId="0" borderId="1" xfId="10" applyNumberFormat="1" applyFont="1" applyBorder="1" applyAlignment="1">
      <alignment horizontal="center" vertical="center"/>
    </xf>
    <xf numFmtId="176" fontId="46" fillId="0" borderId="2" xfId="0" applyNumberFormat="1" applyFont="1" applyBorder="1" applyAlignment="1">
      <alignment horizontal="center" vertical="center"/>
    </xf>
    <xf numFmtId="0" fontId="26" fillId="3" borderId="1" xfId="10" applyNumberFormat="1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/>
    </xf>
    <xf numFmtId="0" fontId="32" fillId="0" borderId="2" xfId="14" applyNumberFormat="1" applyFont="1" applyBorder="1" applyAlignment="1">
      <alignment horizontal="center" vertical="center" wrapText="1"/>
    </xf>
    <xf numFmtId="176" fontId="4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9" fillId="3" borderId="1" xfId="10" applyNumberFormat="1" applyFont="1" applyFill="1" applyBorder="1" applyAlignment="1">
      <alignment horizontal="center" vertical="center"/>
    </xf>
    <xf numFmtId="176" fontId="49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34" fillId="0" borderId="2" xfId="0" applyNumberFormat="1" applyFont="1" applyBorder="1" applyAlignment="1">
      <alignment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 wrapText="1"/>
    </xf>
    <xf numFmtId="180" fontId="3" fillId="3" borderId="1" xfId="3" applyNumberFormat="1" applyFont="1" applyFill="1" applyBorder="1" applyAlignment="1">
      <alignment horizontal="center" vertical="center"/>
    </xf>
    <xf numFmtId="9" fontId="6" fillId="3" borderId="3" xfId="11" applyNumberFormat="1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4" fillId="0" borderId="2" xfId="11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57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179" fontId="6" fillId="3" borderId="1" xfId="1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7" fillId="3" borderId="1" xfId="1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25" fillId="3" borderId="5" xfId="0" applyNumberFormat="1" applyFont="1" applyFill="1" applyBorder="1" applyAlignment="1">
      <alignment horizontal="center" vertical="center"/>
    </xf>
    <xf numFmtId="176" fontId="25" fillId="3" borderId="8" xfId="0" applyNumberFormat="1" applyFont="1" applyFill="1" applyBorder="1" applyAlignment="1">
      <alignment horizontal="center" vertical="center"/>
    </xf>
    <xf numFmtId="176" fontId="25" fillId="3" borderId="7" xfId="0" applyNumberFormat="1" applyFont="1" applyFill="1" applyBorder="1" applyAlignment="1">
      <alignment horizontal="center" vertical="center"/>
    </xf>
    <xf numFmtId="0" fontId="34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47" fillId="2" borderId="2" xfId="21" applyNumberFormat="1" applyFont="1" applyFill="1" applyBorder="1" applyAlignment="1">
      <alignment horizontal="center" vertical="center"/>
    </xf>
    <xf numFmtId="0" fontId="47" fillId="2" borderId="2" xfId="21" applyNumberFormat="1" applyFont="1" applyFill="1" applyBorder="1" applyAlignment="1">
      <alignment vertical="center"/>
    </xf>
    <xf numFmtId="180" fontId="39" fillId="0" borderId="11" xfId="0" applyNumberFormat="1" applyFont="1" applyBorder="1" applyAlignment="1">
      <alignment horizontal="center" vertical="center"/>
    </xf>
    <xf numFmtId="180" fontId="39" fillId="0" borderId="7" xfId="0" applyNumberFormat="1" applyFont="1" applyBorder="1" applyAlignment="1">
      <alignment horizontal="center" vertical="center"/>
    </xf>
    <xf numFmtId="0" fontId="37" fillId="2" borderId="11" xfId="18" applyNumberFormat="1" applyFont="1" applyFill="1" applyBorder="1" applyAlignment="1">
      <alignment horizontal="center" vertical="center" wrapText="1"/>
    </xf>
    <xf numFmtId="0" fontId="37" fillId="2" borderId="7" xfId="18" applyNumberFormat="1" applyFont="1" applyFill="1" applyBorder="1" applyAlignment="1">
      <alignment horizontal="center" vertical="center" wrapText="1"/>
    </xf>
    <xf numFmtId="57" fontId="6" fillId="3" borderId="5" xfId="11" applyNumberFormat="1" applyFont="1" applyFill="1" applyBorder="1" applyAlignment="1">
      <alignment horizontal="center" vertical="center" wrapText="1"/>
    </xf>
    <xf numFmtId="0" fontId="6" fillId="3" borderId="7" xfId="11" applyNumberFormat="1" applyFont="1" applyFill="1" applyBorder="1" applyAlignment="1">
      <alignment horizontal="center" vertical="center" wrapText="1"/>
    </xf>
    <xf numFmtId="184" fontId="37" fillId="2" borderId="5" xfId="18" applyNumberFormat="1" applyFont="1" applyFill="1" applyBorder="1" applyAlignment="1">
      <alignment horizontal="center" vertical="center" wrapText="1"/>
    </xf>
    <xf numFmtId="184" fontId="37" fillId="2" borderId="7" xfId="18" applyNumberFormat="1" applyFont="1" applyFill="1" applyBorder="1" applyAlignment="1">
      <alignment horizontal="center" vertical="center" wrapText="1"/>
    </xf>
    <xf numFmtId="180" fontId="37" fillId="2" borderId="11" xfId="18" applyNumberFormat="1" applyFont="1" applyFill="1" applyBorder="1" applyAlignment="1">
      <alignment horizontal="center" vertical="center" wrapText="1"/>
    </xf>
    <xf numFmtId="180" fontId="37" fillId="2" borderId="7" xfId="18" applyNumberFormat="1" applyFont="1" applyFill="1" applyBorder="1" applyAlignment="1">
      <alignment horizontal="center" vertical="center" wrapText="1"/>
    </xf>
    <xf numFmtId="0" fontId="37" fillId="2" borderId="5" xfId="18" applyNumberFormat="1" applyFont="1" applyFill="1" applyBorder="1" applyAlignment="1">
      <alignment horizontal="center" vertical="center" wrapText="1"/>
    </xf>
    <xf numFmtId="0" fontId="37" fillId="2" borderId="11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37" fillId="2" borderId="11" xfId="18" applyNumberFormat="1" applyFont="1" applyFill="1" applyBorder="1" applyAlignment="1">
      <alignment horizontal="center" vertical="center"/>
    </xf>
    <xf numFmtId="0" fontId="37" fillId="2" borderId="11" xfId="18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7" fillId="2" borderId="5" xfId="18" applyFont="1" applyFill="1" applyBorder="1" applyAlignment="1">
      <alignment horizontal="center" vertical="center" wrapText="1"/>
    </xf>
    <xf numFmtId="0" fontId="37" fillId="2" borderId="7" xfId="18" applyFont="1" applyFill="1" applyBorder="1" applyAlignment="1">
      <alignment horizontal="center" vertical="center" wrapText="1"/>
    </xf>
    <xf numFmtId="180" fontId="37" fillId="2" borderId="5" xfId="18" applyNumberFormat="1" applyFont="1" applyFill="1" applyBorder="1" applyAlignment="1">
      <alignment horizontal="center" vertical="center" wrapText="1"/>
    </xf>
    <xf numFmtId="185" fontId="37" fillId="2" borderId="5" xfId="18" applyNumberFormat="1" applyFont="1" applyFill="1" applyBorder="1" applyAlignment="1">
      <alignment horizontal="center" vertical="center" wrapText="1"/>
    </xf>
    <xf numFmtId="185" fontId="37" fillId="2" borderId="7" xfId="18" applyNumberFormat="1" applyFont="1" applyFill="1" applyBorder="1" applyAlignment="1">
      <alignment horizontal="center" vertical="center" wrapText="1"/>
    </xf>
    <xf numFmtId="184" fontId="53" fillId="0" borderId="1" xfId="0" applyNumberFormat="1" applyFont="1" applyFill="1" applyBorder="1" applyAlignment="1">
      <alignment horizontal="center" vertical="center" wrapText="1"/>
    </xf>
    <xf numFmtId="177" fontId="53" fillId="0" borderId="1" xfId="0" applyNumberFormat="1" applyFont="1" applyFill="1" applyBorder="1" applyAlignment="1">
      <alignment horizontal="left" vertical="center" wrapText="1"/>
    </xf>
    <xf numFmtId="177" fontId="53" fillId="0" borderId="1" xfId="0" applyNumberFormat="1" applyFont="1" applyFill="1" applyBorder="1" applyAlignment="1">
      <alignment horizontal="left" vertical="center"/>
    </xf>
    <xf numFmtId="177" fontId="58" fillId="0" borderId="1" xfId="0" applyNumberFormat="1" applyFont="1" applyFill="1" applyBorder="1" applyAlignment="1">
      <alignment horizontal="left" vertical="center" wrapText="1"/>
    </xf>
    <xf numFmtId="177" fontId="54" fillId="0" borderId="1" xfId="23" applyNumberFormat="1" applyFont="1" applyFill="1" applyBorder="1" applyAlignment="1">
      <alignment horizontal="left" vertical="center" wrapText="1"/>
    </xf>
    <xf numFmtId="177" fontId="54" fillId="0" borderId="1" xfId="0" applyNumberFormat="1" applyFont="1" applyFill="1" applyBorder="1" applyAlignment="1">
      <alignment horizontal="left" vertical="center" wrapText="1"/>
    </xf>
    <xf numFmtId="177" fontId="52" fillId="0" borderId="1" xfId="0" applyNumberFormat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177" fontId="53" fillId="0" borderId="1" xfId="0" applyNumberFormat="1" applyFont="1" applyFill="1" applyBorder="1" applyAlignment="1">
      <alignment horizontal="center" vertical="center" wrapText="1"/>
    </xf>
    <xf numFmtId="182" fontId="53" fillId="0" borderId="1" xfId="0" applyNumberFormat="1" applyFont="1" applyFill="1" applyBorder="1" applyAlignment="1">
      <alignment horizontal="left" vertical="center" wrapText="1"/>
    </xf>
    <xf numFmtId="182" fontId="55" fillId="0" borderId="1" xfId="0" applyNumberFormat="1" applyFont="1" applyFill="1" applyBorder="1" applyAlignment="1">
      <alignment horizontal="left" vertical="center" wrapText="1"/>
    </xf>
    <xf numFmtId="181" fontId="54" fillId="0" borderId="1" xfId="23" applyNumberFormat="1" applyFont="1" applyFill="1" applyBorder="1" applyAlignment="1">
      <alignment horizontal="left" vertical="center" wrapText="1"/>
    </xf>
    <xf numFmtId="181" fontId="54" fillId="0" borderId="1" xfId="0" applyNumberFormat="1" applyFont="1" applyFill="1" applyBorder="1" applyAlignment="1">
      <alignment horizontal="left" vertical="center" wrapText="1"/>
    </xf>
    <xf numFmtId="177" fontId="56" fillId="0" borderId="1" xfId="0" applyNumberFormat="1" applyFont="1" applyFill="1" applyBorder="1" applyAlignment="1">
      <alignment horizontal="left" vertical="center" wrapText="1"/>
    </xf>
    <xf numFmtId="177" fontId="55" fillId="0" borderId="1" xfId="0" applyNumberFormat="1" applyFont="1" applyFill="1" applyBorder="1" applyAlignment="1">
      <alignment horizontal="left" vertical="center" wrapText="1"/>
    </xf>
    <xf numFmtId="177" fontId="55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</cellXfs>
  <cellStyles count="32">
    <cellStyle name="百分比" xfId="22" builtinId="5"/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30"/>
    <cellStyle name="常规 2 24" xfId="13"/>
    <cellStyle name="常规 2 3" xfId="11"/>
    <cellStyle name="常规 292 2" xfId="21"/>
    <cellStyle name="常规 293" xfId="10"/>
    <cellStyle name="常规 294" xfId="29"/>
    <cellStyle name="常规 3" xfId="26"/>
    <cellStyle name="常规 3 2 2" xfId="27"/>
    <cellStyle name="常规 3 4" xfId="6"/>
    <cellStyle name="常规 3 4 9" xfId="9"/>
    <cellStyle name="常规 3 5" xfId="28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常规_Sheet1" xfId="23"/>
    <cellStyle name="千位分隔" xfId="2" builtinId="3"/>
    <cellStyle name="千位分隔 12 3 3" xfId="31"/>
    <cellStyle name="千位分隔[0] 2" xfId="25"/>
    <cellStyle name="千位分隔[0]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D:\Documents\Downloads\&#32489;&#25928;&#24037;&#36164;\2013&#32489;&#25928;\&#19978;&#25253;&#20154;&#20445;&#23616;&#25991;&#20214;\2013&#32489;&#25928;\2013.8&#26631;&#20934;&#35843;&#25972;\2013&#32489;&#25928;\2013&#32489;&#25928;\&#26700;&#38754;\&#26700;&#38754;&#22791;&#20221;2012.12.28\2013&#32489;&#25928;\2012&#20041;&#21153;&#25945;&#32946;&#32489;&#25928;\&#24180;&#24213;&#24635;&#37327;\&#23398;&#26657;\&#26126;&#24378;&#20108;&#23567;.xl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7" sqref="C17"/>
    </sheetView>
  </sheetViews>
  <sheetFormatPr defaultColWidth="9" defaultRowHeight="13.5"/>
  <cols>
    <col min="1" max="1" width="5.625" style="121" customWidth="1"/>
    <col min="2" max="2" width="27.75" style="257" customWidth="1"/>
    <col min="3" max="3" width="20.25" style="121" customWidth="1"/>
    <col min="4" max="4" width="19.75" style="121" customWidth="1"/>
    <col min="5" max="5" width="23.75" style="121" customWidth="1"/>
    <col min="6" max="6" width="20.5" style="121" bestFit="1" customWidth="1"/>
    <col min="7" max="7" width="18.625" style="121" hidden="1" customWidth="1"/>
    <col min="8" max="8" width="18.375" style="121" bestFit="1" customWidth="1"/>
    <col min="9" max="9" width="14.375" style="121" hidden="1" customWidth="1"/>
    <col min="10" max="10" width="14.25" style="121" hidden="1" customWidth="1"/>
    <col min="11" max="254" width="9" style="121"/>
    <col min="255" max="255" width="6.625" style="121" customWidth="1"/>
    <col min="256" max="257" width="21.625" style="121" customWidth="1"/>
    <col min="258" max="258" width="16.125" style="121" bestFit="1" customWidth="1"/>
    <col min="259" max="259" width="13.875" style="121" bestFit="1" customWidth="1"/>
    <col min="260" max="260" width="17.25" style="121" bestFit="1" customWidth="1"/>
    <col min="261" max="262" width="20.5" style="121" bestFit="1" customWidth="1"/>
    <col min="263" max="263" width="0" style="121" hidden="1" customWidth="1"/>
    <col min="264" max="264" width="18.375" style="121" bestFit="1" customWidth="1"/>
    <col min="265" max="266" width="0" style="121" hidden="1" customWidth="1"/>
    <col min="267" max="510" width="9" style="121"/>
    <col min="511" max="511" width="6.625" style="121" customWidth="1"/>
    <col min="512" max="513" width="21.625" style="121" customWidth="1"/>
    <col min="514" max="514" width="16.125" style="121" bestFit="1" customWidth="1"/>
    <col min="515" max="515" width="13.875" style="121" bestFit="1" customWidth="1"/>
    <col min="516" max="516" width="17.25" style="121" bestFit="1" customWidth="1"/>
    <col min="517" max="518" width="20.5" style="121" bestFit="1" customWidth="1"/>
    <col min="519" max="519" width="0" style="121" hidden="1" customWidth="1"/>
    <col min="520" max="520" width="18.375" style="121" bestFit="1" customWidth="1"/>
    <col min="521" max="522" width="0" style="121" hidden="1" customWidth="1"/>
    <col min="523" max="766" width="9" style="121"/>
    <col min="767" max="767" width="6.625" style="121" customWidth="1"/>
    <col min="768" max="769" width="21.625" style="121" customWidth="1"/>
    <col min="770" max="770" width="16.125" style="121" bestFit="1" customWidth="1"/>
    <col min="771" max="771" width="13.875" style="121" bestFit="1" customWidth="1"/>
    <col min="772" max="772" width="17.25" style="121" bestFit="1" customWidth="1"/>
    <col min="773" max="774" width="20.5" style="121" bestFit="1" customWidth="1"/>
    <col min="775" max="775" width="0" style="121" hidden="1" customWidth="1"/>
    <col min="776" max="776" width="18.375" style="121" bestFit="1" customWidth="1"/>
    <col min="777" max="778" width="0" style="121" hidden="1" customWidth="1"/>
    <col min="779" max="1022" width="9" style="121"/>
    <col min="1023" max="1023" width="6.625" style="121" customWidth="1"/>
    <col min="1024" max="1025" width="21.625" style="121" customWidth="1"/>
    <col min="1026" max="1026" width="16.125" style="121" bestFit="1" customWidth="1"/>
    <col min="1027" max="1027" width="13.875" style="121" bestFit="1" customWidth="1"/>
    <col min="1028" max="1028" width="17.25" style="121" bestFit="1" customWidth="1"/>
    <col min="1029" max="1030" width="20.5" style="121" bestFit="1" customWidth="1"/>
    <col min="1031" max="1031" width="0" style="121" hidden="1" customWidth="1"/>
    <col min="1032" max="1032" width="18.375" style="121" bestFit="1" customWidth="1"/>
    <col min="1033" max="1034" width="0" style="121" hidden="1" customWidth="1"/>
    <col min="1035" max="1278" width="9" style="121"/>
    <col min="1279" max="1279" width="6.625" style="121" customWidth="1"/>
    <col min="1280" max="1281" width="21.625" style="121" customWidth="1"/>
    <col min="1282" max="1282" width="16.125" style="121" bestFit="1" customWidth="1"/>
    <col min="1283" max="1283" width="13.875" style="121" bestFit="1" customWidth="1"/>
    <col min="1284" max="1284" width="17.25" style="121" bestFit="1" customWidth="1"/>
    <col min="1285" max="1286" width="20.5" style="121" bestFit="1" customWidth="1"/>
    <col min="1287" max="1287" width="0" style="121" hidden="1" customWidth="1"/>
    <col min="1288" max="1288" width="18.375" style="121" bestFit="1" customWidth="1"/>
    <col min="1289" max="1290" width="0" style="121" hidden="1" customWidth="1"/>
    <col min="1291" max="1534" width="9" style="121"/>
    <col min="1535" max="1535" width="6.625" style="121" customWidth="1"/>
    <col min="1536" max="1537" width="21.625" style="121" customWidth="1"/>
    <col min="1538" max="1538" width="16.125" style="121" bestFit="1" customWidth="1"/>
    <col min="1539" max="1539" width="13.875" style="121" bestFit="1" customWidth="1"/>
    <col min="1540" max="1540" width="17.25" style="121" bestFit="1" customWidth="1"/>
    <col min="1541" max="1542" width="20.5" style="121" bestFit="1" customWidth="1"/>
    <col min="1543" max="1543" width="0" style="121" hidden="1" customWidth="1"/>
    <col min="1544" max="1544" width="18.375" style="121" bestFit="1" customWidth="1"/>
    <col min="1545" max="1546" width="0" style="121" hidden="1" customWidth="1"/>
    <col min="1547" max="1790" width="9" style="121"/>
    <col min="1791" max="1791" width="6.625" style="121" customWidth="1"/>
    <col min="1792" max="1793" width="21.625" style="121" customWidth="1"/>
    <col min="1794" max="1794" width="16.125" style="121" bestFit="1" customWidth="1"/>
    <col min="1795" max="1795" width="13.875" style="121" bestFit="1" customWidth="1"/>
    <col min="1796" max="1796" width="17.25" style="121" bestFit="1" customWidth="1"/>
    <col min="1797" max="1798" width="20.5" style="121" bestFit="1" customWidth="1"/>
    <col min="1799" max="1799" width="0" style="121" hidden="1" customWidth="1"/>
    <col min="1800" max="1800" width="18.375" style="121" bestFit="1" customWidth="1"/>
    <col min="1801" max="1802" width="0" style="121" hidden="1" customWidth="1"/>
    <col min="1803" max="2046" width="9" style="121"/>
    <col min="2047" max="2047" width="6.625" style="121" customWidth="1"/>
    <col min="2048" max="2049" width="21.625" style="121" customWidth="1"/>
    <col min="2050" max="2050" width="16.125" style="121" bestFit="1" customWidth="1"/>
    <col min="2051" max="2051" width="13.875" style="121" bestFit="1" customWidth="1"/>
    <col min="2052" max="2052" width="17.25" style="121" bestFit="1" customWidth="1"/>
    <col min="2053" max="2054" width="20.5" style="121" bestFit="1" customWidth="1"/>
    <col min="2055" max="2055" width="0" style="121" hidden="1" customWidth="1"/>
    <col min="2056" max="2056" width="18.375" style="121" bestFit="1" customWidth="1"/>
    <col min="2057" max="2058" width="0" style="121" hidden="1" customWidth="1"/>
    <col min="2059" max="2302" width="9" style="121"/>
    <col min="2303" max="2303" width="6.625" style="121" customWidth="1"/>
    <col min="2304" max="2305" width="21.625" style="121" customWidth="1"/>
    <col min="2306" max="2306" width="16.125" style="121" bestFit="1" customWidth="1"/>
    <col min="2307" max="2307" width="13.875" style="121" bestFit="1" customWidth="1"/>
    <col min="2308" max="2308" width="17.25" style="121" bestFit="1" customWidth="1"/>
    <col min="2309" max="2310" width="20.5" style="121" bestFit="1" customWidth="1"/>
    <col min="2311" max="2311" width="0" style="121" hidden="1" customWidth="1"/>
    <col min="2312" max="2312" width="18.375" style="121" bestFit="1" customWidth="1"/>
    <col min="2313" max="2314" width="0" style="121" hidden="1" customWidth="1"/>
    <col min="2315" max="2558" width="9" style="121"/>
    <col min="2559" max="2559" width="6.625" style="121" customWidth="1"/>
    <col min="2560" max="2561" width="21.625" style="121" customWidth="1"/>
    <col min="2562" max="2562" width="16.125" style="121" bestFit="1" customWidth="1"/>
    <col min="2563" max="2563" width="13.875" style="121" bestFit="1" customWidth="1"/>
    <col min="2564" max="2564" width="17.25" style="121" bestFit="1" customWidth="1"/>
    <col min="2565" max="2566" width="20.5" style="121" bestFit="1" customWidth="1"/>
    <col min="2567" max="2567" width="0" style="121" hidden="1" customWidth="1"/>
    <col min="2568" max="2568" width="18.375" style="121" bestFit="1" customWidth="1"/>
    <col min="2569" max="2570" width="0" style="121" hidden="1" customWidth="1"/>
    <col min="2571" max="2814" width="9" style="121"/>
    <col min="2815" max="2815" width="6.625" style="121" customWidth="1"/>
    <col min="2816" max="2817" width="21.625" style="121" customWidth="1"/>
    <col min="2818" max="2818" width="16.125" style="121" bestFit="1" customWidth="1"/>
    <col min="2819" max="2819" width="13.875" style="121" bestFit="1" customWidth="1"/>
    <col min="2820" max="2820" width="17.25" style="121" bestFit="1" customWidth="1"/>
    <col min="2821" max="2822" width="20.5" style="121" bestFit="1" customWidth="1"/>
    <col min="2823" max="2823" width="0" style="121" hidden="1" customWidth="1"/>
    <col min="2824" max="2824" width="18.375" style="121" bestFit="1" customWidth="1"/>
    <col min="2825" max="2826" width="0" style="121" hidden="1" customWidth="1"/>
    <col min="2827" max="3070" width="9" style="121"/>
    <col min="3071" max="3071" width="6.625" style="121" customWidth="1"/>
    <col min="3072" max="3073" width="21.625" style="121" customWidth="1"/>
    <col min="3074" max="3074" width="16.125" style="121" bestFit="1" customWidth="1"/>
    <col min="3075" max="3075" width="13.875" style="121" bestFit="1" customWidth="1"/>
    <col min="3076" max="3076" width="17.25" style="121" bestFit="1" customWidth="1"/>
    <col min="3077" max="3078" width="20.5" style="121" bestFit="1" customWidth="1"/>
    <col min="3079" max="3079" width="0" style="121" hidden="1" customWidth="1"/>
    <col min="3080" max="3080" width="18.375" style="121" bestFit="1" customWidth="1"/>
    <col min="3081" max="3082" width="0" style="121" hidden="1" customWidth="1"/>
    <col min="3083" max="3326" width="9" style="121"/>
    <col min="3327" max="3327" width="6.625" style="121" customWidth="1"/>
    <col min="3328" max="3329" width="21.625" style="121" customWidth="1"/>
    <col min="3330" max="3330" width="16.125" style="121" bestFit="1" customWidth="1"/>
    <col min="3331" max="3331" width="13.875" style="121" bestFit="1" customWidth="1"/>
    <col min="3332" max="3332" width="17.25" style="121" bestFit="1" customWidth="1"/>
    <col min="3333" max="3334" width="20.5" style="121" bestFit="1" customWidth="1"/>
    <col min="3335" max="3335" width="0" style="121" hidden="1" customWidth="1"/>
    <col min="3336" max="3336" width="18.375" style="121" bestFit="1" customWidth="1"/>
    <col min="3337" max="3338" width="0" style="121" hidden="1" customWidth="1"/>
    <col min="3339" max="3582" width="9" style="121"/>
    <col min="3583" max="3583" width="6.625" style="121" customWidth="1"/>
    <col min="3584" max="3585" width="21.625" style="121" customWidth="1"/>
    <col min="3586" max="3586" width="16.125" style="121" bestFit="1" customWidth="1"/>
    <col min="3587" max="3587" width="13.875" style="121" bestFit="1" customWidth="1"/>
    <col min="3588" max="3588" width="17.25" style="121" bestFit="1" customWidth="1"/>
    <col min="3589" max="3590" width="20.5" style="121" bestFit="1" customWidth="1"/>
    <col min="3591" max="3591" width="0" style="121" hidden="1" customWidth="1"/>
    <col min="3592" max="3592" width="18.375" style="121" bestFit="1" customWidth="1"/>
    <col min="3593" max="3594" width="0" style="121" hidden="1" customWidth="1"/>
    <col min="3595" max="3838" width="9" style="121"/>
    <col min="3839" max="3839" width="6.625" style="121" customWidth="1"/>
    <col min="3840" max="3841" width="21.625" style="121" customWidth="1"/>
    <col min="3842" max="3842" width="16.125" style="121" bestFit="1" customWidth="1"/>
    <col min="3843" max="3843" width="13.875" style="121" bestFit="1" customWidth="1"/>
    <col min="3844" max="3844" width="17.25" style="121" bestFit="1" customWidth="1"/>
    <col min="3845" max="3846" width="20.5" style="121" bestFit="1" customWidth="1"/>
    <col min="3847" max="3847" width="0" style="121" hidden="1" customWidth="1"/>
    <col min="3848" max="3848" width="18.375" style="121" bestFit="1" customWidth="1"/>
    <col min="3849" max="3850" width="0" style="121" hidden="1" customWidth="1"/>
    <col min="3851" max="4094" width="9" style="121"/>
    <col min="4095" max="4095" width="6.625" style="121" customWidth="1"/>
    <col min="4096" max="4097" width="21.625" style="121" customWidth="1"/>
    <col min="4098" max="4098" width="16.125" style="121" bestFit="1" customWidth="1"/>
    <col min="4099" max="4099" width="13.875" style="121" bestFit="1" customWidth="1"/>
    <col min="4100" max="4100" width="17.25" style="121" bestFit="1" customWidth="1"/>
    <col min="4101" max="4102" width="20.5" style="121" bestFit="1" customWidth="1"/>
    <col min="4103" max="4103" width="0" style="121" hidden="1" customWidth="1"/>
    <col min="4104" max="4104" width="18.375" style="121" bestFit="1" customWidth="1"/>
    <col min="4105" max="4106" width="0" style="121" hidden="1" customWidth="1"/>
    <col min="4107" max="4350" width="9" style="121"/>
    <col min="4351" max="4351" width="6.625" style="121" customWidth="1"/>
    <col min="4352" max="4353" width="21.625" style="121" customWidth="1"/>
    <col min="4354" max="4354" width="16.125" style="121" bestFit="1" customWidth="1"/>
    <col min="4355" max="4355" width="13.875" style="121" bestFit="1" customWidth="1"/>
    <col min="4356" max="4356" width="17.25" style="121" bestFit="1" customWidth="1"/>
    <col min="4357" max="4358" width="20.5" style="121" bestFit="1" customWidth="1"/>
    <col min="4359" max="4359" width="0" style="121" hidden="1" customWidth="1"/>
    <col min="4360" max="4360" width="18.375" style="121" bestFit="1" customWidth="1"/>
    <col min="4361" max="4362" width="0" style="121" hidden="1" customWidth="1"/>
    <col min="4363" max="4606" width="9" style="121"/>
    <col min="4607" max="4607" width="6.625" style="121" customWidth="1"/>
    <col min="4608" max="4609" width="21.625" style="121" customWidth="1"/>
    <col min="4610" max="4610" width="16.125" style="121" bestFit="1" customWidth="1"/>
    <col min="4611" max="4611" width="13.875" style="121" bestFit="1" customWidth="1"/>
    <col min="4612" max="4612" width="17.25" style="121" bestFit="1" customWidth="1"/>
    <col min="4613" max="4614" width="20.5" style="121" bestFit="1" customWidth="1"/>
    <col min="4615" max="4615" width="0" style="121" hidden="1" customWidth="1"/>
    <col min="4616" max="4616" width="18.375" style="121" bestFit="1" customWidth="1"/>
    <col min="4617" max="4618" width="0" style="121" hidden="1" customWidth="1"/>
    <col min="4619" max="4862" width="9" style="121"/>
    <col min="4863" max="4863" width="6.625" style="121" customWidth="1"/>
    <col min="4864" max="4865" width="21.625" style="121" customWidth="1"/>
    <col min="4866" max="4866" width="16.125" style="121" bestFit="1" customWidth="1"/>
    <col min="4867" max="4867" width="13.875" style="121" bestFit="1" customWidth="1"/>
    <col min="4868" max="4868" width="17.25" style="121" bestFit="1" customWidth="1"/>
    <col min="4869" max="4870" width="20.5" style="121" bestFit="1" customWidth="1"/>
    <col min="4871" max="4871" width="0" style="121" hidden="1" customWidth="1"/>
    <col min="4872" max="4872" width="18.375" style="121" bestFit="1" customWidth="1"/>
    <col min="4873" max="4874" width="0" style="121" hidden="1" customWidth="1"/>
    <col min="4875" max="5118" width="9" style="121"/>
    <col min="5119" max="5119" width="6.625" style="121" customWidth="1"/>
    <col min="5120" max="5121" width="21.625" style="121" customWidth="1"/>
    <col min="5122" max="5122" width="16.125" style="121" bestFit="1" customWidth="1"/>
    <col min="5123" max="5123" width="13.875" style="121" bestFit="1" customWidth="1"/>
    <col min="5124" max="5124" width="17.25" style="121" bestFit="1" customWidth="1"/>
    <col min="5125" max="5126" width="20.5" style="121" bestFit="1" customWidth="1"/>
    <col min="5127" max="5127" width="0" style="121" hidden="1" customWidth="1"/>
    <col min="5128" max="5128" width="18.375" style="121" bestFit="1" customWidth="1"/>
    <col min="5129" max="5130" width="0" style="121" hidden="1" customWidth="1"/>
    <col min="5131" max="5374" width="9" style="121"/>
    <col min="5375" max="5375" width="6.625" style="121" customWidth="1"/>
    <col min="5376" max="5377" width="21.625" style="121" customWidth="1"/>
    <col min="5378" max="5378" width="16.125" style="121" bestFit="1" customWidth="1"/>
    <col min="5379" max="5379" width="13.875" style="121" bestFit="1" customWidth="1"/>
    <col min="5380" max="5380" width="17.25" style="121" bestFit="1" customWidth="1"/>
    <col min="5381" max="5382" width="20.5" style="121" bestFit="1" customWidth="1"/>
    <col min="5383" max="5383" width="0" style="121" hidden="1" customWidth="1"/>
    <col min="5384" max="5384" width="18.375" style="121" bestFit="1" customWidth="1"/>
    <col min="5385" max="5386" width="0" style="121" hidden="1" customWidth="1"/>
    <col min="5387" max="5630" width="9" style="121"/>
    <col min="5631" max="5631" width="6.625" style="121" customWidth="1"/>
    <col min="5632" max="5633" width="21.625" style="121" customWidth="1"/>
    <col min="5634" max="5634" width="16.125" style="121" bestFit="1" customWidth="1"/>
    <col min="5635" max="5635" width="13.875" style="121" bestFit="1" customWidth="1"/>
    <col min="5636" max="5636" width="17.25" style="121" bestFit="1" customWidth="1"/>
    <col min="5637" max="5638" width="20.5" style="121" bestFit="1" customWidth="1"/>
    <col min="5639" max="5639" width="0" style="121" hidden="1" customWidth="1"/>
    <col min="5640" max="5640" width="18.375" style="121" bestFit="1" customWidth="1"/>
    <col min="5641" max="5642" width="0" style="121" hidden="1" customWidth="1"/>
    <col min="5643" max="5886" width="9" style="121"/>
    <col min="5887" max="5887" width="6.625" style="121" customWidth="1"/>
    <col min="5888" max="5889" width="21.625" style="121" customWidth="1"/>
    <col min="5890" max="5890" width="16.125" style="121" bestFit="1" customWidth="1"/>
    <col min="5891" max="5891" width="13.875" style="121" bestFit="1" customWidth="1"/>
    <col min="5892" max="5892" width="17.25" style="121" bestFit="1" customWidth="1"/>
    <col min="5893" max="5894" width="20.5" style="121" bestFit="1" customWidth="1"/>
    <col min="5895" max="5895" width="0" style="121" hidden="1" customWidth="1"/>
    <col min="5896" max="5896" width="18.375" style="121" bestFit="1" customWidth="1"/>
    <col min="5897" max="5898" width="0" style="121" hidden="1" customWidth="1"/>
    <col min="5899" max="6142" width="9" style="121"/>
    <col min="6143" max="6143" width="6.625" style="121" customWidth="1"/>
    <col min="6144" max="6145" width="21.625" style="121" customWidth="1"/>
    <col min="6146" max="6146" width="16.125" style="121" bestFit="1" customWidth="1"/>
    <col min="6147" max="6147" width="13.875" style="121" bestFit="1" customWidth="1"/>
    <col min="6148" max="6148" width="17.25" style="121" bestFit="1" customWidth="1"/>
    <col min="6149" max="6150" width="20.5" style="121" bestFit="1" customWidth="1"/>
    <col min="6151" max="6151" width="0" style="121" hidden="1" customWidth="1"/>
    <col min="6152" max="6152" width="18.375" style="121" bestFit="1" customWidth="1"/>
    <col min="6153" max="6154" width="0" style="121" hidden="1" customWidth="1"/>
    <col min="6155" max="6398" width="9" style="121"/>
    <col min="6399" max="6399" width="6.625" style="121" customWidth="1"/>
    <col min="6400" max="6401" width="21.625" style="121" customWidth="1"/>
    <col min="6402" max="6402" width="16.125" style="121" bestFit="1" customWidth="1"/>
    <col min="6403" max="6403" width="13.875" style="121" bestFit="1" customWidth="1"/>
    <col min="6404" max="6404" width="17.25" style="121" bestFit="1" customWidth="1"/>
    <col min="6405" max="6406" width="20.5" style="121" bestFit="1" customWidth="1"/>
    <col min="6407" max="6407" width="0" style="121" hidden="1" customWidth="1"/>
    <col min="6408" max="6408" width="18.375" style="121" bestFit="1" customWidth="1"/>
    <col min="6409" max="6410" width="0" style="121" hidden="1" customWidth="1"/>
    <col min="6411" max="6654" width="9" style="121"/>
    <col min="6655" max="6655" width="6.625" style="121" customWidth="1"/>
    <col min="6656" max="6657" width="21.625" style="121" customWidth="1"/>
    <col min="6658" max="6658" width="16.125" style="121" bestFit="1" customWidth="1"/>
    <col min="6659" max="6659" width="13.875" style="121" bestFit="1" customWidth="1"/>
    <col min="6660" max="6660" width="17.25" style="121" bestFit="1" customWidth="1"/>
    <col min="6661" max="6662" width="20.5" style="121" bestFit="1" customWidth="1"/>
    <col min="6663" max="6663" width="0" style="121" hidden="1" customWidth="1"/>
    <col min="6664" max="6664" width="18.375" style="121" bestFit="1" customWidth="1"/>
    <col min="6665" max="6666" width="0" style="121" hidden="1" customWidth="1"/>
    <col min="6667" max="6910" width="9" style="121"/>
    <col min="6911" max="6911" width="6.625" style="121" customWidth="1"/>
    <col min="6912" max="6913" width="21.625" style="121" customWidth="1"/>
    <col min="6914" max="6914" width="16.125" style="121" bestFit="1" customWidth="1"/>
    <col min="6915" max="6915" width="13.875" style="121" bestFit="1" customWidth="1"/>
    <col min="6916" max="6916" width="17.25" style="121" bestFit="1" customWidth="1"/>
    <col min="6917" max="6918" width="20.5" style="121" bestFit="1" customWidth="1"/>
    <col min="6919" max="6919" width="0" style="121" hidden="1" customWidth="1"/>
    <col min="6920" max="6920" width="18.375" style="121" bestFit="1" customWidth="1"/>
    <col min="6921" max="6922" width="0" style="121" hidden="1" customWidth="1"/>
    <col min="6923" max="7166" width="9" style="121"/>
    <col min="7167" max="7167" width="6.625" style="121" customWidth="1"/>
    <col min="7168" max="7169" width="21.625" style="121" customWidth="1"/>
    <col min="7170" max="7170" width="16.125" style="121" bestFit="1" customWidth="1"/>
    <col min="7171" max="7171" width="13.875" style="121" bestFit="1" customWidth="1"/>
    <col min="7172" max="7172" width="17.25" style="121" bestFit="1" customWidth="1"/>
    <col min="7173" max="7174" width="20.5" style="121" bestFit="1" customWidth="1"/>
    <col min="7175" max="7175" width="0" style="121" hidden="1" customWidth="1"/>
    <col min="7176" max="7176" width="18.375" style="121" bestFit="1" customWidth="1"/>
    <col min="7177" max="7178" width="0" style="121" hidden="1" customWidth="1"/>
    <col min="7179" max="7422" width="9" style="121"/>
    <col min="7423" max="7423" width="6.625" style="121" customWidth="1"/>
    <col min="7424" max="7425" width="21.625" style="121" customWidth="1"/>
    <col min="7426" max="7426" width="16.125" style="121" bestFit="1" customWidth="1"/>
    <col min="7427" max="7427" width="13.875" style="121" bestFit="1" customWidth="1"/>
    <col min="7428" max="7428" width="17.25" style="121" bestFit="1" customWidth="1"/>
    <col min="7429" max="7430" width="20.5" style="121" bestFit="1" customWidth="1"/>
    <col min="7431" max="7431" width="0" style="121" hidden="1" customWidth="1"/>
    <col min="7432" max="7432" width="18.375" style="121" bestFit="1" customWidth="1"/>
    <col min="7433" max="7434" width="0" style="121" hidden="1" customWidth="1"/>
    <col min="7435" max="7678" width="9" style="121"/>
    <col min="7679" max="7679" width="6.625" style="121" customWidth="1"/>
    <col min="7680" max="7681" width="21.625" style="121" customWidth="1"/>
    <col min="7682" max="7682" width="16.125" style="121" bestFit="1" customWidth="1"/>
    <col min="7683" max="7683" width="13.875" style="121" bestFit="1" customWidth="1"/>
    <col min="7684" max="7684" width="17.25" style="121" bestFit="1" customWidth="1"/>
    <col min="7685" max="7686" width="20.5" style="121" bestFit="1" customWidth="1"/>
    <col min="7687" max="7687" width="0" style="121" hidden="1" customWidth="1"/>
    <col min="7688" max="7688" width="18.375" style="121" bestFit="1" customWidth="1"/>
    <col min="7689" max="7690" width="0" style="121" hidden="1" customWidth="1"/>
    <col min="7691" max="7934" width="9" style="121"/>
    <col min="7935" max="7935" width="6.625" style="121" customWidth="1"/>
    <col min="7936" max="7937" width="21.625" style="121" customWidth="1"/>
    <col min="7938" max="7938" width="16.125" style="121" bestFit="1" customWidth="1"/>
    <col min="7939" max="7939" width="13.875" style="121" bestFit="1" customWidth="1"/>
    <col min="7940" max="7940" width="17.25" style="121" bestFit="1" customWidth="1"/>
    <col min="7941" max="7942" width="20.5" style="121" bestFit="1" customWidth="1"/>
    <col min="7943" max="7943" width="0" style="121" hidden="1" customWidth="1"/>
    <col min="7944" max="7944" width="18.375" style="121" bestFit="1" customWidth="1"/>
    <col min="7945" max="7946" width="0" style="121" hidden="1" customWidth="1"/>
    <col min="7947" max="8190" width="9" style="121"/>
    <col min="8191" max="8191" width="6.625" style="121" customWidth="1"/>
    <col min="8192" max="8193" width="21.625" style="121" customWidth="1"/>
    <col min="8194" max="8194" width="16.125" style="121" bestFit="1" customWidth="1"/>
    <col min="8195" max="8195" width="13.875" style="121" bestFit="1" customWidth="1"/>
    <col min="8196" max="8196" width="17.25" style="121" bestFit="1" customWidth="1"/>
    <col min="8197" max="8198" width="20.5" style="121" bestFit="1" customWidth="1"/>
    <col min="8199" max="8199" width="0" style="121" hidden="1" customWidth="1"/>
    <col min="8200" max="8200" width="18.375" style="121" bestFit="1" customWidth="1"/>
    <col min="8201" max="8202" width="0" style="121" hidden="1" customWidth="1"/>
    <col min="8203" max="8446" width="9" style="121"/>
    <col min="8447" max="8447" width="6.625" style="121" customWidth="1"/>
    <col min="8448" max="8449" width="21.625" style="121" customWidth="1"/>
    <col min="8450" max="8450" width="16.125" style="121" bestFit="1" customWidth="1"/>
    <col min="8451" max="8451" width="13.875" style="121" bestFit="1" customWidth="1"/>
    <col min="8452" max="8452" width="17.25" style="121" bestFit="1" customWidth="1"/>
    <col min="8453" max="8454" width="20.5" style="121" bestFit="1" customWidth="1"/>
    <col min="8455" max="8455" width="0" style="121" hidden="1" customWidth="1"/>
    <col min="8456" max="8456" width="18.375" style="121" bestFit="1" customWidth="1"/>
    <col min="8457" max="8458" width="0" style="121" hidden="1" customWidth="1"/>
    <col min="8459" max="8702" width="9" style="121"/>
    <col min="8703" max="8703" width="6.625" style="121" customWidth="1"/>
    <col min="8704" max="8705" width="21.625" style="121" customWidth="1"/>
    <col min="8706" max="8706" width="16.125" style="121" bestFit="1" customWidth="1"/>
    <col min="8707" max="8707" width="13.875" style="121" bestFit="1" customWidth="1"/>
    <col min="8708" max="8708" width="17.25" style="121" bestFit="1" customWidth="1"/>
    <col min="8709" max="8710" width="20.5" style="121" bestFit="1" customWidth="1"/>
    <col min="8711" max="8711" width="0" style="121" hidden="1" customWidth="1"/>
    <col min="8712" max="8712" width="18.375" style="121" bestFit="1" customWidth="1"/>
    <col min="8713" max="8714" width="0" style="121" hidden="1" customWidth="1"/>
    <col min="8715" max="8958" width="9" style="121"/>
    <col min="8959" max="8959" width="6.625" style="121" customWidth="1"/>
    <col min="8960" max="8961" width="21.625" style="121" customWidth="1"/>
    <col min="8962" max="8962" width="16.125" style="121" bestFit="1" customWidth="1"/>
    <col min="8963" max="8963" width="13.875" style="121" bestFit="1" customWidth="1"/>
    <col min="8964" max="8964" width="17.25" style="121" bestFit="1" customWidth="1"/>
    <col min="8965" max="8966" width="20.5" style="121" bestFit="1" customWidth="1"/>
    <col min="8967" max="8967" width="0" style="121" hidden="1" customWidth="1"/>
    <col min="8968" max="8968" width="18.375" style="121" bestFit="1" customWidth="1"/>
    <col min="8969" max="8970" width="0" style="121" hidden="1" customWidth="1"/>
    <col min="8971" max="9214" width="9" style="121"/>
    <col min="9215" max="9215" width="6.625" style="121" customWidth="1"/>
    <col min="9216" max="9217" width="21.625" style="121" customWidth="1"/>
    <col min="9218" max="9218" width="16.125" style="121" bestFit="1" customWidth="1"/>
    <col min="9219" max="9219" width="13.875" style="121" bestFit="1" customWidth="1"/>
    <col min="9220" max="9220" width="17.25" style="121" bestFit="1" customWidth="1"/>
    <col min="9221" max="9222" width="20.5" style="121" bestFit="1" customWidth="1"/>
    <col min="9223" max="9223" width="0" style="121" hidden="1" customWidth="1"/>
    <col min="9224" max="9224" width="18.375" style="121" bestFit="1" customWidth="1"/>
    <col min="9225" max="9226" width="0" style="121" hidden="1" customWidth="1"/>
    <col min="9227" max="9470" width="9" style="121"/>
    <col min="9471" max="9471" width="6.625" style="121" customWidth="1"/>
    <col min="9472" max="9473" width="21.625" style="121" customWidth="1"/>
    <col min="9474" max="9474" width="16.125" style="121" bestFit="1" customWidth="1"/>
    <col min="9475" max="9475" width="13.875" style="121" bestFit="1" customWidth="1"/>
    <col min="9476" max="9476" width="17.25" style="121" bestFit="1" customWidth="1"/>
    <col min="9477" max="9478" width="20.5" style="121" bestFit="1" customWidth="1"/>
    <col min="9479" max="9479" width="0" style="121" hidden="1" customWidth="1"/>
    <col min="9480" max="9480" width="18.375" style="121" bestFit="1" customWidth="1"/>
    <col min="9481" max="9482" width="0" style="121" hidden="1" customWidth="1"/>
    <col min="9483" max="9726" width="9" style="121"/>
    <col min="9727" max="9727" width="6.625" style="121" customWidth="1"/>
    <col min="9728" max="9729" width="21.625" style="121" customWidth="1"/>
    <col min="9730" max="9730" width="16.125" style="121" bestFit="1" customWidth="1"/>
    <col min="9731" max="9731" width="13.875" style="121" bestFit="1" customWidth="1"/>
    <col min="9732" max="9732" width="17.25" style="121" bestFit="1" customWidth="1"/>
    <col min="9733" max="9734" width="20.5" style="121" bestFit="1" customWidth="1"/>
    <col min="9735" max="9735" width="0" style="121" hidden="1" customWidth="1"/>
    <col min="9736" max="9736" width="18.375" style="121" bestFit="1" customWidth="1"/>
    <col min="9737" max="9738" width="0" style="121" hidden="1" customWidth="1"/>
    <col min="9739" max="9982" width="9" style="121"/>
    <col min="9983" max="9983" width="6.625" style="121" customWidth="1"/>
    <col min="9984" max="9985" width="21.625" style="121" customWidth="1"/>
    <col min="9986" max="9986" width="16.125" style="121" bestFit="1" customWidth="1"/>
    <col min="9987" max="9987" width="13.875" style="121" bestFit="1" customWidth="1"/>
    <col min="9988" max="9988" width="17.25" style="121" bestFit="1" customWidth="1"/>
    <col min="9989" max="9990" width="20.5" style="121" bestFit="1" customWidth="1"/>
    <col min="9991" max="9991" width="0" style="121" hidden="1" customWidth="1"/>
    <col min="9992" max="9992" width="18.375" style="121" bestFit="1" customWidth="1"/>
    <col min="9993" max="9994" width="0" style="121" hidden="1" customWidth="1"/>
    <col min="9995" max="10238" width="9" style="121"/>
    <col min="10239" max="10239" width="6.625" style="121" customWidth="1"/>
    <col min="10240" max="10241" width="21.625" style="121" customWidth="1"/>
    <col min="10242" max="10242" width="16.125" style="121" bestFit="1" customWidth="1"/>
    <col min="10243" max="10243" width="13.875" style="121" bestFit="1" customWidth="1"/>
    <col min="10244" max="10244" width="17.25" style="121" bestFit="1" customWidth="1"/>
    <col min="10245" max="10246" width="20.5" style="121" bestFit="1" customWidth="1"/>
    <col min="10247" max="10247" width="0" style="121" hidden="1" customWidth="1"/>
    <col min="10248" max="10248" width="18.375" style="121" bestFit="1" customWidth="1"/>
    <col min="10249" max="10250" width="0" style="121" hidden="1" customWidth="1"/>
    <col min="10251" max="10494" width="9" style="121"/>
    <col min="10495" max="10495" width="6.625" style="121" customWidth="1"/>
    <col min="10496" max="10497" width="21.625" style="121" customWidth="1"/>
    <col min="10498" max="10498" width="16.125" style="121" bestFit="1" customWidth="1"/>
    <col min="10499" max="10499" width="13.875" style="121" bestFit="1" customWidth="1"/>
    <col min="10500" max="10500" width="17.25" style="121" bestFit="1" customWidth="1"/>
    <col min="10501" max="10502" width="20.5" style="121" bestFit="1" customWidth="1"/>
    <col min="10503" max="10503" width="0" style="121" hidden="1" customWidth="1"/>
    <col min="10504" max="10504" width="18.375" style="121" bestFit="1" customWidth="1"/>
    <col min="10505" max="10506" width="0" style="121" hidden="1" customWidth="1"/>
    <col min="10507" max="10750" width="9" style="121"/>
    <col min="10751" max="10751" width="6.625" style="121" customWidth="1"/>
    <col min="10752" max="10753" width="21.625" style="121" customWidth="1"/>
    <col min="10754" max="10754" width="16.125" style="121" bestFit="1" customWidth="1"/>
    <col min="10755" max="10755" width="13.875" style="121" bestFit="1" customWidth="1"/>
    <col min="10756" max="10756" width="17.25" style="121" bestFit="1" customWidth="1"/>
    <col min="10757" max="10758" width="20.5" style="121" bestFit="1" customWidth="1"/>
    <col min="10759" max="10759" width="0" style="121" hidden="1" customWidth="1"/>
    <col min="10760" max="10760" width="18.375" style="121" bestFit="1" customWidth="1"/>
    <col min="10761" max="10762" width="0" style="121" hidden="1" customWidth="1"/>
    <col min="10763" max="11006" width="9" style="121"/>
    <col min="11007" max="11007" width="6.625" style="121" customWidth="1"/>
    <col min="11008" max="11009" width="21.625" style="121" customWidth="1"/>
    <col min="11010" max="11010" width="16.125" style="121" bestFit="1" customWidth="1"/>
    <col min="11011" max="11011" width="13.875" style="121" bestFit="1" customWidth="1"/>
    <col min="11012" max="11012" width="17.25" style="121" bestFit="1" customWidth="1"/>
    <col min="11013" max="11014" width="20.5" style="121" bestFit="1" customWidth="1"/>
    <col min="11015" max="11015" width="0" style="121" hidden="1" customWidth="1"/>
    <col min="11016" max="11016" width="18.375" style="121" bestFit="1" customWidth="1"/>
    <col min="11017" max="11018" width="0" style="121" hidden="1" customWidth="1"/>
    <col min="11019" max="11262" width="9" style="121"/>
    <col min="11263" max="11263" width="6.625" style="121" customWidth="1"/>
    <col min="11264" max="11265" width="21.625" style="121" customWidth="1"/>
    <col min="11266" max="11266" width="16.125" style="121" bestFit="1" customWidth="1"/>
    <col min="11267" max="11267" width="13.875" style="121" bestFit="1" customWidth="1"/>
    <col min="11268" max="11268" width="17.25" style="121" bestFit="1" customWidth="1"/>
    <col min="11269" max="11270" width="20.5" style="121" bestFit="1" customWidth="1"/>
    <col min="11271" max="11271" width="0" style="121" hidden="1" customWidth="1"/>
    <col min="11272" max="11272" width="18.375" style="121" bestFit="1" customWidth="1"/>
    <col min="11273" max="11274" width="0" style="121" hidden="1" customWidth="1"/>
    <col min="11275" max="11518" width="9" style="121"/>
    <col min="11519" max="11519" width="6.625" style="121" customWidth="1"/>
    <col min="11520" max="11521" width="21.625" style="121" customWidth="1"/>
    <col min="11522" max="11522" width="16.125" style="121" bestFit="1" customWidth="1"/>
    <col min="11523" max="11523" width="13.875" style="121" bestFit="1" customWidth="1"/>
    <col min="11524" max="11524" width="17.25" style="121" bestFit="1" customWidth="1"/>
    <col min="11525" max="11526" width="20.5" style="121" bestFit="1" customWidth="1"/>
    <col min="11527" max="11527" width="0" style="121" hidden="1" customWidth="1"/>
    <col min="11528" max="11528" width="18.375" style="121" bestFit="1" customWidth="1"/>
    <col min="11529" max="11530" width="0" style="121" hidden="1" customWidth="1"/>
    <col min="11531" max="11774" width="9" style="121"/>
    <col min="11775" max="11775" width="6.625" style="121" customWidth="1"/>
    <col min="11776" max="11777" width="21.625" style="121" customWidth="1"/>
    <col min="11778" max="11778" width="16.125" style="121" bestFit="1" customWidth="1"/>
    <col min="11779" max="11779" width="13.875" style="121" bestFit="1" customWidth="1"/>
    <col min="11780" max="11780" width="17.25" style="121" bestFit="1" customWidth="1"/>
    <col min="11781" max="11782" width="20.5" style="121" bestFit="1" customWidth="1"/>
    <col min="11783" max="11783" width="0" style="121" hidden="1" customWidth="1"/>
    <col min="11784" max="11784" width="18.375" style="121" bestFit="1" customWidth="1"/>
    <col min="11785" max="11786" width="0" style="121" hidden="1" customWidth="1"/>
    <col min="11787" max="12030" width="9" style="121"/>
    <col min="12031" max="12031" width="6.625" style="121" customWidth="1"/>
    <col min="12032" max="12033" width="21.625" style="121" customWidth="1"/>
    <col min="12034" max="12034" width="16.125" style="121" bestFit="1" customWidth="1"/>
    <col min="12035" max="12035" width="13.875" style="121" bestFit="1" customWidth="1"/>
    <col min="12036" max="12036" width="17.25" style="121" bestFit="1" customWidth="1"/>
    <col min="12037" max="12038" width="20.5" style="121" bestFit="1" customWidth="1"/>
    <col min="12039" max="12039" width="0" style="121" hidden="1" customWidth="1"/>
    <col min="12040" max="12040" width="18.375" style="121" bestFit="1" customWidth="1"/>
    <col min="12041" max="12042" width="0" style="121" hidden="1" customWidth="1"/>
    <col min="12043" max="12286" width="9" style="121"/>
    <col min="12287" max="12287" width="6.625" style="121" customWidth="1"/>
    <col min="12288" max="12289" width="21.625" style="121" customWidth="1"/>
    <col min="12290" max="12290" width="16.125" style="121" bestFit="1" customWidth="1"/>
    <col min="12291" max="12291" width="13.875" style="121" bestFit="1" customWidth="1"/>
    <col min="12292" max="12292" width="17.25" style="121" bestFit="1" customWidth="1"/>
    <col min="12293" max="12294" width="20.5" style="121" bestFit="1" customWidth="1"/>
    <col min="12295" max="12295" width="0" style="121" hidden="1" customWidth="1"/>
    <col min="12296" max="12296" width="18.375" style="121" bestFit="1" customWidth="1"/>
    <col min="12297" max="12298" width="0" style="121" hidden="1" customWidth="1"/>
    <col min="12299" max="12542" width="9" style="121"/>
    <col min="12543" max="12543" width="6.625" style="121" customWidth="1"/>
    <col min="12544" max="12545" width="21.625" style="121" customWidth="1"/>
    <col min="12546" max="12546" width="16.125" style="121" bestFit="1" customWidth="1"/>
    <col min="12547" max="12547" width="13.875" style="121" bestFit="1" customWidth="1"/>
    <col min="12548" max="12548" width="17.25" style="121" bestFit="1" customWidth="1"/>
    <col min="12549" max="12550" width="20.5" style="121" bestFit="1" customWidth="1"/>
    <col min="12551" max="12551" width="0" style="121" hidden="1" customWidth="1"/>
    <col min="12552" max="12552" width="18.375" style="121" bestFit="1" customWidth="1"/>
    <col min="12553" max="12554" width="0" style="121" hidden="1" customWidth="1"/>
    <col min="12555" max="12798" width="9" style="121"/>
    <col min="12799" max="12799" width="6.625" style="121" customWidth="1"/>
    <col min="12800" max="12801" width="21.625" style="121" customWidth="1"/>
    <col min="12802" max="12802" width="16.125" style="121" bestFit="1" customWidth="1"/>
    <col min="12803" max="12803" width="13.875" style="121" bestFit="1" customWidth="1"/>
    <col min="12804" max="12804" width="17.25" style="121" bestFit="1" customWidth="1"/>
    <col min="12805" max="12806" width="20.5" style="121" bestFit="1" customWidth="1"/>
    <col min="12807" max="12807" width="0" style="121" hidden="1" customWidth="1"/>
    <col min="12808" max="12808" width="18.375" style="121" bestFit="1" customWidth="1"/>
    <col min="12809" max="12810" width="0" style="121" hidden="1" customWidth="1"/>
    <col min="12811" max="13054" width="9" style="121"/>
    <col min="13055" max="13055" width="6.625" style="121" customWidth="1"/>
    <col min="13056" max="13057" width="21.625" style="121" customWidth="1"/>
    <col min="13058" max="13058" width="16.125" style="121" bestFit="1" customWidth="1"/>
    <col min="13059" max="13059" width="13.875" style="121" bestFit="1" customWidth="1"/>
    <col min="13060" max="13060" width="17.25" style="121" bestFit="1" customWidth="1"/>
    <col min="13061" max="13062" width="20.5" style="121" bestFit="1" customWidth="1"/>
    <col min="13063" max="13063" width="0" style="121" hidden="1" customWidth="1"/>
    <col min="13064" max="13064" width="18.375" style="121" bestFit="1" customWidth="1"/>
    <col min="13065" max="13066" width="0" style="121" hidden="1" customWidth="1"/>
    <col min="13067" max="13310" width="9" style="121"/>
    <col min="13311" max="13311" width="6.625" style="121" customWidth="1"/>
    <col min="13312" max="13313" width="21.625" style="121" customWidth="1"/>
    <col min="13314" max="13314" width="16.125" style="121" bestFit="1" customWidth="1"/>
    <col min="13315" max="13315" width="13.875" style="121" bestFit="1" customWidth="1"/>
    <col min="13316" max="13316" width="17.25" style="121" bestFit="1" customWidth="1"/>
    <col min="13317" max="13318" width="20.5" style="121" bestFit="1" customWidth="1"/>
    <col min="13319" max="13319" width="0" style="121" hidden="1" customWidth="1"/>
    <col min="13320" max="13320" width="18.375" style="121" bestFit="1" customWidth="1"/>
    <col min="13321" max="13322" width="0" style="121" hidden="1" customWidth="1"/>
    <col min="13323" max="13566" width="9" style="121"/>
    <col min="13567" max="13567" width="6.625" style="121" customWidth="1"/>
    <col min="13568" max="13569" width="21.625" style="121" customWidth="1"/>
    <col min="13570" max="13570" width="16.125" style="121" bestFit="1" customWidth="1"/>
    <col min="13571" max="13571" width="13.875" style="121" bestFit="1" customWidth="1"/>
    <col min="13572" max="13572" width="17.25" style="121" bestFit="1" customWidth="1"/>
    <col min="13573" max="13574" width="20.5" style="121" bestFit="1" customWidth="1"/>
    <col min="13575" max="13575" width="0" style="121" hidden="1" customWidth="1"/>
    <col min="13576" max="13576" width="18.375" style="121" bestFit="1" customWidth="1"/>
    <col min="13577" max="13578" width="0" style="121" hidden="1" customWidth="1"/>
    <col min="13579" max="13822" width="9" style="121"/>
    <col min="13823" max="13823" width="6.625" style="121" customWidth="1"/>
    <col min="13824" max="13825" width="21.625" style="121" customWidth="1"/>
    <col min="13826" max="13826" width="16.125" style="121" bestFit="1" customWidth="1"/>
    <col min="13827" max="13827" width="13.875" style="121" bestFit="1" customWidth="1"/>
    <col min="13828" max="13828" width="17.25" style="121" bestFit="1" customWidth="1"/>
    <col min="13829" max="13830" width="20.5" style="121" bestFit="1" customWidth="1"/>
    <col min="13831" max="13831" width="0" style="121" hidden="1" customWidth="1"/>
    <col min="13832" max="13832" width="18.375" style="121" bestFit="1" customWidth="1"/>
    <col min="13833" max="13834" width="0" style="121" hidden="1" customWidth="1"/>
    <col min="13835" max="14078" width="9" style="121"/>
    <col min="14079" max="14079" width="6.625" style="121" customWidth="1"/>
    <col min="14080" max="14081" width="21.625" style="121" customWidth="1"/>
    <col min="14082" max="14082" width="16.125" style="121" bestFit="1" customWidth="1"/>
    <col min="14083" max="14083" width="13.875" style="121" bestFit="1" customWidth="1"/>
    <col min="14084" max="14084" width="17.25" style="121" bestFit="1" customWidth="1"/>
    <col min="14085" max="14086" width="20.5" style="121" bestFit="1" customWidth="1"/>
    <col min="14087" max="14087" width="0" style="121" hidden="1" customWidth="1"/>
    <col min="14088" max="14088" width="18.375" style="121" bestFit="1" customWidth="1"/>
    <col min="14089" max="14090" width="0" style="121" hidden="1" customWidth="1"/>
    <col min="14091" max="14334" width="9" style="121"/>
    <col min="14335" max="14335" width="6.625" style="121" customWidth="1"/>
    <col min="14336" max="14337" width="21.625" style="121" customWidth="1"/>
    <col min="14338" max="14338" width="16.125" style="121" bestFit="1" customWidth="1"/>
    <col min="14339" max="14339" width="13.875" style="121" bestFit="1" customWidth="1"/>
    <col min="14340" max="14340" width="17.25" style="121" bestFit="1" customWidth="1"/>
    <col min="14341" max="14342" width="20.5" style="121" bestFit="1" customWidth="1"/>
    <col min="14343" max="14343" width="0" style="121" hidden="1" customWidth="1"/>
    <col min="14344" max="14344" width="18.375" style="121" bestFit="1" customWidth="1"/>
    <col min="14345" max="14346" width="0" style="121" hidden="1" customWidth="1"/>
    <col min="14347" max="14590" width="9" style="121"/>
    <col min="14591" max="14591" width="6.625" style="121" customWidth="1"/>
    <col min="14592" max="14593" width="21.625" style="121" customWidth="1"/>
    <col min="14594" max="14594" width="16.125" style="121" bestFit="1" customWidth="1"/>
    <col min="14595" max="14595" width="13.875" style="121" bestFit="1" customWidth="1"/>
    <col min="14596" max="14596" width="17.25" style="121" bestFit="1" customWidth="1"/>
    <col min="14597" max="14598" width="20.5" style="121" bestFit="1" customWidth="1"/>
    <col min="14599" max="14599" width="0" style="121" hidden="1" customWidth="1"/>
    <col min="14600" max="14600" width="18.375" style="121" bestFit="1" customWidth="1"/>
    <col min="14601" max="14602" width="0" style="121" hidden="1" customWidth="1"/>
    <col min="14603" max="14846" width="9" style="121"/>
    <col min="14847" max="14847" width="6.625" style="121" customWidth="1"/>
    <col min="14848" max="14849" width="21.625" style="121" customWidth="1"/>
    <col min="14850" max="14850" width="16.125" style="121" bestFit="1" customWidth="1"/>
    <col min="14851" max="14851" width="13.875" style="121" bestFit="1" customWidth="1"/>
    <col min="14852" max="14852" width="17.25" style="121" bestFit="1" customWidth="1"/>
    <col min="14853" max="14854" width="20.5" style="121" bestFit="1" customWidth="1"/>
    <col min="14855" max="14855" width="0" style="121" hidden="1" customWidth="1"/>
    <col min="14856" max="14856" width="18.375" style="121" bestFit="1" customWidth="1"/>
    <col min="14857" max="14858" width="0" style="121" hidden="1" customWidth="1"/>
    <col min="14859" max="15102" width="9" style="121"/>
    <col min="15103" max="15103" width="6.625" style="121" customWidth="1"/>
    <col min="15104" max="15105" width="21.625" style="121" customWidth="1"/>
    <col min="15106" max="15106" width="16.125" style="121" bestFit="1" customWidth="1"/>
    <col min="15107" max="15107" width="13.875" style="121" bestFit="1" customWidth="1"/>
    <col min="15108" max="15108" width="17.25" style="121" bestFit="1" customWidth="1"/>
    <col min="15109" max="15110" width="20.5" style="121" bestFit="1" customWidth="1"/>
    <col min="15111" max="15111" width="0" style="121" hidden="1" customWidth="1"/>
    <col min="15112" max="15112" width="18.375" style="121" bestFit="1" customWidth="1"/>
    <col min="15113" max="15114" width="0" style="121" hidden="1" customWidth="1"/>
    <col min="15115" max="15358" width="9" style="121"/>
    <col min="15359" max="15359" width="6.625" style="121" customWidth="1"/>
    <col min="15360" max="15361" width="21.625" style="121" customWidth="1"/>
    <col min="15362" max="15362" width="16.125" style="121" bestFit="1" customWidth="1"/>
    <col min="15363" max="15363" width="13.875" style="121" bestFit="1" customWidth="1"/>
    <col min="15364" max="15364" width="17.25" style="121" bestFit="1" customWidth="1"/>
    <col min="15365" max="15366" width="20.5" style="121" bestFit="1" customWidth="1"/>
    <col min="15367" max="15367" width="0" style="121" hidden="1" customWidth="1"/>
    <col min="15368" max="15368" width="18.375" style="121" bestFit="1" customWidth="1"/>
    <col min="15369" max="15370" width="0" style="121" hidden="1" customWidth="1"/>
    <col min="15371" max="15614" width="9" style="121"/>
    <col min="15615" max="15615" width="6.625" style="121" customWidth="1"/>
    <col min="15616" max="15617" width="21.625" style="121" customWidth="1"/>
    <col min="15618" max="15618" width="16.125" style="121" bestFit="1" customWidth="1"/>
    <col min="15619" max="15619" width="13.875" style="121" bestFit="1" customWidth="1"/>
    <col min="15620" max="15620" width="17.25" style="121" bestFit="1" customWidth="1"/>
    <col min="15621" max="15622" width="20.5" style="121" bestFit="1" customWidth="1"/>
    <col min="15623" max="15623" width="0" style="121" hidden="1" customWidth="1"/>
    <col min="15624" max="15624" width="18.375" style="121" bestFit="1" customWidth="1"/>
    <col min="15625" max="15626" width="0" style="121" hidden="1" customWidth="1"/>
    <col min="15627" max="15870" width="9" style="121"/>
    <col min="15871" max="15871" width="6.625" style="121" customWidth="1"/>
    <col min="15872" max="15873" width="21.625" style="121" customWidth="1"/>
    <col min="15874" max="15874" width="16.125" style="121" bestFit="1" customWidth="1"/>
    <col min="15875" max="15875" width="13.875" style="121" bestFit="1" customWidth="1"/>
    <col min="15876" max="15876" width="17.25" style="121" bestFit="1" customWidth="1"/>
    <col min="15877" max="15878" width="20.5" style="121" bestFit="1" customWidth="1"/>
    <col min="15879" max="15879" width="0" style="121" hidden="1" customWidth="1"/>
    <col min="15880" max="15880" width="18.375" style="121" bestFit="1" customWidth="1"/>
    <col min="15881" max="15882" width="0" style="121" hidden="1" customWidth="1"/>
    <col min="15883" max="16126" width="9" style="121"/>
    <col min="16127" max="16127" width="6.625" style="121" customWidth="1"/>
    <col min="16128" max="16129" width="21.625" style="121" customWidth="1"/>
    <col min="16130" max="16130" width="16.125" style="121" bestFit="1" customWidth="1"/>
    <col min="16131" max="16131" width="13.875" style="121" bestFit="1" customWidth="1"/>
    <col min="16132" max="16132" width="17.25" style="121" bestFit="1" customWidth="1"/>
    <col min="16133" max="16134" width="20.5" style="121" bestFit="1" customWidth="1"/>
    <col min="16135" max="16135" width="0" style="121" hidden="1" customWidth="1"/>
    <col min="16136" max="16136" width="18.375" style="121" bestFit="1" customWidth="1"/>
    <col min="16137" max="16138" width="0" style="121" hidden="1" customWidth="1"/>
    <col min="16139" max="16384" width="9" style="121"/>
  </cols>
  <sheetData>
    <row r="1" spans="1:5" ht="20.25">
      <c r="A1" s="258" t="s">
        <v>379</v>
      </c>
      <c r="B1" s="259"/>
      <c r="C1" s="259"/>
      <c r="D1" s="259"/>
      <c r="E1" s="259"/>
    </row>
    <row r="2" spans="1:5" ht="35.1" customHeight="1">
      <c r="A2" s="260" t="s">
        <v>397</v>
      </c>
      <c r="B2" s="261"/>
      <c r="E2" s="249" t="s">
        <v>380</v>
      </c>
    </row>
    <row r="3" spans="1:5" ht="30" customHeight="1">
      <c r="A3" s="250" t="s">
        <v>381</v>
      </c>
      <c r="B3" s="250" t="s">
        <v>382</v>
      </c>
      <c r="C3" s="251" t="s">
        <v>277</v>
      </c>
      <c r="D3" s="251" t="s">
        <v>278</v>
      </c>
      <c r="E3" s="251" t="s">
        <v>383</v>
      </c>
    </row>
    <row r="4" spans="1:5" ht="30" customHeight="1">
      <c r="A4" s="250">
        <v>1</v>
      </c>
      <c r="B4" s="250" t="s">
        <v>384</v>
      </c>
      <c r="C4" s="252">
        <f>补充公用经费!AP23+'清算2022补充公用经费（课后延时）'!E13</f>
        <v>31695906.5</v>
      </c>
      <c r="D4" s="252"/>
      <c r="E4" s="252">
        <f>C4-D4</f>
        <v>31695906.5</v>
      </c>
    </row>
    <row r="5" spans="1:5" ht="30" customHeight="1">
      <c r="A5" s="250">
        <v>2</v>
      </c>
      <c r="B5" s="253" t="s">
        <v>385</v>
      </c>
      <c r="C5" s="254">
        <f>公办义务教育减免书薄费!I13</f>
        <v>7146240</v>
      </c>
      <c r="D5" s="255"/>
      <c r="E5" s="252">
        <f t="shared" ref="E5:E19" si="0">C5-D5</f>
        <v>7146240</v>
      </c>
    </row>
    <row r="6" spans="1:5" ht="30" customHeight="1">
      <c r="A6" s="250">
        <v>3</v>
      </c>
      <c r="B6" s="253" t="s">
        <v>386</v>
      </c>
      <c r="C6" s="254">
        <f>公办义务教育营养午餐!E14</f>
        <v>2061880</v>
      </c>
      <c r="D6" s="255"/>
      <c r="E6" s="252">
        <f t="shared" si="0"/>
        <v>2061880</v>
      </c>
    </row>
    <row r="7" spans="1:5" ht="30" customHeight="1">
      <c r="A7" s="250">
        <v>4</v>
      </c>
      <c r="B7" s="253" t="s">
        <v>387</v>
      </c>
      <c r="C7" s="254">
        <f>公办义务教育资助!L16</f>
        <v>387338</v>
      </c>
      <c r="D7" s="255"/>
      <c r="E7" s="252">
        <f t="shared" si="0"/>
        <v>387338</v>
      </c>
    </row>
    <row r="8" spans="1:5" ht="30" customHeight="1">
      <c r="A8" s="250">
        <v>5</v>
      </c>
      <c r="B8" s="250" t="s">
        <v>388</v>
      </c>
      <c r="C8" s="254">
        <f>保安经费!L51</f>
        <v>13201650</v>
      </c>
      <c r="D8" s="254">
        <f>C8</f>
        <v>13201650</v>
      </c>
      <c r="E8" s="252">
        <f t="shared" si="0"/>
        <v>0</v>
      </c>
    </row>
    <row r="9" spans="1:5" ht="30" customHeight="1">
      <c r="A9" s="250">
        <v>6</v>
      </c>
      <c r="B9" s="250" t="s">
        <v>389</v>
      </c>
      <c r="C9" s="254">
        <f>视频联网!K35</f>
        <v>950052</v>
      </c>
      <c r="D9" s="254">
        <f t="shared" ref="D9:D15" si="1">C9</f>
        <v>950052</v>
      </c>
      <c r="E9" s="252">
        <f t="shared" si="0"/>
        <v>0</v>
      </c>
    </row>
    <row r="10" spans="1:5" ht="30" customHeight="1">
      <c r="A10" s="250">
        <v>7</v>
      </c>
      <c r="B10" s="250" t="s">
        <v>390</v>
      </c>
      <c r="C10" s="254">
        <f>农民工学校生均补贴!H4</f>
        <v>2879800</v>
      </c>
      <c r="D10" s="254">
        <f t="shared" si="1"/>
        <v>2879800</v>
      </c>
      <c r="E10" s="252">
        <f t="shared" si="0"/>
        <v>0</v>
      </c>
    </row>
    <row r="11" spans="1:5" ht="30" customHeight="1">
      <c r="A11" s="250">
        <v>8</v>
      </c>
      <c r="B11" s="250" t="s">
        <v>391</v>
      </c>
      <c r="C11" s="254">
        <f>农民工学校资助!L6</f>
        <v>18110</v>
      </c>
      <c r="D11" s="254">
        <f t="shared" si="1"/>
        <v>18110</v>
      </c>
      <c r="E11" s="252">
        <f t="shared" si="0"/>
        <v>0</v>
      </c>
    </row>
    <row r="12" spans="1:5" ht="30" customHeight="1">
      <c r="A12" s="250">
        <v>9</v>
      </c>
      <c r="B12" s="250" t="s">
        <v>392</v>
      </c>
      <c r="C12" s="254">
        <f>农民工学校减免书薄费!O5</f>
        <v>130900</v>
      </c>
      <c r="D12" s="254">
        <f t="shared" si="1"/>
        <v>130900</v>
      </c>
      <c r="E12" s="252">
        <f t="shared" si="0"/>
        <v>0</v>
      </c>
    </row>
    <row r="13" spans="1:5" ht="30" customHeight="1">
      <c r="A13" s="250">
        <v>10</v>
      </c>
      <c r="B13" s="250" t="s">
        <v>393</v>
      </c>
      <c r="C13" s="254">
        <f>小区生补贴!K11</f>
        <v>6423900</v>
      </c>
      <c r="D13" s="254">
        <f t="shared" si="1"/>
        <v>6423900</v>
      </c>
      <c r="E13" s="252">
        <f t="shared" si="0"/>
        <v>0</v>
      </c>
    </row>
    <row r="14" spans="1:5" ht="30" customHeight="1">
      <c r="A14" s="250">
        <v>11</v>
      </c>
      <c r="B14" s="250" t="s">
        <v>394</v>
      </c>
      <c r="C14" s="254">
        <f>民办学校补贴!O9</f>
        <v>17628700</v>
      </c>
      <c r="D14" s="254">
        <f t="shared" si="1"/>
        <v>17628700</v>
      </c>
      <c r="E14" s="252">
        <f t="shared" si="0"/>
        <v>0</v>
      </c>
    </row>
    <row r="15" spans="1:5" ht="30" customHeight="1">
      <c r="A15" s="250">
        <v>12</v>
      </c>
      <c r="B15" s="250" t="s">
        <v>395</v>
      </c>
      <c r="C15" s="254">
        <f>民办义务教育减免书薄费!F8</f>
        <v>2774720</v>
      </c>
      <c r="D15" s="254">
        <f t="shared" si="1"/>
        <v>2774720</v>
      </c>
      <c r="E15" s="252">
        <f t="shared" si="0"/>
        <v>0</v>
      </c>
    </row>
    <row r="16" spans="1:5" ht="30" customHeight="1">
      <c r="A16" s="250">
        <v>13</v>
      </c>
      <c r="B16" s="250" t="s">
        <v>400</v>
      </c>
      <c r="C16" s="254">
        <f>民办义务教育资助!E6</f>
        <v>6470</v>
      </c>
      <c r="D16" s="254">
        <f>C16</f>
        <v>6470</v>
      </c>
      <c r="E16" s="252">
        <f t="shared" si="0"/>
        <v>0</v>
      </c>
    </row>
    <row r="17" spans="1:5" ht="30" customHeight="1">
      <c r="A17" s="250">
        <v>14</v>
      </c>
      <c r="B17" s="250" t="s">
        <v>398</v>
      </c>
      <c r="C17" s="254">
        <f>民办义务教育营养午餐!D4</f>
        <v>61560</v>
      </c>
      <c r="D17" s="254">
        <f>C17</f>
        <v>61560</v>
      </c>
      <c r="E17" s="252">
        <f t="shared" si="0"/>
        <v>0</v>
      </c>
    </row>
    <row r="18" spans="1:5" ht="30" customHeight="1">
      <c r="A18" s="250">
        <v>15</v>
      </c>
      <c r="B18" s="250" t="s">
        <v>399</v>
      </c>
      <c r="C18" s="254">
        <f>政府购买学位!T9</f>
        <v>103340417</v>
      </c>
      <c r="D18" s="254">
        <f>C18</f>
        <v>103340417</v>
      </c>
      <c r="E18" s="252">
        <f t="shared" si="0"/>
        <v>0</v>
      </c>
    </row>
    <row r="19" spans="1:5" ht="30" customHeight="1">
      <c r="A19" s="250">
        <v>16</v>
      </c>
      <c r="B19" s="250" t="s">
        <v>396</v>
      </c>
      <c r="C19" s="254">
        <f>七宝校舍维修2022!M4</f>
        <v>4440579</v>
      </c>
      <c r="D19" s="254"/>
      <c r="E19" s="252">
        <f t="shared" si="0"/>
        <v>4440579</v>
      </c>
    </row>
    <row r="20" spans="1:5" ht="30" customHeight="1">
      <c r="A20" s="250"/>
      <c r="B20" s="250" t="s">
        <v>207</v>
      </c>
      <c r="C20" s="256">
        <f>SUM(C4:C19)</f>
        <v>193148222.5</v>
      </c>
      <c r="D20" s="256">
        <f t="shared" ref="D20:E20" si="2">SUM(D4:D19)</f>
        <v>147416279</v>
      </c>
      <c r="E20" s="256">
        <f t="shared" si="2"/>
        <v>45731943.5</v>
      </c>
    </row>
    <row r="21" spans="1:5" ht="30" customHeight="1"/>
    <row r="22" spans="1:5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workbookViewId="0">
      <pane xSplit="3" ySplit="3" topLeftCell="D4" activePane="bottomRight" state="frozen"/>
      <selection activeCell="A24" sqref="A24:XFD112"/>
      <selection pane="topRight" activeCell="A24" sqref="A24:XFD112"/>
      <selection pane="bottomLeft" activeCell="A24" sqref="A24:XFD112"/>
      <selection pane="bottomRight" activeCell="A24" sqref="A24:XFD112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264" t="s">
        <v>163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6"/>
      <c r="AP1" s="266"/>
    </row>
    <row r="2" spans="1:42">
      <c r="A2" s="268" t="s">
        <v>0</v>
      </c>
      <c r="B2" s="268" t="s">
        <v>1</v>
      </c>
      <c r="C2" s="268" t="s">
        <v>2</v>
      </c>
      <c r="D2" s="268" t="s">
        <v>3</v>
      </c>
      <c r="E2" s="268" t="s">
        <v>4</v>
      </c>
      <c r="F2" s="268"/>
      <c r="G2" s="268"/>
      <c r="H2" s="268"/>
      <c r="I2" s="268"/>
      <c r="J2" s="268" t="s">
        <v>5</v>
      </c>
      <c r="K2" s="268"/>
      <c r="L2" s="268"/>
      <c r="M2" s="268"/>
      <c r="N2" s="268"/>
      <c r="O2" s="269" t="s">
        <v>6</v>
      </c>
      <c r="P2" s="269"/>
      <c r="Q2" s="269"/>
      <c r="R2" s="269"/>
      <c r="S2" s="269"/>
      <c r="T2" s="269" t="s">
        <v>7</v>
      </c>
      <c r="U2" s="269"/>
      <c r="V2" s="269"/>
      <c r="W2" s="269"/>
      <c r="X2" s="269"/>
      <c r="Y2" s="269" t="s">
        <v>8</v>
      </c>
      <c r="Z2" s="269"/>
      <c r="AA2" s="269"/>
      <c r="AB2" s="269"/>
      <c r="AC2" s="269"/>
      <c r="AD2" s="268" t="s">
        <v>45</v>
      </c>
      <c r="AE2" s="268"/>
      <c r="AF2" s="268"/>
      <c r="AG2" s="268"/>
      <c r="AH2" s="268"/>
      <c r="AI2" s="268"/>
      <c r="AJ2" s="268"/>
      <c r="AK2" s="268"/>
      <c r="AL2" s="268"/>
      <c r="AM2" s="268"/>
      <c r="AN2" s="267">
        <v>0.6</v>
      </c>
      <c r="AO2" s="262" t="s">
        <v>376</v>
      </c>
      <c r="AP2" s="262" t="s">
        <v>377</v>
      </c>
    </row>
    <row r="3" spans="1:42" ht="33.75">
      <c r="A3" s="268"/>
      <c r="B3" s="268"/>
      <c r="C3" s="268"/>
      <c r="D3" s="268"/>
      <c r="E3" s="2" t="s">
        <v>9</v>
      </c>
      <c r="F3" s="2" t="s">
        <v>10</v>
      </c>
      <c r="G3" s="2" t="s">
        <v>11</v>
      </c>
      <c r="H3" s="2" t="s">
        <v>12</v>
      </c>
      <c r="I3" s="3" t="s">
        <v>13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9</v>
      </c>
      <c r="P3" s="2" t="s">
        <v>10</v>
      </c>
      <c r="Q3" s="2" t="s">
        <v>11</v>
      </c>
      <c r="R3" s="2" t="s">
        <v>12</v>
      </c>
      <c r="S3" s="3" t="s">
        <v>13</v>
      </c>
      <c r="T3" s="2" t="s">
        <v>9</v>
      </c>
      <c r="U3" s="2" t="s">
        <v>10</v>
      </c>
      <c r="V3" s="2" t="s">
        <v>11</v>
      </c>
      <c r="W3" s="2" t="s">
        <v>12</v>
      </c>
      <c r="X3" s="3" t="s">
        <v>13</v>
      </c>
      <c r="Y3" s="2" t="s">
        <v>9</v>
      </c>
      <c r="Z3" s="2" t="s">
        <v>10</v>
      </c>
      <c r="AA3" s="2" t="s">
        <v>11</v>
      </c>
      <c r="AB3" s="2" t="s">
        <v>12</v>
      </c>
      <c r="AC3" s="3" t="s">
        <v>13</v>
      </c>
      <c r="AD3" s="2" t="s">
        <v>14</v>
      </c>
      <c r="AE3" s="2" t="s">
        <v>15</v>
      </c>
      <c r="AF3" s="2" t="s">
        <v>16</v>
      </c>
      <c r="AG3" s="2" t="s">
        <v>17</v>
      </c>
      <c r="AH3" s="2" t="s">
        <v>18</v>
      </c>
      <c r="AI3" s="2" t="s">
        <v>19</v>
      </c>
      <c r="AJ3" s="2" t="s">
        <v>20</v>
      </c>
      <c r="AK3" s="2" t="s">
        <v>46</v>
      </c>
      <c r="AL3" s="2" t="s">
        <v>279</v>
      </c>
      <c r="AM3" s="3" t="s">
        <v>21</v>
      </c>
      <c r="AN3" s="263"/>
      <c r="AO3" s="263"/>
      <c r="AP3" s="263"/>
    </row>
    <row r="4" spans="1:42" ht="15" customHeight="1">
      <c r="A4" s="5" t="s">
        <v>24</v>
      </c>
      <c r="B4" s="6" t="s">
        <v>25</v>
      </c>
      <c r="C4" s="6" t="s">
        <v>22</v>
      </c>
      <c r="D4" s="7">
        <v>2</v>
      </c>
      <c r="E4" s="11">
        <v>4</v>
      </c>
      <c r="F4" s="11">
        <v>3</v>
      </c>
      <c r="G4" s="11">
        <v>31</v>
      </c>
      <c r="H4" s="11">
        <v>3</v>
      </c>
      <c r="I4" s="8">
        <f t="shared" ref="I4:I22" si="0">SUM(E4:H4)</f>
        <v>41</v>
      </c>
      <c r="J4" s="7">
        <v>1</v>
      </c>
      <c r="K4" s="7">
        <v>0</v>
      </c>
      <c r="L4" s="7">
        <v>4.666666666666667</v>
      </c>
      <c r="M4" s="7">
        <v>1.4166666666666667</v>
      </c>
      <c r="N4" s="8">
        <f t="shared" ref="N4:N22" si="1">SUM(J4:M4)</f>
        <v>7.0833333333333339</v>
      </c>
      <c r="O4" s="8">
        <f t="shared" ref="O4:O22" si="2">E4+J4</f>
        <v>5</v>
      </c>
      <c r="P4" s="8">
        <f t="shared" ref="P4:R18" si="3">F4+K4</f>
        <v>3</v>
      </c>
      <c r="Q4" s="8">
        <f t="shared" si="3"/>
        <v>35.666666666666664</v>
      </c>
      <c r="R4" s="8">
        <f t="shared" si="3"/>
        <v>4.416666666666667</v>
      </c>
      <c r="S4" s="8">
        <f t="shared" ref="S4:S22" si="4">SUM(O4:R4)</f>
        <v>48.083333333333329</v>
      </c>
      <c r="T4" s="7">
        <v>6</v>
      </c>
      <c r="U4" s="7">
        <v>5</v>
      </c>
      <c r="V4" s="7">
        <v>27.5</v>
      </c>
      <c r="W4" s="7">
        <v>1.4166666666666667</v>
      </c>
      <c r="X4" s="8">
        <f t="shared" ref="X4:X22" si="5">SUM(T4:W4)</f>
        <v>39.916666666666664</v>
      </c>
      <c r="Y4" s="7">
        <v>6</v>
      </c>
      <c r="Z4" s="7">
        <v>5</v>
      </c>
      <c r="AA4" s="7">
        <v>27.5</v>
      </c>
      <c r="AB4" s="7">
        <v>1.4166666666666667</v>
      </c>
      <c r="AC4" s="8">
        <f t="shared" ref="AC4:AC22" si="6">SUM(Y4:AB4)</f>
        <v>39.916666666666664</v>
      </c>
      <c r="AD4" s="8">
        <f t="shared" ref="AD4:AD22" si="7">(Y4*6017+Z4*5250+AA4*5194+AB4*4250)*12</f>
        <v>2534494</v>
      </c>
      <c r="AE4" s="8">
        <f t="shared" ref="AE4:AE22" si="8">AC4*4320</f>
        <v>172440</v>
      </c>
      <c r="AF4" s="8">
        <f t="shared" ref="AF4:AF22" si="9">AC4*6000</f>
        <v>239500</v>
      </c>
      <c r="AG4" s="8">
        <f t="shared" ref="AG4:AG22" si="10">AC4*2400</f>
        <v>95800</v>
      </c>
      <c r="AH4" s="8">
        <f t="shared" ref="AH4:AH22" si="11">AC4*8800</f>
        <v>351266.66666666663</v>
      </c>
      <c r="AI4" s="8">
        <f t="shared" ref="AI4:AI22" si="12">AC4*800</f>
        <v>31933.333333333332</v>
      </c>
      <c r="AJ4" s="8">
        <f t="shared" ref="AJ4:AJ22" si="13">D4*50*200</f>
        <v>20000</v>
      </c>
      <c r="AK4" s="8">
        <f t="shared" ref="AK4:AK22" si="14">AC4*960</f>
        <v>38320</v>
      </c>
      <c r="AL4" s="8">
        <f t="shared" ref="AL4:AL22" si="15">ROUND((AD4+AH4+AI4+AJ4)*0.35756,2)</f>
        <v>1050401.8700000001</v>
      </c>
      <c r="AM4" s="8">
        <f t="shared" ref="AM4:AM22" si="16">SUM(AD4:AL4)</f>
        <v>4534155.87</v>
      </c>
      <c r="AN4" s="9">
        <f t="shared" ref="AN4:AN22" si="17">ROUND(AM4*0.6,0)</f>
        <v>2720494</v>
      </c>
      <c r="AO4" s="228"/>
      <c r="AP4" s="228">
        <f t="shared" ref="AP4:AP22" si="18">AN4+AO4</f>
        <v>2720494</v>
      </c>
    </row>
    <row r="5" spans="1:42" ht="15" customHeight="1">
      <c r="A5" s="5" t="s">
        <v>24</v>
      </c>
      <c r="B5" s="6" t="s">
        <v>26</v>
      </c>
      <c r="C5" s="6" t="s">
        <v>22</v>
      </c>
      <c r="D5" s="7">
        <v>1</v>
      </c>
      <c r="E5" s="11">
        <v>2</v>
      </c>
      <c r="F5" s="11">
        <v>2</v>
      </c>
      <c r="G5" s="11">
        <v>17</v>
      </c>
      <c r="H5" s="11">
        <v>3</v>
      </c>
      <c r="I5" s="8">
        <f t="shared" si="0"/>
        <v>24</v>
      </c>
      <c r="J5" s="7">
        <v>1</v>
      </c>
      <c r="K5" s="7">
        <v>0</v>
      </c>
      <c r="L5" s="7">
        <v>0</v>
      </c>
      <c r="M5" s="7">
        <v>0</v>
      </c>
      <c r="N5" s="8">
        <f t="shared" si="1"/>
        <v>1</v>
      </c>
      <c r="O5" s="8">
        <f t="shared" si="2"/>
        <v>3</v>
      </c>
      <c r="P5" s="8">
        <f t="shared" si="3"/>
        <v>2</v>
      </c>
      <c r="Q5" s="8">
        <f t="shared" si="3"/>
        <v>17</v>
      </c>
      <c r="R5" s="8">
        <f t="shared" si="3"/>
        <v>3</v>
      </c>
      <c r="S5" s="8">
        <f t="shared" si="4"/>
        <v>25</v>
      </c>
      <c r="T5" s="7">
        <v>4.583333333333333</v>
      </c>
      <c r="U5" s="7">
        <v>1</v>
      </c>
      <c r="V5" s="7">
        <v>18</v>
      </c>
      <c r="W5" s="7">
        <v>2</v>
      </c>
      <c r="X5" s="8">
        <f t="shared" si="5"/>
        <v>25.583333333333332</v>
      </c>
      <c r="Y5" s="7">
        <v>3</v>
      </c>
      <c r="Z5" s="7">
        <v>2</v>
      </c>
      <c r="AA5" s="7">
        <v>17</v>
      </c>
      <c r="AB5" s="7">
        <v>3</v>
      </c>
      <c r="AC5" s="8">
        <f t="shared" si="6"/>
        <v>25</v>
      </c>
      <c r="AD5" s="8">
        <f t="shared" si="7"/>
        <v>1555188</v>
      </c>
      <c r="AE5" s="8">
        <f t="shared" si="8"/>
        <v>108000</v>
      </c>
      <c r="AF5" s="8">
        <f t="shared" si="9"/>
        <v>150000</v>
      </c>
      <c r="AG5" s="8">
        <f t="shared" si="10"/>
        <v>60000</v>
      </c>
      <c r="AH5" s="8">
        <f t="shared" si="11"/>
        <v>220000</v>
      </c>
      <c r="AI5" s="8">
        <f t="shared" si="12"/>
        <v>20000</v>
      </c>
      <c r="AJ5" s="8">
        <f t="shared" si="13"/>
        <v>10000</v>
      </c>
      <c r="AK5" s="8">
        <f t="shared" si="14"/>
        <v>24000</v>
      </c>
      <c r="AL5" s="8">
        <f t="shared" si="15"/>
        <v>645463.02</v>
      </c>
      <c r="AM5" s="8">
        <f t="shared" si="16"/>
        <v>2792651.02</v>
      </c>
      <c r="AN5" s="9">
        <f t="shared" si="17"/>
        <v>1675591</v>
      </c>
      <c r="AO5" s="228"/>
      <c r="AP5" s="228">
        <f t="shared" si="18"/>
        <v>1675591</v>
      </c>
    </row>
    <row r="6" spans="1:42" ht="15" customHeight="1">
      <c r="A6" s="5" t="s">
        <v>24</v>
      </c>
      <c r="B6" s="6" t="s">
        <v>27</v>
      </c>
      <c r="C6" s="6" t="s">
        <v>22</v>
      </c>
      <c r="D6" s="7">
        <v>2</v>
      </c>
      <c r="E6" s="11">
        <v>3</v>
      </c>
      <c r="F6" s="11">
        <v>3</v>
      </c>
      <c r="G6" s="11">
        <v>24</v>
      </c>
      <c r="H6" s="11">
        <v>3</v>
      </c>
      <c r="I6" s="8">
        <f t="shared" si="0"/>
        <v>33</v>
      </c>
      <c r="J6" s="7">
        <v>2</v>
      </c>
      <c r="K6" s="7">
        <v>1</v>
      </c>
      <c r="L6" s="7">
        <v>0</v>
      </c>
      <c r="M6" s="7">
        <v>0</v>
      </c>
      <c r="N6" s="8">
        <f t="shared" si="1"/>
        <v>3</v>
      </c>
      <c r="O6" s="8">
        <f t="shared" si="2"/>
        <v>5</v>
      </c>
      <c r="P6" s="8">
        <f t="shared" si="3"/>
        <v>4</v>
      </c>
      <c r="Q6" s="8">
        <f t="shared" si="3"/>
        <v>24</v>
      </c>
      <c r="R6" s="8">
        <f t="shared" si="3"/>
        <v>3</v>
      </c>
      <c r="S6" s="8">
        <f t="shared" si="4"/>
        <v>36</v>
      </c>
      <c r="T6" s="7">
        <v>3</v>
      </c>
      <c r="U6" s="7">
        <v>2</v>
      </c>
      <c r="V6" s="7">
        <v>24.25</v>
      </c>
      <c r="W6" s="7">
        <v>2</v>
      </c>
      <c r="X6" s="8">
        <f t="shared" si="5"/>
        <v>31.25</v>
      </c>
      <c r="Y6" s="7">
        <v>3</v>
      </c>
      <c r="Z6" s="7">
        <v>2</v>
      </c>
      <c r="AA6" s="7">
        <v>24.25</v>
      </c>
      <c r="AB6" s="7">
        <v>2</v>
      </c>
      <c r="AC6" s="8">
        <f t="shared" si="6"/>
        <v>31.25</v>
      </c>
      <c r="AD6" s="8">
        <f t="shared" si="7"/>
        <v>1956066</v>
      </c>
      <c r="AE6" s="8">
        <f t="shared" si="8"/>
        <v>135000</v>
      </c>
      <c r="AF6" s="8">
        <f t="shared" si="9"/>
        <v>187500</v>
      </c>
      <c r="AG6" s="8">
        <f t="shared" si="10"/>
        <v>75000</v>
      </c>
      <c r="AH6" s="8">
        <f t="shared" si="11"/>
        <v>275000</v>
      </c>
      <c r="AI6" s="8">
        <f t="shared" si="12"/>
        <v>25000</v>
      </c>
      <c r="AJ6" s="8">
        <f t="shared" si="13"/>
        <v>20000</v>
      </c>
      <c r="AK6" s="8">
        <f t="shared" si="14"/>
        <v>30000</v>
      </c>
      <c r="AL6" s="8">
        <f t="shared" si="15"/>
        <v>813830.16</v>
      </c>
      <c r="AM6" s="8">
        <f t="shared" si="16"/>
        <v>3517396.16</v>
      </c>
      <c r="AN6" s="9">
        <f t="shared" si="17"/>
        <v>2110438</v>
      </c>
      <c r="AO6" s="228"/>
      <c r="AP6" s="228">
        <f t="shared" si="18"/>
        <v>2110438</v>
      </c>
    </row>
    <row r="7" spans="1:42" ht="15" customHeight="1">
      <c r="A7" s="5" t="s">
        <v>24</v>
      </c>
      <c r="B7" s="6" t="s">
        <v>28</v>
      </c>
      <c r="C7" s="6" t="s">
        <v>22</v>
      </c>
      <c r="D7" s="7">
        <v>5</v>
      </c>
      <c r="E7" s="11">
        <v>7</v>
      </c>
      <c r="F7" s="11">
        <v>4</v>
      </c>
      <c r="G7" s="11">
        <v>59</v>
      </c>
      <c r="H7" s="11">
        <v>6</v>
      </c>
      <c r="I7" s="8">
        <f t="shared" si="0"/>
        <v>76</v>
      </c>
      <c r="J7" s="7">
        <v>4</v>
      </c>
      <c r="K7" s="7">
        <v>0</v>
      </c>
      <c r="L7" s="7">
        <v>0</v>
      </c>
      <c r="M7" s="7">
        <v>0</v>
      </c>
      <c r="N7" s="8">
        <f t="shared" si="1"/>
        <v>4</v>
      </c>
      <c r="O7" s="8">
        <f t="shared" si="2"/>
        <v>11</v>
      </c>
      <c r="P7" s="8">
        <f t="shared" si="3"/>
        <v>4</v>
      </c>
      <c r="Q7" s="8">
        <f t="shared" si="3"/>
        <v>59</v>
      </c>
      <c r="R7" s="8">
        <f t="shared" si="3"/>
        <v>6</v>
      </c>
      <c r="S7" s="8">
        <f t="shared" si="4"/>
        <v>80</v>
      </c>
      <c r="T7" s="7">
        <v>7.5</v>
      </c>
      <c r="U7" s="7">
        <v>9</v>
      </c>
      <c r="V7" s="7">
        <v>59.833333333333336</v>
      </c>
      <c r="W7" s="7">
        <v>3</v>
      </c>
      <c r="X7" s="8">
        <f t="shared" si="5"/>
        <v>79.333333333333343</v>
      </c>
      <c r="Y7" s="7">
        <v>7.5</v>
      </c>
      <c r="Z7" s="7">
        <v>9</v>
      </c>
      <c r="AA7" s="7">
        <v>59.833333333333336</v>
      </c>
      <c r="AB7" s="7">
        <v>3</v>
      </c>
      <c r="AC7" s="8">
        <f t="shared" si="6"/>
        <v>79.333333333333343</v>
      </c>
      <c r="AD7" s="8">
        <f t="shared" si="7"/>
        <v>4990822</v>
      </c>
      <c r="AE7" s="8">
        <f t="shared" si="8"/>
        <v>342720.00000000006</v>
      </c>
      <c r="AF7" s="8">
        <f t="shared" si="9"/>
        <v>476000.00000000006</v>
      </c>
      <c r="AG7" s="8">
        <f t="shared" si="10"/>
        <v>190400.00000000003</v>
      </c>
      <c r="AH7" s="8">
        <f t="shared" si="11"/>
        <v>698133.33333333337</v>
      </c>
      <c r="AI7" s="8">
        <f t="shared" si="12"/>
        <v>63466.666666666672</v>
      </c>
      <c r="AJ7" s="8">
        <f t="shared" si="13"/>
        <v>50000</v>
      </c>
      <c r="AK7" s="8">
        <f t="shared" si="14"/>
        <v>76160.000000000015</v>
      </c>
      <c r="AL7" s="8">
        <f t="shared" si="15"/>
        <v>2074714.01</v>
      </c>
      <c r="AM7" s="8">
        <f t="shared" si="16"/>
        <v>8962416.0099999998</v>
      </c>
      <c r="AN7" s="9">
        <f t="shared" si="17"/>
        <v>5377450</v>
      </c>
      <c r="AO7" s="228"/>
      <c r="AP7" s="228">
        <f t="shared" si="18"/>
        <v>5377450</v>
      </c>
    </row>
    <row r="8" spans="1:42" ht="15" customHeight="1">
      <c r="A8" s="5" t="s">
        <v>24</v>
      </c>
      <c r="B8" s="6" t="s">
        <v>29</v>
      </c>
      <c r="C8" s="6" t="s">
        <v>22</v>
      </c>
      <c r="D8" s="7">
        <v>2</v>
      </c>
      <c r="E8" s="11">
        <v>3</v>
      </c>
      <c r="F8" s="11">
        <v>3</v>
      </c>
      <c r="G8" s="11">
        <v>24</v>
      </c>
      <c r="H8" s="11">
        <v>3</v>
      </c>
      <c r="I8" s="8">
        <f t="shared" si="0"/>
        <v>33</v>
      </c>
      <c r="J8" s="7">
        <v>3</v>
      </c>
      <c r="K8" s="7">
        <v>1</v>
      </c>
      <c r="L8" s="7">
        <v>2</v>
      </c>
      <c r="M8" s="7">
        <v>0</v>
      </c>
      <c r="N8" s="8">
        <f t="shared" si="1"/>
        <v>6</v>
      </c>
      <c r="O8" s="8">
        <f t="shared" si="2"/>
        <v>6</v>
      </c>
      <c r="P8" s="8">
        <f t="shared" si="3"/>
        <v>4</v>
      </c>
      <c r="Q8" s="8">
        <f t="shared" si="3"/>
        <v>26</v>
      </c>
      <c r="R8" s="8">
        <f t="shared" si="3"/>
        <v>3</v>
      </c>
      <c r="S8" s="8">
        <f t="shared" si="4"/>
        <v>39</v>
      </c>
      <c r="T8" s="7">
        <v>5</v>
      </c>
      <c r="U8" s="7">
        <v>1</v>
      </c>
      <c r="V8" s="7">
        <v>24</v>
      </c>
      <c r="W8" s="7">
        <v>2</v>
      </c>
      <c r="X8" s="8">
        <f t="shared" si="5"/>
        <v>32</v>
      </c>
      <c r="Y8" s="7">
        <v>5</v>
      </c>
      <c r="Z8" s="7">
        <v>1</v>
      </c>
      <c r="AA8" s="7">
        <v>24</v>
      </c>
      <c r="AB8" s="7">
        <v>2</v>
      </c>
      <c r="AC8" s="8">
        <f t="shared" si="6"/>
        <v>32</v>
      </c>
      <c r="AD8" s="8">
        <f t="shared" si="7"/>
        <v>2021892</v>
      </c>
      <c r="AE8" s="8">
        <f t="shared" si="8"/>
        <v>138240</v>
      </c>
      <c r="AF8" s="8">
        <f t="shared" si="9"/>
        <v>192000</v>
      </c>
      <c r="AG8" s="8">
        <f t="shared" si="10"/>
        <v>76800</v>
      </c>
      <c r="AH8" s="8">
        <f t="shared" si="11"/>
        <v>281600</v>
      </c>
      <c r="AI8" s="8">
        <f t="shared" si="12"/>
        <v>25600</v>
      </c>
      <c r="AJ8" s="8">
        <f t="shared" si="13"/>
        <v>20000</v>
      </c>
      <c r="AK8" s="8">
        <f t="shared" si="14"/>
        <v>30720</v>
      </c>
      <c r="AL8" s="8">
        <f t="shared" si="15"/>
        <v>839941.34</v>
      </c>
      <c r="AM8" s="8">
        <f t="shared" si="16"/>
        <v>3626793.34</v>
      </c>
      <c r="AN8" s="9">
        <f t="shared" si="17"/>
        <v>2176076</v>
      </c>
      <c r="AO8" s="228"/>
      <c r="AP8" s="228">
        <f t="shared" si="18"/>
        <v>2176076</v>
      </c>
    </row>
    <row r="9" spans="1:42" ht="15" customHeight="1">
      <c r="A9" s="5" t="s">
        <v>24</v>
      </c>
      <c r="B9" s="6" t="s">
        <v>30</v>
      </c>
      <c r="C9" s="6" t="s">
        <v>23</v>
      </c>
      <c r="D9" s="7"/>
      <c r="E9" s="11">
        <v>10</v>
      </c>
      <c r="F9" s="11">
        <v>7</v>
      </c>
      <c r="G9" s="11">
        <v>0</v>
      </c>
      <c r="H9" s="11">
        <v>9</v>
      </c>
      <c r="I9" s="8">
        <f t="shared" si="0"/>
        <v>26</v>
      </c>
      <c r="J9" s="7">
        <v>1.4166666666666667</v>
      </c>
      <c r="K9" s="7">
        <v>0</v>
      </c>
      <c r="L9" s="7">
        <v>0</v>
      </c>
      <c r="M9" s="7">
        <v>0</v>
      </c>
      <c r="N9" s="8">
        <f t="shared" si="1"/>
        <v>1.4166666666666667</v>
      </c>
      <c r="O9" s="8">
        <f t="shared" si="2"/>
        <v>11.416666666666666</v>
      </c>
      <c r="P9" s="8">
        <f t="shared" si="3"/>
        <v>7</v>
      </c>
      <c r="Q9" s="8">
        <f t="shared" si="3"/>
        <v>0</v>
      </c>
      <c r="R9" s="8">
        <f t="shared" si="3"/>
        <v>9</v>
      </c>
      <c r="S9" s="8">
        <f t="shared" si="4"/>
        <v>27.416666666666664</v>
      </c>
      <c r="T9" s="7">
        <v>10.166666666666666</v>
      </c>
      <c r="U9" s="7">
        <v>2</v>
      </c>
      <c r="V9" s="7">
        <v>0</v>
      </c>
      <c r="W9" s="7">
        <v>9</v>
      </c>
      <c r="X9" s="8">
        <f t="shared" si="5"/>
        <v>21.166666666666664</v>
      </c>
      <c r="Y9" s="7">
        <v>10.166666666666666</v>
      </c>
      <c r="Z9" s="7">
        <v>2</v>
      </c>
      <c r="AA9" s="7">
        <v>0</v>
      </c>
      <c r="AB9" s="7">
        <v>9</v>
      </c>
      <c r="AC9" s="8">
        <f t="shared" si="6"/>
        <v>21.166666666666664</v>
      </c>
      <c r="AD9" s="8">
        <f t="shared" si="7"/>
        <v>1319074</v>
      </c>
      <c r="AE9" s="8">
        <f t="shared" si="8"/>
        <v>91439.999999999985</v>
      </c>
      <c r="AF9" s="8">
        <f t="shared" si="9"/>
        <v>126999.99999999999</v>
      </c>
      <c r="AG9" s="8">
        <f t="shared" si="10"/>
        <v>50799.999999999993</v>
      </c>
      <c r="AH9" s="8">
        <f t="shared" si="11"/>
        <v>186266.66666666666</v>
      </c>
      <c r="AI9" s="8">
        <f t="shared" si="12"/>
        <v>16933.333333333332</v>
      </c>
      <c r="AJ9" s="8">
        <f t="shared" si="13"/>
        <v>0</v>
      </c>
      <c r="AK9" s="8">
        <f t="shared" si="14"/>
        <v>20319.999999999996</v>
      </c>
      <c r="AL9" s="8">
        <f t="shared" si="15"/>
        <v>544304.29</v>
      </c>
      <c r="AM9" s="8">
        <f t="shared" si="16"/>
        <v>2356138.29</v>
      </c>
      <c r="AN9" s="9">
        <f t="shared" si="17"/>
        <v>1413683</v>
      </c>
      <c r="AO9" s="228"/>
      <c r="AP9" s="228">
        <f t="shared" si="18"/>
        <v>1413683</v>
      </c>
    </row>
    <row r="10" spans="1:42" ht="15" customHeight="1">
      <c r="A10" s="5" t="s">
        <v>24</v>
      </c>
      <c r="B10" s="6" t="s">
        <v>31</v>
      </c>
      <c r="C10" s="6" t="s">
        <v>23</v>
      </c>
      <c r="D10" s="7"/>
      <c r="E10" s="11">
        <v>0</v>
      </c>
      <c r="F10" s="11">
        <v>4</v>
      </c>
      <c r="G10" s="11">
        <v>0</v>
      </c>
      <c r="H10" s="11">
        <v>5</v>
      </c>
      <c r="I10" s="8">
        <f t="shared" si="0"/>
        <v>9</v>
      </c>
      <c r="J10" s="7">
        <v>1</v>
      </c>
      <c r="K10" s="7">
        <v>0</v>
      </c>
      <c r="L10" s="7">
        <v>0</v>
      </c>
      <c r="M10" s="7">
        <v>1</v>
      </c>
      <c r="N10" s="8">
        <f t="shared" si="1"/>
        <v>2</v>
      </c>
      <c r="O10" s="8">
        <f t="shared" si="2"/>
        <v>1</v>
      </c>
      <c r="P10" s="8">
        <f t="shared" si="3"/>
        <v>4</v>
      </c>
      <c r="Q10" s="8">
        <f t="shared" si="3"/>
        <v>0</v>
      </c>
      <c r="R10" s="8">
        <f t="shared" si="3"/>
        <v>6</v>
      </c>
      <c r="S10" s="8">
        <f t="shared" si="4"/>
        <v>11</v>
      </c>
      <c r="T10" s="7">
        <v>3.25</v>
      </c>
      <c r="U10" s="7">
        <v>1.9166666666666667</v>
      </c>
      <c r="V10" s="7">
        <v>0</v>
      </c>
      <c r="W10" s="7">
        <v>4.083333333333333</v>
      </c>
      <c r="X10" s="8">
        <f t="shared" si="5"/>
        <v>9.25</v>
      </c>
      <c r="Y10" s="7">
        <v>3.25</v>
      </c>
      <c r="Z10" s="7">
        <v>1.9166666666666667</v>
      </c>
      <c r="AA10" s="7">
        <v>0</v>
      </c>
      <c r="AB10" s="7">
        <v>4.083333333333333</v>
      </c>
      <c r="AC10" s="8">
        <f t="shared" si="6"/>
        <v>9.25</v>
      </c>
      <c r="AD10" s="8">
        <f t="shared" si="7"/>
        <v>563663</v>
      </c>
      <c r="AE10" s="8">
        <f t="shared" si="8"/>
        <v>39960</v>
      </c>
      <c r="AF10" s="8">
        <f t="shared" si="9"/>
        <v>55500</v>
      </c>
      <c r="AG10" s="8">
        <f t="shared" si="10"/>
        <v>22200</v>
      </c>
      <c r="AH10" s="8">
        <f t="shared" si="11"/>
        <v>81400</v>
      </c>
      <c r="AI10" s="8">
        <f t="shared" si="12"/>
        <v>7400</v>
      </c>
      <c r="AJ10" s="8">
        <f t="shared" si="13"/>
        <v>0</v>
      </c>
      <c r="AK10" s="8">
        <f t="shared" si="14"/>
        <v>8880</v>
      </c>
      <c r="AL10" s="8">
        <f t="shared" si="15"/>
        <v>233294.67</v>
      </c>
      <c r="AM10" s="8">
        <f t="shared" si="16"/>
        <v>1012297.67</v>
      </c>
      <c r="AN10" s="9">
        <f t="shared" si="17"/>
        <v>607379</v>
      </c>
      <c r="AO10" s="228"/>
      <c r="AP10" s="228">
        <f t="shared" si="18"/>
        <v>607379</v>
      </c>
    </row>
    <row r="11" spans="1:42" ht="15" customHeight="1">
      <c r="A11" s="5" t="s">
        <v>24</v>
      </c>
      <c r="B11" s="6" t="s">
        <v>32</v>
      </c>
      <c r="C11" s="6" t="s">
        <v>23</v>
      </c>
      <c r="D11" s="7"/>
      <c r="E11" s="11">
        <v>8</v>
      </c>
      <c r="F11" s="11">
        <v>6</v>
      </c>
      <c r="G11" s="11">
        <v>0</v>
      </c>
      <c r="H11" s="11">
        <v>8</v>
      </c>
      <c r="I11" s="8">
        <f t="shared" si="0"/>
        <v>22</v>
      </c>
      <c r="J11" s="7">
        <v>0.5</v>
      </c>
      <c r="K11" s="7">
        <v>0.5</v>
      </c>
      <c r="L11" s="7">
        <v>0</v>
      </c>
      <c r="M11" s="7">
        <v>0</v>
      </c>
      <c r="N11" s="8">
        <f t="shared" si="1"/>
        <v>1</v>
      </c>
      <c r="O11" s="8">
        <f t="shared" si="2"/>
        <v>8.5</v>
      </c>
      <c r="P11" s="8">
        <f t="shared" si="3"/>
        <v>6.5</v>
      </c>
      <c r="Q11" s="8">
        <f t="shared" si="3"/>
        <v>0</v>
      </c>
      <c r="R11" s="8">
        <f t="shared" si="3"/>
        <v>8</v>
      </c>
      <c r="S11" s="8">
        <f t="shared" si="4"/>
        <v>23</v>
      </c>
      <c r="T11" s="7">
        <v>5.583333333333333</v>
      </c>
      <c r="U11" s="7">
        <v>8</v>
      </c>
      <c r="V11" s="7">
        <v>0</v>
      </c>
      <c r="W11" s="7">
        <v>9.5</v>
      </c>
      <c r="X11" s="8">
        <f t="shared" si="5"/>
        <v>23.083333333333332</v>
      </c>
      <c r="Y11" s="7">
        <v>8.5</v>
      </c>
      <c r="Z11" s="7">
        <v>6.5</v>
      </c>
      <c r="AA11" s="7">
        <v>0</v>
      </c>
      <c r="AB11" s="7">
        <v>8</v>
      </c>
      <c r="AC11" s="8">
        <f t="shared" si="6"/>
        <v>23</v>
      </c>
      <c r="AD11" s="8">
        <f t="shared" si="7"/>
        <v>1431234</v>
      </c>
      <c r="AE11" s="8">
        <f t="shared" si="8"/>
        <v>99360</v>
      </c>
      <c r="AF11" s="8">
        <f t="shared" si="9"/>
        <v>138000</v>
      </c>
      <c r="AG11" s="8">
        <f t="shared" si="10"/>
        <v>55200</v>
      </c>
      <c r="AH11" s="8">
        <f t="shared" si="11"/>
        <v>202400</v>
      </c>
      <c r="AI11" s="8">
        <f t="shared" si="12"/>
        <v>18400</v>
      </c>
      <c r="AJ11" s="8">
        <f t="shared" si="13"/>
        <v>0</v>
      </c>
      <c r="AK11" s="8">
        <f t="shared" si="14"/>
        <v>22080</v>
      </c>
      <c r="AL11" s="8">
        <f t="shared" si="15"/>
        <v>590701.28</v>
      </c>
      <c r="AM11" s="8">
        <f t="shared" si="16"/>
        <v>2557375.2800000003</v>
      </c>
      <c r="AN11" s="9">
        <f t="shared" si="17"/>
        <v>1534425</v>
      </c>
      <c r="AO11" s="228"/>
      <c r="AP11" s="228">
        <f t="shared" si="18"/>
        <v>1534425</v>
      </c>
    </row>
    <row r="12" spans="1:42" ht="15" customHeight="1">
      <c r="A12" s="5" t="s">
        <v>24</v>
      </c>
      <c r="B12" s="6" t="s">
        <v>33</v>
      </c>
      <c r="C12" s="6" t="s">
        <v>23</v>
      </c>
      <c r="D12" s="7"/>
      <c r="E12" s="11">
        <v>10</v>
      </c>
      <c r="F12" s="11">
        <v>15</v>
      </c>
      <c r="G12" s="11">
        <v>0</v>
      </c>
      <c r="H12" s="11">
        <v>18</v>
      </c>
      <c r="I12" s="8">
        <f t="shared" si="0"/>
        <v>43</v>
      </c>
      <c r="J12" s="7">
        <v>0.66666666666666663</v>
      </c>
      <c r="K12" s="7">
        <v>0</v>
      </c>
      <c r="L12" s="7">
        <v>0</v>
      </c>
      <c r="M12" s="7">
        <v>0</v>
      </c>
      <c r="N12" s="8">
        <f t="shared" si="1"/>
        <v>0.66666666666666663</v>
      </c>
      <c r="O12" s="8">
        <f t="shared" si="2"/>
        <v>10.666666666666666</v>
      </c>
      <c r="P12" s="8">
        <f t="shared" si="3"/>
        <v>15</v>
      </c>
      <c r="Q12" s="8">
        <f t="shared" si="3"/>
        <v>0</v>
      </c>
      <c r="R12" s="8">
        <f t="shared" si="3"/>
        <v>18</v>
      </c>
      <c r="S12" s="8">
        <f t="shared" si="4"/>
        <v>43.666666666666664</v>
      </c>
      <c r="T12" s="7">
        <v>9.9166666666666661</v>
      </c>
      <c r="U12" s="7">
        <v>11.333333333333334</v>
      </c>
      <c r="V12" s="7">
        <v>0</v>
      </c>
      <c r="W12" s="7">
        <v>22.333333333333332</v>
      </c>
      <c r="X12" s="8">
        <f t="shared" si="5"/>
        <v>43.583333333333329</v>
      </c>
      <c r="Y12" s="7">
        <v>9.9166666666666661</v>
      </c>
      <c r="Z12" s="7">
        <v>11.333333333333334</v>
      </c>
      <c r="AA12" s="7">
        <v>0</v>
      </c>
      <c r="AB12" s="7">
        <v>22.333333333333332</v>
      </c>
      <c r="AC12" s="8">
        <f t="shared" si="6"/>
        <v>43.583333333333329</v>
      </c>
      <c r="AD12" s="8">
        <f t="shared" si="7"/>
        <v>2569023</v>
      </c>
      <c r="AE12" s="8">
        <f t="shared" si="8"/>
        <v>188279.99999999997</v>
      </c>
      <c r="AF12" s="8">
        <f t="shared" si="9"/>
        <v>261499.99999999997</v>
      </c>
      <c r="AG12" s="8">
        <f t="shared" si="10"/>
        <v>104599.99999999999</v>
      </c>
      <c r="AH12" s="8">
        <f t="shared" si="11"/>
        <v>383533.33333333331</v>
      </c>
      <c r="AI12" s="8">
        <f t="shared" si="12"/>
        <v>34866.666666666664</v>
      </c>
      <c r="AJ12" s="8">
        <f t="shared" si="13"/>
        <v>0</v>
      </c>
      <c r="AK12" s="8">
        <f t="shared" si="14"/>
        <v>41839.999999999993</v>
      </c>
      <c r="AL12" s="8">
        <f t="shared" si="15"/>
        <v>1068182.97</v>
      </c>
      <c r="AM12" s="8">
        <f t="shared" si="16"/>
        <v>4651825.97</v>
      </c>
      <c r="AN12" s="9">
        <f t="shared" si="17"/>
        <v>2791096</v>
      </c>
      <c r="AO12" s="228"/>
      <c r="AP12" s="228">
        <f t="shared" si="18"/>
        <v>2791096</v>
      </c>
    </row>
    <row r="13" spans="1:42" ht="15" customHeight="1">
      <c r="A13" s="5" t="s">
        <v>24</v>
      </c>
      <c r="B13" s="6" t="s">
        <v>34</v>
      </c>
      <c r="C13" s="6" t="s">
        <v>23</v>
      </c>
      <c r="D13" s="7"/>
      <c r="E13" s="11">
        <v>0</v>
      </c>
      <c r="F13" s="11">
        <v>4</v>
      </c>
      <c r="G13" s="11">
        <v>0</v>
      </c>
      <c r="H13" s="11">
        <v>5</v>
      </c>
      <c r="I13" s="8">
        <f t="shared" si="0"/>
        <v>9</v>
      </c>
      <c r="J13" s="7">
        <v>0</v>
      </c>
      <c r="K13" s="7">
        <v>1.5</v>
      </c>
      <c r="L13" s="7">
        <v>0</v>
      </c>
      <c r="M13" s="7">
        <v>0</v>
      </c>
      <c r="N13" s="8">
        <f t="shared" si="1"/>
        <v>1.5</v>
      </c>
      <c r="O13" s="8">
        <f t="shared" si="2"/>
        <v>0</v>
      </c>
      <c r="P13" s="8">
        <f t="shared" si="3"/>
        <v>5.5</v>
      </c>
      <c r="Q13" s="8">
        <f t="shared" si="3"/>
        <v>0</v>
      </c>
      <c r="R13" s="8">
        <f t="shared" si="3"/>
        <v>5</v>
      </c>
      <c r="S13" s="8">
        <f t="shared" si="4"/>
        <v>10.5</v>
      </c>
      <c r="T13" s="7">
        <v>0</v>
      </c>
      <c r="U13" s="7">
        <v>2</v>
      </c>
      <c r="V13" s="7">
        <v>0</v>
      </c>
      <c r="W13" s="7">
        <v>5.416666666666667</v>
      </c>
      <c r="X13" s="8">
        <f t="shared" si="5"/>
        <v>7.416666666666667</v>
      </c>
      <c r="Y13" s="7">
        <v>0</v>
      </c>
      <c r="Z13" s="7">
        <v>2</v>
      </c>
      <c r="AA13" s="7">
        <v>0</v>
      </c>
      <c r="AB13" s="7">
        <v>5.416666666666667</v>
      </c>
      <c r="AC13" s="8">
        <f t="shared" si="6"/>
        <v>7.416666666666667</v>
      </c>
      <c r="AD13" s="8">
        <f t="shared" si="7"/>
        <v>402250</v>
      </c>
      <c r="AE13" s="8">
        <f t="shared" si="8"/>
        <v>32040</v>
      </c>
      <c r="AF13" s="8">
        <f t="shared" si="9"/>
        <v>44500</v>
      </c>
      <c r="AG13" s="8">
        <f t="shared" si="10"/>
        <v>17800</v>
      </c>
      <c r="AH13" s="8">
        <f t="shared" si="11"/>
        <v>65266.666666666672</v>
      </c>
      <c r="AI13" s="8">
        <f t="shared" si="12"/>
        <v>5933.3333333333339</v>
      </c>
      <c r="AJ13" s="8">
        <f t="shared" si="13"/>
        <v>0</v>
      </c>
      <c r="AK13" s="8">
        <f t="shared" si="14"/>
        <v>7120</v>
      </c>
      <c r="AL13" s="8">
        <f t="shared" si="15"/>
        <v>169286.78</v>
      </c>
      <c r="AM13" s="8">
        <f t="shared" si="16"/>
        <v>744196.78</v>
      </c>
      <c r="AN13" s="9">
        <f t="shared" si="17"/>
        <v>446518</v>
      </c>
      <c r="AO13" s="228"/>
      <c r="AP13" s="228">
        <f t="shared" si="18"/>
        <v>446518</v>
      </c>
    </row>
    <row r="14" spans="1:42" ht="15" customHeight="1">
      <c r="A14" s="5" t="s">
        <v>24</v>
      </c>
      <c r="B14" s="6" t="s">
        <v>35</v>
      </c>
      <c r="C14" s="6" t="s">
        <v>23</v>
      </c>
      <c r="D14" s="7"/>
      <c r="E14" s="11">
        <v>0</v>
      </c>
      <c r="F14" s="11">
        <v>5</v>
      </c>
      <c r="G14" s="11">
        <v>0</v>
      </c>
      <c r="H14" s="11">
        <v>5</v>
      </c>
      <c r="I14" s="8">
        <f t="shared" si="0"/>
        <v>10</v>
      </c>
      <c r="J14" s="7">
        <v>2</v>
      </c>
      <c r="K14" s="7">
        <v>0</v>
      </c>
      <c r="L14" s="7">
        <v>0</v>
      </c>
      <c r="M14" s="7">
        <v>0</v>
      </c>
      <c r="N14" s="8">
        <f t="shared" si="1"/>
        <v>2</v>
      </c>
      <c r="O14" s="8">
        <f t="shared" si="2"/>
        <v>2</v>
      </c>
      <c r="P14" s="8">
        <f t="shared" si="3"/>
        <v>5</v>
      </c>
      <c r="Q14" s="8">
        <f t="shared" si="3"/>
        <v>0</v>
      </c>
      <c r="R14" s="8">
        <f t="shared" si="3"/>
        <v>5</v>
      </c>
      <c r="S14" s="8">
        <f t="shared" si="4"/>
        <v>12</v>
      </c>
      <c r="T14" s="7">
        <v>1.5833333333333333</v>
      </c>
      <c r="U14" s="7">
        <v>2.25</v>
      </c>
      <c r="V14" s="7">
        <v>1.5</v>
      </c>
      <c r="W14" s="7">
        <v>6.5</v>
      </c>
      <c r="X14" s="8">
        <f t="shared" si="5"/>
        <v>11.833333333333332</v>
      </c>
      <c r="Y14" s="7">
        <v>1.5833333333333333</v>
      </c>
      <c r="Z14" s="7">
        <v>2.25</v>
      </c>
      <c r="AA14" s="7">
        <v>1.5</v>
      </c>
      <c r="AB14" s="7">
        <v>6.5</v>
      </c>
      <c r="AC14" s="8">
        <f t="shared" si="6"/>
        <v>11.833333333333332</v>
      </c>
      <c r="AD14" s="8">
        <f t="shared" si="7"/>
        <v>681065</v>
      </c>
      <c r="AE14" s="8">
        <f t="shared" si="8"/>
        <v>51119.999999999993</v>
      </c>
      <c r="AF14" s="8">
        <f t="shared" si="9"/>
        <v>71000</v>
      </c>
      <c r="AG14" s="8">
        <f t="shared" si="10"/>
        <v>28399.999999999996</v>
      </c>
      <c r="AH14" s="8">
        <f t="shared" si="11"/>
        <v>104133.33333333333</v>
      </c>
      <c r="AI14" s="8">
        <f t="shared" si="12"/>
        <v>9466.6666666666661</v>
      </c>
      <c r="AJ14" s="8">
        <f t="shared" si="13"/>
        <v>0</v>
      </c>
      <c r="AK14" s="8">
        <f t="shared" si="14"/>
        <v>11359.999999999998</v>
      </c>
      <c r="AL14" s="8">
        <f t="shared" si="15"/>
        <v>284140.42</v>
      </c>
      <c r="AM14" s="8">
        <f t="shared" si="16"/>
        <v>1240685.42</v>
      </c>
      <c r="AN14" s="9">
        <f t="shared" si="17"/>
        <v>744411</v>
      </c>
      <c r="AO14" s="228"/>
      <c r="AP14" s="228">
        <f t="shared" si="18"/>
        <v>744411</v>
      </c>
    </row>
    <row r="15" spans="1:42" ht="15" customHeight="1">
      <c r="A15" s="5" t="s">
        <v>24</v>
      </c>
      <c r="B15" s="6" t="s">
        <v>36</v>
      </c>
      <c r="C15" s="6" t="s">
        <v>23</v>
      </c>
      <c r="D15" s="7"/>
      <c r="E15" s="11">
        <v>0</v>
      </c>
      <c r="F15" s="11">
        <v>5</v>
      </c>
      <c r="G15" s="11">
        <v>0</v>
      </c>
      <c r="H15" s="11">
        <v>6</v>
      </c>
      <c r="I15" s="8">
        <f t="shared" si="0"/>
        <v>11</v>
      </c>
      <c r="J15" s="7">
        <v>3</v>
      </c>
      <c r="K15" s="7">
        <v>1</v>
      </c>
      <c r="L15" s="7">
        <v>0</v>
      </c>
      <c r="M15" s="7">
        <v>1.9166666666666667</v>
      </c>
      <c r="N15" s="8">
        <f t="shared" si="1"/>
        <v>5.916666666666667</v>
      </c>
      <c r="O15" s="8">
        <f t="shared" si="2"/>
        <v>3</v>
      </c>
      <c r="P15" s="8">
        <f t="shared" si="3"/>
        <v>6</v>
      </c>
      <c r="Q15" s="8">
        <f t="shared" si="3"/>
        <v>0</v>
      </c>
      <c r="R15" s="8">
        <f t="shared" si="3"/>
        <v>7.916666666666667</v>
      </c>
      <c r="S15" s="8">
        <f t="shared" si="4"/>
        <v>16.916666666666668</v>
      </c>
      <c r="T15" s="7">
        <v>1.3333333333333333</v>
      </c>
      <c r="U15" s="7">
        <v>7.583333333333333</v>
      </c>
      <c r="V15" s="7">
        <v>0</v>
      </c>
      <c r="W15" s="7">
        <v>8.4166666666666661</v>
      </c>
      <c r="X15" s="8">
        <f t="shared" si="5"/>
        <v>17.333333333333332</v>
      </c>
      <c r="Y15" s="7">
        <v>3</v>
      </c>
      <c r="Z15" s="7">
        <v>6</v>
      </c>
      <c r="AA15" s="7">
        <v>0</v>
      </c>
      <c r="AB15" s="7">
        <v>7.916666666666667</v>
      </c>
      <c r="AC15" s="8">
        <f t="shared" si="6"/>
        <v>16.916666666666668</v>
      </c>
      <c r="AD15" s="8">
        <f t="shared" si="7"/>
        <v>998362.00000000012</v>
      </c>
      <c r="AE15" s="8">
        <f t="shared" si="8"/>
        <v>73080</v>
      </c>
      <c r="AF15" s="8">
        <f t="shared" si="9"/>
        <v>101500</v>
      </c>
      <c r="AG15" s="8">
        <f t="shared" si="10"/>
        <v>40600</v>
      </c>
      <c r="AH15" s="8">
        <f t="shared" si="11"/>
        <v>148866.66666666669</v>
      </c>
      <c r="AI15" s="8">
        <f t="shared" si="12"/>
        <v>13533.333333333334</v>
      </c>
      <c r="AJ15" s="8">
        <f t="shared" si="13"/>
        <v>0</v>
      </c>
      <c r="AK15" s="8">
        <f t="shared" si="14"/>
        <v>16240.000000000002</v>
      </c>
      <c r="AL15" s="8">
        <f t="shared" si="15"/>
        <v>415042.06</v>
      </c>
      <c r="AM15" s="8">
        <f t="shared" si="16"/>
        <v>1807224.06</v>
      </c>
      <c r="AN15" s="9">
        <f t="shared" si="17"/>
        <v>1084334</v>
      </c>
      <c r="AO15" s="228"/>
      <c r="AP15" s="228">
        <f t="shared" si="18"/>
        <v>1084334</v>
      </c>
    </row>
    <row r="16" spans="1:42" ht="15" customHeight="1">
      <c r="A16" s="5" t="s">
        <v>24</v>
      </c>
      <c r="B16" s="6" t="s">
        <v>37</v>
      </c>
      <c r="C16" s="6" t="s">
        <v>23</v>
      </c>
      <c r="D16" s="7"/>
      <c r="E16" s="11">
        <v>0</v>
      </c>
      <c r="F16" s="11">
        <v>10</v>
      </c>
      <c r="G16" s="11">
        <v>0</v>
      </c>
      <c r="H16" s="11">
        <v>11</v>
      </c>
      <c r="I16" s="8">
        <f t="shared" si="0"/>
        <v>21</v>
      </c>
      <c r="J16" s="7">
        <v>20.333333333333332</v>
      </c>
      <c r="K16" s="7">
        <v>4.583333333333333</v>
      </c>
      <c r="L16" s="7">
        <v>0</v>
      </c>
      <c r="M16" s="7">
        <v>0</v>
      </c>
      <c r="N16" s="8">
        <f t="shared" si="1"/>
        <v>24.916666666666664</v>
      </c>
      <c r="O16" s="8">
        <f t="shared" si="2"/>
        <v>20.333333333333332</v>
      </c>
      <c r="P16" s="8">
        <f t="shared" si="3"/>
        <v>14.583333333333332</v>
      </c>
      <c r="Q16" s="8">
        <f t="shared" si="3"/>
        <v>0</v>
      </c>
      <c r="R16" s="8">
        <f t="shared" si="3"/>
        <v>11</v>
      </c>
      <c r="S16" s="8">
        <f t="shared" si="4"/>
        <v>45.916666666666664</v>
      </c>
      <c r="T16" s="7">
        <v>12.083333333333334</v>
      </c>
      <c r="U16" s="7">
        <v>10.166666666666666</v>
      </c>
      <c r="V16" s="7">
        <v>8.3333333333333329E-2</v>
      </c>
      <c r="W16" s="7">
        <v>12.25</v>
      </c>
      <c r="X16" s="8">
        <f t="shared" si="5"/>
        <v>34.583333333333329</v>
      </c>
      <c r="Y16" s="7">
        <v>12.083333333333334</v>
      </c>
      <c r="Z16" s="7">
        <v>10.166666666666666</v>
      </c>
      <c r="AA16" s="7">
        <v>8.3333333333333329E-2</v>
      </c>
      <c r="AB16" s="7">
        <v>12.25</v>
      </c>
      <c r="AC16" s="8">
        <f t="shared" si="6"/>
        <v>34.583333333333329</v>
      </c>
      <c r="AD16" s="8">
        <f t="shared" si="7"/>
        <v>2142909</v>
      </c>
      <c r="AE16" s="8">
        <f t="shared" si="8"/>
        <v>149399.99999999997</v>
      </c>
      <c r="AF16" s="8">
        <f t="shared" si="9"/>
        <v>207499.99999999997</v>
      </c>
      <c r="AG16" s="8">
        <f t="shared" si="10"/>
        <v>82999.999999999985</v>
      </c>
      <c r="AH16" s="8">
        <f t="shared" si="11"/>
        <v>304333.33333333331</v>
      </c>
      <c r="AI16" s="8">
        <f t="shared" si="12"/>
        <v>27666.666666666664</v>
      </c>
      <c r="AJ16" s="8">
        <f t="shared" si="13"/>
        <v>0</v>
      </c>
      <c r="AK16" s="8">
        <f t="shared" si="14"/>
        <v>33199.999999999993</v>
      </c>
      <c r="AL16" s="8">
        <f t="shared" si="15"/>
        <v>884928.46</v>
      </c>
      <c r="AM16" s="8">
        <f t="shared" si="16"/>
        <v>3832937.46</v>
      </c>
      <c r="AN16" s="9">
        <f t="shared" si="17"/>
        <v>2299762</v>
      </c>
      <c r="AO16" s="228"/>
      <c r="AP16" s="228">
        <f t="shared" si="18"/>
        <v>2299762</v>
      </c>
    </row>
    <row r="17" spans="1:42" ht="15" customHeight="1">
      <c r="A17" s="5" t="s">
        <v>24</v>
      </c>
      <c r="B17" s="6" t="s">
        <v>38</v>
      </c>
      <c r="C17" s="6" t="s">
        <v>22</v>
      </c>
      <c r="D17" s="7"/>
      <c r="E17" s="11">
        <v>0</v>
      </c>
      <c r="F17" s="11">
        <v>4</v>
      </c>
      <c r="G17" s="11">
        <v>0</v>
      </c>
      <c r="H17" s="11">
        <v>5</v>
      </c>
      <c r="I17" s="8">
        <f t="shared" si="0"/>
        <v>9</v>
      </c>
      <c r="J17" s="7">
        <v>2</v>
      </c>
      <c r="K17" s="7">
        <v>1</v>
      </c>
      <c r="L17" s="7">
        <v>0</v>
      </c>
      <c r="M17" s="7">
        <v>1</v>
      </c>
      <c r="N17" s="8">
        <f t="shared" si="1"/>
        <v>4</v>
      </c>
      <c r="O17" s="8">
        <f t="shared" si="2"/>
        <v>2</v>
      </c>
      <c r="P17" s="8">
        <f t="shared" si="3"/>
        <v>5</v>
      </c>
      <c r="Q17" s="8">
        <f t="shared" si="3"/>
        <v>0</v>
      </c>
      <c r="R17" s="8">
        <f t="shared" si="3"/>
        <v>6</v>
      </c>
      <c r="S17" s="8">
        <f t="shared" si="4"/>
        <v>13</v>
      </c>
      <c r="T17" s="7">
        <v>2.5833333333333335</v>
      </c>
      <c r="U17" s="7">
        <v>3</v>
      </c>
      <c r="V17" s="7">
        <v>0</v>
      </c>
      <c r="W17" s="7">
        <v>7</v>
      </c>
      <c r="X17" s="8">
        <f t="shared" si="5"/>
        <v>12.583333333333334</v>
      </c>
      <c r="Y17" s="7">
        <v>2.5833333333333335</v>
      </c>
      <c r="Z17" s="7">
        <v>3</v>
      </c>
      <c r="AA17" s="7">
        <v>0</v>
      </c>
      <c r="AB17" s="7">
        <v>7</v>
      </c>
      <c r="AC17" s="8">
        <f t="shared" si="6"/>
        <v>12.583333333333334</v>
      </c>
      <c r="AD17" s="8">
        <f t="shared" si="7"/>
        <v>732527</v>
      </c>
      <c r="AE17" s="8">
        <f t="shared" si="8"/>
        <v>54360</v>
      </c>
      <c r="AF17" s="8">
        <f t="shared" si="9"/>
        <v>75500</v>
      </c>
      <c r="AG17" s="8">
        <f t="shared" si="10"/>
        <v>30200</v>
      </c>
      <c r="AH17" s="8">
        <f t="shared" si="11"/>
        <v>110733.33333333334</v>
      </c>
      <c r="AI17" s="8">
        <f t="shared" si="12"/>
        <v>10066.666666666668</v>
      </c>
      <c r="AJ17" s="8">
        <f t="shared" si="13"/>
        <v>0</v>
      </c>
      <c r="AK17" s="8">
        <f t="shared" si="14"/>
        <v>12080</v>
      </c>
      <c r="AL17" s="8">
        <f t="shared" si="15"/>
        <v>305115.59999999998</v>
      </c>
      <c r="AM17" s="8">
        <f t="shared" si="16"/>
        <v>1330582.6000000001</v>
      </c>
      <c r="AN17" s="9">
        <f t="shared" si="17"/>
        <v>798350</v>
      </c>
      <c r="AO17" s="228"/>
      <c r="AP17" s="228">
        <f t="shared" si="18"/>
        <v>798350</v>
      </c>
    </row>
    <row r="18" spans="1:42" ht="15" customHeight="1">
      <c r="A18" s="5" t="s">
        <v>24</v>
      </c>
      <c r="B18" s="6" t="s">
        <v>39</v>
      </c>
      <c r="C18" s="6" t="s">
        <v>22</v>
      </c>
      <c r="D18" s="7">
        <v>1</v>
      </c>
      <c r="E18" s="11">
        <v>2</v>
      </c>
      <c r="F18" s="11">
        <v>2</v>
      </c>
      <c r="G18" s="11">
        <v>16</v>
      </c>
      <c r="H18" s="11">
        <v>3</v>
      </c>
      <c r="I18" s="8">
        <f t="shared" si="0"/>
        <v>23</v>
      </c>
      <c r="J18" s="7">
        <v>1</v>
      </c>
      <c r="K18" s="7">
        <v>0.66666666666666663</v>
      </c>
      <c r="L18" s="7">
        <v>1.3333333333333333</v>
      </c>
      <c r="M18" s="7">
        <v>0</v>
      </c>
      <c r="N18" s="8">
        <f t="shared" si="1"/>
        <v>3</v>
      </c>
      <c r="O18" s="8">
        <f t="shared" si="2"/>
        <v>3</v>
      </c>
      <c r="P18" s="8">
        <f t="shared" si="3"/>
        <v>2.6666666666666665</v>
      </c>
      <c r="Q18" s="8">
        <f t="shared" si="3"/>
        <v>17.333333333333332</v>
      </c>
      <c r="R18" s="8">
        <f t="shared" si="3"/>
        <v>3</v>
      </c>
      <c r="S18" s="8">
        <f t="shared" si="4"/>
        <v>26</v>
      </c>
      <c r="T18" s="7">
        <v>5.25</v>
      </c>
      <c r="U18" s="7">
        <v>2.3333333333333335</v>
      </c>
      <c r="V18" s="7">
        <v>11.5</v>
      </c>
      <c r="W18" s="7">
        <v>0.83333333333333337</v>
      </c>
      <c r="X18" s="8">
        <f t="shared" si="5"/>
        <v>19.916666666666668</v>
      </c>
      <c r="Y18" s="7">
        <v>5.25</v>
      </c>
      <c r="Z18" s="7">
        <v>2.3333333333333335</v>
      </c>
      <c r="AA18" s="7">
        <v>11.5</v>
      </c>
      <c r="AB18" s="7">
        <v>0.83333333333333337</v>
      </c>
      <c r="AC18" s="8">
        <f t="shared" si="6"/>
        <v>19.916666666666668</v>
      </c>
      <c r="AD18" s="8">
        <f t="shared" si="7"/>
        <v>1285343</v>
      </c>
      <c r="AE18" s="8">
        <f t="shared" si="8"/>
        <v>86040</v>
      </c>
      <c r="AF18" s="8">
        <f t="shared" si="9"/>
        <v>119500</v>
      </c>
      <c r="AG18" s="8">
        <f t="shared" si="10"/>
        <v>47800</v>
      </c>
      <c r="AH18" s="8">
        <f t="shared" si="11"/>
        <v>175266.66666666669</v>
      </c>
      <c r="AI18" s="8">
        <f t="shared" si="12"/>
        <v>15933.333333333334</v>
      </c>
      <c r="AJ18" s="8">
        <f t="shared" si="13"/>
        <v>10000</v>
      </c>
      <c r="AK18" s="8">
        <f t="shared" si="14"/>
        <v>19120</v>
      </c>
      <c r="AL18" s="8">
        <f t="shared" si="15"/>
        <v>531528.31999999995</v>
      </c>
      <c r="AM18" s="8">
        <f t="shared" si="16"/>
        <v>2290531.3199999998</v>
      </c>
      <c r="AN18" s="9">
        <f t="shared" si="17"/>
        <v>1374319</v>
      </c>
      <c r="AO18" s="228"/>
      <c r="AP18" s="228">
        <f t="shared" si="18"/>
        <v>1374319</v>
      </c>
    </row>
    <row r="19" spans="1:42" ht="15" customHeight="1">
      <c r="A19" s="5" t="s">
        <v>24</v>
      </c>
      <c r="B19" s="6" t="s">
        <v>40</v>
      </c>
      <c r="C19" s="6" t="s">
        <v>22</v>
      </c>
      <c r="D19" s="7">
        <v>1</v>
      </c>
      <c r="E19" s="11">
        <v>5</v>
      </c>
      <c r="F19" s="11">
        <v>3</v>
      </c>
      <c r="G19" s="11">
        <v>37</v>
      </c>
      <c r="H19" s="11">
        <v>4</v>
      </c>
      <c r="I19" s="8">
        <f t="shared" si="0"/>
        <v>49</v>
      </c>
      <c r="J19" s="7">
        <v>0</v>
      </c>
      <c r="K19" s="7">
        <v>0</v>
      </c>
      <c r="L19" s="7">
        <v>0</v>
      </c>
      <c r="M19" s="7">
        <v>0</v>
      </c>
      <c r="N19" s="8">
        <f t="shared" si="1"/>
        <v>0</v>
      </c>
      <c r="O19" s="8">
        <f t="shared" si="2"/>
        <v>5</v>
      </c>
      <c r="P19" s="8">
        <f t="shared" ref="P19:R22" si="19">F19+K19</f>
        <v>3</v>
      </c>
      <c r="Q19" s="8">
        <f t="shared" si="19"/>
        <v>37</v>
      </c>
      <c r="R19" s="8">
        <f t="shared" si="19"/>
        <v>4</v>
      </c>
      <c r="S19" s="8">
        <f t="shared" si="4"/>
        <v>49</v>
      </c>
      <c r="T19" s="7">
        <v>0</v>
      </c>
      <c r="U19" s="7">
        <v>2</v>
      </c>
      <c r="V19" s="7">
        <v>40.333333333333336</v>
      </c>
      <c r="W19" s="7">
        <v>2</v>
      </c>
      <c r="X19" s="8">
        <f t="shared" si="5"/>
        <v>44.333333333333336</v>
      </c>
      <c r="Y19" s="7">
        <v>0</v>
      </c>
      <c r="Z19" s="7">
        <v>2</v>
      </c>
      <c r="AA19" s="7">
        <v>40.333333333333336</v>
      </c>
      <c r="AB19" s="7">
        <v>2</v>
      </c>
      <c r="AC19" s="8">
        <f t="shared" si="6"/>
        <v>44.333333333333336</v>
      </c>
      <c r="AD19" s="8">
        <f t="shared" si="7"/>
        <v>2741896</v>
      </c>
      <c r="AE19" s="8">
        <f t="shared" si="8"/>
        <v>191520</v>
      </c>
      <c r="AF19" s="8">
        <f t="shared" si="9"/>
        <v>266000</v>
      </c>
      <c r="AG19" s="8">
        <f t="shared" si="10"/>
        <v>106400</v>
      </c>
      <c r="AH19" s="8">
        <f t="shared" si="11"/>
        <v>390133.33333333337</v>
      </c>
      <c r="AI19" s="8">
        <f t="shared" si="12"/>
        <v>35466.666666666672</v>
      </c>
      <c r="AJ19" s="8">
        <f t="shared" si="13"/>
        <v>10000</v>
      </c>
      <c r="AK19" s="8">
        <f t="shared" si="14"/>
        <v>42560</v>
      </c>
      <c r="AL19" s="8">
        <f t="shared" si="15"/>
        <v>1136145.47</v>
      </c>
      <c r="AM19" s="8">
        <f t="shared" si="16"/>
        <v>4920121.47</v>
      </c>
      <c r="AN19" s="9">
        <f t="shared" si="17"/>
        <v>2952073</v>
      </c>
      <c r="AO19" s="228"/>
      <c r="AP19" s="228">
        <f t="shared" si="18"/>
        <v>2952073</v>
      </c>
    </row>
    <row r="20" spans="1:42" s="12" customFormat="1" ht="15" customHeight="1">
      <c r="A20" s="5" t="s">
        <v>24</v>
      </c>
      <c r="B20" s="6" t="s">
        <v>41</v>
      </c>
      <c r="C20" s="6" t="s">
        <v>22</v>
      </c>
      <c r="D20" s="7">
        <v>1</v>
      </c>
      <c r="E20" s="11">
        <v>1</v>
      </c>
      <c r="F20" s="11">
        <v>1</v>
      </c>
      <c r="G20" s="11">
        <v>4</v>
      </c>
      <c r="H20" s="11">
        <v>1</v>
      </c>
      <c r="I20" s="8">
        <f t="shared" si="0"/>
        <v>7</v>
      </c>
      <c r="J20" s="7">
        <v>0</v>
      </c>
      <c r="K20" s="7">
        <v>1</v>
      </c>
      <c r="L20" s="7">
        <v>0</v>
      </c>
      <c r="M20" s="7">
        <v>0</v>
      </c>
      <c r="N20" s="8">
        <f t="shared" si="1"/>
        <v>1</v>
      </c>
      <c r="O20" s="8">
        <f t="shared" si="2"/>
        <v>1</v>
      </c>
      <c r="P20" s="8">
        <f t="shared" si="19"/>
        <v>2</v>
      </c>
      <c r="Q20" s="8">
        <f t="shared" si="19"/>
        <v>4</v>
      </c>
      <c r="R20" s="8">
        <f t="shared" si="19"/>
        <v>1</v>
      </c>
      <c r="S20" s="8">
        <f t="shared" si="4"/>
        <v>8</v>
      </c>
      <c r="T20" s="7">
        <v>0.33333333333333331</v>
      </c>
      <c r="U20" s="7">
        <v>0.58333333333333337</v>
      </c>
      <c r="V20" s="7">
        <v>1.3333333333333333</v>
      </c>
      <c r="W20" s="7">
        <v>0.33333333333333331</v>
      </c>
      <c r="X20" s="8">
        <f t="shared" si="5"/>
        <v>2.5833333333333335</v>
      </c>
      <c r="Y20" s="7">
        <v>0.33333333333333331</v>
      </c>
      <c r="Z20" s="7">
        <v>0.58333333333333337</v>
      </c>
      <c r="AA20" s="7">
        <v>1.3333333333333333</v>
      </c>
      <c r="AB20" s="7">
        <v>0.33333333333333331</v>
      </c>
      <c r="AC20" s="8">
        <f t="shared" si="6"/>
        <v>2.5833333333333335</v>
      </c>
      <c r="AD20" s="8">
        <f t="shared" si="7"/>
        <v>160922</v>
      </c>
      <c r="AE20" s="8">
        <f t="shared" si="8"/>
        <v>11160</v>
      </c>
      <c r="AF20" s="8">
        <f t="shared" si="9"/>
        <v>15500</v>
      </c>
      <c r="AG20" s="8">
        <f t="shared" si="10"/>
        <v>6200</v>
      </c>
      <c r="AH20" s="8">
        <f t="shared" si="11"/>
        <v>22733.333333333336</v>
      </c>
      <c r="AI20" s="8">
        <f t="shared" si="12"/>
        <v>2066.666666666667</v>
      </c>
      <c r="AJ20" s="8">
        <f t="shared" si="13"/>
        <v>10000</v>
      </c>
      <c r="AK20" s="8">
        <f t="shared" si="14"/>
        <v>2480</v>
      </c>
      <c r="AL20" s="8">
        <f t="shared" si="15"/>
        <v>69982.36</v>
      </c>
      <c r="AM20" s="8">
        <f t="shared" si="16"/>
        <v>301044.36</v>
      </c>
      <c r="AN20" s="9">
        <f t="shared" si="17"/>
        <v>180627</v>
      </c>
      <c r="AO20" s="244"/>
      <c r="AP20" s="228">
        <f t="shared" si="18"/>
        <v>180627</v>
      </c>
    </row>
    <row r="21" spans="1:42" ht="15" customHeight="1">
      <c r="A21" s="5" t="s">
        <v>24</v>
      </c>
      <c r="B21" s="6" t="s">
        <v>42</v>
      </c>
      <c r="C21" s="6" t="s">
        <v>22</v>
      </c>
      <c r="D21" s="7">
        <v>1</v>
      </c>
      <c r="E21" s="11">
        <v>1</v>
      </c>
      <c r="F21" s="11">
        <v>1</v>
      </c>
      <c r="G21" s="11">
        <v>8</v>
      </c>
      <c r="H21" s="11">
        <v>1</v>
      </c>
      <c r="I21" s="8">
        <f t="shared" si="0"/>
        <v>11</v>
      </c>
      <c r="J21" s="7">
        <v>0</v>
      </c>
      <c r="K21" s="7">
        <v>2</v>
      </c>
      <c r="L21" s="7">
        <v>5</v>
      </c>
      <c r="M21" s="7">
        <v>1</v>
      </c>
      <c r="N21" s="8">
        <f t="shared" si="1"/>
        <v>8</v>
      </c>
      <c r="O21" s="8">
        <f t="shared" si="2"/>
        <v>1</v>
      </c>
      <c r="P21" s="8">
        <f t="shared" si="19"/>
        <v>3</v>
      </c>
      <c r="Q21" s="8">
        <f t="shared" si="19"/>
        <v>13</v>
      </c>
      <c r="R21" s="8">
        <f t="shared" si="19"/>
        <v>2</v>
      </c>
      <c r="S21" s="8">
        <f t="shared" si="4"/>
        <v>19</v>
      </c>
      <c r="T21" s="7">
        <v>0</v>
      </c>
      <c r="U21" s="7">
        <v>2</v>
      </c>
      <c r="V21" s="7">
        <v>6.166666666666667</v>
      </c>
      <c r="W21" s="7">
        <v>1</v>
      </c>
      <c r="X21" s="8">
        <f t="shared" si="5"/>
        <v>9.1666666666666679</v>
      </c>
      <c r="Y21" s="7">
        <v>0</v>
      </c>
      <c r="Z21" s="7">
        <v>2</v>
      </c>
      <c r="AA21" s="7">
        <v>6.166666666666667</v>
      </c>
      <c r="AB21" s="7">
        <v>1</v>
      </c>
      <c r="AC21" s="8">
        <f t="shared" si="6"/>
        <v>9.1666666666666679</v>
      </c>
      <c r="AD21" s="8">
        <f t="shared" si="7"/>
        <v>561356</v>
      </c>
      <c r="AE21" s="8">
        <f t="shared" si="8"/>
        <v>39600.000000000007</v>
      </c>
      <c r="AF21" s="8">
        <f t="shared" si="9"/>
        <v>55000.000000000007</v>
      </c>
      <c r="AG21" s="8">
        <f t="shared" si="10"/>
        <v>22000.000000000004</v>
      </c>
      <c r="AH21" s="8">
        <f t="shared" si="11"/>
        <v>80666.666666666672</v>
      </c>
      <c r="AI21" s="8">
        <f t="shared" si="12"/>
        <v>7333.3333333333339</v>
      </c>
      <c r="AJ21" s="8">
        <f t="shared" si="13"/>
        <v>10000</v>
      </c>
      <c r="AK21" s="8">
        <f t="shared" si="14"/>
        <v>8800.0000000000018</v>
      </c>
      <c r="AL21" s="8">
        <f t="shared" si="15"/>
        <v>235759.33</v>
      </c>
      <c r="AM21" s="8">
        <f t="shared" si="16"/>
        <v>1020515.33</v>
      </c>
      <c r="AN21" s="9">
        <f t="shared" si="17"/>
        <v>612309</v>
      </c>
      <c r="AO21" s="228"/>
      <c r="AP21" s="228">
        <f t="shared" si="18"/>
        <v>612309</v>
      </c>
    </row>
    <row r="22" spans="1:42" ht="15" customHeight="1">
      <c r="A22" s="5" t="s">
        <v>24</v>
      </c>
      <c r="B22" s="6" t="s">
        <v>43</v>
      </c>
      <c r="C22" s="6" t="s">
        <v>23</v>
      </c>
      <c r="D22" s="7"/>
      <c r="E22" s="11">
        <v>0</v>
      </c>
      <c r="F22" s="11">
        <v>4</v>
      </c>
      <c r="G22" s="11">
        <v>0</v>
      </c>
      <c r="H22" s="11">
        <v>5</v>
      </c>
      <c r="I22" s="8">
        <f t="shared" si="0"/>
        <v>9</v>
      </c>
      <c r="J22" s="7">
        <v>4</v>
      </c>
      <c r="K22" s="7">
        <v>4</v>
      </c>
      <c r="L22" s="7">
        <v>0</v>
      </c>
      <c r="M22" s="7">
        <v>5.5</v>
      </c>
      <c r="N22" s="8">
        <f t="shared" si="1"/>
        <v>13.5</v>
      </c>
      <c r="O22" s="8">
        <f t="shared" si="2"/>
        <v>4</v>
      </c>
      <c r="P22" s="8">
        <f t="shared" si="19"/>
        <v>8</v>
      </c>
      <c r="Q22" s="8">
        <f t="shared" si="19"/>
        <v>0</v>
      </c>
      <c r="R22" s="8">
        <f t="shared" si="19"/>
        <v>10.5</v>
      </c>
      <c r="S22" s="8">
        <f t="shared" si="4"/>
        <v>22.5</v>
      </c>
      <c r="T22" s="7">
        <v>2.5833333333333335</v>
      </c>
      <c r="U22" s="7">
        <v>3</v>
      </c>
      <c r="V22" s="7">
        <v>0</v>
      </c>
      <c r="W22" s="7">
        <v>5.333333333333333</v>
      </c>
      <c r="X22" s="8">
        <f t="shared" si="5"/>
        <v>10.916666666666668</v>
      </c>
      <c r="Y22" s="7">
        <v>2.5833333333333335</v>
      </c>
      <c r="Z22" s="7">
        <v>3</v>
      </c>
      <c r="AA22" s="7">
        <v>0</v>
      </c>
      <c r="AB22" s="7">
        <v>5.333333333333333</v>
      </c>
      <c r="AC22" s="8">
        <f t="shared" si="6"/>
        <v>10.916666666666668</v>
      </c>
      <c r="AD22" s="8">
        <f t="shared" si="7"/>
        <v>647527</v>
      </c>
      <c r="AE22" s="8">
        <f t="shared" si="8"/>
        <v>47160.000000000007</v>
      </c>
      <c r="AF22" s="8">
        <f t="shared" si="9"/>
        <v>65500.000000000007</v>
      </c>
      <c r="AG22" s="8">
        <f t="shared" si="10"/>
        <v>26200.000000000004</v>
      </c>
      <c r="AH22" s="8">
        <f t="shared" si="11"/>
        <v>96066.666666666672</v>
      </c>
      <c r="AI22" s="8">
        <f t="shared" si="12"/>
        <v>8733.3333333333339</v>
      </c>
      <c r="AJ22" s="8">
        <f t="shared" si="13"/>
        <v>0</v>
      </c>
      <c r="AK22" s="8">
        <f t="shared" si="14"/>
        <v>10480.000000000002</v>
      </c>
      <c r="AL22" s="8">
        <f t="shared" si="15"/>
        <v>269002.03999999998</v>
      </c>
      <c r="AM22" s="8">
        <f t="shared" si="16"/>
        <v>1170669.04</v>
      </c>
      <c r="AN22" s="9">
        <f t="shared" si="17"/>
        <v>702401</v>
      </c>
      <c r="AO22" s="228"/>
      <c r="AP22" s="228">
        <f t="shared" si="18"/>
        <v>702401</v>
      </c>
    </row>
    <row r="23" spans="1:42" ht="15" customHeight="1">
      <c r="A23" s="4"/>
      <c r="B23" s="4" t="s">
        <v>44</v>
      </c>
      <c r="C23" s="4"/>
      <c r="D23" s="10">
        <f>SUM(D4:D22)</f>
        <v>16</v>
      </c>
      <c r="E23" s="10">
        <f t="shared" ref="E23:AP23" si="20">SUM(E4:E22)</f>
        <v>56</v>
      </c>
      <c r="F23" s="10">
        <f t="shared" si="20"/>
        <v>86</v>
      </c>
      <c r="G23" s="10">
        <f t="shared" si="20"/>
        <v>220</v>
      </c>
      <c r="H23" s="10">
        <f t="shared" si="20"/>
        <v>104</v>
      </c>
      <c r="I23" s="10">
        <f t="shared" si="20"/>
        <v>466</v>
      </c>
      <c r="J23" s="10">
        <f t="shared" si="20"/>
        <v>46.916666666666664</v>
      </c>
      <c r="K23" s="10">
        <f t="shared" si="20"/>
        <v>18.25</v>
      </c>
      <c r="L23" s="10">
        <f t="shared" si="20"/>
        <v>13</v>
      </c>
      <c r="M23" s="10">
        <f t="shared" si="20"/>
        <v>11.833333333333334</v>
      </c>
      <c r="N23" s="10">
        <f t="shared" si="20"/>
        <v>90</v>
      </c>
      <c r="O23" s="10">
        <f t="shared" si="20"/>
        <v>102.91666666666666</v>
      </c>
      <c r="P23" s="10">
        <f t="shared" si="20"/>
        <v>104.25</v>
      </c>
      <c r="Q23" s="10">
        <f t="shared" si="20"/>
        <v>233</v>
      </c>
      <c r="R23" s="10">
        <f t="shared" si="20"/>
        <v>115.83333333333334</v>
      </c>
      <c r="S23" s="10">
        <f t="shared" si="20"/>
        <v>556</v>
      </c>
      <c r="T23" s="10">
        <f t="shared" si="20"/>
        <v>80.749999999999986</v>
      </c>
      <c r="U23" s="10">
        <f t="shared" si="20"/>
        <v>76.166666666666657</v>
      </c>
      <c r="V23" s="10">
        <f t="shared" si="20"/>
        <v>214.50000000000003</v>
      </c>
      <c r="W23" s="10">
        <f t="shared" si="20"/>
        <v>104.41666666666666</v>
      </c>
      <c r="X23" s="10">
        <f t="shared" si="20"/>
        <v>475.83333333333326</v>
      </c>
      <c r="Y23" s="10">
        <f t="shared" si="20"/>
        <v>83.749999999999986</v>
      </c>
      <c r="Z23" s="10">
        <f t="shared" si="20"/>
        <v>74.083333333333314</v>
      </c>
      <c r="AA23" s="10">
        <f t="shared" si="20"/>
        <v>213.50000000000003</v>
      </c>
      <c r="AB23" s="10">
        <f t="shared" si="20"/>
        <v>103.41666666666666</v>
      </c>
      <c r="AC23" s="10">
        <f t="shared" si="20"/>
        <v>474.74999999999994</v>
      </c>
      <c r="AD23" s="10">
        <f t="shared" si="20"/>
        <v>29295613</v>
      </c>
      <c r="AE23" s="10">
        <f t="shared" si="20"/>
        <v>2050920</v>
      </c>
      <c r="AF23" s="10">
        <f t="shared" si="20"/>
        <v>2848500</v>
      </c>
      <c r="AG23" s="10">
        <f t="shared" si="20"/>
        <v>1139400</v>
      </c>
      <c r="AH23" s="10">
        <f t="shared" si="20"/>
        <v>4177800.0000000005</v>
      </c>
      <c r="AI23" s="10">
        <f t="shared" si="20"/>
        <v>379800</v>
      </c>
      <c r="AJ23" s="10">
        <f t="shared" si="20"/>
        <v>160000</v>
      </c>
      <c r="AK23" s="10">
        <f t="shared" si="20"/>
        <v>455760</v>
      </c>
      <c r="AL23" s="10">
        <f t="shared" si="20"/>
        <v>12161764.450000001</v>
      </c>
      <c r="AM23" s="10">
        <f t="shared" si="20"/>
        <v>52669557.45000001</v>
      </c>
      <c r="AN23" s="10">
        <f t="shared" si="20"/>
        <v>31601736</v>
      </c>
      <c r="AO23" s="10">
        <f t="shared" si="20"/>
        <v>0</v>
      </c>
      <c r="AP23" s="10">
        <f t="shared" si="20"/>
        <v>31601736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4" sqref="A24:XFD112"/>
    </sheetView>
  </sheetViews>
  <sheetFormatPr defaultRowHeight="13.5" outlineLevelRow="2"/>
  <cols>
    <col min="1" max="1" width="9" style="108"/>
    <col min="2" max="2" width="28" style="108" customWidth="1"/>
    <col min="3" max="3" width="13.375" style="132" customWidth="1"/>
    <col min="4" max="4" width="19.625" style="108" customWidth="1"/>
    <col min="5" max="5" width="16" style="108" customWidth="1"/>
    <col min="6" max="16384" width="9" style="108"/>
  </cols>
  <sheetData>
    <row r="1" spans="1:5" ht="35.25" customHeight="1">
      <c r="A1" s="270" t="s">
        <v>370</v>
      </c>
      <c r="B1" s="270"/>
      <c r="C1" s="270"/>
      <c r="D1" s="271"/>
      <c r="E1" s="271"/>
    </row>
    <row r="2" spans="1:5" ht="20.100000000000001" customHeight="1">
      <c r="A2" s="229" t="s">
        <v>364</v>
      </c>
      <c r="B2" s="230" t="s">
        <v>118</v>
      </c>
      <c r="C2" s="231" t="s">
        <v>368</v>
      </c>
      <c r="D2" s="232" t="s">
        <v>366</v>
      </c>
      <c r="E2" s="232" t="s">
        <v>369</v>
      </c>
    </row>
    <row r="3" spans="1:5" ht="20.100000000000001" customHeight="1" outlineLevel="2">
      <c r="A3" s="233" t="s">
        <v>365</v>
      </c>
      <c r="B3" s="234" t="s">
        <v>137</v>
      </c>
      <c r="C3" s="235">
        <v>0</v>
      </c>
      <c r="D3" s="233">
        <v>16336</v>
      </c>
      <c r="E3" s="236">
        <f t="shared" ref="E3:E12" si="0">C3-D3</f>
        <v>-16336</v>
      </c>
    </row>
    <row r="4" spans="1:5" ht="20.100000000000001" customHeight="1" outlineLevel="2">
      <c r="A4" s="233" t="s">
        <v>367</v>
      </c>
      <c r="B4" s="234" t="s">
        <v>33</v>
      </c>
      <c r="C4" s="235">
        <v>98902.5</v>
      </c>
      <c r="D4" s="233"/>
      <c r="E4" s="236">
        <f t="shared" si="0"/>
        <v>98902.5</v>
      </c>
    </row>
    <row r="5" spans="1:5" ht="20.100000000000001" customHeight="1" outlineLevel="2">
      <c r="A5" s="233" t="s">
        <v>365</v>
      </c>
      <c r="B5" s="234" t="s">
        <v>30</v>
      </c>
      <c r="C5" s="235">
        <v>35017</v>
      </c>
      <c r="D5" s="233">
        <v>36768</v>
      </c>
      <c r="E5" s="236">
        <f t="shared" si="0"/>
        <v>-1751</v>
      </c>
    </row>
    <row r="6" spans="1:5" ht="20.100000000000001" customHeight="1" outlineLevel="2">
      <c r="A6" s="233" t="s">
        <v>365</v>
      </c>
      <c r="B6" s="234" t="s">
        <v>31</v>
      </c>
      <c r="C6" s="235">
        <v>16575</v>
      </c>
      <c r="D6" s="233">
        <v>8160</v>
      </c>
      <c r="E6" s="236">
        <f t="shared" si="0"/>
        <v>8415</v>
      </c>
    </row>
    <row r="7" spans="1:5" ht="20.100000000000001" customHeight="1" outlineLevel="2">
      <c r="A7" s="233" t="s">
        <v>365</v>
      </c>
      <c r="B7" s="234" t="s">
        <v>138</v>
      </c>
      <c r="C7" s="235">
        <v>448</v>
      </c>
      <c r="D7" s="233">
        <v>30640</v>
      </c>
      <c r="E7" s="236">
        <f t="shared" si="0"/>
        <v>-30192</v>
      </c>
    </row>
    <row r="8" spans="1:5" ht="20.100000000000001" customHeight="1" outlineLevel="2">
      <c r="A8" s="233" t="s">
        <v>365</v>
      </c>
      <c r="B8" s="234" t="s">
        <v>90</v>
      </c>
      <c r="C8" s="235">
        <v>99001.5</v>
      </c>
      <c r="D8" s="233">
        <v>20440</v>
      </c>
      <c r="E8" s="236">
        <f t="shared" si="0"/>
        <v>78561.5</v>
      </c>
    </row>
    <row r="9" spans="1:5" ht="20.100000000000001" customHeight="1" outlineLevel="2">
      <c r="A9" s="233" t="s">
        <v>365</v>
      </c>
      <c r="B9" s="234" t="s">
        <v>38</v>
      </c>
      <c r="C9" s="235">
        <v>4207.5</v>
      </c>
      <c r="D9" s="233">
        <v>12240</v>
      </c>
      <c r="E9" s="236">
        <f t="shared" si="0"/>
        <v>-8032.5</v>
      </c>
    </row>
    <row r="10" spans="1:5" ht="20.100000000000001" customHeight="1" outlineLevel="2">
      <c r="A10" s="233" t="s">
        <v>365</v>
      </c>
      <c r="B10" s="234" t="s">
        <v>135</v>
      </c>
      <c r="C10" s="235">
        <v>46282.5</v>
      </c>
      <c r="D10" s="233">
        <v>81600</v>
      </c>
      <c r="E10" s="236">
        <f t="shared" si="0"/>
        <v>-35317.5</v>
      </c>
    </row>
    <row r="11" spans="1:5" ht="20.100000000000001" customHeight="1" outlineLevel="2">
      <c r="A11" s="233" t="s">
        <v>365</v>
      </c>
      <c r="B11" s="234" t="s">
        <v>35</v>
      </c>
      <c r="C11" s="235">
        <v>12176.5</v>
      </c>
      <c r="D11" s="233">
        <v>12256</v>
      </c>
      <c r="E11" s="236">
        <f t="shared" si="0"/>
        <v>-79.5</v>
      </c>
    </row>
    <row r="12" spans="1:5" ht="20.100000000000001" customHeight="1" outlineLevel="2">
      <c r="A12" s="233" t="s">
        <v>365</v>
      </c>
      <c r="B12" s="234" t="s">
        <v>139</v>
      </c>
      <c r="C12" s="235">
        <v>0</v>
      </c>
      <c r="D12" s="233"/>
      <c r="E12" s="236">
        <f t="shared" si="0"/>
        <v>0</v>
      </c>
    </row>
    <row r="13" spans="1:5" ht="20.100000000000001" customHeight="1" outlineLevel="1">
      <c r="A13" s="237" t="s">
        <v>176</v>
      </c>
      <c r="B13" s="234"/>
      <c r="C13" s="235">
        <f>SUBTOTAL(9,C3:C12)</f>
        <v>312610.5</v>
      </c>
      <c r="D13" s="235">
        <f t="shared" ref="D13:E13" si="1">SUBTOTAL(9,D3:D12)</f>
        <v>218440</v>
      </c>
      <c r="E13" s="235">
        <f t="shared" si="1"/>
        <v>94170.5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topLeftCell="A13" workbookViewId="0">
      <selection activeCell="A24" sqref="A24:XFD112"/>
    </sheetView>
  </sheetViews>
  <sheetFormatPr defaultRowHeight="14.25"/>
  <cols>
    <col min="1" max="1" width="6.375" style="13" customWidth="1"/>
    <col min="2" max="2" width="9.375" style="13" customWidth="1"/>
    <col min="3" max="3" width="17.375" style="13" customWidth="1"/>
    <col min="4" max="4" width="10.125" style="13" customWidth="1"/>
    <col min="5" max="5" width="10.75" style="13" customWidth="1"/>
    <col min="6" max="6" width="11" style="13" customWidth="1"/>
    <col min="7" max="7" width="12" style="13" customWidth="1"/>
    <col min="8" max="8" width="15.625" style="26" customWidth="1"/>
    <col min="9" max="9" width="17.5" style="27" customWidth="1"/>
    <col min="10" max="10" width="6.25" style="13" hidden="1" customWidth="1"/>
    <col min="11" max="11" width="25.875" style="13" hidden="1" customWidth="1"/>
    <col min="12" max="12" width="15.25" style="28" customWidth="1"/>
    <col min="13" max="16384" width="9" style="13"/>
  </cols>
  <sheetData>
    <row r="1" spans="1:12" ht="26.25" customHeight="1">
      <c r="A1" s="290" t="s">
        <v>266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ht="18" customHeight="1">
      <c r="A2" s="139" t="s">
        <v>94</v>
      </c>
      <c r="B2" s="139" t="s">
        <v>92</v>
      </c>
      <c r="C2" s="291" t="s">
        <v>280</v>
      </c>
      <c r="D2" s="292"/>
      <c r="E2" s="140" t="s">
        <v>281</v>
      </c>
      <c r="F2" s="141" t="s">
        <v>282</v>
      </c>
      <c r="G2" s="142" t="s">
        <v>283</v>
      </c>
      <c r="H2" s="143" t="s">
        <v>47</v>
      </c>
      <c r="I2" s="144" t="s">
        <v>48</v>
      </c>
      <c r="J2" s="141" t="s">
        <v>49</v>
      </c>
      <c r="K2" s="145" t="s">
        <v>50</v>
      </c>
      <c r="L2" s="146" t="s">
        <v>246</v>
      </c>
    </row>
    <row r="3" spans="1:12" s="15" customFormat="1" ht="12.95" customHeight="1">
      <c r="A3" s="41" t="s">
        <v>95</v>
      </c>
      <c r="B3" s="41" t="s">
        <v>99</v>
      </c>
      <c r="C3" s="274" t="s">
        <v>55</v>
      </c>
      <c r="D3" s="275"/>
      <c r="E3" s="16" t="s">
        <v>56</v>
      </c>
      <c r="F3" s="14">
        <v>2</v>
      </c>
      <c r="G3" s="14">
        <v>10</v>
      </c>
      <c r="H3" s="17">
        <v>95250</v>
      </c>
      <c r="I3" s="17">
        <f t="shared" ref="I3:I50" si="0">ROUND(H3*G3,2)</f>
        <v>952500</v>
      </c>
      <c r="J3" s="18" t="s">
        <v>54</v>
      </c>
      <c r="K3" s="19" t="s">
        <v>57</v>
      </c>
      <c r="L3" s="34">
        <f t="shared" ref="L3:L50" si="1">ROUND(I3*0.7,0)</f>
        <v>666750</v>
      </c>
    </row>
    <row r="4" spans="1:12" s="15" customFormat="1" ht="12.95" customHeight="1">
      <c r="A4" s="41" t="s">
        <v>95</v>
      </c>
      <c r="B4" s="41" t="s">
        <v>99</v>
      </c>
      <c r="C4" s="274" t="s">
        <v>58</v>
      </c>
      <c r="D4" s="275"/>
      <c r="E4" s="16" t="s">
        <v>56</v>
      </c>
      <c r="F4" s="14">
        <v>1</v>
      </c>
      <c r="G4" s="14">
        <v>5</v>
      </c>
      <c r="H4" s="17">
        <v>95250</v>
      </c>
      <c r="I4" s="17">
        <f t="shared" si="0"/>
        <v>476250</v>
      </c>
      <c r="J4" s="18" t="s">
        <v>51</v>
      </c>
      <c r="K4" s="19"/>
      <c r="L4" s="34">
        <f t="shared" si="1"/>
        <v>333375</v>
      </c>
    </row>
    <row r="5" spans="1:12" s="15" customFormat="1" ht="12.95" customHeight="1">
      <c r="A5" s="41" t="s">
        <v>95</v>
      </c>
      <c r="B5" s="41" t="s">
        <v>98</v>
      </c>
      <c r="C5" s="274" t="s">
        <v>59</v>
      </c>
      <c r="D5" s="275"/>
      <c r="E5" s="16" t="s">
        <v>56</v>
      </c>
      <c r="F5" s="14">
        <v>2</v>
      </c>
      <c r="G5" s="14">
        <v>11</v>
      </c>
      <c r="H5" s="17">
        <v>95250</v>
      </c>
      <c r="I5" s="17">
        <f t="shared" si="0"/>
        <v>1047750</v>
      </c>
      <c r="J5" s="18" t="s">
        <v>54</v>
      </c>
      <c r="K5" s="19" t="s">
        <v>60</v>
      </c>
      <c r="L5" s="34">
        <f t="shared" si="1"/>
        <v>733425</v>
      </c>
    </row>
    <row r="6" spans="1:12" s="15" customFormat="1" ht="12.95" customHeight="1">
      <c r="A6" s="41" t="s">
        <v>95</v>
      </c>
      <c r="B6" s="41" t="s">
        <v>98</v>
      </c>
      <c r="C6" s="274" t="s">
        <v>61</v>
      </c>
      <c r="D6" s="275"/>
      <c r="E6" s="16" t="s">
        <v>56</v>
      </c>
      <c r="F6" s="14">
        <v>1</v>
      </c>
      <c r="G6" s="14">
        <v>7</v>
      </c>
      <c r="H6" s="17">
        <v>95250</v>
      </c>
      <c r="I6" s="17">
        <f t="shared" si="0"/>
        <v>666750</v>
      </c>
      <c r="J6" s="18" t="s">
        <v>54</v>
      </c>
      <c r="K6" s="19" t="s">
        <v>62</v>
      </c>
      <c r="L6" s="34">
        <f t="shared" si="1"/>
        <v>466725</v>
      </c>
    </row>
    <row r="7" spans="1:12" s="35" customFormat="1" ht="12.95" customHeight="1">
      <c r="A7" s="41" t="s">
        <v>95</v>
      </c>
      <c r="B7" s="41" t="s">
        <v>98</v>
      </c>
      <c r="C7" s="286" t="s">
        <v>63</v>
      </c>
      <c r="D7" s="287"/>
      <c r="E7" s="30" t="s">
        <v>56</v>
      </c>
      <c r="F7" s="29">
        <v>1</v>
      </c>
      <c r="G7" s="29">
        <v>5</v>
      </c>
      <c r="H7" s="31">
        <v>95250</v>
      </c>
      <c r="I7" s="31">
        <f t="shared" si="0"/>
        <v>476250</v>
      </c>
      <c r="J7" s="32"/>
      <c r="K7" s="33"/>
      <c r="L7" s="34">
        <f t="shared" si="1"/>
        <v>333375</v>
      </c>
    </row>
    <row r="8" spans="1:12" s="15" customFormat="1" ht="12.95" customHeight="1">
      <c r="A8" s="41" t="s">
        <v>95</v>
      </c>
      <c r="B8" s="41" t="s">
        <v>98</v>
      </c>
      <c r="C8" s="274" t="s">
        <v>64</v>
      </c>
      <c r="D8" s="275"/>
      <c r="E8" s="16" t="s">
        <v>56</v>
      </c>
      <c r="F8" s="14">
        <v>1</v>
      </c>
      <c r="G8" s="14">
        <v>5</v>
      </c>
      <c r="H8" s="17">
        <v>95250</v>
      </c>
      <c r="I8" s="17">
        <f t="shared" si="0"/>
        <v>476250</v>
      </c>
      <c r="J8" s="18" t="s">
        <v>54</v>
      </c>
      <c r="K8" s="19"/>
      <c r="L8" s="34">
        <f t="shared" si="1"/>
        <v>333375</v>
      </c>
    </row>
    <row r="9" spans="1:12" s="15" customFormat="1" ht="12.95" customHeight="1">
      <c r="A9" s="41" t="s">
        <v>95</v>
      </c>
      <c r="B9" s="41" t="s">
        <v>98</v>
      </c>
      <c r="C9" s="274" t="s">
        <v>65</v>
      </c>
      <c r="D9" s="275"/>
      <c r="E9" s="16" t="s">
        <v>56</v>
      </c>
      <c r="F9" s="14">
        <v>1</v>
      </c>
      <c r="G9" s="14">
        <v>5</v>
      </c>
      <c r="H9" s="17">
        <v>95250</v>
      </c>
      <c r="I9" s="17">
        <f t="shared" si="0"/>
        <v>476250</v>
      </c>
      <c r="J9" s="18" t="s">
        <v>51</v>
      </c>
      <c r="K9" s="19"/>
      <c r="L9" s="34">
        <f t="shared" si="1"/>
        <v>333375</v>
      </c>
    </row>
    <row r="10" spans="1:12" s="15" customFormat="1" ht="12.95" customHeight="1">
      <c r="A10" s="41" t="s">
        <v>95</v>
      </c>
      <c r="B10" s="42" t="s">
        <v>97</v>
      </c>
      <c r="C10" s="288" t="s">
        <v>66</v>
      </c>
      <c r="D10" s="289"/>
      <c r="E10" s="16" t="s">
        <v>56</v>
      </c>
      <c r="F10" s="14">
        <v>1</v>
      </c>
      <c r="G10" s="14">
        <v>7</v>
      </c>
      <c r="H10" s="17">
        <v>95250</v>
      </c>
      <c r="I10" s="17">
        <f t="shared" si="0"/>
        <v>666750</v>
      </c>
      <c r="J10" s="18" t="s">
        <v>54</v>
      </c>
      <c r="K10" s="23"/>
      <c r="L10" s="34">
        <f t="shared" si="1"/>
        <v>466725</v>
      </c>
    </row>
    <row r="11" spans="1:12" s="15" customFormat="1" ht="12.95" customHeight="1">
      <c r="A11" s="41" t="s">
        <v>95</v>
      </c>
      <c r="B11" s="42" t="s">
        <v>97</v>
      </c>
      <c r="C11" s="14" t="s">
        <v>67</v>
      </c>
      <c r="D11" s="18" t="s">
        <v>68</v>
      </c>
      <c r="E11" s="16" t="s">
        <v>56</v>
      </c>
      <c r="F11" s="14">
        <v>1</v>
      </c>
      <c r="G11" s="14">
        <v>5</v>
      </c>
      <c r="H11" s="17">
        <v>95250</v>
      </c>
      <c r="I11" s="17">
        <f t="shared" si="0"/>
        <v>476250</v>
      </c>
      <c r="J11" s="18" t="s">
        <v>54</v>
      </c>
      <c r="K11" s="23"/>
      <c r="L11" s="34">
        <f t="shared" si="1"/>
        <v>333375</v>
      </c>
    </row>
    <row r="12" spans="1:12" s="15" customFormat="1" ht="12.95" customHeight="1">
      <c r="A12" s="41" t="s">
        <v>95</v>
      </c>
      <c r="B12" s="42" t="s">
        <v>97</v>
      </c>
      <c r="C12" s="14" t="s">
        <v>67</v>
      </c>
      <c r="D12" s="18" t="s">
        <v>69</v>
      </c>
      <c r="E12" s="16" t="s">
        <v>56</v>
      </c>
      <c r="F12" s="14">
        <v>1</v>
      </c>
      <c r="G12" s="14">
        <v>5</v>
      </c>
      <c r="H12" s="17">
        <v>95250</v>
      </c>
      <c r="I12" s="17">
        <f t="shared" si="0"/>
        <v>476250</v>
      </c>
      <c r="J12" s="18" t="s">
        <v>54</v>
      </c>
      <c r="K12" s="23"/>
      <c r="L12" s="34">
        <f t="shared" si="1"/>
        <v>333375</v>
      </c>
    </row>
    <row r="13" spans="1:12" s="15" customFormat="1" ht="12.95" customHeight="1">
      <c r="A13" s="41" t="s">
        <v>95</v>
      </c>
      <c r="B13" s="42" t="s">
        <v>97</v>
      </c>
      <c r="C13" s="14" t="s">
        <v>67</v>
      </c>
      <c r="D13" s="18" t="s">
        <v>70</v>
      </c>
      <c r="E13" s="16" t="s">
        <v>56</v>
      </c>
      <c r="F13" s="14">
        <v>1</v>
      </c>
      <c r="G13" s="14">
        <v>5</v>
      </c>
      <c r="H13" s="17">
        <v>95250</v>
      </c>
      <c r="I13" s="17">
        <f t="shared" si="0"/>
        <v>476250</v>
      </c>
      <c r="J13" s="18" t="s">
        <v>54</v>
      </c>
      <c r="K13" s="23"/>
      <c r="L13" s="34">
        <f t="shared" si="1"/>
        <v>333375</v>
      </c>
    </row>
    <row r="14" spans="1:12" s="15" customFormat="1" ht="12.95" customHeight="1">
      <c r="A14" s="41" t="s">
        <v>95</v>
      </c>
      <c r="B14" s="42" t="s">
        <v>97</v>
      </c>
      <c r="C14" s="14" t="s">
        <v>67</v>
      </c>
      <c r="D14" s="18" t="s">
        <v>71</v>
      </c>
      <c r="E14" s="16" t="s">
        <v>56</v>
      </c>
      <c r="F14" s="14">
        <v>1</v>
      </c>
      <c r="G14" s="14">
        <v>5</v>
      </c>
      <c r="H14" s="17">
        <v>95250</v>
      </c>
      <c r="I14" s="17">
        <f t="shared" si="0"/>
        <v>476250</v>
      </c>
      <c r="J14" s="18" t="s">
        <v>54</v>
      </c>
      <c r="K14" s="23"/>
      <c r="L14" s="34">
        <f t="shared" si="1"/>
        <v>333375</v>
      </c>
    </row>
    <row r="15" spans="1:12" s="15" customFormat="1" ht="12.95" customHeight="1">
      <c r="A15" s="41" t="s">
        <v>95</v>
      </c>
      <c r="B15" s="42" t="s">
        <v>97</v>
      </c>
      <c r="C15" s="14" t="s">
        <v>67</v>
      </c>
      <c r="D15" s="18" t="s">
        <v>72</v>
      </c>
      <c r="E15" s="16" t="s">
        <v>56</v>
      </c>
      <c r="F15" s="14">
        <v>1</v>
      </c>
      <c r="G15" s="14">
        <v>5</v>
      </c>
      <c r="H15" s="17">
        <v>95250</v>
      </c>
      <c r="I15" s="17">
        <f t="shared" si="0"/>
        <v>476250</v>
      </c>
      <c r="J15" s="18" t="s">
        <v>54</v>
      </c>
      <c r="K15" s="23"/>
      <c r="L15" s="34">
        <f t="shared" si="1"/>
        <v>333375</v>
      </c>
    </row>
    <row r="16" spans="1:12" s="15" customFormat="1" ht="12.95" customHeight="1">
      <c r="A16" s="41" t="s">
        <v>95</v>
      </c>
      <c r="B16" s="42" t="s">
        <v>97</v>
      </c>
      <c r="C16" s="274" t="s">
        <v>73</v>
      </c>
      <c r="D16" s="275"/>
      <c r="E16" s="16" t="s">
        <v>56</v>
      </c>
      <c r="F16" s="14">
        <v>1</v>
      </c>
      <c r="G16" s="14">
        <v>5</v>
      </c>
      <c r="H16" s="17">
        <v>95250</v>
      </c>
      <c r="I16" s="17">
        <f t="shared" si="0"/>
        <v>476250</v>
      </c>
      <c r="J16" s="18" t="s">
        <v>51</v>
      </c>
      <c r="K16" s="19"/>
      <c r="L16" s="34">
        <f t="shared" si="1"/>
        <v>333375</v>
      </c>
    </row>
    <row r="17" spans="1:12" s="15" customFormat="1" ht="12.95" customHeight="1">
      <c r="A17" s="41" t="s">
        <v>95</v>
      </c>
      <c r="B17" s="42" t="s">
        <v>97</v>
      </c>
      <c r="C17" s="274" t="s">
        <v>74</v>
      </c>
      <c r="D17" s="275"/>
      <c r="E17" s="16" t="s">
        <v>56</v>
      </c>
      <c r="F17" s="14">
        <v>1</v>
      </c>
      <c r="G17" s="14">
        <v>5</v>
      </c>
      <c r="H17" s="17">
        <v>95250</v>
      </c>
      <c r="I17" s="17">
        <f t="shared" si="0"/>
        <v>476250</v>
      </c>
      <c r="J17" s="18" t="s">
        <v>51</v>
      </c>
      <c r="K17" s="19"/>
      <c r="L17" s="34">
        <f t="shared" si="1"/>
        <v>333375</v>
      </c>
    </row>
    <row r="18" spans="1:12" s="15" customFormat="1" ht="12.95" customHeight="1">
      <c r="A18" s="41" t="s">
        <v>95</v>
      </c>
      <c r="B18" s="42" t="s">
        <v>97</v>
      </c>
      <c r="C18" s="274" t="s">
        <v>75</v>
      </c>
      <c r="D18" s="275"/>
      <c r="E18" s="16" t="s">
        <v>56</v>
      </c>
      <c r="F18" s="14">
        <v>1</v>
      </c>
      <c r="G18" s="14">
        <v>5</v>
      </c>
      <c r="H18" s="17">
        <v>95250</v>
      </c>
      <c r="I18" s="17">
        <f t="shared" si="0"/>
        <v>476250</v>
      </c>
      <c r="J18" s="18" t="s">
        <v>54</v>
      </c>
      <c r="K18" s="19"/>
      <c r="L18" s="34">
        <f t="shared" si="1"/>
        <v>333375</v>
      </c>
    </row>
    <row r="19" spans="1:12" s="35" customFormat="1" ht="12.95" customHeight="1">
      <c r="A19" s="41" t="s">
        <v>95</v>
      </c>
      <c r="B19" s="42" t="s">
        <v>97</v>
      </c>
      <c r="C19" s="286" t="s">
        <v>76</v>
      </c>
      <c r="D19" s="287"/>
      <c r="E19" s="30" t="s">
        <v>56</v>
      </c>
      <c r="F19" s="29">
        <v>2</v>
      </c>
      <c r="G19" s="29">
        <v>7</v>
      </c>
      <c r="H19" s="31">
        <v>95250</v>
      </c>
      <c r="I19" s="31">
        <f t="shared" si="0"/>
        <v>666750</v>
      </c>
      <c r="J19" s="32"/>
      <c r="K19" s="33"/>
      <c r="L19" s="34">
        <f t="shared" si="1"/>
        <v>466725</v>
      </c>
    </row>
    <row r="20" spans="1:12" s="15" customFormat="1" ht="12.95" customHeight="1">
      <c r="A20" s="41" t="s">
        <v>95</v>
      </c>
      <c r="B20" s="41" t="s">
        <v>99</v>
      </c>
      <c r="C20" s="274" t="s">
        <v>77</v>
      </c>
      <c r="D20" s="275"/>
      <c r="E20" s="16" t="s">
        <v>56</v>
      </c>
      <c r="F20" s="14">
        <v>1</v>
      </c>
      <c r="G20" s="14">
        <v>5</v>
      </c>
      <c r="H20" s="17">
        <v>95250</v>
      </c>
      <c r="I20" s="17">
        <f t="shared" si="0"/>
        <v>476250</v>
      </c>
      <c r="J20" s="18" t="s">
        <v>78</v>
      </c>
      <c r="K20" s="19"/>
      <c r="L20" s="34">
        <f t="shared" si="1"/>
        <v>333375</v>
      </c>
    </row>
    <row r="21" spans="1:12" s="15" customFormat="1" ht="12.95" customHeight="1">
      <c r="A21" s="41" t="s">
        <v>95</v>
      </c>
      <c r="B21" s="41" t="s">
        <v>99</v>
      </c>
      <c r="C21" s="274" t="s">
        <v>79</v>
      </c>
      <c r="D21" s="275"/>
      <c r="E21" s="16" t="s">
        <v>56</v>
      </c>
      <c r="F21" s="14">
        <v>1</v>
      </c>
      <c r="G21" s="14">
        <v>5</v>
      </c>
      <c r="H21" s="17">
        <v>95250</v>
      </c>
      <c r="I21" s="17">
        <f t="shared" si="0"/>
        <v>476250</v>
      </c>
      <c r="J21" s="18" t="s">
        <v>78</v>
      </c>
      <c r="K21" s="19"/>
      <c r="L21" s="34">
        <f t="shared" si="1"/>
        <v>333375</v>
      </c>
    </row>
    <row r="22" spans="1:12" s="15" customFormat="1" ht="12.95" customHeight="1">
      <c r="A22" s="41" t="s">
        <v>95</v>
      </c>
      <c r="B22" s="41" t="s">
        <v>98</v>
      </c>
      <c r="C22" s="274" t="s">
        <v>80</v>
      </c>
      <c r="D22" s="275"/>
      <c r="E22" s="16" t="s">
        <v>56</v>
      </c>
      <c r="F22" s="14">
        <v>1</v>
      </c>
      <c r="G22" s="14">
        <v>5</v>
      </c>
      <c r="H22" s="17">
        <v>95250</v>
      </c>
      <c r="I22" s="17">
        <f t="shared" si="0"/>
        <v>476250</v>
      </c>
      <c r="J22" s="18" t="s">
        <v>78</v>
      </c>
      <c r="K22" s="19"/>
      <c r="L22" s="34">
        <f t="shared" si="1"/>
        <v>333375</v>
      </c>
    </row>
    <row r="23" spans="1:12" s="15" customFormat="1" ht="12.95" customHeight="1">
      <c r="A23" s="41" t="s">
        <v>95</v>
      </c>
      <c r="B23" s="42" t="s">
        <v>97</v>
      </c>
      <c r="C23" s="14" t="s">
        <v>81</v>
      </c>
      <c r="D23" s="18" t="s">
        <v>52</v>
      </c>
      <c r="E23" s="16" t="s">
        <v>56</v>
      </c>
      <c r="F23" s="14">
        <v>1</v>
      </c>
      <c r="G23" s="14">
        <v>5</v>
      </c>
      <c r="H23" s="17">
        <v>95250</v>
      </c>
      <c r="I23" s="17">
        <f t="shared" si="0"/>
        <v>476250</v>
      </c>
      <c r="J23" s="18" t="s">
        <v>54</v>
      </c>
      <c r="K23" s="19"/>
      <c r="L23" s="34">
        <f t="shared" si="1"/>
        <v>333375</v>
      </c>
    </row>
    <row r="24" spans="1:12" s="15" customFormat="1" ht="12.95" customHeight="1">
      <c r="A24" s="41" t="s">
        <v>95</v>
      </c>
      <c r="B24" s="42" t="s">
        <v>97</v>
      </c>
      <c r="C24" s="14" t="s">
        <v>81</v>
      </c>
      <c r="D24" s="18" t="s">
        <v>53</v>
      </c>
      <c r="E24" s="16" t="s">
        <v>56</v>
      </c>
      <c r="F24" s="14">
        <v>1</v>
      </c>
      <c r="G24" s="14">
        <v>5</v>
      </c>
      <c r="H24" s="17">
        <v>95250</v>
      </c>
      <c r="I24" s="17">
        <f t="shared" si="0"/>
        <v>476250</v>
      </c>
      <c r="J24" s="18" t="s">
        <v>54</v>
      </c>
      <c r="K24" s="19"/>
      <c r="L24" s="34">
        <f t="shared" si="1"/>
        <v>333375</v>
      </c>
    </row>
    <row r="25" spans="1:12" s="15" customFormat="1" ht="12.95" customHeight="1">
      <c r="A25" s="41" t="s">
        <v>95</v>
      </c>
      <c r="B25" s="42" t="s">
        <v>97</v>
      </c>
      <c r="C25" s="276" t="s">
        <v>82</v>
      </c>
      <c r="D25" s="277"/>
      <c r="E25" s="16" t="s">
        <v>56</v>
      </c>
      <c r="F25" s="20">
        <v>1</v>
      </c>
      <c r="G25" s="20">
        <v>5</v>
      </c>
      <c r="H25" s="17">
        <v>95250</v>
      </c>
      <c r="I25" s="17">
        <f t="shared" si="0"/>
        <v>476250</v>
      </c>
      <c r="J25" s="136" t="s">
        <v>51</v>
      </c>
      <c r="K25" s="19"/>
      <c r="L25" s="34">
        <f t="shared" si="1"/>
        <v>333375</v>
      </c>
    </row>
    <row r="26" spans="1:12" s="35" customFormat="1" ht="12.95" customHeight="1">
      <c r="A26" s="41" t="s">
        <v>95</v>
      </c>
      <c r="B26" s="43" t="s">
        <v>98</v>
      </c>
      <c r="C26" s="278" t="s">
        <v>83</v>
      </c>
      <c r="D26" s="279"/>
      <c r="E26" s="30" t="s">
        <v>56</v>
      </c>
      <c r="F26" s="36">
        <v>1</v>
      </c>
      <c r="G26" s="36">
        <v>7</v>
      </c>
      <c r="H26" s="31">
        <v>95250</v>
      </c>
      <c r="I26" s="31">
        <f t="shared" si="0"/>
        <v>666750</v>
      </c>
      <c r="J26" s="135" t="s">
        <v>78</v>
      </c>
      <c r="K26" s="33"/>
      <c r="L26" s="34">
        <f t="shared" si="1"/>
        <v>466725</v>
      </c>
    </row>
    <row r="27" spans="1:12" s="15" customFormat="1" ht="12.95" customHeight="1">
      <c r="A27" s="41" t="s">
        <v>95</v>
      </c>
      <c r="B27" s="41" t="s">
        <v>99</v>
      </c>
      <c r="C27" s="276" t="s">
        <v>84</v>
      </c>
      <c r="D27" s="277"/>
      <c r="E27" s="16" t="s">
        <v>56</v>
      </c>
      <c r="F27" s="20">
        <v>1</v>
      </c>
      <c r="G27" s="20">
        <v>5</v>
      </c>
      <c r="H27" s="17">
        <v>95250</v>
      </c>
      <c r="I27" s="17">
        <f t="shared" si="0"/>
        <v>476250</v>
      </c>
      <c r="J27" s="136" t="s">
        <v>54</v>
      </c>
      <c r="K27" s="19"/>
      <c r="L27" s="34">
        <f t="shared" si="1"/>
        <v>333375</v>
      </c>
    </row>
    <row r="28" spans="1:12" s="15" customFormat="1" ht="12.95" customHeight="1">
      <c r="A28" s="41" t="s">
        <v>95</v>
      </c>
      <c r="B28" s="41" t="s">
        <v>98</v>
      </c>
      <c r="C28" s="280" t="s">
        <v>85</v>
      </c>
      <c r="D28" s="277"/>
      <c r="E28" s="16" t="s">
        <v>56</v>
      </c>
      <c r="F28" s="20">
        <v>1</v>
      </c>
      <c r="G28" s="20">
        <v>6</v>
      </c>
      <c r="H28" s="17">
        <v>95250</v>
      </c>
      <c r="I28" s="17">
        <f t="shared" si="0"/>
        <v>571500</v>
      </c>
      <c r="J28" s="136" t="s">
        <v>51</v>
      </c>
      <c r="K28" s="23" t="s">
        <v>86</v>
      </c>
      <c r="L28" s="34">
        <f t="shared" si="1"/>
        <v>400050</v>
      </c>
    </row>
    <row r="29" spans="1:12" s="15" customFormat="1" ht="12.95" customHeight="1">
      <c r="A29" s="41" t="s">
        <v>95</v>
      </c>
      <c r="B29" s="42" t="s">
        <v>97</v>
      </c>
      <c r="C29" s="284" t="s">
        <v>87</v>
      </c>
      <c r="D29" s="284"/>
      <c r="E29" s="21" t="s">
        <v>56</v>
      </c>
      <c r="F29" s="24">
        <v>1</v>
      </c>
      <c r="G29" s="24">
        <v>5</v>
      </c>
      <c r="H29" s="22">
        <v>95250</v>
      </c>
      <c r="I29" s="22">
        <f t="shared" si="0"/>
        <v>476250</v>
      </c>
      <c r="J29" s="134"/>
      <c r="K29" s="25"/>
      <c r="L29" s="34">
        <f t="shared" si="1"/>
        <v>333375</v>
      </c>
    </row>
    <row r="30" spans="1:12" s="35" customFormat="1" ht="12.95" customHeight="1">
      <c r="A30" s="41" t="s">
        <v>95</v>
      </c>
      <c r="B30" s="42" t="s">
        <v>97</v>
      </c>
      <c r="C30" s="285" t="s">
        <v>88</v>
      </c>
      <c r="D30" s="285"/>
      <c r="E30" s="37" t="s">
        <v>56</v>
      </c>
      <c r="F30" s="36">
        <v>1</v>
      </c>
      <c r="G30" s="36">
        <v>5</v>
      </c>
      <c r="H30" s="31">
        <v>95250</v>
      </c>
      <c r="I30" s="31">
        <f t="shared" si="0"/>
        <v>476250</v>
      </c>
      <c r="J30" s="135"/>
      <c r="K30" s="38"/>
      <c r="L30" s="34">
        <f t="shared" si="1"/>
        <v>333375</v>
      </c>
    </row>
    <row r="31" spans="1:12" s="35" customFormat="1" ht="12.95" customHeight="1">
      <c r="A31" s="41" t="s">
        <v>95</v>
      </c>
      <c r="B31" s="42" t="s">
        <v>97</v>
      </c>
      <c r="C31" s="285" t="s">
        <v>89</v>
      </c>
      <c r="D31" s="285"/>
      <c r="E31" s="37" t="s">
        <v>56</v>
      </c>
      <c r="F31" s="36">
        <v>1</v>
      </c>
      <c r="G31" s="36">
        <v>5</v>
      </c>
      <c r="H31" s="31">
        <v>95250</v>
      </c>
      <c r="I31" s="31">
        <f t="shared" si="0"/>
        <v>476250</v>
      </c>
      <c r="J31" s="135"/>
      <c r="K31" s="39"/>
      <c r="L31" s="34">
        <f t="shared" si="1"/>
        <v>333375</v>
      </c>
    </row>
    <row r="32" spans="1:12" s="35" customFormat="1" ht="12.95" customHeight="1">
      <c r="A32" s="41" t="s">
        <v>95</v>
      </c>
      <c r="B32" s="37" t="s">
        <v>93</v>
      </c>
      <c r="C32" s="285" t="s">
        <v>90</v>
      </c>
      <c r="D32" s="285"/>
      <c r="E32" s="37" t="s">
        <v>56</v>
      </c>
      <c r="F32" s="36">
        <v>2</v>
      </c>
      <c r="G32" s="36">
        <v>10</v>
      </c>
      <c r="H32" s="31">
        <v>95250</v>
      </c>
      <c r="I32" s="31">
        <f t="shared" si="0"/>
        <v>952500</v>
      </c>
      <c r="J32" s="135"/>
      <c r="K32" s="39"/>
      <c r="L32" s="34">
        <f t="shared" si="1"/>
        <v>666750</v>
      </c>
    </row>
    <row r="33" spans="1:12" s="35" customFormat="1" ht="12.95" customHeight="1">
      <c r="A33" s="37" t="s">
        <v>96</v>
      </c>
      <c r="B33" s="40" t="s">
        <v>100</v>
      </c>
      <c r="C33" s="272" t="s">
        <v>91</v>
      </c>
      <c r="D33" s="273"/>
      <c r="E33" s="37" t="s">
        <v>56</v>
      </c>
      <c r="F33" s="36">
        <v>1</v>
      </c>
      <c r="G33" s="36">
        <v>5</v>
      </c>
      <c r="H33" s="31">
        <v>95250</v>
      </c>
      <c r="I33" s="31">
        <f t="shared" si="0"/>
        <v>476250</v>
      </c>
      <c r="J33" s="135"/>
      <c r="K33" s="39"/>
      <c r="L33" s="34">
        <f t="shared" si="1"/>
        <v>333375</v>
      </c>
    </row>
    <row r="34" spans="1:12" s="35" customFormat="1" ht="12.95" customHeight="1">
      <c r="A34" s="37" t="s">
        <v>96</v>
      </c>
      <c r="B34" s="37" t="s">
        <v>97</v>
      </c>
      <c r="C34" s="272" t="s">
        <v>101</v>
      </c>
      <c r="D34" s="273"/>
      <c r="E34" s="37" t="s">
        <v>56</v>
      </c>
      <c r="F34" s="36">
        <v>1</v>
      </c>
      <c r="G34" s="36">
        <v>1</v>
      </c>
      <c r="H34" s="31">
        <v>95250</v>
      </c>
      <c r="I34" s="31">
        <f t="shared" si="0"/>
        <v>95250</v>
      </c>
      <c r="J34" s="135"/>
      <c r="K34" s="39"/>
      <c r="L34" s="34">
        <f t="shared" si="1"/>
        <v>66675</v>
      </c>
    </row>
    <row r="35" spans="1:12" s="35" customFormat="1" ht="12.95" customHeight="1">
      <c r="A35" s="37" t="s">
        <v>96</v>
      </c>
      <c r="B35" s="37" t="s">
        <v>97</v>
      </c>
      <c r="C35" s="272" t="s">
        <v>102</v>
      </c>
      <c r="D35" s="273"/>
      <c r="E35" s="37" t="s">
        <v>56</v>
      </c>
      <c r="F35" s="36">
        <v>1</v>
      </c>
      <c r="G35" s="36">
        <v>1</v>
      </c>
      <c r="H35" s="31">
        <v>95250</v>
      </c>
      <c r="I35" s="31">
        <f t="shared" si="0"/>
        <v>95250</v>
      </c>
      <c r="J35" s="135"/>
      <c r="K35" s="39"/>
      <c r="L35" s="34">
        <f t="shared" si="1"/>
        <v>66675</v>
      </c>
    </row>
    <row r="36" spans="1:12" s="35" customFormat="1" ht="12.95" customHeight="1">
      <c r="A36" s="37" t="s">
        <v>96</v>
      </c>
      <c r="B36" s="37" t="s">
        <v>97</v>
      </c>
      <c r="C36" s="272" t="s">
        <v>103</v>
      </c>
      <c r="D36" s="273"/>
      <c r="E36" s="37" t="s">
        <v>56</v>
      </c>
      <c r="F36" s="36">
        <v>1</v>
      </c>
      <c r="G36" s="36">
        <v>1</v>
      </c>
      <c r="H36" s="31">
        <v>95250</v>
      </c>
      <c r="I36" s="31">
        <f t="shared" si="0"/>
        <v>95250</v>
      </c>
      <c r="J36" s="135"/>
      <c r="K36" s="39"/>
      <c r="L36" s="34">
        <f t="shared" si="1"/>
        <v>66675</v>
      </c>
    </row>
    <row r="37" spans="1:12" s="35" customFormat="1" ht="12.95" customHeight="1">
      <c r="A37" s="37" t="s">
        <v>96</v>
      </c>
      <c r="B37" s="37" t="s">
        <v>97</v>
      </c>
      <c r="C37" s="272" t="s">
        <v>104</v>
      </c>
      <c r="D37" s="273"/>
      <c r="E37" s="37" t="s">
        <v>56</v>
      </c>
      <c r="F37" s="36">
        <v>1</v>
      </c>
      <c r="G37" s="36">
        <v>1</v>
      </c>
      <c r="H37" s="31">
        <v>95250</v>
      </c>
      <c r="I37" s="31">
        <f t="shared" si="0"/>
        <v>95250</v>
      </c>
      <c r="J37" s="135"/>
      <c r="K37" s="39"/>
      <c r="L37" s="34">
        <f t="shared" si="1"/>
        <v>66675</v>
      </c>
    </row>
    <row r="38" spans="1:12" s="35" customFormat="1" ht="12.95" customHeight="1">
      <c r="A38" s="37" t="s">
        <v>96</v>
      </c>
      <c r="B38" s="37" t="s">
        <v>97</v>
      </c>
      <c r="C38" s="272" t="s">
        <v>105</v>
      </c>
      <c r="D38" s="273"/>
      <c r="E38" s="37" t="s">
        <v>56</v>
      </c>
      <c r="F38" s="36">
        <v>1</v>
      </c>
      <c r="G38" s="36">
        <v>1</v>
      </c>
      <c r="H38" s="31">
        <v>95250</v>
      </c>
      <c r="I38" s="31">
        <f t="shared" si="0"/>
        <v>95250</v>
      </c>
      <c r="J38" s="135"/>
      <c r="K38" s="39"/>
      <c r="L38" s="34">
        <f t="shared" si="1"/>
        <v>66675</v>
      </c>
    </row>
    <row r="39" spans="1:12" s="35" customFormat="1" ht="12.95" customHeight="1">
      <c r="A39" s="37" t="s">
        <v>96</v>
      </c>
      <c r="B39" s="37" t="s">
        <v>97</v>
      </c>
      <c r="C39" s="272" t="s">
        <v>106</v>
      </c>
      <c r="D39" s="273"/>
      <c r="E39" s="37" t="s">
        <v>56</v>
      </c>
      <c r="F39" s="36">
        <v>1</v>
      </c>
      <c r="G39" s="36">
        <v>1</v>
      </c>
      <c r="H39" s="31">
        <v>95250</v>
      </c>
      <c r="I39" s="31">
        <f t="shared" si="0"/>
        <v>95250</v>
      </c>
      <c r="J39" s="135"/>
      <c r="K39" s="39"/>
      <c r="L39" s="34">
        <f t="shared" si="1"/>
        <v>66675</v>
      </c>
    </row>
    <row r="40" spans="1:12" s="35" customFormat="1" ht="12.95" customHeight="1">
      <c r="A40" s="37" t="s">
        <v>96</v>
      </c>
      <c r="B40" s="37" t="s">
        <v>97</v>
      </c>
      <c r="C40" s="272" t="s">
        <v>107</v>
      </c>
      <c r="D40" s="273"/>
      <c r="E40" s="37" t="s">
        <v>56</v>
      </c>
      <c r="F40" s="36">
        <v>1</v>
      </c>
      <c r="G40" s="36">
        <v>1</v>
      </c>
      <c r="H40" s="31">
        <v>95250</v>
      </c>
      <c r="I40" s="31">
        <f t="shared" si="0"/>
        <v>95250</v>
      </c>
      <c r="J40" s="135"/>
      <c r="K40" s="39"/>
      <c r="L40" s="34">
        <f t="shared" si="1"/>
        <v>66675</v>
      </c>
    </row>
    <row r="41" spans="1:12" s="35" customFormat="1" ht="12.95" customHeight="1">
      <c r="A41" s="37" t="s">
        <v>96</v>
      </c>
      <c r="B41" s="37" t="s">
        <v>97</v>
      </c>
      <c r="C41" s="272" t="s">
        <v>108</v>
      </c>
      <c r="D41" s="273"/>
      <c r="E41" s="37" t="s">
        <v>56</v>
      </c>
      <c r="F41" s="36">
        <v>1</v>
      </c>
      <c r="G41" s="36">
        <v>1</v>
      </c>
      <c r="H41" s="31">
        <v>95250</v>
      </c>
      <c r="I41" s="31">
        <f t="shared" si="0"/>
        <v>95250</v>
      </c>
      <c r="J41" s="135"/>
      <c r="K41" s="39"/>
      <c r="L41" s="34">
        <f t="shared" si="1"/>
        <v>66675</v>
      </c>
    </row>
    <row r="42" spans="1:12" s="35" customFormat="1" ht="12.95" customHeight="1">
      <c r="A42" s="37" t="s">
        <v>96</v>
      </c>
      <c r="B42" s="37" t="s">
        <v>97</v>
      </c>
      <c r="C42" s="272" t="s">
        <v>109</v>
      </c>
      <c r="D42" s="273"/>
      <c r="E42" s="37" t="s">
        <v>56</v>
      </c>
      <c r="F42" s="36">
        <v>1</v>
      </c>
      <c r="G42" s="36">
        <v>1</v>
      </c>
      <c r="H42" s="31">
        <v>95250</v>
      </c>
      <c r="I42" s="31">
        <f t="shared" si="0"/>
        <v>95250</v>
      </c>
      <c r="J42" s="135"/>
      <c r="K42" s="39"/>
      <c r="L42" s="34">
        <f t="shared" si="1"/>
        <v>66675</v>
      </c>
    </row>
    <row r="43" spans="1:12" s="35" customFormat="1" ht="12.95" customHeight="1">
      <c r="A43" s="37" t="s">
        <v>96</v>
      </c>
      <c r="B43" s="37" t="s">
        <v>97</v>
      </c>
      <c r="C43" s="272" t="s">
        <v>284</v>
      </c>
      <c r="D43" s="273"/>
      <c r="E43" s="37" t="s">
        <v>56</v>
      </c>
      <c r="F43" s="36">
        <v>1</v>
      </c>
      <c r="G43" s="36">
        <v>1</v>
      </c>
      <c r="H43" s="31">
        <v>95250</v>
      </c>
      <c r="I43" s="31">
        <f t="shared" si="0"/>
        <v>95250</v>
      </c>
      <c r="J43" s="135"/>
      <c r="K43" s="39"/>
      <c r="L43" s="34">
        <f t="shared" si="1"/>
        <v>66675</v>
      </c>
    </row>
    <row r="44" spans="1:12" s="35" customFormat="1" ht="12.95" customHeight="1">
      <c r="A44" s="37" t="s">
        <v>96</v>
      </c>
      <c r="B44" s="37" t="s">
        <v>97</v>
      </c>
      <c r="C44" s="272" t="s">
        <v>110</v>
      </c>
      <c r="D44" s="273"/>
      <c r="E44" s="37" t="s">
        <v>56</v>
      </c>
      <c r="F44" s="36">
        <v>1</v>
      </c>
      <c r="G44" s="36">
        <v>1</v>
      </c>
      <c r="H44" s="31">
        <v>95250</v>
      </c>
      <c r="I44" s="31">
        <f t="shared" si="0"/>
        <v>95250</v>
      </c>
      <c r="J44" s="135"/>
      <c r="K44" s="39"/>
      <c r="L44" s="34">
        <f t="shared" si="1"/>
        <v>66675</v>
      </c>
    </row>
    <row r="45" spans="1:12" s="35" customFormat="1" ht="12.95" customHeight="1">
      <c r="A45" s="37" t="s">
        <v>96</v>
      </c>
      <c r="B45" s="37" t="s">
        <v>97</v>
      </c>
      <c r="C45" s="272" t="s">
        <v>111</v>
      </c>
      <c r="D45" s="273"/>
      <c r="E45" s="37" t="s">
        <v>56</v>
      </c>
      <c r="F45" s="36">
        <v>1</v>
      </c>
      <c r="G45" s="36">
        <v>1</v>
      </c>
      <c r="H45" s="31">
        <v>95250</v>
      </c>
      <c r="I45" s="31">
        <f t="shared" si="0"/>
        <v>95250</v>
      </c>
      <c r="J45" s="135"/>
      <c r="K45" s="39"/>
      <c r="L45" s="34">
        <f t="shared" si="1"/>
        <v>66675</v>
      </c>
    </row>
    <row r="46" spans="1:12" s="35" customFormat="1" ht="12.95" customHeight="1">
      <c r="A46" s="37" t="s">
        <v>96</v>
      </c>
      <c r="B46" s="37" t="s">
        <v>97</v>
      </c>
      <c r="C46" s="272" t="s">
        <v>112</v>
      </c>
      <c r="D46" s="273"/>
      <c r="E46" s="37" t="s">
        <v>56</v>
      </c>
      <c r="F46" s="36">
        <v>1</v>
      </c>
      <c r="G46" s="36">
        <v>1</v>
      </c>
      <c r="H46" s="31">
        <v>95250</v>
      </c>
      <c r="I46" s="31">
        <f t="shared" si="0"/>
        <v>95250</v>
      </c>
      <c r="J46" s="135"/>
      <c r="K46" s="39"/>
      <c r="L46" s="34">
        <f t="shared" si="1"/>
        <v>66675</v>
      </c>
    </row>
    <row r="47" spans="1:12" s="35" customFormat="1" ht="12.95" customHeight="1">
      <c r="A47" s="37" t="s">
        <v>96</v>
      </c>
      <c r="B47" s="37" t="s">
        <v>97</v>
      </c>
      <c r="C47" s="272" t="s">
        <v>113</v>
      </c>
      <c r="D47" s="273"/>
      <c r="E47" s="37" t="s">
        <v>56</v>
      </c>
      <c r="F47" s="36">
        <v>1</v>
      </c>
      <c r="G47" s="36">
        <v>2</v>
      </c>
      <c r="H47" s="31">
        <v>95250</v>
      </c>
      <c r="I47" s="31">
        <f t="shared" si="0"/>
        <v>190500</v>
      </c>
      <c r="J47" s="135"/>
      <c r="K47" s="39"/>
      <c r="L47" s="34">
        <f t="shared" si="1"/>
        <v>133350</v>
      </c>
    </row>
    <row r="48" spans="1:12" s="35" customFormat="1" ht="12.95" customHeight="1">
      <c r="A48" s="37" t="s">
        <v>96</v>
      </c>
      <c r="B48" s="37" t="s">
        <v>114</v>
      </c>
      <c r="C48" s="272" t="s">
        <v>115</v>
      </c>
      <c r="D48" s="273"/>
      <c r="E48" s="37" t="s">
        <v>56</v>
      </c>
      <c r="F48" s="36">
        <v>1</v>
      </c>
      <c r="G48" s="36">
        <v>1</v>
      </c>
      <c r="H48" s="31">
        <v>95250</v>
      </c>
      <c r="I48" s="31">
        <f t="shared" si="0"/>
        <v>95250</v>
      </c>
      <c r="J48" s="135"/>
      <c r="K48" s="39"/>
      <c r="L48" s="34">
        <f t="shared" si="1"/>
        <v>66675</v>
      </c>
    </row>
    <row r="49" spans="1:12" s="35" customFormat="1" ht="12.95" customHeight="1">
      <c r="A49" s="37" t="s">
        <v>96</v>
      </c>
      <c r="B49" s="37" t="s">
        <v>114</v>
      </c>
      <c r="C49" s="272" t="s">
        <v>116</v>
      </c>
      <c r="D49" s="273"/>
      <c r="E49" s="37" t="s">
        <v>56</v>
      </c>
      <c r="F49" s="36">
        <v>1</v>
      </c>
      <c r="G49" s="36">
        <v>1</v>
      </c>
      <c r="H49" s="31">
        <v>95250</v>
      </c>
      <c r="I49" s="31">
        <f t="shared" si="0"/>
        <v>95250</v>
      </c>
      <c r="J49" s="135"/>
      <c r="K49" s="39"/>
      <c r="L49" s="34">
        <f t="shared" si="1"/>
        <v>66675</v>
      </c>
    </row>
    <row r="50" spans="1:12" s="35" customFormat="1" ht="12.95" customHeight="1">
      <c r="A50" s="37" t="s">
        <v>96</v>
      </c>
      <c r="B50" s="37" t="s">
        <v>99</v>
      </c>
      <c r="C50" s="272" t="s">
        <v>117</v>
      </c>
      <c r="D50" s="273"/>
      <c r="E50" s="37" t="s">
        <v>56</v>
      </c>
      <c r="F50" s="36">
        <v>1</v>
      </c>
      <c r="G50" s="36">
        <v>1</v>
      </c>
      <c r="H50" s="31">
        <v>95250</v>
      </c>
      <c r="I50" s="31">
        <f t="shared" si="0"/>
        <v>95250</v>
      </c>
      <c r="J50" s="135"/>
      <c r="K50" s="39"/>
      <c r="L50" s="34">
        <f t="shared" si="1"/>
        <v>66675</v>
      </c>
    </row>
    <row r="51" spans="1:12" s="15" customFormat="1" ht="12.95" customHeight="1">
      <c r="A51" s="281" t="s">
        <v>285</v>
      </c>
      <c r="B51" s="282"/>
      <c r="C51" s="282"/>
      <c r="D51" s="282"/>
      <c r="E51" s="283"/>
      <c r="F51" s="147">
        <f>SUM(F3:F50)</f>
        <v>52</v>
      </c>
      <c r="G51" s="147">
        <f t="shared" ref="G51:L51" si="2">SUM(G3:G50)</f>
        <v>198</v>
      </c>
      <c r="H51" s="147"/>
      <c r="I51" s="147">
        <f t="shared" si="2"/>
        <v>18859500</v>
      </c>
      <c r="J51" s="147">
        <f t="shared" si="2"/>
        <v>0</v>
      </c>
      <c r="K51" s="147">
        <f t="shared" si="2"/>
        <v>0</v>
      </c>
      <c r="L51" s="147">
        <f t="shared" si="2"/>
        <v>13201650</v>
      </c>
    </row>
  </sheetData>
  <autoFilter ref="A2:L51">
    <filterColumn colId="2" showButton="0"/>
  </autoFilter>
  <mergeCells count="44">
    <mergeCell ref="A1:L1"/>
    <mergeCell ref="C2:D2"/>
    <mergeCell ref="C5:D5"/>
    <mergeCell ref="C6:D6"/>
    <mergeCell ref="C7:D7"/>
    <mergeCell ref="C3:D3"/>
    <mergeCell ref="C4:D4"/>
    <mergeCell ref="C8:D8"/>
    <mergeCell ref="C29:D29"/>
    <mergeCell ref="C30:D30"/>
    <mergeCell ref="C31:D31"/>
    <mergeCell ref="C32:D32"/>
    <mergeCell ref="C9:D9"/>
    <mergeCell ref="C16:D16"/>
    <mergeCell ref="C17:D17"/>
    <mergeCell ref="C18:D18"/>
    <mergeCell ref="C19:D19"/>
    <mergeCell ref="C20:D20"/>
    <mergeCell ref="C10:D10"/>
    <mergeCell ref="A51:E51"/>
    <mergeCell ref="C33:D33"/>
    <mergeCell ref="C39:D39"/>
    <mergeCell ref="C40:D40"/>
    <mergeCell ref="C41:D41"/>
    <mergeCell ref="C43:D43"/>
    <mergeCell ref="C44:D44"/>
    <mergeCell ref="C45:D45"/>
    <mergeCell ref="C46:D46"/>
    <mergeCell ref="C48:D48"/>
    <mergeCell ref="C34:D34"/>
    <mergeCell ref="C35:D35"/>
    <mergeCell ref="C36:D36"/>
    <mergeCell ref="C37:D37"/>
    <mergeCell ref="C38:D38"/>
    <mergeCell ref="C42:D42"/>
    <mergeCell ref="C49:D49"/>
    <mergeCell ref="C50:D50"/>
    <mergeCell ref="C21:D21"/>
    <mergeCell ref="C22:D22"/>
    <mergeCell ref="C25:D25"/>
    <mergeCell ref="C26:D26"/>
    <mergeCell ref="C27:D27"/>
    <mergeCell ref="C28:D28"/>
    <mergeCell ref="C47:D4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A24" sqref="A24:XFD112"/>
    </sheetView>
  </sheetViews>
  <sheetFormatPr defaultColWidth="9" defaultRowHeight="16.5" outlineLevelRow="2"/>
  <cols>
    <col min="1" max="1" width="35.375" style="44" customWidth="1"/>
    <col min="2" max="2" width="11.125" style="44" customWidth="1"/>
    <col min="3" max="3" width="10.375" style="44" customWidth="1"/>
    <col min="4" max="4" width="11.5" style="44" customWidth="1"/>
    <col min="5" max="5" width="13.125" style="44" customWidth="1"/>
    <col min="6" max="6" width="13.625" style="50" customWidth="1"/>
    <col min="7" max="7" width="9.125" style="44" customWidth="1"/>
    <col min="8" max="9" width="12.875" style="44" customWidth="1"/>
    <col min="10" max="10" width="9" style="44"/>
    <col min="11" max="11" width="11.625" style="44" customWidth="1"/>
    <col min="12" max="16384" width="9" style="44"/>
  </cols>
  <sheetData>
    <row r="1" spans="1:11" ht="28.5" customHeight="1">
      <c r="A1" s="293" t="s">
        <v>267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31.5" customHeight="1">
      <c r="A2" s="148" t="s">
        <v>118</v>
      </c>
      <c r="B2" s="148" t="s">
        <v>119</v>
      </c>
      <c r="C2" s="148" t="s">
        <v>120</v>
      </c>
      <c r="D2" s="148" t="s">
        <v>121</v>
      </c>
      <c r="E2" s="148" t="s">
        <v>122</v>
      </c>
      <c r="F2" s="149" t="s">
        <v>123</v>
      </c>
      <c r="G2" s="148" t="s">
        <v>124</v>
      </c>
      <c r="H2" s="148" t="s">
        <v>125</v>
      </c>
      <c r="I2" s="148" t="s">
        <v>126</v>
      </c>
      <c r="J2" s="148" t="s">
        <v>127</v>
      </c>
      <c r="K2" s="148" t="s">
        <v>128</v>
      </c>
    </row>
    <row r="3" spans="1:11" outlineLevel="2">
      <c r="A3" s="46" t="s">
        <v>31</v>
      </c>
      <c r="B3" s="46" t="s">
        <v>129</v>
      </c>
      <c r="C3" s="46" t="s">
        <v>130</v>
      </c>
      <c r="D3" s="47" t="s">
        <v>134</v>
      </c>
      <c r="E3" s="48">
        <v>0</v>
      </c>
      <c r="F3" s="48">
        <v>16</v>
      </c>
      <c r="G3" s="45">
        <v>16</v>
      </c>
      <c r="H3" s="48">
        <v>109</v>
      </c>
      <c r="I3" s="48">
        <v>170</v>
      </c>
      <c r="J3" s="48">
        <v>12</v>
      </c>
      <c r="K3" s="48">
        <f t="shared" ref="K3:K31" si="0">E3*H3*J3+F3*I3*J3</f>
        <v>32640</v>
      </c>
    </row>
    <row r="4" spans="1:11" outlineLevel="2">
      <c r="A4" s="46" t="s">
        <v>33</v>
      </c>
      <c r="B4" s="46" t="s">
        <v>129</v>
      </c>
      <c r="C4" s="46" t="s">
        <v>130</v>
      </c>
      <c r="D4" s="47" t="s">
        <v>134</v>
      </c>
      <c r="E4" s="48">
        <v>0</v>
      </c>
      <c r="F4" s="48">
        <v>16</v>
      </c>
      <c r="G4" s="45">
        <v>16</v>
      </c>
      <c r="H4" s="48">
        <v>109</v>
      </c>
      <c r="I4" s="48">
        <v>170</v>
      </c>
      <c r="J4" s="48">
        <v>12</v>
      </c>
      <c r="K4" s="48">
        <f t="shared" si="0"/>
        <v>32640</v>
      </c>
    </row>
    <row r="5" spans="1:11" outlineLevel="2">
      <c r="A5" s="46" t="s">
        <v>135</v>
      </c>
      <c r="B5" s="46" t="s">
        <v>131</v>
      </c>
      <c r="C5" s="46" t="s">
        <v>130</v>
      </c>
      <c r="D5" s="47" t="s">
        <v>134</v>
      </c>
      <c r="E5" s="48">
        <v>0</v>
      </c>
      <c r="F5" s="48">
        <v>16</v>
      </c>
      <c r="G5" s="45">
        <v>16</v>
      </c>
      <c r="H5" s="48">
        <v>109</v>
      </c>
      <c r="I5" s="48">
        <v>170</v>
      </c>
      <c r="J5" s="48">
        <v>12</v>
      </c>
      <c r="K5" s="48">
        <f t="shared" si="0"/>
        <v>32640</v>
      </c>
    </row>
    <row r="6" spans="1:11" outlineLevel="2">
      <c r="A6" s="46" t="s">
        <v>136</v>
      </c>
      <c r="B6" s="46" t="s">
        <v>131</v>
      </c>
      <c r="C6" s="46" t="s">
        <v>130</v>
      </c>
      <c r="D6" s="47" t="s">
        <v>134</v>
      </c>
      <c r="E6" s="48">
        <v>0</v>
      </c>
      <c r="F6" s="48">
        <v>16</v>
      </c>
      <c r="G6" s="45">
        <v>16</v>
      </c>
      <c r="H6" s="48">
        <v>109</v>
      </c>
      <c r="I6" s="48">
        <v>170</v>
      </c>
      <c r="J6" s="48">
        <v>12</v>
      </c>
      <c r="K6" s="48">
        <f t="shared" si="0"/>
        <v>32640</v>
      </c>
    </row>
    <row r="7" spans="1:11" outlineLevel="2">
      <c r="A7" s="46" t="s">
        <v>30</v>
      </c>
      <c r="B7" s="46" t="s">
        <v>129</v>
      </c>
      <c r="C7" s="46" t="s">
        <v>130</v>
      </c>
      <c r="D7" s="47" t="s">
        <v>134</v>
      </c>
      <c r="E7" s="48">
        <v>0</v>
      </c>
      <c r="F7" s="48">
        <v>16</v>
      </c>
      <c r="G7" s="45">
        <v>16</v>
      </c>
      <c r="H7" s="48">
        <v>109</v>
      </c>
      <c r="I7" s="48">
        <v>170</v>
      </c>
      <c r="J7" s="48">
        <v>12</v>
      </c>
      <c r="K7" s="48">
        <f t="shared" si="0"/>
        <v>32640</v>
      </c>
    </row>
    <row r="8" spans="1:11" outlineLevel="2">
      <c r="A8" s="46" t="s">
        <v>137</v>
      </c>
      <c r="B8" s="46" t="s">
        <v>129</v>
      </c>
      <c r="C8" s="46" t="s">
        <v>130</v>
      </c>
      <c r="D8" s="47" t="s">
        <v>134</v>
      </c>
      <c r="E8" s="48">
        <v>0</v>
      </c>
      <c r="F8" s="48">
        <v>16</v>
      </c>
      <c r="G8" s="45">
        <v>16</v>
      </c>
      <c r="H8" s="48">
        <v>109</v>
      </c>
      <c r="I8" s="48">
        <v>170</v>
      </c>
      <c r="J8" s="48">
        <v>12</v>
      </c>
      <c r="K8" s="48">
        <f t="shared" si="0"/>
        <v>32640</v>
      </c>
    </row>
    <row r="9" spans="1:11" outlineLevel="2">
      <c r="A9" s="46" t="s">
        <v>138</v>
      </c>
      <c r="B9" s="46" t="s">
        <v>129</v>
      </c>
      <c r="C9" s="46" t="s">
        <v>130</v>
      </c>
      <c r="D9" s="47" t="s">
        <v>134</v>
      </c>
      <c r="E9" s="48">
        <v>0</v>
      </c>
      <c r="F9" s="48">
        <v>16</v>
      </c>
      <c r="G9" s="45">
        <v>16</v>
      </c>
      <c r="H9" s="48">
        <v>109</v>
      </c>
      <c r="I9" s="48">
        <v>170</v>
      </c>
      <c r="J9" s="48">
        <v>12</v>
      </c>
      <c r="K9" s="48">
        <f t="shared" si="0"/>
        <v>32640</v>
      </c>
    </row>
    <row r="10" spans="1:11" outlineLevel="2">
      <c r="A10" s="46" t="s">
        <v>38</v>
      </c>
      <c r="B10" s="46" t="s">
        <v>131</v>
      </c>
      <c r="C10" s="46" t="s">
        <v>130</v>
      </c>
      <c r="D10" s="47" t="s">
        <v>134</v>
      </c>
      <c r="E10" s="48">
        <v>0</v>
      </c>
      <c r="F10" s="48">
        <v>16</v>
      </c>
      <c r="G10" s="45">
        <v>16</v>
      </c>
      <c r="H10" s="48">
        <v>109</v>
      </c>
      <c r="I10" s="48">
        <v>170</v>
      </c>
      <c r="J10" s="48">
        <v>12</v>
      </c>
      <c r="K10" s="48">
        <f t="shared" si="0"/>
        <v>32640</v>
      </c>
    </row>
    <row r="11" spans="1:11" outlineLevel="2">
      <c r="A11" s="46" t="s">
        <v>35</v>
      </c>
      <c r="B11" s="46" t="s">
        <v>131</v>
      </c>
      <c r="C11" s="46" t="s">
        <v>130</v>
      </c>
      <c r="D11" s="47" t="s">
        <v>134</v>
      </c>
      <c r="E11" s="48">
        <v>0</v>
      </c>
      <c r="F11" s="48">
        <v>16</v>
      </c>
      <c r="G11" s="45">
        <v>16</v>
      </c>
      <c r="H11" s="48">
        <v>109</v>
      </c>
      <c r="I11" s="48">
        <v>170</v>
      </c>
      <c r="J11" s="48">
        <v>12</v>
      </c>
      <c r="K11" s="48">
        <f t="shared" si="0"/>
        <v>32640</v>
      </c>
    </row>
    <row r="12" spans="1:11" outlineLevel="2">
      <c r="A12" s="46" t="s">
        <v>139</v>
      </c>
      <c r="B12" s="46" t="s">
        <v>131</v>
      </c>
      <c r="C12" s="46" t="s">
        <v>130</v>
      </c>
      <c r="D12" s="47" t="s">
        <v>134</v>
      </c>
      <c r="E12" s="48">
        <v>0</v>
      </c>
      <c r="F12" s="48">
        <v>16</v>
      </c>
      <c r="G12" s="45">
        <v>16</v>
      </c>
      <c r="H12" s="48">
        <v>109</v>
      </c>
      <c r="I12" s="48">
        <v>170</v>
      </c>
      <c r="J12" s="48">
        <v>12</v>
      </c>
      <c r="K12" s="48">
        <f t="shared" si="0"/>
        <v>32640</v>
      </c>
    </row>
    <row r="13" spans="1:11" outlineLevel="2">
      <c r="A13" s="46" t="s">
        <v>140</v>
      </c>
      <c r="B13" s="46" t="s">
        <v>129</v>
      </c>
      <c r="C13" s="46" t="s">
        <v>130</v>
      </c>
      <c r="D13" s="47" t="s">
        <v>134</v>
      </c>
      <c r="E13" s="48">
        <v>0</v>
      </c>
      <c r="F13" s="48">
        <v>16</v>
      </c>
      <c r="G13" s="45">
        <v>16</v>
      </c>
      <c r="H13" s="48">
        <v>109</v>
      </c>
      <c r="I13" s="48">
        <v>170</v>
      </c>
      <c r="J13" s="48">
        <v>12</v>
      </c>
      <c r="K13" s="48">
        <f t="shared" si="0"/>
        <v>32640</v>
      </c>
    </row>
    <row r="14" spans="1:11" outlineLevel="2">
      <c r="A14" s="46" t="s">
        <v>141</v>
      </c>
      <c r="B14" s="46" t="s">
        <v>129</v>
      </c>
      <c r="C14" s="46" t="s">
        <v>130</v>
      </c>
      <c r="D14" s="47" t="s">
        <v>134</v>
      </c>
      <c r="E14" s="48">
        <v>4</v>
      </c>
      <c r="F14" s="48">
        <v>12</v>
      </c>
      <c r="G14" s="45">
        <v>16</v>
      </c>
      <c r="H14" s="48">
        <v>109</v>
      </c>
      <c r="I14" s="48">
        <v>170</v>
      </c>
      <c r="J14" s="48">
        <v>12</v>
      </c>
      <c r="K14" s="48">
        <f t="shared" si="0"/>
        <v>29712</v>
      </c>
    </row>
    <row r="15" spans="1:11" outlineLevel="2">
      <c r="A15" s="45" t="s">
        <v>142</v>
      </c>
      <c r="B15" s="46" t="s">
        <v>133</v>
      </c>
      <c r="C15" s="46" t="s">
        <v>130</v>
      </c>
      <c r="D15" s="47" t="s">
        <v>134</v>
      </c>
      <c r="E15" s="48">
        <v>7</v>
      </c>
      <c r="F15" s="48">
        <v>9</v>
      </c>
      <c r="G15" s="45">
        <v>16</v>
      </c>
      <c r="H15" s="48">
        <v>109</v>
      </c>
      <c r="I15" s="48">
        <v>170</v>
      </c>
      <c r="J15" s="48">
        <v>12</v>
      </c>
      <c r="K15" s="48">
        <f t="shared" si="0"/>
        <v>27516</v>
      </c>
    </row>
    <row r="16" spans="1:11" outlineLevel="2">
      <c r="A16" s="45" t="s">
        <v>143</v>
      </c>
      <c r="B16" s="46" t="s">
        <v>133</v>
      </c>
      <c r="C16" s="46" t="s">
        <v>130</v>
      </c>
      <c r="D16" s="47" t="s">
        <v>134</v>
      </c>
      <c r="E16" s="48">
        <v>8</v>
      </c>
      <c r="F16" s="48">
        <v>8</v>
      </c>
      <c r="G16" s="45">
        <v>16</v>
      </c>
      <c r="H16" s="48">
        <v>109</v>
      </c>
      <c r="I16" s="48">
        <v>170</v>
      </c>
      <c r="J16" s="48">
        <v>12</v>
      </c>
      <c r="K16" s="48">
        <f t="shared" si="0"/>
        <v>26784</v>
      </c>
    </row>
    <row r="17" spans="1:11" outlineLevel="2">
      <c r="A17" s="45" t="s">
        <v>28</v>
      </c>
      <c r="B17" s="46" t="s">
        <v>133</v>
      </c>
      <c r="C17" s="46" t="s">
        <v>130</v>
      </c>
      <c r="D17" s="47" t="s">
        <v>134</v>
      </c>
      <c r="E17" s="48">
        <v>2</v>
      </c>
      <c r="F17" s="48">
        <v>14</v>
      </c>
      <c r="G17" s="45">
        <v>16</v>
      </c>
      <c r="H17" s="48">
        <v>109</v>
      </c>
      <c r="I17" s="48">
        <v>170</v>
      </c>
      <c r="J17" s="48">
        <v>12</v>
      </c>
      <c r="K17" s="48">
        <f t="shared" si="0"/>
        <v>31176</v>
      </c>
    </row>
    <row r="18" spans="1:11" outlineLevel="2">
      <c r="A18" s="45" t="s">
        <v>144</v>
      </c>
      <c r="B18" s="46" t="s">
        <v>133</v>
      </c>
      <c r="C18" s="46" t="s">
        <v>130</v>
      </c>
      <c r="D18" s="47" t="s">
        <v>134</v>
      </c>
      <c r="E18" s="48">
        <v>7</v>
      </c>
      <c r="F18" s="48">
        <v>9</v>
      </c>
      <c r="G18" s="45">
        <v>16</v>
      </c>
      <c r="H18" s="48">
        <v>109</v>
      </c>
      <c r="I18" s="48">
        <v>170</v>
      </c>
      <c r="J18" s="48">
        <v>12</v>
      </c>
      <c r="K18" s="48">
        <f t="shared" si="0"/>
        <v>27516</v>
      </c>
    </row>
    <row r="19" spans="1:11" outlineLevel="2">
      <c r="A19" s="45" t="s">
        <v>145</v>
      </c>
      <c r="B19" s="46" t="s">
        <v>133</v>
      </c>
      <c r="C19" s="46" t="s">
        <v>130</v>
      </c>
      <c r="D19" s="47" t="s">
        <v>134</v>
      </c>
      <c r="E19" s="48">
        <v>10</v>
      </c>
      <c r="F19" s="48">
        <v>6</v>
      </c>
      <c r="G19" s="45">
        <v>16</v>
      </c>
      <c r="H19" s="48">
        <v>109</v>
      </c>
      <c r="I19" s="48">
        <v>170</v>
      </c>
      <c r="J19" s="48">
        <v>12</v>
      </c>
      <c r="K19" s="48">
        <f t="shared" si="0"/>
        <v>25320</v>
      </c>
    </row>
    <row r="20" spans="1:11" outlineLevel="2">
      <c r="A20" s="45" t="s">
        <v>146</v>
      </c>
      <c r="B20" s="46" t="s">
        <v>133</v>
      </c>
      <c r="C20" s="46" t="s">
        <v>130</v>
      </c>
      <c r="D20" s="47" t="s">
        <v>134</v>
      </c>
      <c r="E20" s="48">
        <v>9</v>
      </c>
      <c r="F20" s="48">
        <v>7</v>
      </c>
      <c r="G20" s="45">
        <v>16</v>
      </c>
      <c r="H20" s="48">
        <v>109</v>
      </c>
      <c r="I20" s="48">
        <v>170</v>
      </c>
      <c r="J20" s="48">
        <v>12</v>
      </c>
      <c r="K20" s="48">
        <f t="shared" si="0"/>
        <v>26052</v>
      </c>
    </row>
    <row r="21" spans="1:11" outlineLevel="2">
      <c r="A21" s="45" t="s">
        <v>147</v>
      </c>
      <c r="B21" s="46" t="s">
        <v>133</v>
      </c>
      <c r="C21" s="46" t="s">
        <v>130</v>
      </c>
      <c r="D21" s="47" t="s">
        <v>134</v>
      </c>
      <c r="E21" s="48">
        <v>9</v>
      </c>
      <c r="F21" s="48">
        <v>7</v>
      </c>
      <c r="G21" s="45">
        <v>16</v>
      </c>
      <c r="H21" s="48">
        <v>109</v>
      </c>
      <c r="I21" s="48">
        <v>170</v>
      </c>
      <c r="J21" s="48">
        <v>12</v>
      </c>
      <c r="K21" s="48">
        <f t="shared" si="0"/>
        <v>26052</v>
      </c>
    </row>
    <row r="22" spans="1:11" outlineLevel="2">
      <c r="A22" s="45" t="s">
        <v>148</v>
      </c>
      <c r="B22" s="46" t="s">
        <v>133</v>
      </c>
      <c r="C22" s="46" t="s">
        <v>130</v>
      </c>
      <c r="D22" s="47" t="s">
        <v>134</v>
      </c>
      <c r="E22" s="48">
        <v>10</v>
      </c>
      <c r="F22" s="48">
        <v>6</v>
      </c>
      <c r="G22" s="45">
        <v>16</v>
      </c>
      <c r="H22" s="48">
        <v>109</v>
      </c>
      <c r="I22" s="48">
        <v>170</v>
      </c>
      <c r="J22" s="48">
        <v>12</v>
      </c>
      <c r="K22" s="48">
        <f t="shared" si="0"/>
        <v>25320</v>
      </c>
    </row>
    <row r="23" spans="1:11" outlineLevel="2">
      <c r="A23" s="45" t="s">
        <v>149</v>
      </c>
      <c r="B23" s="46" t="s">
        <v>133</v>
      </c>
      <c r="C23" s="46" t="s">
        <v>130</v>
      </c>
      <c r="D23" s="47" t="s">
        <v>134</v>
      </c>
      <c r="E23" s="48">
        <v>5</v>
      </c>
      <c r="F23" s="48">
        <v>11</v>
      </c>
      <c r="G23" s="45">
        <v>16</v>
      </c>
      <c r="H23" s="48">
        <v>109</v>
      </c>
      <c r="I23" s="48">
        <v>170</v>
      </c>
      <c r="J23" s="48">
        <v>12</v>
      </c>
      <c r="K23" s="48">
        <f t="shared" si="0"/>
        <v>28980</v>
      </c>
    </row>
    <row r="24" spans="1:11" outlineLevel="2">
      <c r="A24" s="45" t="s">
        <v>150</v>
      </c>
      <c r="B24" s="46" t="s">
        <v>133</v>
      </c>
      <c r="C24" s="46" t="s">
        <v>130</v>
      </c>
      <c r="D24" s="47" t="s">
        <v>134</v>
      </c>
      <c r="E24" s="48">
        <v>4</v>
      </c>
      <c r="F24" s="48">
        <v>12</v>
      </c>
      <c r="G24" s="45">
        <v>16</v>
      </c>
      <c r="H24" s="48">
        <v>109</v>
      </c>
      <c r="I24" s="48">
        <v>170</v>
      </c>
      <c r="J24" s="48">
        <v>12</v>
      </c>
      <c r="K24" s="48">
        <f t="shared" si="0"/>
        <v>29712</v>
      </c>
    </row>
    <row r="25" spans="1:11" outlineLevel="2">
      <c r="A25" s="45" t="s">
        <v>151</v>
      </c>
      <c r="B25" s="46" t="s">
        <v>133</v>
      </c>
      <c r="C25" s="46" t="s">
        <v>130</v>
      </c>
      <c r="D25" s="47" t="s">
        <v>134</v>
      </c>
      <c r="E25" s="48">
        <v>9</v>
      </c>
      <c r="F25" s="48">
        <v>7</v>
      </c>
      <c r="G25" s="45">
        <v>16</v>
      </c>
      <c r="H25" s="48">
        <v>109</v>
      </c>
      <c r="I25" s="48">
        <v>170</v>
      </c>
      <c r="J25" s="48">
        <v>12</v>
      </c>
      <c r="K25" s="48">
        <f t="shared" si="0"/>
        <v>26052</v>
      </c>
    </row>
    <row r="26" spans="1:11" outlineLevel="2">
      <c r="A26" s="45" t="s">
        <v>152</v>
      </c>
      <c r="B26" s="46" t="s">
        <v>133</v>
      </c>
      <c r="C26" s="46" t="s">
        <v>130</v>
      </c>
      <c r="D26" s="47" t="s">
        <v>134</v>
      </c>
      <c r="E26" s="48">
        <v>4</v>
      </c>
      <c r="F26" s="48">
        <v>12</v>
      </c>
      <c r="G26" s="45">
        <v>16</v>
      </c>
      <c r="H26" s="48">
        <v>109</v>
      </c>
      <c r="I26" s="48">
        <v>170</v>
      </c>
      <c r="J26" s="48">
        <v>12</v>
      </c>
      <c r="K26" s="48">
        <f t="shared" si="0"/>
        <v>29712</v>
      </c>
    </row>
    <row r="27" spans="1:11" outlineLevel="2">
      <c r="A27" s="45" t="s">
        <v>153</v>
      </c>
      <c r="B27" s="46" t="s">
        <v>133</v>
      </c>
      <c r="C27" s="46" t="s">
        <v>130</v>
      </c>
      <c r="D27" s="47" t="s">
        <v>134</v>
      </c>
      <c r="E27" s="48">
        <v>4</v>
      </c>
      <c r="F27" s="48">
        <v>12</v>
      </c>
      <c r="G27" s="45">
        <v>16</v>
      </c>
      <c r="H27" s="48">
        <v>109</v>
      </c>
      <c r="I27" s="48">
        <v>170</v>
      </c>
      <c r="J27" s="48">
        <v>12</v>
      </c>
      <c r="K27" s="48">
        <f t="shared" si="0"/>
        <v>29712</v>
      </c>
    </row>
    <row r="28" spans="1:11" outlineLevel="2">
      <c r="A28" s="46" t="s">
        <v>154</v>
      </c>
      <c r="B28" s="46" t="s">
        <v>129</v>
      </c>
      <c r="C28" s="46" t="s">
        <v>130</v>
      </c>
      <c r="D28" s="47" t="s">
        <v>134</v>
      </c>
      <c r="E28" s="48">
        <v>0</v>
      </c>
      <c r="F28" s="48">
        <v>16</v>
      </c>
      <c r="G28" s="48">
        <v>16</v>
      </c>
      <c r="H28" s="48">
        <v>109</v>
      </c>
      <c r="I28" s="48">
        <v>170</v>
      </c>
      <c r="J28" s="48">
        <v>12</v>
      </c>
      <c r="K28" s="48">
        <f t="shared" si="0"/>
        <v>32640</v>
      </c>
    </row>
    <row r="29" spans="1:11" outlineLevel="2">
      <c r="A29" s="46" t="s">
        <v>155</v>
      </c>
      <c r="B29" s="46" t="s">
        <v>286</v>
      </c>
      <c r="C29" s="46" t="s">
        <v>130</v>
      </c>
      <c r="D29" s="47" t="s">
        <v>134</v>
      </c>
      <c r="E29" s="48">
        <v>8</v>
      </c>
      <c r="F29" s="48">
        <v>8</v>
      </c>
      <c r="G29" s="48">
        <v>16</v>
      </c>
      <c r="H29" s="48">
        <v>109</v>
      </c>
      <c r="I29" s="48">
        <v>170</v>
      </c>
      <c r="J29" s="48">
        <v>12</v>
      </c>
      <c r="K29" s="48">
        <f t="shared" si="0"/>
        <v>26784</v>
      </c>
    </row>
    <row r="30" spans="1:11" outlineLevel="2">
      <c r="A30" s="48" t="s">
        <v>90</v>
      </c>
      <c r="B30" s="46" t="s">
        <v>131</v>
      </c>
      <c r="C30" s="46" t="s">
        <v>130</v>
      </c>
      <c r="D30" s="48" t="s">
        <v>134</v>
      </c>
      <c r="E30" s="48">
        <v>0</v>
      </c>
      <c r="F30" s="48">
        <v>16</v>
      </c>
      <c r="G30" s="45">
        <v>16</v>
      </c>
      <c r="H30" s="48">
        <v>109</v>
      </c>
      <c r="I30" s="48">
        <v>170</v>
      </c>
      <c r="J30" s="48">
        <v>12</v>
      </c>
      <c r="K30" s="48">
        <f t="shared" si="0"/>
        <v>32640</v>
      </c>
    </row>
    <row r="31" spans="1:11" outlineLevel="2">
      <c r="A31" s="48" t="s">
        <v>157</v>
      </c>
      <c r="B31" s="46" t="s">
        <v>133</v>
      </c>
      <c r="C31" s="46" t="s">
        <v>130</v>
      </c>
      <c r="D31" s="48" t="s">
        <v>134</v>
      </c>
      <c r="E31" s="48">
        <v>0</v>
      </c>
      <c r="F31" s="48">
        <v>16</v>
      </c>
      <c r="G31" s="45">
        <v>16</v>
      </c>
      <c r="H31" s="48">
        <v>109</v>
      </c>
      <c r="I31" s="48">
        <v>170</v>
      </c>
      <c r="J31" s="48">
        <v>12</v>
      </c>
      <c r="K31" s="48">
        <f t="shared" si="0"/>
        <v>32640</v>
      </c>
    </row>
    <row r="32" spans="1:11" outlineLevel="2">
      <c r="A32" s="48" t="s">
        <v>156</v>
      </c>
      <c r="B32" s="46" t="s">
        <v>133</v>
      </c>
      <c r="C32" s="46" t="s">
        <v>130</v>
      </c>
      <c r="D32" s="48" t="s">
        <v>134</v>
      </c>
      <c r="E32" s="48">
        <v>16</v>
      </c>
      <c r="F32" s="48">
        <v>0</v>
      </c>
      <c r="G32" s="45">
        <v>16</v>
      </c>
      <c r="H32" s="48">
        <v>109</v>
      </c>
      <c r="I32" s="48">
        <v>170</v>
      </c>
      <c r="J32" s="48">
        <v>12</v>
      </c>
      <c r="K32" s="48">
        <f>E32*H32*J32+F32*I32*J32</f>
        <v>20928</v>
      </c>
    </row>
    <row r="33" spans="1:11" outlineLevel="2">
      <c r="A33" s="49" t="s">
        <v>159</v>
      </c>
      <c r="B33" s="48" t="s">
        <v>132</v>
      </c>
      <c r="C33" s="46" t="s">
        <v>130</v>
      </c>
      <c r="D33" s="46" t="s">
        <v>134</v>
      </c>
      <c r="E33" s="48">
        <v>0</v>
      </c>
      <c r="F33" s="48">
        <v>16</v>
      </c>
      <c r="G33" s="45">
        <v>16</v>
      </c>
      <c r="H33" s="48">
        <v>109</v>
      </c>
      <c r="I33" s="48">
        <v>170</v>
      </c>
      <c r="J33" s="48">
        <v>12</v>
      </c>
      <c r="K33" s="48">
        <f>E33*H33*J33+F33*I33*J33</f>
        <v>32640</v>
      </c>
    </row>
    <row r="34" spans="1:11" outlineLevel="2">
      <c r="A34" s="49" t="s">
        <v>158</v>
      </c>
      <c r="B34" s="48" t="s">
        <v>133</v>
      </c>
      <c r="C34" s="46" t="s">
        <v>130</v>
      </c>
      <c r="D34" s="46" t="s">
        <v>134</v>
      </c>
      <c r="E34" s="48">
        <v>13</v>
      </c>
      <c r="F34" s="48">
        <v>3</v>
      </c>
      <c r="G34" s="45">
        <v>16</v>
      </c>
      <c r="H34" s="48">
        <v>109</v>
      </c>
      <c r="I34" s="48">
        <v>170</v>
      </c>
      <c r="J34" s="48">
        <v>12</v>
      </c>
      <c r="K34" s="48">
        <f>E34*H34*J34+F34*I34*J34</f>
        <v>23124</v>
      </c>
    </row>
    <row r="35" spans="1:11" outlineLevel="1">
      <c r="A35" s="152"/>
      <c r="B35" s="151"/>
      <c r="C35" s="150"/>
      <c r="D35" s="150" t="s">
        <v>160</v>
      </c>
      <c r="E35" s="151"/>
      <c r="F35" s="151"/>
      <c r="G35" s="148"/>
      <c r="H35" s="151"/>
      <c r="I35" s="151"/>
      <c r="J35" s="151"/>
      <c r="K35" s="151">
        <f>SUBTOTAL(9,K3:K34)</f>
        <v>950052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1" workbookViewId="0">
      <selection activeCell="A24" sqref="A24:XFD112"/>
    </sheetView>
  </sheetViews>
  <sheetFormatPr defaultColWidth="9" defaultRowHeight="13.5" outlineLevelRow="2"/>
  <cols>
    <col min="1" max="1" width="5.25" style="153" hidden="1" customWidth="1"/>
    <col min="2" max="2" width="10.875" style="153" customWidth="1"/>
    <col min="3" max="3" width="15.625" style="153" customWidth="1"/>
    <col min="4" max="4" width="26.875" style="153" customWidth="1"/>
    <col min="5" max="5" width="8.375" style="153" customWidth="1"/>
    <col min="6" max="6" width="8.625" style="153" customWidth="1"/>
    <col min="7" max="7" width="16.375" style="153" customWidth="1"/>
    <col min="8" max="8" width="17.5" style="153" customWidth="1"/>
    <col min="9" max="9" width="11.375" style="153" customWidth="1"/>
    <col min="10" max="10" width="15.375" style="153" bestFit="1" customWidth="1"/>
    <col min="11" max="16384" width="9" style="153"/>
  </cols>
  <sheetData>
    <row r="1" spans="1:9" ht="27.75" customHeight="1">
      <c r="A1" s="294" t="s">
        <v>192</v>
      </c>
      <c r="B1" s="294"/>
      <c r="C1" s="294"/>
      <c r="D1" s="294"/>
      <c r="E1" s="294"/>
      <c r="F1" s="294"/>
      <c r="G1" s="294"/>
      <c r="H1" s="294"/>
      <c r="I1" s="294"/>
    </row>
    <row r="2" spans="1:9" ht="24">
      <c r="A2" s="51" t="s">
        <v>164</v>
      </c>
      <c r="B2" s="154" t="s">
        <v>0</v>
      </c>
      <c r="C2" s="154" t="s">
        <v>165</v>
      </c>
      <c r="D2" s="154" t="s">
        <v>118</v>
      </c>
      <c r="E2" s="154" t="s">
        <v>129</v>
      </c>
      <c r="F2" s="154" t="s">
        <v>166</v>
      </c>
      <c r="G2" s="155" t="s">
        <v>287</v>
      </c>
      <c r="H2" s="155" t="s">
        <v>288</v>
      </c>
      <c r="I2" s="154" t="s">
        <v>13</v>
      </c>
    </row>
    <row r="3" spans="1:9" outlineLevel="2">
      <c r="A3" s="156" t="s">
        <v>130</v>
      </c>
      <c r="B3" s="157" t="s">
        <v>24</v>
      </c>
      <c r="C3" s="157" t="s">
        <v>129</v>
      </c>
      <c r="D3" s="157" t="s">
        <v>167</v>
      </c>
      <c r="E3" s="157">
        <v>740</v>
      </c>
      <c r="F3" s="157"/>
      <c r="G3" s="157">
        <f t="shared" ref="G3:G12" si="0">E3*175*2</f>
        <v>259000</v>
      </c>
      <c r="H3" s="157">
        <f t="shared" ref="H3:H12" si="1">F3*215*2</f>
        <v>0</v>
      </c>
      <c r="I3" s="157">
        <f t="shared" ref="I3:I12" si="2">G3+H3</f>
        <v>259000</v>
      </c>
    </row>
    <row r="4" spans="1:9" outlineLevel="2">
      <c r="A4" s="156" t="s">
        <v>130</v>
      </c>
      <c r="B4" s="157" t="s">
        <v>24</v>
      </c>
      <c r="C4" s="157" t="s">
        <v>129</v>
      </c>
      <c r="D4" s="157" t="s">
        <v>168</v>
      </c>
      <c r="E4" s="157">
        <v>5492</v>
      </c>
      <c r="F4" s="157"/>
      <c r="G4" s="157">
        <f t="shared" si="0"/>
        <v>1922200</v>
      </c>
      <c r="H4" s="157">
        <f t="shared" si="1"/>
        <v>0</v>
      </c>
      <c r="I4" s="157">
        <f t="shared" si="2"/>
        <v>1922200</v>
      </c>
    </row>
    <row r="5" spans="1:9" outlineLevel="2">
      <c r="A5" s="156" t="s">
        <v>130</v>
      </c>
      <c r="B5" s="157" t="s">
        <v>24</v>
      </c>
      <c r="C5" s="157" t="s">
        <v>129</v>
      </c>
      <c r="D5" s="157" t="s">
        <v>169</v>
      </c>
      <c r="E5" s="157">
        <v>2307</v>
      </c>
      <c r="F5" s="157"/>
      <c r="G5" s="157">
        <f t="shared" si="0"/>
        <v>807450</v>
      </c>
      <c r="H5" s="157">
        <f t="shared" si="1"/>
        <v>0</v>
      </c>
      <c r="I5" s="157">
        <f t="shared" si="2"/>
        <v>807450</v>
      </c>
    </row>
    <row r="6" spans="1:9" outlineLevel="2">
      <c r="A6" s="156" t="s">
        <v>130</v>
      </c>
      <c r="B6" s="157" t="s">
        <v>24</v>
      </c>
      <c r="C6" s="157" t="s">
        <v>129</v>
      </c>
      <c r="D6" s="157" t="s">
        <v>170</v>
      </c>
      <c r="E6" s="157">
        <v>809</v>
      </c>
      <c r="F6" s="157"/>
      <c r="G6" s="157">
        <f t="shared" si="0"/>
        <v>283150</v>
      </c>
      <c r="H6" s="157">
        <f t="shared" si="1"/>
        <v>0</v>
      </c>
      <c r="I6" s="157">
        <f t="shared" si="2"/>
        <v>283150</v>
      </c>
    </row>
    <row r="7" spans="1:9" outlineLevel="2">
      <c r="A7" s="156" t="s">
        <v>130</v>
      </c>
      <c r="B7" s="157" t="s">
        <v>24</v>
      </c>
      <c r="C7" s="157" t="s">
        <v>129</v>
      </c>
      <c r="D7" s="157" t="s">
        <v>171</v>
      </c>
      <c r="E7" s="157">
        <v>2038</v>
      </c>
      <c r="F7" s="157"/>
      <c r="G7" s="157">
        <f t="shared" si="0"/>
        <v>713300</v>
      </c>
      <c r="H7" s="157">
        <f t="shared" si="1"/>
        <v>0</v>
      </c>
      <c r="I7" s="157">
        <f t="shared" si="2"/>
        <v>713300</v>
      </c>
    </row>
    <row r="8" spans="1:9" outlineLevel="2">
      <c r="A8" s="156" t="s">
        <v>130</v>
      </c>
      <c r="B8" s="157" t="s">
        <v>24</v>
      </c>
      <c r="C8" s="157" t="s">
        <v>166</v>
      </c>
      <c r="D8" s="157" t="s">
        <v>172</v>
      </c>
      <c r="E8" s="157"/>
      <c r="F8" s="157">
        <v>889</v>
      </c>
      <c r="G8" s="157">
        <f t="shared" si="0"/>
        <v>0</v>
      </c>
      <c r="H8" s="157">
        <f t="shared" si="1"/>
        <v>382270</v>
      </c>
      <c r="I8" s="157">
        <f t="shared" si="2"/>
        <v>382270</v>
      </c>
    </row>
    <row r="9" spans="1:9" outlineLevel="2">
      <c r="A9" s="156" t="s">
        <v>130</v>
      </c>
      <c r="B9" s="157" t="s">
        <v>24</v>
      </c>
      <c r="C9" s="157" t="s">
        <v>166</v>
      </c>
      <c r="D9" s="157" t="s">
        <v>173</v>
      </c>
      <c r="E9" s="157"/>
      <c r="F9" s="157">
        <v>3235</v>
      </c>
      <c r="G9" s="157">
        <f t="shared" si="0"/>
        <v>0</v>
      </c>
      <c r="H9" s="157">
        <f t="shared" si="1"/>
        <v>1391050</v>
      </c>
      <c r="I9" s="157">
        <f t="shared" si="2"/>
        <v>1391050</v>
      </c>
    </row>
    <row r="10" spans="1:9" outlineLevel="2">
      <c r="A10" s="156" t="s">
        <v>130</v>
      </c>
      <c r="B10" s="157" t="s">
        <v>24</v>
      </c>
      <c r="C10" s="157" t="s">
        <v>166</v>
      </c>
      <c r="D10" s="157" t="s">
        <v>174</v>
      </c>
      <c r="E10" s="157"/>
      <c r="F10" s="157">
        <v>1119</v>
      </c>
      <c r="G10" s="157">
        <f t="shared" si="0"/>
        <v>0</v>
      </c>
      <c r="H10" s="157">
        <f t="shared" si="1"/>
        <v>481170</v>
      </c>
      <c r="I10" s="157">
        <f t="shared" si="2"/>
        <v>481170</v>
      </c>
    </row>
    <row r="11" spans="1:9" outlineLevel="2">
      <c r="A11" s="156"/>
      <c r="B11" s="157" t="s">
        <v>24</v>
      </c>
      <c r="C11" s="157" t="s">
        <v>289</v>
      </c>
      <c r="D11" s="157" t="s">
        <v>205</v>
      </c>
      <c r="E11" s="157">
        <v>207</v>
      </c>
      <c r="F11" s="157">
        <v>521</v>
      </c>
      <c r="G11" s="157">
        <f t="shared" si="0"/>
        <v>72450</v>
      </c>
      <c r="H11" s="157">
        <f t="shared" si="1"/>
        <v>224030</v>
      </c>
      <c r="I11" s="157">
        <f t="shared" si="2"/>
        <v>296480</v>
      </c>
    </row>
    <row r="12" spans="1:9" outlineLevel="2">
      <c r="A12" s="156" t="s">
        <v>130</v>
      </c>
      <c r="B12" s="157" t="s">
        <v>24</v>
      </c>
      <c r="C12" s="157" t="s">
        <v>166</v>
      </c>
      <c r="D12" s="157" t="s">
        <v>175</v>
      </c>
      <c r="E12" s="157"/>
      <c r="F12" s="157">
        <v>1419</v>
      </c>
      <c r="G12" s="157">
        <f t="shared" si="0"/>
        <v>0</v>
      </c>
      <c r="H12" s="157">
        <f t="shared" si="1"/>
        <v>610170</v>
      </c>
      <c r="I12" s="157">
        <f t="shared" si="2"/>
        <v>610170</v>
      </c>
    </row>
    <row r="13" spans="1:9" outlineLevel="1">
      <c r="A13" s="156"/>
      <c r="B13" s="158" t="s">
        <v>176</v>
      </c>
      <c r="C13" s="158"/>
      <c r="D13" s="158"/>
      <c r="E13" s="158">
        <f>SUBTOTAL(9,E3:E12)</f>
        <v>11593</v>
      </c>
      <c r="F13" s="158">
        <f>SUBTOTAL(9,F3:F12)</f>
        <v>7183</v>
      </c>
      <c r="G13" s="158">
        <f>SUBTOTAL(9,G3:G12)</f>
        <v>4057550</v>
      </c>
      <c r="H13" s="158">
        <f>SUBTOTAL(9,H3:H12)</f>
        <v>3088690</v>
      </c>
      <c r="I13" s="158">
        <f>SUBTOTAL(9,I3:I12)</f>
        <v>7146240</v>
      </c>
    </row>
  </sheetData>
  <mergeCells count="1">
    <mergeCell ref="A1:I1"/>
  </mergeCells>
  <phoneticPr fontId="1" type="noConversion"/>
  <hyperlinks>
    <hyperlink ref="D7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24" sqref="A24:XFD112"/>
    </sheetView>
  </sheetViews>
  <sheetFormatPr defaultRowHeight="13.5" outlineLevelRow="2"/>
  <cols>
    <col min="1" max="1" width="14.375" style="52" customWidth="1"/>
    <col min="2" max="2" width="31.125" style="52" customWidth="1"/>
    <col min="3" max="3" width="12.375" style="52" customWidth="1"/>
    <col min="4" max="4" width="19.375" style="52" customWidth="1"/>
    <col min="5" max="5" width="20.875" style="52" customWidth="1"/>
    <col min="6" max="16384" width="9" style="52"/>
  </cols>
  <sheetData>
    <row r="1" spans="1:5" ht="23.25" customHeight="1">
      <c r="A1" s="295" t="s">
        <v>193</v>
      </c>
      <c r="B1" s="296"/>
      <c r="C1" s="296"/>
      <c r="D1" s="296"/>
      <c r="E1" s="296"/>
    </row>
    <row r="2" spans="1:5" ht="22.5" customHeight="1">
      <c r="A2" s="164" t="s">
        <v>276</v>
      </c>
      <c r="B2" s="127" t="s">
        <v>177</v>
      </c>
      <c r="C2" s="127" t="s">
        <v>178</v>
      </c>
      <c r="D2" s="165" t="s">
        <v>290</v>
      </c>
      <c r="E2" s="127" t="s">
        <v>21</v>
      </c>
    </row>
    <row r="3" spans="1:5" outlineLevel="2">
      <c r="A3" s="159" t="s">
        <v>293</v>
      </c>
      <c r="B3" s="160" t="s">
        <v>180</v>
      </c>
      <c r="C3" s="160" t="s">
        <v>98</v>
      </c>
      <c r="D3" s="161">
        <v>47025</v>
      </c>
      <c r="E3" s="162">
        <f t="shared" ref="E3:E13" si="0">D3*2</f>
        <v>94050</v>
      </c>
    </row>
    <row r="4" spans="1:5" outlineLevel="2">
      <c r="A4" s="159" t="s">
        <v>293</v>
      </c>
      <c r="B4" s="160" t="s">
        <v>181</v>
      </c>
      <c r="C4" s="160" t="s">
        <v>98</v>
      </c>
      <c r="D4" s="161">
        <v>58425</v>
      </c>
      <c r="E4" s="162">
        <f t="shared" si="0"/>
        <v>116850</v>
      </c>
    </row>
    <row r="5" spans="1:5" outlineLevel="2">
      <c r="A5" s="159" t="s">
        <v>293</v>
      </c>
      <c r="B5" s="160" t="s">
        <v>182</v>
      </c>
      <c r="C5" s="160" t="s">
        <v>98</v>
      </c>
      <c r="D5" s="161">
        <v>145350</v>
      </c>
      <c r="E5" s="162">
        <f t="shared" si="0"/>
        <v>290700</v>
      </c>
    </row>
    <row r="6" spans="1:5" outlineLevel="2">
      <c r="A6" s="159" t="s">
        <v>293</v>
      </c>
      <c r="B6" s="160" t="s">
        <v>183</v>
      </c>
      <c r="C6" s="160" t="s">
        <v>98</v>
      </c>
      <c r="D6" s="161">
        <v>276450</v>
      </c>
      <c r="E6" s="162">
        <f t="shared" si="0"/>
        <v>552900</v>
      </c>
    </row>
    <row r="7" spans="1:5" outlineLevel="2">
      <c r="A7" s="159" t="s">
        <v>293</v>
      </c>
      <c r="B7" s="160" t="s">
        <v>184</v>
      </c>
      <c r="C7" s="160" t="s">
        <v>98</v>
      </c>
      <c r="D7" s="161">
        <v>106875</v>
      </c>
      <c r="E7" s="162">
        <f t="shared" si="0"/>
        <v>213750</v>
      </c>
    </row>
    <row r="8" spans="1:5" outlineLevel="2">
      <c r="A8" s="159" t="s">
        <v>293</v>
      </c>
      <c r="B8" s="160" t="s">
        <v>185</v>
      </c>
      <c r="C8" s="160" t="s">
        <v>292</v>
      </c>
      <c r="D8" s="161">
        <v>200925</v>
      </c>
      <c r="E8" s="162">
        <f t="shared" si="0"/>
        <v>401850</v>
      </c>
    </row>
    <row r="9" spans="1:5" outlineLevel="2">
      <c r="A9" s="159" t="s">
        <v>293</v>
      </c>
      <c r="B9" s="160" t="s">
        <v>186</v>
      </c>
      <c r="C9" s="160" t="s">
        <v>292</v>
      </c>
      <c r="D9" s="161">
        <v>35625</v>
      </c>
      <c r="E9" s="162">
        <f t="shared" si="0"/>
        <v>71250</v>
      </c>
    </row>
    <row r="10" spans="1:5" outlineLevel="2">
      <c r="A10" s="159" t="s">
        <v>293</v>
      </c>
      <c r="B10" s="160" t="s">
        <v>187</v>
      </c>
      <c r="C10" s="160" t="s">
        <v>292</v>
      </c>
      <c r="D10" s="161">
        <v>68400</v>
      </c>
      <c r="E10" s="162">
        <f t="shared" si="0"/>
        <v>136800</v>
      </c>
    </row>
    <row r="11" spans="1:5" outlineLevel="2">
      <c r="A11" s="159" t="s">
        <v>293</v>
      </c>
      <c r="B11" s="160" t="s">
        <v>190</v>
      </c>
      <c r="C11" s="160" t="s">
        <v>291</v>
      </c>
      <c r="D11" s="161">
        <v>43700</v>
      </c>
      <c r="E11" s="162">
        <f t="shared" si="0"/>
        <v>87400</v>
      </c>
    </row>
    <row r="12" spans="1:5" outlineLevel="2">
      <c r="A12" s="159" t="s">
        <v>293</v>
      </c>
      <c r="B12" s="160" t="s">
        <v>191</v>
      </c>
      <c r="C12" s="160" t="s">
        <v>291</v>
      </c>
      <c r="D12" s="161">
        <v>15390</v>
      </c>
      <c r="E12" s="162">
        <f t="shared" si="0"/>
        <v>30780</v>
      </c>
    </row>
    <row r="13" spans="1:5" outlineLevel="2">
      <c r="A13" s="159" t="s">
        <v>293</v>
      </c>
      <c r="B13" s="160" t="s">
        <v>188</v>
      </c>
      <c r="C13" s="160" t="s">
        <v>292</v>
      </c>
      <c r="D13" s="161">
        <v>32775</v>
      </c>
      <c r="E13" s="162">
        <f t="shared" si="0"/>
        <v>65550</v>
      </c>
    </row>
    <row r="14" spans="1:5" outlineLevel="1">
      <c r="A14" s="164" t="s">
        <v>176</v>
      </c>
      <c r="B14" s="166"/>
      <c r="C14" s="166"/>
      <c r="D14" s="167">
        <f>SUBTOTAL(9,D3:D13)</f>
        <v>1030940</v>
      </c>
      <c r="E14" s="165">
        <f>SUBTOTAL(9,E3:E13)</f>
        <v>2061880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4" sqref="A24:XFD112"/>
    </sheetView>
  </sheetViews>
  <sheetFormatPr defaultRowHeight="13.5" outlineLevelRow="2"/>
  <cols>
    <col min="1" max="1" width="9" style="54"/>
    <col min="2" max="2" width="20.375" style="65" customWidth="1"/>
    <col min="3" max="3" width="8.625" style="65" customWidth="1"/>
    <col min="4" max="12" width="10.625" style="54" customWidth="1"/>
    <col min="13" max="16384" width="9" style="54"/>
  </cols>
  <sheetData>
    <row r="1" spans="1:12" ht="28.5" customHeight="1">
      <c r="A1" s="299" t="s">
        <v>206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3.5" customHeight="1">
      <c r="A2" s="297" t="s">
        <v>161</v>
      </c>
      <c r="B2" s="297" t="s">
        <v>177</v>
      </c>
      <c r="C2" s="297" t="s">
        <v>2</v>
      </c>
      <c r="D2" s="300" t="s">
        <v>194</v>
      </c>
      <c r="E2" s="300"/>
      <c r="F2" s="300"/>
      <c r="G2" s="300"/>
      <c r="H2" s="300"/>
      <c r="I2" s="300"/>
      <c r="J2" s="300"/>
      <c r="K2" s="300"/>
      <c r="L2" s="301" t="s">
        <v>195</v>
      </c>
    </row>
    <row r="3" spans="1:12" ht="13.5" customHeight="1" outlineLevel="1">
      <c r="A3" s="297"/>
      <c r="B3" s="297"/>
      <c r="C3" s="297"/>
      <c r="D3" s="55" t="s">
        <v>196</v>
      </c>
      <c r="E3" s="55" t="s">
        <v>200</v>
      </c>
      <c r="F3" s="55" t="s">
        <v>201</v>
      </c>
      <c r="G3" s="55" t="s">
        <v>197</v>
      </c>
      <c r="H3" s="55" t="s">
        <v>202</v>
      </c>
      <c r="I3" s="55" t="s">
        <v>198</v>
      </c>
      <c r="J3" s="55" t="s">
        <v>199</v>
      </c>
      <c r="K3" s="56" t="s">
        <v>179</v>
      </c>
      <c r="L3" s="301"/>
    </row>
    <row r="4" spans="1:12" outlineLevel="1">
      <c r="A4" s="298"/>
      <c r="B4" s="298"/>
      <c r="C4" s="298"/>
      <c r="D4" s="55" t="s">
        <v>203</v>
      </c>
      <c r="E4" s="55" t="s">
        <v>203</v>
      </c>
      <c r="F4" s="55" t="s">
        <v>203</v>
      </c>
      <c r="G4" s="55" t="s">
        <v>203</v>
      </c>
      <c r="H4" s="55" t="s">
        <v>203</v>
      </c>
      <c r="I4" s="55" t="s">
        <v>203</v>
      </c>
      <c r="J4" s="55" t="s">
        <v>203</v>
      </c>
      <c r="K4" s="55" t="s">
        <v>203</v>
      </c>
      <c r="L4" s="301" t="s">
        <v>203</v>
      </c>
    </row>
    <row r="5" spans="1:12" ht="15" customHeight="1" outlineLevel="2">
      <c r="A5" s="66" t="s">
        <v>162</v>
      </c>
      <c r="B5" s="53" t="s">
        <v>180</v>
      </c>
      <c r="C5" s="53" t="s">
        <v>129</v>
      </c>
      <c r="D5" s="60"/>
      <c r="E5" s="60">
        <v>8590</v>
      </c>
      <c r="F5" s="60"/>
      <c r="G5" s="60"/>
      <c r="H5" s="60"/>
      <c r="I5" s="60"/>
      <c r="J5" s="61"/>
      <c r="K5" s="59">
        <f t="shared" ref="K5:K15" si="0">D5+E5+F5+G5+H5+I5+J5</f>
        <v>8590</v>
      </c>
      <c r="L5" s="59">
        <f t="shared" ref="L5:L15" si="1">K5*2</f>
        <v>17180</v>
      </c>
    </row>
    <row r="6" spans="1:12" ht="15" customHeight="1" outlineLevel="2">
      <c r="A6" s="66" t="s">
        <v>162</v>
      </c>
      <c r="B6" s="53" t="s">
        <v>181</v>
      </c>
      <c r="C6" s="53" t="s">
        <v>129</v>
      </c>
      <c r="D6" s="60"/>
      <c r="E6" s="60">
        <v>11440</v>
      </c>
      <c r="F6" s="60"/>
      <c r="G6" s="60"/>
      <c r="H6" s="60">
        <v>2615</v>
      </c>
      <c r="I6" s="60">
        <v>1545</v>
      </c>
      <c r="J6" s="61"/>
      <c r="K6" s="59">
        <f t="shared" si="0"/>
        <v>15600</v>
      </c>
      <c r="L6" s="59">
        <f t="shared" si="1"/>
        <v>31200</v>
      </c>
    </row>
    <row r="7" spans="1:12" ht="15" customHeight="1" outlineLevel="2">
      <c r="A7" s="66" t="s">
        <v>162</v>
      </c>
      <c r="B7" s="53" t="s">
        <v>182</v>
      </c>
      <c r="C7" s="53" t="s">
        <v>129</v>
      </c>
      <c r="D7" s="57"/>
      <c r="E7" s="57">
        <v>3290</v>
      </c>
      <c r="F7" s="57"/>
      <c r="G7" s="57"/>
      <c r="H7" s="57"/>
      <c r="I7" s="57"/>
      <c r="J7" s="58">
        <v>3290</v>
      </c>
      <c r="K7" s="59">
        <f t="shared" si="0"/>
        <v>6580</v>
      </c>
      <c r="L7" s="59">
        <f t="shared" si="1"/>
        <v>13160</v>
      </c>
    </row>
    <row r="8" spans="1:12" ht="15" customHeight="1" outlineLevel="2">
      <c r="A8" s="66" t="s">
        <v>162</v>
      </c>
      <c r="B8" s="53" t="s">
        <v>183</v>
      </c>
      <c r="C8" s="53" t="s">
        <v>129</v>
      </c>
      <c r="D8" s="60"/>
      <c r="E8" s="60">
        <v>8766</v>
      </c>
      <c r="F8" s="60">
        <v>1745</v>
      </c>
      <c r="G8" s="60"/>
      <c r="H8" s="60">
        <v>8725</v>
      </c>
      <c r="I8" s="60"/>
      <c r="J8" s="61">
        <v>2638</v>
      </c>
      <c r="K8" s="59">
        <f t="shared" si="0"/>
        <v>21874</v>
      </c>
      <c r="L8" s="59">
        <f t="shared" si="1"/>
        <v>43748</v>
      </c>
    </row>
    <row r="9" spans="1:12" ht="15" customHeight="1" outlineLevel="2">
      <c r="A9" s="66" t="s">
        <v>162</v>
      </c>
      <c r="B9" s="53" t="s">
        <v>184</v>
      </c>
      <c r="C9" s="53" t="s">
        <v>129</v>
      </c>
      <c r="D9" s="60"/>
      <c r="E9" s="60">
        <v>18145</v>
      </c>
      <c r="F9" s="60"/>
      <c r="G9" s="60"/>
      <c r="H9" s="60">
        <v>1745</v>
      </c>
      <c r="I9" s="60"/>
      <c r="J9" s="61"/>
      <c r="K9" s="59">
        <f t="shared" si="0"/>
        <v>19890</v>
      </c>
      <c r="L9" s="59">
        <f t="shared" si="1"/>
        <v>39780</v>
      </c>
    </row>
    <row r="10" spans="1:12" ht="15" customHeight="1" outlineLevel="2">
      <c r="A10" s="66" t="s">
        <v>162</v>
      </c>
      <c r="B10" s="53" t="s">
        <v>185</v>
      </c>
      <c r="C10" s="62" t="s">
        <v>166</v>
      </c>
      <c r="D10" s="60"/>
      <c r="E10" s="60">
        <v>19635</v>
      </c>
      <c r="F10" s="60"/>
      <c r="G10" s="60"/>
      <c r="H10" s="60">
        <v>11255</v>
      </c>
      <c r="I10" s="60"/>
      <c r="J10" s="61">
        <v>3290</v>
      </c>
      <c r="K10" s="59">
        <f t="shared" si="0"/>
        <v>34180</v>
      </c>
      <c r="L10" s="59">
        <f t="shared" si="1"/>
        <v>68360</v>
      </c>
    </row>
    <row r="11" spans="1:12" ht="15" customHeight="1" outlineLevel="2">
      <c r="A11" s="66" t="s">
        <v>162</v>
      </c>
      <c r="B11" s="53" t="s">
        <v>204</v>
      </c>
      <c r="C11" s="62" t="s">
        <v>166</v>
      </c>
      <c r="D11" s="60"/>
      <c r="E11" s="60">
        <v>3490</v>
      </c>
      <c r="F11" s="60"/>
      <c r="G11" s="60"/>
      <c r="H11" s="60"/>
      <c r="I11" s="60"/>
      <c r="J11" s="61"/>
      <c r="K11" s="59">
        <f t="shared" si="0"/>
        <v>3490</v>
      </c>
      <c r="L11" s="59">
        <f t="shared" si="1"/>
        <v>6980</v>
      </c>
    </row>
    <row r="12" spans="1:12" ht="15" customHeight="1" outlineLevel="2">
      <c r="A12" s="66" t="s">
        <v>162</v>
      </c>
      <c r="B12" s="53" t="s">
        <v>186</v>
      </c>
      <c r="C12" s="62" t="s">
        <v>166</v>
      </c>
      <c r="D12" s="60"/>
      <c r="E12" s="60">
        <v>20045</v>
      </c>
      <c r="F12" s="60"/>
      <c r="G12" s="60">
        <v>8445</v>
      </c>
      <c r="H12" s="60">
        <v>5800</v>
      </c>
      <c r="I12" s="60"/>
      <c r="J12" s="61"/>
      <c r="K12" s="59">
        <f t="shared" si="0"/>
        <v>34290</v>
      </c>
      <c r="L12" s="59">
        <f t="shared" si="1"/>
        <v>68580</v>
      </c>
    </row>
    <row r="13" spans="1:12" ht="15" customHeight="1" outlineLevel="2">
      <c r="A13" s="66" t="s">
        <v>162</v>
      </c>
      <c r="B13" s="53" t="s">
        <v>187</v>
      </c>
      <c r="C13" s="62" t="s">
        <v>166</v>
      </c>
      <c r="D13" s="60"/>
      <c r="E13" s="60">
        <v>19955</v>
      </c>
      <c r="F13" s="60">
        <v>2675</v>
      </c>
      <c r="G13" s="60"/>
      <c r="H13" s="60"/>
      <c r="I13" s="60"/>
      <c r="J13" s="61"/>
      <c r="K13" s="59">
        <f t="shared" si="0"/>
        <v>22630</v>
      </c>
      <c r="L13" s="59">
        <f t="shared" si="1"/>
        <v>45260</v>
      </c>
    </row>
    <row r="14" spans="1:12" ht="15" customHeight="1" outlineLevel="2">
      <c r="A14" s="66" t="s">
        <v>162</v>
      </c>
      <c r="B14" s="53" t="s">
        <v>188</v>
      </c>
      <c r="C14" s="62" t="s">
        <v>166</v>
      </c>
      <c r="D14" s="60"/>
      <c r="E14" s="60">
        <v>13290</v>
      </c>
      <c r="F14" s="60"/>
      <c r="G14" s="60"/>
      <c r="H14" s="60">
        <v>13255</v>
      </c>
      <c r="I14" s="60"/>
      <c r="J14" s="61"/>
      <c r="K14" s="59">
        <f t="shared" si="0"/>
        <v>26545</v>
      </c>
      <c r="L14" s="59">
        <f t="shared" si="1"/>
        <v>53090</v>
      </c>
    </row>
    <row r="15" spans="1:12" ht="15" customHeight="1" outlineLevel="2">
      <c r="A15" s="66" t="s">
        <v>162</v>
      </c>
      <c r="B15" s="53" t="s">
        <v>205</v>
      </c>
      <c r="C15" s="53" t="s">
        <v>189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59">
        <f t="shared" si="0"/>
        <v>0</v>
      </c>
      <c r="L15" s="59">
        <f t="shared" si="1"/>
        <v>0</v>
      </c>
    </row>
    <row r="16" spans="1:12" ht="15" customHeight="1" outlineLevel="1">
      <c r="A16" s="168" t="s">
        <v>176</v>
      </c>
      <c r="B16" s="120"/>
      <c r="C16" s="120"/>
      <c r="D16" s="169">
        <f t="shared" ref="D16:K16" si="2">SUBTOTAL(9,D5:D15)</f>
        <v>0</v>
      </c>
      <c r="E16" s="169">
        <f t="shared" si="2"/>
        <v>126646</v>
      </c>
      <c r="F16" s="169">
        <f t="shared" si="2"/>
        <v>4420</v>
      </c>
      <c r="G16" s="169">
        <f t="shared" si="2"/>
        <v>8445</v>
      </c>
      <c r="H16" s="169">
        <f t="shared" si="2"/>
        <v>43395</v>
      </c>
      <c r="I16" s="169">
        <f t="shared" si="2"/>
        <v>1545</v>
      </c>
      <c r="J16" s="169">
        <f t="shared" si="2"/>
        <v>9218</v>
      </c>
      <c r="K16" s="169">
        <f t="shared" si="2"/>
        <v>193669</v>
      </c>
      <c r="L16" s="169">
        <f>SUBTOTAL(9,L5:L15)</f>
        <v>387338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5" sqref="A5:XFD17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73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9" ht="20.25" customHeight="1">
      <c r="A1" s="302" t="s">
        <v>210</v>
      </c>
      <c r="B1" s="302"/>
      <c r="C1" s="302"/>
      <c r="D1" s="302"/>
      <c r="E1" s="302"/>
      <c r="F1" s="302"/>
      <c r="G1" s="302"/>
      <c r="H1" s="302"/>
    </row>
    <row r="2" spans="1:9" ht="20.25" customHeight="1">
      <c r="A2" s="170" t="s">
        <v>0</v>
      </c>
      <c r="B2" s="170" t="s">
        <v>118</v>
      </c>
      <c r="C2" s="170" t="s">
        <v>211</v>
      </c>
      <c r="D2" s="171" t="s">
        <v>212</v>
      </c>
      <c r="E2" s="171" t="s">
        <v>213</v>
      </c>
      <c r="F2" s="171" t="s">
        <v>208</v>
      </c>
      <c r="G2" s="171" t="s">
        <v>209</v>
      </c>
      <c r="H2" s="172" t="s">
        <v>207</v>
      </c>
    </row>
    <row r="3" spans="1:9" ht="20.25" customHeight="1" outlineLevel="2">
      <c r="A3" s="69" t="s">
        <v>24</v>
      </c>
      <c r="B3" s="32" t="s">
        <v>155</v>
      </c>
      <c r="C3" s="70">
        <v>748</v>
      </c>
      <c r="D3" s="70">
        <v>3800</v>
      </c>
      <c r="E3" s="70">
        <f>C3*D3</f>
        <v>2842400</v>
      </c>
      <c r="F3" s="71">
        <f t="shared" ref="F3" si="0">C3*30</f>
        <v>22440</v>
      </c>
      <c r="G3" s="71">
        <f t="shared" ref="G3" si="1">C3*20</f>
        <v>14960</v>
      </c>
      <c r="H3" s="72">
        <f t="shared" ref="H3" si="2">E3+F3+G3</f>
        <v>2879800</v>
      </c>
      <c r="I3" t="s">
        <v>214</v>
      </c>
    </row>
    <row r="4" spans="1:9" ht="20.25" customHeight="1" outlineLevel="1">
      <c r="A4" s="176" t="s">
        <v>176</v>
      </c>
      <c r="B4" s="170"/>
      <c r="C4" s="173"/>
      <c r="D4" s="173"/>
      <c r="E4" s="173"/>
      <c r="F4" s="174"/>
      <c r="G4" s="174"/>
      <c r="H4" s="175">
        <f>SUBTOTAL(9,H3:H3)</f>
        <v>2879800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5" sqref="A5:XFD17"/>
    </sheetView>
  </sheetViews>
  <sheetFormatPr defaultRowHeight="13.5"/>
  <cols>
    <col min="1" max="1" width="16.5" style="54" customWidth="1"/>
    <col min="2" max="2" width="18.875" style="65" customWidth="1"/>
    <col min="3" max="3" width="8.625" style="65" customWidth="1"/>
    <col min="4" max="5" width="10.625" style="54" customWidth="1"/>
    <col min="6" max="7" width="10.625" style="54" hidden="1" customWidth="1"/>
    <col min="8" max="8" width="10.625" style="54" customWidth="1"/>
    <col min="9" max="10" width="10.625" style="54" hidden="1" customWidth="1"/>
    <col min="11" max="11" width="10.625" style="54" customWidth="1"/>
    <col min="12" max="12" width="16.75" style="54" customWidth="1"/>
    <col min="13" max="16384" width="9" style="54"/>
  </cols>
  <sheetData>
    <row r="1" spans="1:13" ht="28.5" customHeight="1">
      <c r="A1" s="303" t="s">
        <v>216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3" ht="13.5" customHeight="1">
      <c r="A2" s="305" t="s">
        <v>276</v>
      </c>
      <c r="B2" s="305" t="s">
        <v>177</v>
      </c>
      <c r="C2" s="305" t="s">
        <v>294</v>
      </c>
      <c r="D2" s="309" t="s">
        <v>303</v>
      </c>
      <c r="E2" s="309"/>
      <c r="F2" s="309"/>
      <c r="G2" s="309"/>
      <c r="H2" s="309"/>
      <c r="I2" s="309"/>
      <c r="J2" s="309"/>
      <c r="K2" s="309"/>
      <c r="L2" s="307" t="s">
        <v>295</v>
      </c>
    </row>
    <row r="3" spans="1:13" ht="13.5" customHeight="1">
      <c r="A3" s="305"/>
      <c r="B3" s="305"/>
      <c r="C3" s="305"/>
      <c r="D3" s="179" t="s">
        <v>296</v>
      </c>
      <c r="E3" s="179" t="s">
        <v>297</v>
      </c>
      <c r="F3" s="179" t="s">
        <v>201</v>
      </c>
      <c r="G3" s="179" t="s">
        <v>298</v>
      </c>
      <c r="H3" s="179" t="s">
        <v>299</v>
      </c>
      <c r="I3" s="179" t="s">
        <v>198</v>
      </c>
      <c r="J3" s="179" t="s">
        <v>199</v>
      </c>
      <c r="K3" s="180" t="s">
        <v>300</v>
      </c>
      <c r="L3" s="307"/>
    </row>
    <row r="4" spans="1:13">
      <c r="A4" s="306"/>
      <c r="B4" s="306"/>
      <c r="C4" s="306"/>
      <c r="D4" s="179" t="s">
        <v>203</v>
      </c>
      <c r="E4" s="179" t="s">
        <v>203</v>
      </c>
      <c r="F4" s="179" t="s">
        <v>203</v>
      </c>
      <c r="G4" s="179" t="s">
        <v>203</v>
      </c>
      <c r="H4" s="179" t="s">
        <v>203</v>
      </c>
      <c r="I4" s="179" t="s">
        <v>203</v>
      </c>
      <c r="J4" s="179" t="s">
        <v>203</v>
      </c>
      <c r="K4" s="179" t="s">
        <v>203</v>
      </c>
      <c r="L4" s="307" t="s">
        <v>203</v>
      </c>
    </row>
    <row r="5" spans="1:13" ht="20.100000000000001" customHeight="1">
      <c r="A5" s="181" t="s">
        <v>301</v>
      </c>
      <c r="B5" s="163" t="s">
        <v>215</v>
      </c>
      <c r="C5" s="163" t="s">
        <v>129</v>
      </c>
      <c r="D5" s="60">
        <v>16685</v>
      </c>
      <c r="E5" s="60"/>
      <c r="F5" s="60"/>
      <c r="G5" s="60"/>
      <c r="H5" s="60">
        <v>1425</v>
      </c>
      <c r="I5" s="60"/>
      <c r="J5" s="61"/>
      <c r="K5" s="182">
        <f t="shared" ref="K5" si="0">D5+E5+F5+G5+H5+I5+J5</f>
        <v>18110</v>
      </c>
      <c r="L5" s="182">
        <f>K5</f>
        <v>18110</v>
      </c>
      <c r="M5" s="54" t="s">
        <v>304</v>
      </c>
    </row>
    <row r="6" spans="1:13" ht="20.100000000000001" customHeight="1">
      <c r="A6" s="307" t="s">
        <v>302</v>
      </c>
      <c r="B6" s="308"/>
      <c r="C6" s="166"/>
      <c r="D6" s="183">
        <f t="shared" ref="D6:K6" si="1">SUM(D5)</f>
        <v>16685</v>
      </c>
      <c r="E6" s="183">
        <f t="shared" si="1"/>
        <v>0</v>
      </c>
      <c r="F6" s="183">
        <f t="shared" si="1"/>
        <v>0</v>
      </c>
      <c r="G6" s="183">
        <f t="shared" si="1"/>
        <v>0</v>
      </c>
      <c r="H6" s="183">
        <f t="shared" si="1"/>
        <v>1425</v>
      </c>
      <c r="I6" s="183">
        <f t="shared" si="1"/>
        <v>0</v>
      </c>
      <c r="J6" s="183">
        <f t="shared" si="1"/>
        <v>0</v>
      </c>
      <c r="K6" s="183">
        <f t="shared" si="1"/>
        <v>18110</v>
      </c>
      <c r="L6" s="183">
        <f>SUM(L5)</f>
        <v>18110</v>
      </c>
    </row>
  </sheetData>
  <mergeCells count="7">
    <mergeCell ref="A1:L1"/>
    <mergeCell ref="A2:A4"/>
    <mergeCell ref="A6:B6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A5" sqref="A5:XFD17"/>
    </sheetView>
  </sheetViews>
  <sheetFormatPr defaultRowHeight="13.5"/>
  <cols>
    <col min="1" max="1" width="16.75" style="76" customWidth="1"/>
    <col min="2" max="2" width="37.125" style="76" customWidth="1"/>
    <col min="3" max="13" width="8" style="76" hidden="1" customWidth="1"/>
    <col min="14" max="14" width="27.5" style="76" customWidth="1"/>
    <col min="15" max="15" width="26.5" style="76" customWidth="1"/>
    <col min="16" max="245" width="9" style="76"/>
    <col min="246" max="246" width="5.875" style="76" customWidth="1"/>
    <col min="247" max="247" width="18" style="76" customWidth="1"/>
    <col min="248" max="258" width="0" style="76" hidden="1" customWidth="1"/>
    <col min="259" max="259" width="9" style="76"/>
    <col min="260" max="260" width="9.875" style="76" customWidth="1"/>
    <col min="261" max="261" width="9" style="76" customWidth="1"/>
    <col min="262" max="262" width="9.5" style="76" bestFit="1" customWidth="1"/>
    <col min="263" max="263" width="9.5" style="76" customWidth="1"/>
    <col min="264" max="264" width="9.375" style="76" customWidth="1"/>
    <col min="265" max="265" width="10.125" style="76" customWidth="1"/>
    <col min="266" max="266" width="11.125" style="76" customWidth="1"/>
    <col min="267" max="501" width="9" style="76"/>
    <col min="502" max="502" width="5.875" style="76" customWidth="1"/>
    <col min="503" max="503" width="18" style="76" customWidth="1"/>
    <col min="504" max="514" width="0" style="76" hidden="1" customWidth="1"/>
    <col min="515" max="515" width="9" style="76"/>
    <col min="516" max="516" width="9.875" style="76" customWidth="1"/>
    <col min="517" max="517" width="9" style="76" customWidth="1"/>
    <col min="518" max="518" width="9.5" style="76" bestFit="1" customWidth="1"/>
    <col min="519" max="519" width="9.5" style="76" customWidth="1"/>
    <col min="520" max="520" width="9.375" style="76" customWidth="1"/>
    <col min="521" max="521" width="10.125" style="76" customWidth="1"/>
    <col min="522" max="522" width="11.125" style="76" customWidth="1"/>
    <col min="523" max="757" width="9" style="76"/>
    <col min="758" max="758" width="5.875" style="76" customWidth="1"/>
    <col min="759" max="759" width="18" style="76" customWidth="1"/>
    <col min="760" max="770" width="0" style="76" hidden="1" customWidth="1"/>
    <col min="771" max="771" width="9" style="76"/>
    <col min="772" max="772" width="9.875" style="76" customWidth="1"/>
    <col min="773" max="773" width="9" style="76" customWidth="1"/>
    <col min="774" max="774" width="9.5" style="76" bestFit="1" customWidth="1"/>
    <col min="775" max="775" width="9.5" style="76" customWidth="1"/>
    <col min="776" max="776" width="9.375" style="76" customWidth="1"/>
    <col min="777" max="777" width="10.125" style="76" customWidth="1"/>
    <col min="778" max="778" width="11.125" style="76" customWidth="1"/>
    <col min="779" max="1013" width="9" style="76"/>
    <col min="1014" max="1014" width="5.875" style="76" customWidth="1"/>
    <col min="1015" max="1015" width="18" style="76" customWidth="1"/>
    <col min="1016" max="1026" width="0" style="76" hidden="1" customWidth="1"/>
    <col min="1027" max="1027" width="9" style="76"/>
    <col min="1028" max="1028" width="9.875" style="76" customWidth="1"/>
    <col min="1029" max="1029" width="9" style="76" customWidth="1"/>
    <col min="1030" max="1030" width="9.5" style="76" bestFit="1" customWidth="1"/>
    <col min="1031" max="1031" width="9.5" style="76" customWidth="1"/>
    <col min="1032" max="1032" width="9.375" style="76" customWidth="1"/>
    <col min="1033" max="1033" width="10.125" style="76" customWidth="1"/>
    <col min="1034" max="1034" width="11.125" style="76" customWidth="1"/>
    <col min="1035" max="1269" width="9" style="76"/>
    <col min="1270" max="1270" width="5.875" style="76" customWidth="1"/>
    <col min="1271" max="1271" width="18" style="76" customWidth="1"/>
    <col min="1272" max="1282" width="0" style="76" hidden="1" customWidth="1"/>
    <col min="1283" max="1283" width="9" style="76"/>
    <col min="1284" max="1284" width="9.875" style="76" customWidth="1"/>
    <col min="1285" max="1285" width="9" style="76" customWidth="1"/>
    <col min="1286" max="1286" width="9.5" style="76" bestFit="1" customWidth="1"/>
    <col min="1287" max="1287" width="9.5" style="76" customWidth="1"/>
    <col min="1288" max="1288" width="9.375" style="76" customWidth="1"/>
    <col min="1289" max="1289" width="10.125" style="76" customWidth="1"/>
    <col min="1290" max="1290" width="11.125" style="76" customWidth="1"/>
    <col min="1291" max="1525" width="9" style="76"/>
    <col min="1526" max="1526" width="5.875" style="76" customWidth="1"/>
    <col min="1527" max="1527" width="18" style="76" customWidth="1"/>
    <col min="1528" max="1538" width="0" style="76" hidden="1" customWidth="1"/>
    <col min="1539" max="1539" width="9" style="76"/>
    <col min="1540" max="1540" width="9.875" style="76" customWidth="1"/>
    <col min="1541" max="1541" width="9" style="76" customWidth="1"/>
    <col min="1542" max="1542" width="9.5" style="76" bestFit="1" customWidth="1"/>
    <col min="1543" max="1543" width="9.5" style="76" customWidth="1"/>
    <col min="1544" max="1544" width="9.375" style="76" customWidth="1"/>
    <col min="1545" max="1545" width="10.125" style="76" customWidth="1"/>
    <col min="1546" max="1546" width="11.125" style="76" customWidth="1"/>
    <col min="1547" max="1781" width="9" style="76"/>
    <col min="1782" max="1782" width="5.875" style="76" customWidth="1"/>
    <col min="1783" max="1783" width="18" style="76" customWidth="1"/>
    <col min="1784" max="1794" width="0" style="76" hidden="1" customWidth="1"/>
    <col min="1795" max="1795" width="9" style="76"/>
    <col min="1796" max="1796" width="9.875" style="76" customWidth="1"/>
    <col min="1797" max="1797" width="9" style="76" customWidth="1"/>
    <col min="1798" max="1798" width="9.5" style="76" bestFit="1" customWidth="1"/>
    <col min="1799" max="1799" width="9.5" style="76" customWidth="1"/>
    <col min="1800" max="1800" width="9.375" style="76" customWidth="1"/>
    <col min="1801" max="1801" width="10.125" style="76" customWidth="1"/>
    <col min="1802" max="1802" width="11.125" style="76" customWidth="1"/>
    <col min="1803" max="2037" width="9" style="76"/>
    <col min="2038" max="2038" width="5.875" style="76" customWidth="1"/>
    <col min="2039" max="2039" width="18" style="76" customWidth="1"/>
    <col min="2040" max="2050" width="0" style="76" hidden="1" customWidth="1"/>
    <col min="2051" max="2051" width="9" style="76"/>
    <col min="2052" max="2052" width="9.875" style="76" customWidth="1"/>
    <col min="2053" max="2053" width="9" style="76" customWidth="1"/>
    <col min="2054" max="2054" width="9.5" style="76" bestFit="1" customWidth="1"/>
    <col min="2055" max="2055" width="9.5" style="76" customWidth="1"/>
    <col min="2056" max="2056" width="9.375" style="76" customWidth="1"/>
    <col min="2057" max="2057" width="10.125" style="76" customWidth="1"/>
    <col min="2058" max="2058" width="11.125" style="76" customWidth="1"/>
    <col min="2059" max="2293" width="9" style="76"/>
    <col min="2294" max="2294" width="5.875" style="76" customWidth="1"/>
    <col min="2295" max="2295" width="18" style="76" customWidth="1"/>
    <col min="2296" max="2306" width="0" style="76" hidden="1" customWidth="1"/>
    <col min="2307" max="2307" width="9" style="76"/>
    <col min="2308" max="2308" width="9.875" style="76" customWidth="1"/>
    <col min="2309" max="2309" width="9" style="76" customWidth="1"/>
    <col min="2310" max="2310" width="9.5" style="76" bestFit="1" customWidth="1"/>
    <col min="2311" max="2311" width="9.5" style="76" customWidth="1"/>
    <col min="2312" max="2312" width="9.375" style="76" customWidth="1"/>
    <col min="2313" max="2313" width="10.125" style="76" customWidth="1"/>
    <col min="2314" max="2314" width="11.125" style="76" customWidth="1"/>
    <col min="2315" max="2549" width="9" style="76"/>
    <col min="2550" max="2550" width="5.875" style="76" customWidth="1"/>
    <col min="2551" max="2551" width="18" style="76" customWidth="1"/>
    <col min="2552" max="2562" width="0" style="76" hidden="1" customWidth="1"/>
    <col min="2563" max="2563" width="9" style="76"/>
    <col min="2564" max="2564" width="9.875" style="76" customWidth="1"/>
    <col min="2565" max="2565" width="9" style="76" customWidth="1"/>
    <col min="2566" max="2566" width="9.5" style="76" bestFit="1" customWidth="1"/>
    <col min="2567" max="2567" width="9.5" style="76" customWidth="1"/>
    <col min="2568" max="2568" width="9.375" style="76" customWidth="1"/>
    <col min="2569" max="2569" width="10.125" style="76" customWidth="1"/>
    <col min="2570" max="2570" width="11.125" style="76" customWidth="1"/>
    <col min="2571" max="2805" width="9" style="76"/>
    <col min="2806" max="2806" width="5.875" style="76" customWidth="1"/>
    <col min="2807" max="2807" width="18" style="76" customWidth="1"/>
    <col min="2808" max="2818" width="0" style="76" hidden="1" customWidth="1"/>
    <col min="2819" max="2819" width="9" style="76"/>
    <col min="2820" max="2820" width="9.875" style="76" customWidth="1"/>
    <col min="2821" max="2821" width="9" style="76" customWidth="1"/>
    <col min="2822" max="2822" width="9.5" style="76" bestFit="1" customWidth="1"/>
    <col min="2823" max="2823" width="9.5" style="76" customWidth="1"/>
    <col min="2824" max="2824" width="9.375" style="76" customWidth="1"/>
    <col min="2825" max="2825" width="10.125" style="76" customWidth="1"/>
    <col min="2826" max="2826" width="11.125" style="76" customWidth="1"/>
    <col min="2827" max="3061" width="9" style="76"/>
    <col min="3062" max="3062" width="5.875" style="76" customWidth="1"/>
    <col min="3063" max="3063" width="18" style="76" customWidth="1"/>
    <col min="3064" max="3074" width="0" style="76" hidden="1" customWidth="1"/>
    <col min="3075" max="3075" width="9" style="76"/>
    <col min="3076" max="3076" width="9.875" style="76" customWidth="1"/>
    <col min="3077" max="3077" width="9" style="76" customWidth="1"/>
    <col min="3078" max="3078" width="9.5" style="76" bestFit="1" customWidth="1"/>
    <col min="3079" max="3079" width="9.5" style="76" customWidth="1"/>
    <col min="3080" max="3080" width="9.375" style="76" customWidth="1"/>
    <col min="3081" max="3081" width="10.125" style="76" customWidth="1"/>
    <col min="3082" max="3082" width="11.125" style="76" customWidth="1"/>
    <col min="3083" max="3317" width="9" style="76"/>
    <col min="3318" max="3318" width="5.875" style="76" customWidth="1"/>
    <col min="3319" max="3319" width="18" style="76" customWidth="1"/>
    <col min="3320" max="3330" width="0" style="76" hidden="1" customWidth="1"/>
    <col min="3331" max="3331" width="9" style="76"/>
    <col min="3332" max="3332" width="9.875" style="76" customWidth="1"/>
    <col min="3333" max="3333" width="9" style="76" customWidth="1"/>
    <col min="3334" max="3334" width="9.5" style="76" bestFit="1" customWidth="1"/>
    <col min="3335" max="3335" width="9.5" style="76" customWidth="1"/>
    <col min="3336" max="3336" width="9.375" style="76" customWidth="1"/>
    <col min="3337" max="3337" width="10.125" style="76" customWidth="1"/>
    <col min="3338" max="3338" width="11.125" style="76" customWidth="1"/>
    <col min="3339" max="3573" width="9" style="76"/>
    <col min="3574" max="3574" width="5.875" style="76" customWidth="1"/>
    <col min="3575" max="3575" width="18" style="76" customWidth="1"/>
    <col min="3576" max="3586" width="0" style="76" hidden="1" customWidth="1"/>
    <col min="3587" max="3587" width="9" style="76"/>
    <col min="3588" max="3588" width="9.875" style="76" customWidth="1"/>
    <col min="3589" max="3589" width="9" style="76" customWidth="1"/>
    <col min="3590" max="3590" width="9.5" style="76" bestFit="1" customWidth="1"/>
    <col min="3591" max="3591" width="9.5" style="76" customWidth="1"/>
    <col min="3592" max="3592" width="9.375" style="76" customWidth="1"/>
    <col min="3593" max="3593" width="10.125" style="76" customWidth="1"/>
    <col min="3594" max="3594" width="11.125" style="76" customWidth="1"/>
    <col min="3595" max="3829" width="9" style="76"/>
    <col min="3830" max="3830" width="5.875" style="76" customWidth="1"/>
    <col min="3831" max="3831" width="18" style="76" customWidth="1"/>
    <col min="3832" max="3842" width="0" style="76" hidden="1" customWidth="1"/>
    <col min="3843" max="3843" width="9" style="76"/>
    <col min="3844" max="3844" width="9.875" style="76" customWidth="1"/>
    <col min="3845" max="3845" width="9" style="76" customWidth="1"/>
    <col min="3846" max="3846" width="9.5" style="76" bestFit="1" customWidth="1"/>
    <col min="3847" max="3847" width="9.5" style="76" customWidth="1"/>
    <col min="3848" max="3848" width="9.375" style="76" customWidth="1"/>
    <col min="3849" max="3849" width="10.125" style="76" customWidth="1"/>
    <col min="3850" max="3850" width="11.125" style="76" customWidth="1"/>
    <col min="3851" max="4085" width="9" style="76"/>
    <col min="4086" max="4086" width="5.875" style="76" customWidth="1"/>
    <col min="4087" max="4087" width="18" style="76" customWidth="1"/>
    <col min="4088" max="4098" width="0" style="76" hidden="1" customWidth="1"/>
    <col min="4099" max="4099" width="9" style="76"/>
    <col min="4100" max="4100" width="9.875" style="76" customWidth="1"/>
    <col min="4101" max="4101" width="9" style="76" customWidth="1"/>
    <col min="4102" max="4102" width="9.5" style="76" bestFit="1" customWidth="1"/>
    <col min="4103" max="4103" width="9.5" style="76" customWidth="1"/>
    <col min="4104" max="4104" width="9.375" style="76" customWidth="1"/>
    <col min="4105" max="4105" width="10.125" style="76" customWidth="1"/>
    <col min="4106" max="4106" width="11.125" style="76" customWidth="1"/>
    <col min="4107" max="4341" width="9" style="76"/>
    <col min="4342" max="4342" width="5.875" style="76" customWidth="1"/>
    <col min="4343" max="4343" width="18" style="76" customWidth="1"/>
    <col min="4344" max="4354" width="0" style="76" hidden="1" customWidth="1"/>
    <col min="4355" max="4355" width="9" style="76"/>
    <col min="4356" max="4356" width="9.875" style="76" customWidth="1"/>
    <col min="4357" max="4357" width="9" style="76" customWidth="1"/>
    <col min="4358" max="4358" width="9.5" style="76" bestFit="1" customWidth="1"/>
    <col min="4359" max="4359" width="9.5" style="76" customWidth="1"/>
    <col min="4360" max="4360" width="9.375" style="76" customWidth="1"/>
    <col min="4361" max="4361" width="10.125" style="76" customWidth="1"/>
    <col min="4362" max="4362" width="11.125" style="76" customWidth="1"/>
    <col min="4363" max="4597" width="9" style="76"/>
    <col min="4598" max="4598" width="5.875" style="76" customWidth="1"/>
    <col min="4599" max="4599" width="18" style="76" customWidth="1"/>
    <col min="4600" max="4610" width="0" style="76" hidden="1" customWidth="1"/>
    <col min="4611" max="4611" width="9" style="76"/>
    <col min="4612" max="4612" width="9.875" style="76" customWidth="1"/>
    <col min="4613" max="4613" width="9" style="76" customWidth="1"/>
    <col min="4614" max="4614" width="9.5" style="76" bestFit="1" customWidth="1"/>
    <col min="4615" max="4615" width="9.5" style="76" customWidth="1"/>
    <col min="4616" max="4616" width="9.375" style="76" customWidth="1"/>
    <col min="4617" max="4617" width="10.125" style="76" customWidth="1"/>
    <col min="4618" max="4618" width="11.125" style="76" customWidth="1"/>
    <col min="4619" max="4853" width="9" style="76"/>
    <col min="4854" max="4854" width="5.875" style="76" customWidth="1"/>
    <col min="4855" max="4855" width="18" style="76" customWidth="1"/>
    <col min="4856" max="4866" width="0" style="76" hidden="1" customWidth="1"/>
    <col min="4867" max="4867" width="9" style="76"/>
    <col min="4868" max="4868" width="9.875" style="76" customWidth="1"/>
    <col min="4869" max="4869" width="9" style="76" customWidth="1"/>
    <col min="4870" max="4870" width="9.5" style="76" bestFit="1" customWidth="1"/>
    <col min="4871" max="4871" width="9.5" style="76" customWidth="1"/>
    <col min="4872" max="4872" width="9.375" style="76" customWidth="1"/>
    <col min="4873" max="4873" width="10.125" style="76" customWidth="1"/>
    <col min="4874" max="4874" width="11.125" style="76" customWidth="1"/>
    <col min="4875" max="5109" width="9" style="76"/>
    <col min="5110" max="5110" width="5.875" style="76" customWidth="1"/>
    <col min="5111" max="5111" width="18" style="76" customWidth="1"/>
    <col min="5112" max="5122" width="0" style="76" hidden="1" customWidth="1"/>
    <col min="5123" max="5123" width="9" style="76"/>
    <col min="5124" max="5124" width="9.875" style="76" customWidth="1"/>
    <col min="5125" max="5125" width="9" style="76" customWidth="1"/>
    <col min="5126" max="5126" width="9.5" style="76" bestFit="1" customWidth="1"/>
    <col min="5127" max="5127" width="9.5" style="76" customWidth="1"/>
    <col min="5128" max="5128" width="9.375" style="76" customWidth="1"/>
    <col min="5129" max="5129" width="10.125" style="76" customWidth="1"/>
    <col min="5130" max="5130" width="11.125" style="76" customWidth="1"/>
    <col min="5131" max="5365" width="9" style="76"/>
    <col min="5366" max="5366" width="5.875" style="76" customWidth="1"/>
    <col min="5367" max="5367" width="18" style="76" customWidth="1"/>
    <col min="5368" max="5378" width="0" style="76" hidden="1" customWidth="1"/>
    <col min="5379" max="5379" width="9" style="76"/>
    <col min="5380" max="5380" width="9.875" style="76" customWidth="1"/>
    <col min="5381" max="5381" width="9" style="76" customWidth="1"/>
    <col min="5382" max="5382" width="9.5" style="76" bestFit="1" customWidth="1"/>
    <col min="5383" max="5383" width="9.5" style="76" customWidth="1"/>
    <col min="5384" max="5384" width="9.375" style="76" customWidth="1"/>
    <col min="5385" max="5385" width="10.125" style="76" customWidth="1"/>
    <col min="5386" max="5386" width="11.125" style="76" customWidth="1"/>
    <col min="5387" max="5621" width="9" style="76"/>
    <col min="5622" max="5622" width="5.875" style="76" customWidth="1"/>
    <col min="5623" max="5623" width="18" style="76" customWidth="1"/>
    <col min="5624" max="5634" width="0" style="76" hidden="1" customWidth="1"/>
    <col min="5635" max="5635" width="9" style="76"/>
    <col min="5636" max="5636" width="9.875" style="76" customWidth="1"/>
    <col min="5637" max="5637" width="9" style="76" customWidth="1"/>
    <col min="5638" max="5638" width="9.5" style="76" bestFit="1" customWidth="1"/>
    <col min="5639" max="5639" width="9.5" style="76" customWidth="1"/>
    <col min="5640" max="5640" width="9.375" style="76" customWidth="1"/>
    <col min="5641" max="5641" width="10.125" style="76" customWidth="1"/>
    <col min="5642" max="5642" width="11.125" style="76" customWidth="1"/>
    <col min="5643" max="5877" width="9" style="76"/>
    <col min="5878" max="5878" width="5.875" style="76" customWidth="1"/>
    <col min="5879" max="5879" width="18" style="76" customWidth="1"/>
    <col min="5880" max="5890" width="0" style="76" hidden="1" customWidth="1"/>
    <col min="5891" max="5891" width="9" style="76"/>
    <col min="5892" max="5892" width="9.875" style="76" customWidth="1"/>
    <col min="5893" max="5893" width="9" style="76" customWidth="1"/>
    <col min="5894" max="5894" width="9.5" style="76" bestFit="1" customWidth="1"/>
    <col min="5895" max="5895" width="9.5" style="76" customWidth="1"/>
    <col min="5896" max="5896" width="9.375" style="76" customWidth="1"/>
    <col min="5897" max="5897" width="10.125" style="76" customWidth="1"/>
    <col min="5898" max="5898" width="11.125" style="76" customWidth="1"/>
    <col min="5899" max="6133" width="9" style="76"/>
    <col min="6134" max="6134" width="5.875" style="76" customWidth="1"/>
    <col min="6135" max="6135" width="18" style="76" customWidth="1"/>
    <col min="6136" max="6146" width="0" style="76" hidden="1" customWidth="1"/>
    <col min="6147" max="6147" width="9" style="76"/>
    <col min="6148" max="6148" width="9.875" style="76" customWidth="1"/>
    <col min="6149" max="6149" width="9" style="76" customWidth="1"/>
    <col min="6150" max="6150" width="9.5" style="76" bestFit="1" customWidth="1"/>
    <col min="6151" max="6151" width="9.5" style="76" customWidth="1"/>
    <col min="6152" max="6152" width="9.375" style="76" customWidth="1"/>
    <col min="6153" max="6153" width="10.125" style="76" customWidth="1"/>
    <col min="6154" max="6154" width="11.125" style="76" customWidth="1"/>
    <col min="6155" max="6389" width="9" style="76"/>
    <col min="6390" max="6390" width="5.875" style="76" customWidth="1"/>
    <col min="6391" max="6391" width="18" style="76" customWidth="1"/>
    <col min="6392" max="6402" width="0" style="76" hidden="1" customWidth="1"/>
    <col min="6403" max="6403" width="9" style="76"/>
    <col min="6404" max="6404" width="9.875" style="76" customWidth="1"/>
    <col min="6405" max="6405" width="9" style="76" customWidth="1"/>
    <col min="6406" max="6406" width="9.5" style="76" bestFit="1" customWidth="1"/>
    <col min="6407" max="6407" width="9.5" style="76" customWidth="1"/>
    <col min="6408" max="6408" width="9.375" style="76" customWidth="1"/>
    <col min="6409" max="6409" width="10.125" style="76" customWidth="1"/>
    <col min="6410" max="6410" width="11.125" style="76" customWidth="1"/>
    <col min="6411" max="6645" width="9" style="76"/>
    <col min="6646" max="6646" width="5.875" style="76" customWidth="1"/>
    <col min="6647" max="6647" width="18" style="76" customWidth="1"/>
    <col min="6648" max="6658" width="0" style="76" hidden="1" customWidth="1"/>
    <col min="6659" max="6659" width="9" style="76"/>
    <col min="6660" max="6660" width="9.875" style="76" customWidth="1"/>
    <col min="6661" max="6661" width="9" style="76" customWidth="1"/>
    <col min="6662" max="6662" width="9.5" style="76" bestFit="1" customWidth="1"/>
    <col min="6663" max="6663" width="9.5" style="76" customWidth="1"/>
    <col min="6664" max="6664" width="9.375" style="76" customWidth="1"/>
    <col min="6665" max="6665" width="10.125" style="76" customWidth="1"/>
    <col min="6666" max="6666" width="11.125" style="76" customWidth="1"/>
    <col min="6667" max="6901" width="9" style="76"/>
    <col min="6902" max="6902" width="5.875" style="76" customWidth="1"/>
    <col min="6903" max="6903" width="18" style="76" customWidth="1"/>
    <col min="6904" max="6914" width="0" style="76" hidden="1" customWidth="1"/>
    <col min="6915" max="6915" width="9" style="76"/>
    <col min="6916" max="6916" width="9.875" style="76" customWidth="1"/>
    <col min="6917" max="6917" width="9" style="76" customWidth="1"/>
    <col min="6918" max="6918" width="9.5" style="76" bestFit="1" customWidth="1"/>
    <col min="6919" max="6919" width="9.5" style="76" customWidth="1"/>
    <col min="6920" max="6920" width="9.375" style="76" customWidth="1"/>
    <col min="6921" max="6921" width="10.125" style="76" customWidth="1"/>
    <col min="6922" max="6922" width="11.125" style="76" customWidth="1"/>
    <col min="6923" max="7157" width="9" style="76"/>
    <col min="7158" max="7158" width="5.875" style="76" customWidth="1"/>
    <col min="7159" max="7159" width="18" style="76" customWidth="1"/>
    <col min="7160" max="7170" width="0" style="76" hidden="1" customWidth="1"/>
    <col min="7171" max="7171" width="9" style="76"/>
    <col min="7172" max="7172" width="9.875" style="76" customWidth="1"/>
    <col min="7173" max="7173" width="9" style="76" customWidth="1"/>
    <col min="7174" max="7174" width="9.5" style="76" bestFit="1" customWidth="1"/>
    <col min="7175" max="7175" width="9.5" style="76" customWidth="1"/>
    <col min="7176" max="7176" width="9.375" style="76" customWidth="1"/>
    <col min="7177" max="7177" width="10.125" style="76" customWidth="1"/>
    <col min="7178" max="7178" width="11.125" style="76" customWidth="1"/>
    <col min="7179" max="7413" width="9" style="76"/>
    <col min="7414" max="7414" width="5.875" style="76" customWidth="1"/>
    <col min="7415" max="7415" width="18" style="76" customWidth="1"/>
    <col min="7416" max="7426" width="0" style="76" hidden="1" customWidth="1"/>
    <col min="7427" max="7427" width="9" style="76"/>
    <col min="7428" max="7428" width="9.875" style="76" customWidth="1"/>
    <col min="7429" max="7429" width="9" style="76" customWidth="1"/>
    <col min="7430" max="7430" width="9.5" style="76" bestFit="1" customWidth="1"/>
    <col min="7431" max="7431" width="9.5" style="76" customWidth="1"/>
    <col min="7432" max="7432" width="9.375" style="76" customWidth="1"/>
    <col min="7433" max="7433" width="10.125" style="76" customWidth="1"/>
    <col min="7434" max="7434" width="11.125" style="76" customWidth="1"/>
    <col min="7435" max="7669" width="9" style="76"/>
    <col min="7670" max="7670" width="5.875" style="76" customWidth="1"/>
    <col min="7671" max="7671" width="18" style="76" customWidth="1"/>
    <col min="7672" max="7682" width="0" style="76" hidden="1" customWidth="1"/>
    <col min="7683" max="7683" width="9" style="76"/>
    <col min="7684" max="7684" width="9.875" style="76" customWidth="1"/>
    <col min="7685" max="7685" width="9" style="76" customWidth="1"/>
    <col min="7686" max="7686" width="9.5" style="76" bestFit="1" customWidth="1"/>
    <col min="7687" max="7687" width="9.5" style="76" customWidth="1"/>
    <col min="7688" max="7688" width="9.375" style="76" customWidth="1"/>
    <col min="7689" max="7689" width="10.125" style="76" customWidth="1"/>
    <col min="7690" max="7690" width="11.125" style="76" customWidth="1"/>
    <col min="7691" max="7925" width="9" style="76"/>
    <col min="7926" max="7926" width="5.875" style="76" customWidth="1"/>
    <col min="7927" max="7927" width="18" style="76" customWidth="1"/>
    <col min="7928" max="7938" width="0" style="76" hidden="1" customWidth="1"/>
    <col min="7939" max="7939" width="9" style="76"/>
    <col min="7940" max="7940" width="9.875" style="76" customWidth="1"/>
    <col min="7941" max="7941" width="9" style="76" customWidth="1"/>
    <col min="7942" max="7942" width="9.5" style="76" bestFit="1" customWidth="1"/>
    <col min="7943" max="7943" width="9.5" style="76" customWidth="1"/>
    <col min="7944" max="7944" width="9.375" style="76" customWidth="1"/>
    <col min="7945" max="7945" width="10.125" style="76" customWidth="1"/>
    <col min="7946" max="7946" width="11.125" style="76" customWidth="1"/>
    <col min="7947" max="8181" width="9" style="76"/>
    <col min="8182" max="8182" width="5.875" style="76" customWidth="1"/>
    <col min="8183" max="8183" width="18" style="76" customWidth="1"/>
    <col min="8184" max="8194" width="0" style="76" hidden="1" customWidth="1"/>
    <col min="8195" max="8195" width="9" style="76"/>
    <col min="8196" max="8196" width="9.875" style="76" customWidth="1"/>
    <col min="8197" max="8197" width="9" style="76" customWidth="1"/>
    <col min="8198" max="8198" width="9.5" style="76" bestFit="1" customWidth="1"/>
    <col min="8199" max="8199" width="9.5" style="76" customWidth="1"/>
    <col min="8200" max="8200" width="9.375" style="76" customWidth="1"/>
    <col min="8201" max="8201" width="10.125" style="76" customWidth="1"/>
    <col min="8202" max="8202" width="11.125" style="76" customWidth="1"/>
    <col min="8203" max="8437" width="9" style="76"/>
    <col min="8438" max="8438" width="5.875" style="76" customWidth="1"/>
    <col min="8439" max="8439" width="18" style="76" customWidth="1"/>
    <col min="8440" max="8450" width="0" style="76" hidden="1" customWidth="1"/>
    <col min="8451" max="8451" width="9" style="76"/>
    <col min="8452" max="8452" width="9.875" style="76" customWidth="1"/>
    <col min="8453" max="8453" width="9" style="76" customWidth="1"/>
    <col min="8454" max="8454" width="9.5" style="76" bestFit="1" customWidth="1"/>
    <col min="8455" max="8455" width="9.5" style="76" customWidth="1"/>
    <col min="8456" max="8456" width="9.375" style="76" customWidth="1"/>
    <col min="8457" max="8457" width="10.125" style="76" customWidth="1"/>
    <col min="8458" max="8458" width="11.125" style="76" customWidth="1"/>
    <col min="8459" max="8693" width="9" style="76"/>
    <col min="8694" max="8694" width="5.875" style="76" customWidth="1"/>
    <col min="8695" max="8695" width="18" style="76" customWidth="1"/>
    <col min="8696" max="8706" width="0" style="76" hidden="1" customWidth="1"/>
    <col min="8707" max="8707" width="9" style="76"/>
    <col min="8708" max="8708" width="9.875" style="76" customWidth="1"/>
    <col min="8709" max="8709" width="9" style="76" customWidth="1"/>
    <col min="8710" max="8710" width="9.5" style="76" bestFit="1" customWidth="1"/>
    <col min="8711" max="8711" width="9.5" style="76" customWidth="1"/>
    <col min="8712" max="8712" width="9.375" style="76" customWidth="1"/>
    <col min="8713" max="8713" width="10.125" style="76" customWidth="1"/>
    <col min="8714" max="8714" width="11.125" style="76" customWidth="1"/>
    <col min="8715" max="8949" width="9" style="76"/>
    <col min="8950" max="8950" width="5.875" style="76" customWidth="1"/>
    <col min="8951" max="8951" width="18" style="76" customWidth="1"/>
    <col min="8952" max="8962" width="0" style="76" hidden="1" customWidth="1"/>
    <col min="8963" max="8963" width="9" style="76"/>
    <col min="8964" max="8964" width="9.875" style="76" customWidth="1"/>
    <col min="8965" max="8965" width="9" style="76" customWidth="1"/>
    <col min="8966" max="8966" width="9.5" style="76" bestFit="1" customWidth="1"/>
    <col min="8967" max="8967" width="9.5" style="76" customWidth="1"/>
    <col min="8968" max="8968" width="9.375" style="76" customWidth="1"/>
    <col min="8969" max="8969" width="10.125" style="76" customWidth="1"/>
    <col min="8970" max="8970" width="11.125" style="76" customWidth="1"/>
    <col min="8971" max="9205" width="9" style="76"/>
    <col min="9206" max="9206" width="5.875" style="76" customWidth="1"/>
    <col min="9207" max="9207" width="18" style="76" customWidth="1"/>
    <col min="9208" max="9218" width="0" style="76" hidden="1" customWidth="1"/>
    <col min="9219" max="9219" width="9" style="76"/>
    <col min="9220" max="9220" width="9.875" style="76" customWidth="1"/>
    <col min="9221" max="9221" width="9" style="76" customWidth="1"/>
    <col min="9222" max="9222" width="9.5" style="76" bestFit="1" customWidth="1"/>
    <col min="9223" max="9223" width="9.5" style="76" customWidth="1"/>
    <col min="9224" max="9224" width="9.375" style="76" customWidth="1"/>
    <col min="9225" max="9225" width="10.125" style="76" customWidth="1"/>
    <col min="9226" max="9226" width="11.125" style="76" customWidth="1"/>
    <col min="9227" max="9461" width="9" style="76"/>
    <col min="9462" max="9462" width="5.875" style="76" customWidth="1"/>
    <col min="9463" max="9463" width="18" style="76" customWidth="1"/>
    <col min="9464" max="9474" width="0" style="76" hidden="1" customWidth="1"/>
    <col min="9475" max="9475" width="9" style="76"/>
    <col min="9476" max="9476" width="9.875" style="76" customWidth="1"/>
    <col min="9477" max="9477" width="9" style="76" customWidth="1"/>
    <col min="9478" max="9478" width="9.5" style="76" bestFit="1" customWidth="1"/>
    <col min="9479" max="9479" width="9.5" style="76" customWidth="1"/>
    <col min="9480" max="9480" width="9.375" style="76" customWidth="1"/>
    <col min="9481" max="9481" width="10.125" style="76" customWidth="1"/>
    <col min="9482" max="9482" width="11.125" style="76" customWidth="1"/>
    <col min="9483" max="9717" width="9" style="76"/>
    <col min="9718" max="9718" width="5.875" style="76" customWidth="1"/>
    <col min="9719" max="9719" width="18" style="76" customWidth="1"/>
    <col min="9720" max="9730" width="0" style="76" hidden="1" customWidth="1"/>
    <col min="9731" max="9731" width="9" style="76"/>
    <col min="9732" max="9732" width="9.875" style="76" customWidth="1"/>
    <col min="9733" max="9733" width="9" style="76" customWidth="1"/>
    <col min="9734" max="9734" width="9.5" style="76" bestFit="1" customWidth="1"/>
    <col min="9735" max="9735" width="9.5" style="76" customWidth="1"/>
    <col min="9736" max="9736" width="9.375" style="76" customWidth="1"/>
    <col min="9737" max="9737" width="10.125" style="76" customWidth="1"/>
    <col min="9738" max="9738" width="11.125" style="76" customWidth="1"/>
    <col min="9739" max="9973" width="9" style="76"/>
    <col min="9974" max="9974" width="5.875" style="76" customWidth="1"/>
    <col min="9975" max="9975" width="18" style="76" customWidth="1"/>
    <col min="9976" max="9986" width="0" style="76" hidden="1" customWidth="1"/>
    <col min="9987" max="9987" width="9" style="76"/>
    <col min="9988" max="9988" width="9.875" style="76" customWidth="1"/>
    <col min="9989" max="9989" width="9" style="76" customWidth="1"/>
    <col min="9990" max="9990" width="9.5" style="76" bestFit="1" customWidth="1"/>
    <col min="9991" max="9991" width="9.5" style="76" customWidth="1"/>
    <col min="9992" max="9992" width="9.375" style="76" customWidth="1"/>
    <col min="9993" max="9993" width="10.125" style="76" customWidth="1"/>
    <col min="9994" max="9994" width="11.125" style="76" customWidth="1"/>
    <col min="9995" max="10229" width="9" style="76"/>
    <col min="10230" max="10230" width="5.875" style="76" customWidth="1"/>
    <col min="10231" max="10231" width="18" style="76" customWidth="1"/>
    <col min="10232" max="10242" width="0" style="76" hidden="1" customWidth="1"/>
    <col min="10243" max="10243" width="9" style="76"/>
    <col min="10244" max="10244" width="9.875" style="76" customWidth="1"/>
    <col min="10245" max="10245" width="9" style="76" customWidth="1"/>
    <col min="10246" max="10246" width="9.5" style="76" bestFit="1" customWidth="1"/>
    <col min="10247" max="10247" width="9.5" style="76" customWidth="1"/>
    <col min="10248" max="10248" width="9.375" style="76" customWidth="1"/>
    <col min="10249" max="10249" width="10.125" style="76" customWidth="1"/>
    <col min="10250" max="10250" width="11.125" style="76" customWidth="1"/>
    <col min="10251" max="10485" width="9" style="76"/>
    <col min="10486" max="10486" width="5.875" style="76" customWidth="1"/>
    <col min="10487" max="10487" width="18" style="76" customWidth="1"/>
    <col min="10488" max="10498" width="0" style="76" hidden="1" customWidth="1"/>
    <col min="10499" max="10499" width="9" style="76"/>
    <col min="10500" max="10500" width="9.875" style="76" customWidth="1"/>
    <col min="10501" max="10501" width="9" style="76" customWidth="1"/>
    <col min="10502" max="10502" width="9.5" style="76" bestFit="1" customWidth="1"/>
    <col min="10503" max="10503" width="9.5" style="76" customWidth="1"/>
    <col min="10504" max="10504" width="9.375" style="76" customWidth="1"/>
    <col min="10505" max="10505" width="10.125" style="76" customWidth="1"/>
    <col min="10506" max="10506" width="11.125" style="76" customWidth="1"/>
    <col min="10507" max="10741" width="9" style="76"/>
    <col min="10742" max="10742" width="5.875" style="76" customWidth="1"/>
    <col min="10743" max="10743" width="18" style="76" customWidth="1"/>
    <col min="10744" max="10754" width="0" style="76" hidden="1" customWidth="1"/>
    <col min="10755" max="10755" width="9" style="76"/>
    <col min="10756" max="10756" width="9.875" style="76" customWidth="1"/>
    <col min="10757" max="10757" width="9" style="76" customWidth="1"/>
    <col min="10758" max="10758" width="9.5" style="76" bestFit="1" customWidth="1"/>
    <col min="10759" max="10759" width="9.5" style="76" customWidth="1"/>
    <col min="10760" max="10760" width="9.375" style="76" customWidth="1"/>
    <col min="10761" max="10761" width="10.125" style="76" customWidth="1"/>
    <col min="10762" max="10762" width="11.125" style="76" customWidth="1"/>
    <col min="10763" max="10997" width="9" style="76"/>
    <col min="10998" max="10998" width="5.875" style="76" customWidth="1"/>
    <col min="10999" max="10999" width="18" style="76" customWidth="1"/>
    <col min="11000" max="11010" width="0" style="76" hidden="1" customWidth="1"/>
    <col min="11011" max="11011" width="9" style="76"/>
    <col min="11012" max="11012" width="9.875" style="76" customWidth="1"/>
    <col min="11013" max="11013" width="9" style="76" customWidth="1"/>
    <col min="11014" max="11014" width="9.5" style="76" bestFit="1" customWidth="1"/>
    <col min="11015" max="11015" width="9.5" style="76" customWidth="1"/>
    <col min="11016" max="11016" width="9.375" style="76" customWidth="1"/>
    <col min="11017" max="11017" width="10.125" style="76" customWidth="1"/>
    <col min="11018" max="11018" width="11.125" style="76" customWidth="1"/>
    <col min="11019" max="11253" width="9" style="76"/>
    <col min="11254" max="11254" width="5.875" style="76" customWidth="1"/>
    <col min="11255" max="11255" width="18" style="76" customWidth="1"/>
    <col min="11256" max="11266" width="0" style="76" hidden="1" customWidth="1"/>
    <col min="11267" max="11267" width="9" style="76"/>
    <col min="11268" max="11268" width="9.875" style="76" customWidth="1"/>
    <col min="11269" max="11269" width="9" style="76" customWidth="1"/>
    <col min="11270" max="11270" width="9.5" style="76" bestFit="1" customWidth="1"/>
    <col min="11271" max="11271" width="9.5" style="76" customWidth="1"/>
    <col min="11272" max="11272" width="9.375" style="76" customWidth="1"/>
    <col min="11273" max="11273" width="10.125" style="76" customWidth="1"/>
    <col min="11274" max="11274" width="11.125" style="76" customWidth="1"/>
    <col min="11275" max="11509" width="9" style="76"/>
    <col min="11510" max="11510" width="5.875" style="76" customWidth="1"/>
    <col min="11511" max="11511" width="18" style="76" customWidth="1"/>
    <col min="11512" max="11522" width="0" style="76" hidden="1" customWidth="1"/>
    <col min="11523" max="11523" width="9" style="76"/>
    <col min="11524" max="11524" width="9.875" style="76" customWidth="1"/>
    <col min="11525" max="11525" width="9" style="76" customWidth="1"/>
    <col min="11526" max="11526" width="9.5" style="76" bestFit="1" customWidth="1"/>
    <col min="11527" max="11527" width="9.5" style="76" customWidth="1"/>
    <col min="11528" max="11528" width="9.375" style="76" customWidth="1"/>
    <col min="11529" max="11529" width="10.125" style="76" customWidth="1"/>
    <col min="11530" max="11530" width="11.125" style="76" customWidth="1"/>
    <col min="11531" max="11765" width="9" style="76"/>
    <col min="11766" max="11766" width="5.875" style="76" customWidth="1"/>
    <col min="11767" max="11767" width="18" style="76" customWidth="1"/>
    <col min="11768" max="11778" width="0" style="76" hidden="1" customWidth="1"/>
    <col min="11779" max="11779" width="9" style="76"/>
    <col min="11780" max="11780" width="9.875" style="76" customWidth="1"/>
    <col min="11781" max="11781" width="9" style="76" customWidth="1"/>
    <col min="11782" max="11782" width="9.5" style="76" bestFit="1" customWidth="1"/>
    <col min="11783" max="11783" width="9.5" style="76" customWidth="1"/>
    <col min="11784" max="11784" width="9.375" style="76" customWidth="1"/>
    <col min="11785" max="11785" width="10.125" style="76" customWidth="1"/>
    <col min="11786" max="11786" width="11.125" style="76" customWidth="1"/>
    <col min="11787" max="12021" width="9" style="76"/>
    <col min="12022" max="12022" width="5.875" style="76" customWidth="1"/>
    <col min="12023" max="12023" width="18" style="76" customWidth="1"/>
    <col min="12024" max="12034" width="0" style="76" hidden="1" customWidth="1"/>
    <col min="12035" max="12035" width="9" style="76"/>
    <col min="12036" max="12036" width="9.875" style="76" customWidth="1"/>
    <col min="12037" max="12037" width="9" style="76" customWidth="1"/>
    <col min="12038" max="12038" width="9.5" style="76" bestFit="1" customWidth="1"/>
    <col min="12039" max="12039" width="9.5" style="76" customWidth="1"/>
    <col min="12040" max="12040" width="9.375" style="76" customWidth="1"/>
    <col min="12041" max="12041" width="10.125" style="76" customWidth="1"/>
    <col min="12042" max="12042" width="11.125" style="76" customWidth="1"/>
    <col min="12043" max="12277" width="9" style="76"/>
    <col min="12278" max="12278" width="5.875" style="76" customWidth="1"/>
    <col min="12279" max="12279" width="18" style="76" customWidth="1"/>
    <col min="12280" max="12290" width="0" style="76" hidden="1" customWidth="1"/>
    <col min="12291" max="12291" width="9" style="76"/>
    <col min="12292" max="12292" width="9.875" style="76" customWidth="1"/>
    <col min="12293" max="12293" width="9" style="76" customWidth="1"/>
    <col min="12294" max="12294" width="9.5" style="76" bestFit="1" customWidth="1"/>
    <col min="12295" max="12295" width="9.5" style="76" customWidth="1"/>
    <col min="12296" max="12296" width="9.375" style="76" customWidth="1"/>
    <col min="12297" max="12297" width="10.125" style="76" customWidth="1"/>
    <col min="12298" max="12298" width="11.125" style="76" customWidth="1"/>
    <col min="12299" max="12533" width="9" style="76"/>
    <col min="12534" max="12534" width="5.875" style="76" customWidth="1"/>
    <col min="12535" max="12535" width="18" style="76" customWidth="1"/>
    <col min="12536" max="12546" width="0" style="76" hidden="1" customWidth="1"/>
    <col min="12547" max="12547" width="9" style="76"/>
    <col min="12548" max="12548" width="9.875" style="76" customWidth="1"/>
    <col min="12549" max="12549" width="9" style="76" customWidth="1"/>
    <col min="12550" max="12550" width="9.5" style="76" bestFit="1" customWidth="1"/>
    <col min="12551" max="12551" width="9.5" style="76" customWidth="1"/>
    <col min="12552" max="12552" width="9.375" style="76" customWidth="1"/>
    <col min="12553" max="12553" width="10.125" style="76" customWidth="1"/>
    <col min="12554" max="12554" width="11.125" style="76" customWidth="1"/>
    <col min="12555" max="12789" width="9" style="76"/>
    <col min="12790" max="12790" width="5.875" style="76" customWidth="1"/>
    <col min="12791" max="12791" width="18" style="76" customWidth="1"/>
    <col min="12792" max="12802" width="0" style="76" hidden="1" customWidth="1"/>
    <col min="12803" max="12803" width="9" style="76"/>
    <col min="12804" max="12804" width="9.875" style="76" customWidth="1"/>
    <col min="12805" max="12805" width="9" style="76" customWidth="1"/>
    <col min="12806" max="12806" width="9.5" style="76" bestFit="1" customWidth="1"/>
    <col min="12807" max="12807" width="9.5" style="76" customWidth="1"/>
    <col min="12808" max="12808" width="9.375" style="76" customWidth="1"/>
    <col min="12809" max="12809" width="10.125" style="76" customWidth="1"/>
    <col min="12810" max="12810" width="11.125" style="76" customWidth="1"/>
    <col min="12811" max="13045" width="9" style="76"/>
    <col min="13046" max="13046" width="5.875" style="76" customWidth="1"/>
    <col min="13047" max="13047" width="18" style="76" customWidth="1"/>
    <col min="13048" max="13058" width="0" style="76" hidden="1" customWidth="1"/>
    <col min="13059" max="13059" width="9" style="76"/>
    <col min="13060" max="13060" width="9.875" style="76" customWidth="1"/>
    <col min="13061" max="13061" width="9" style="76" customWidth="1"/>
    <col min="13062" max="13062" width="9.5" style="76" bestFit="1" customWidth="1"/>
    <col min="13063" max="13063" width="9.5" style="76" customWidth="1"/>
    <col min="13064" max="13064" width="9.375" style="76" customWidth="1"/>
    <col min="13065" max="13065" width="10.125" style="76" customWidth="1"/>
    <col min="13066" max="13066" width="11.125" style="76" customWidth="1"/>
    <col min="13067" max="13301" width="9" style="76"/>
    <col min="13302" max="13302" width="5.875" style="76" customWidth="1"/>
    <col min="13303" max="13303" width="18" style="76" customWidth="1"/>
    <col min="13304" max="13314" width="0" style="76" hidden="1" customWidth="1"/>
    <col min="13315" max="13315" width="9" style="76"/>
    <col min="13316" max="13316" width="9.875" style="76" customWidth="1"/>
    <col min="13317" max="13317" width="9" style="76" customWidth="1"/>
    <col min="13318" max="13318" width="9.5" style="76" bestFit="1" customWidth="1"/>
    <col min="13319" max="13319" width="9.5" style="76" customWidth="1"/>
    <col min="13320" max="13320" width="9.375" style="76" customWidth="1"/>
    <col min="13321" max="13321" width="10.125" style="76" customWidth="1"/>
    <col min="13322" max="13322" width="11.125" style="76" customWidth="1"/>
    <col min="13323" max="13557" width="9" style="76"/>
    <col min="13558" max="13558" width="5.875" style="76" customWidth="1"/>
    <col min="13559" max="13559" width="18" style="76" customWidth="1"/>
    <col min="13560" max="13570" width="0" style="76" hidden="1" customWidth="1"/>
    <col min="13571" max="13571" width="9" style="76"/>
    <col min="13572" max="13572" width="9.875" style="76" customWidth="1"/>
    <col min="13573" max="13573" width="9" style="76" customWidth="1"/>
    <col min="13574" max="13574" width="9.5" style="76" bestFit="1" customWidth="1"/>
    <col min="13575" max="13575" width="9.5" style="76" customWidth="1"/>
    <col min="13576" max="13576" width="9.375" style="76" customWidth="1"/>
    <col min="13577" max="13577" width="10.125" style="76" customWidth="1"/>
    <col min="13578" max="13578" width="11.125" style="76" customWidth="1"/>
    <col min="13579" max="13813" width="9" style="76"/>
    <col min="13814" max="13814" width="5.875" style="76" customWidth="1"/>
    <col min="13815" max="13815" width="18" style="76" customWidth="1"/>
    <col min="13816" max="13826" width="0" style="76" hidden="1" customWidth="1"/>
    <col min="13827" max="13827" width="9" style="76"/>
    <col min="13828" max="13828" width="9.875" style="76" customWidth="1"/>
    <col min="13829" max="13829" width="9" style="76" customWidth="1"/>
    <col min="13830" max="13830" width="9.5" style="76" bestFit="1" customWidth="1"/>
    <col min="13831" max="13831" width="9.5" style="76" customWidth="1"/>
    <col min="13832" max="13832" width="9.375" style="76" customWidth="1"/>
    <col min="13833" max="13833" width="10.125" style="76" customWidth="1"/>
    <col min="13834" max="13834" width="11.125" style="76" customWidth="1"/>
    <col min="13835" max="14069" width="9" style="76"/>
    <col min="14070" max="14070" width="5.875" style="76" customWidth="1"/>
    <col min="14071" max="14071" width="18" style="76" customWidth="1"/>
    <col min="14072" max="14082" width="0" style="76" hidden="1" customWidth="1"/>
    <col min="14083" max="14083" width="9" style="76"/>
    <col min="14084" max="14084" width="9.875" style="76" customWidth="1"/>
    <col min="14085" max="14085" width="9" style="76" customWidth="1"/>
    <col min="14086" max="14086" width="9.5" style="76" bestFit="1" customWidth="1"/>
    <col min="14087" max="14087" width="9.5" style="76" customWidth="1"/>
    <col min="14088" max="14088" width="9.375" style="76" customWidth="1"/>
    <col min="14089" max="14089" width="10.125" style="76" customWidth="1"/>
    <col min="14090" max="14090" width="11.125" style="76" customWidth="1"/>
    <col min="14091" max="14325" width="9" style="76"/>
    <col min="14326" max="14326" width="5.875" style="76" customWidth="1"/>
    <col min="14327" max="14327" width="18" style="76" customWidth="1"/>
    <col min="14328" max="14338" width="0" style="76" hidden="1" customWidth="1"/>
    <col min="14339" max="14339" width="9" style="76"/>
    <col min="14340" max="14340" width="9.875" style="76" customWidth="1"/>
    <col min="14341" max="14341" width="9" style="76" customWidth="1"/>
    <col min="14342" max="14342" width="9.5" style="76" bestFit="1" customWidth="1"/>
    <col min="14343" max="14343" width="9.5" style="76" customWidth="1"/>
    <col min="14344" max="14344" width="9.375" style="76" customWidth="1"/>
    <col min="14345" max="14345" width="10.125" style="76" customWidth="1"/>
    <col min="14346" max="14346" width="11.125" style="76" customWidth="1"/>
    <col min="14347" max="14581" width="9" style="76"/>
    <col min="14582" max="14582" width="5.875" style="76" customWidth="1"/>
    <col min="14583" max="14583" width="18" style="76" customWidth="1"/>
    <col min="14584" max="14594" width="0" style="76" hidden="1" customWidth="1"/>
    <col min="14595" max="14595" width="9" style="76"/>
    <col min="14596" max="14596" width="9.875" style="76" customWidth="1"/>
    <col min="14597" max="14597" width="9" style="76" customWidth="1"/>
    <col min="14598" max="14598" width="9.5" style="76" bestFit="1" customWidth="1"/>
    <col min="14599" max="14599" width="9.5" style="76" customWidth="1"/>
    <col min="14600" max="14600" width="9.375" style="76" customWidth="1"/>
    <col min="14601" max="14601" width="10.125" style="76" customWidth="1"/>
    <col min="14602" max="14602" width="11.125" style="76" customWidth="1"/>
    <col min="14603" max="14837" width="9" style="76"/>
    <col min="14838" max="14838" width="5.875" style="76" customWidth="1"/>
    <col min="14839" max="14839" width="18" style="76" customWidth="1"/>
    <col min="14840" max="14850" width="0" style="76" hidden="1" customWidth="1"/>
    <col min="14851" max="14851" width="9" style="76"/>
    <col min="14852" max="14852" width="9.875" style="76" customWidth="1"/>
    <col min="14853" max="14853" width="9" style="76" customWidth="1"/>
    <col min="14854" max="14854" width="9.5" style="76" bestFit="1" customWidth="1"/>
    <col min="14855" max="14855" width="9.5" style="76" customWidth="1"/>
    <col min="14856" max="14856" width="9.375" style="76" customWidth="1"/>
    <col min="14857" max="14857" width="10.125" style="76" customWidth="1"/>
    <col min="14858" max="14858" width="11.125" style="76" customWidth="1"/>
    <col min="14859" max="15093" width="9" style="76"/>
    <col min="15094" max="15094" width="5.875" style="76" customWidth="1"/>
    <col min="15095" max="15095" width="18" style="76" customWidth="1"/>
    <col min="15096" max="15106" width="0" style="76" hidden="1" customWidth="1"/>
    <col min="15107" max="15107" width="9" style="76"/>
    <col min="15108" max="15108" width="9.875" style="76" customWidth="1"/>
    <col min="15109" max="15109" width="9" style="76" customWidth="1"/>
    <col min="15110" max="15110" width="9.5" style="76" bestFit="1" customWidth="1"/>
    <col min="15111" max="15111" width="9.5" style="76" customWidth="1"/>
    <col min="15112" max="15112" width="9.375" style="76" customWidth="1"/>
    <col min="15113" max="15113" width="10.125" style="76" customWidth="1"/>
    <col min="15114" max="15114" width="11.125" style="76" customWidth="1"/>
    <col min="15115" max="15349" width="9" style="76"/>
    <col min="15350" max="15350" width="5.875" style="76" customWidth="1"/>
    <col min="15351" max="15351" width="18" style="76" customWidth="1"/>
    <col min="15352" max="15362" width="0" style="76" hidden="1" customWidth="1"/>
    <col min="15363" max="15363" width="9" style="76"/>
    <col min="15364" max="15364" width="9.875" style="76" customWidth="1"/>
    <col min="15365" max="15365" width="9" style="76" customWidth="1"/>
    <col min="15366" max="15366" width="9.5" style="76" bestFit="1" customWidth="1"/>
    <col min="15367" max="15367" width="9.5" style="76" customWidth="1"/>
    <col min="15368" max="15368" width="9.375" style="76" customWidth="1"/>
    <col min="15369" max="15369" width="10.125" style="76" customWidth="1"/>
    <col min="15370" max="15370" width="11.125" style="76" customWidth="1"/>
    <col min="15371" max="15605" width="9" style="76"/>
    <col min="15606" max="15606" width="5.875" style="76" customWidth="1"/>
    <col min="15607" max="15607" width="18" style="76" customWidth="1"/>
    <col min="15608" max="15618" width="0" style="76" hidden="1" customWidth="1"/>
    <col min="15619" max="15619" width="9" style="76"/>
    <col min="15620" max="15620" width="9.875" style="76" customWidth="1"/>
    <col min="15621" max="15621" width="9" style="76" customWidth="1"/>
    <col min="15622" max="15622" width="9.5" style="76" bestFit="1" customWidth="1"/>
    <col min="15623" max="15623" width="9.5" style="76" customWidth="1"/>
    <col min="15624" max="15624" width="9.375" style="76" customWidth="1"/>
    <col min="15625" max="15625" width="10.125" style="76" customWidth="1"/>
    <col min="15626" max="15626" width="11.125" style="76" customWidth="1"/>
    <col min="15627" max="15861" width="9" style="76"/>
    <col min="15862" max="15862" width="5.875" style="76" customWidth="1"/>
    <col min="15863" max="15863" width="18" style="76" customWidth="1"/>
    <col min="15864" max="15874" width="0" style="76" hidden="1" customWidth="1"/>
    <col min="15875" max="15875" width="9" style="76"/>
    <col min="15876" max="15876" width="9.875" style="76" customWidth="1"/>
    <col min="15877" max="15877" width="9" style="76" customWidth="1"/>
    <col min="15878" max="15878" width="9.5" style="76" bestFit="1" customWidth="1"/>
    <col min="15879" max="15879" width="9.5" style="76" customWidth="1"/>
    <col min="15880" max="15880" width="9.375" style="76" customWidth="1"/>
    <col min="15881" max="15881" width="10.125" style="76" customWidth="1"/>
    <col min="15882" max="15882" width="11.125" style="76" customWidth="1"/>
    <col min="15883" max="16117" width="9" style="76"/>
    <col min="16118" max="16118" width="5.875" style="76" customWidth="1"/>
    <col min="16119" max="16119" width="18" style="76" customWidth="1"/>
    <col min="16120" max="16130" width="0" style="76" hidden="1" customWidth="1"/>
    <col min="16131" max="16131" width="9" style="76"/>
    <col min="16132" max="16132" width="9.875" style="76" customWidth="1"/>
    <col min="16133" max="16133" width="9" style="76" customWidth="1"/>
    <col min="16134" max="16134" width="9.5" style="76" bestFit="1" customWidth="1"/>
    <col min="16135" max="16135" width="9.5" style="76" customWidth="1"/>
    <col min="16136" max="16136" width="9.375" style="76" customWidth="1"/>
    <col min="16137" max="16137" width="10.125" style="76" customWidth="1"/>
    <col min="16138" max="16138" width="11.125" style="76" customWidth="1"/>
    <col min="16139" max="16384" width="9" style="76"/>
  </cols>
  <sheetData>
    <row r="1" spans="1:16" ht="21.75" customHeight="1">
      <c r="A1" s="310" t="s">
        <v>227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6" s="78" customFormat="1" ht="20.100000000000001" customHeight="1">
      <c r="A2" s="312" t="s">
        <v>0</v>
      </c>
      <c r="B2" s="312" t="s">
        <v>118</v>
      </c>
      <c r="C2" s="312" t="s">
        <v>217</v>
      </c>
      <c r="D2" s="312"/>
      <c r="E2" s="312" t="s">
        <v>218</v>
      </c>
      <c r="F2" s="312"/>
      <c r="G2" s="312" t="s">
        <v>219</v>
      </c>
      <c r="H2" s="312"/>
      <c r="I2" s="312" t="s">
        <v>220</v>
      </c>
      <c r="J2" s="312"/>
      <c r="K2" s="312" t="s">
        <v>221</v>
      </c>
      <c r="L2" s="312"/>
      <c r="M2" s="77" t="s">
        <v>222</v>
      </c>
      <c r="N2" s="313" t="s">
        <v>223</v>
      </c>
      <c r="O2" s="313" t="s">
        <v>224</v>
      </c>
    </row>
    <row r="3" spans="1:16" s="78" customFormat="1" ht="20.100000000000001" customHeight="1">
      <c r="A3" s="312"/>
      <c r="B3" s="312" t="s">
        <v>118</v>
      </c>
      <c r="C3" s="77" t="s">
        <v>225</v>
      </c>
      <c r="D3" s="77" t="s">
        <v>226</v>
      </c>
      <c r="E3" s="77" t="s">
        <v>225</v>
      </c>
      <c r="F3" s="77" t="s">
        <v>226</v>
      </c>
      <c r="G3" s="77" t="s">
        <v>225</v>
      </c>
      <c r="H3" s="77" t="s">
        <v>226</v>
      </c>
      <c r="I3" s="77" t="s">
        <v>225</v>
      </c>
      <c r="J3" s="77" t="s">
        <v>226</v>
      </c>
      <c r="K3" s="77" t="s">
        <v>225</v>
      </c>
      <c r="L3" s="77" t="s">
        <v>226</v>
      </c>
      <c r="M3" s="77" t="s">
        <v>225</v>
      </c>
      <c r="N3" s="313"/>
      <c r="O3" s="313"/>
    </row>
    <row r="4" spans="1:16" s="78" customFormat="1" ht="20.100000000000001" customHeight="1">
      <c r="A4" s="79" t="s">
        <v>24</v>
      </c>
      <c r="B4" s="80" t="s">
        <v>155</v>
      </c>
      <c r="C4" s="80">
        <v>3</v>
      </c>
      <c r="D4" s="80">
        <v>139</v>
      </c>
      <c r="E4" s="80">
        <v>4</v>
      </c>
      <c r="F4" s="80">
        <v>158</v>
      </c>
      <c r="G4" s="80">
        <v>4</v>
      </c>
      <c r="H4" s="80">
        <v>195</v>
      </c>
      <c r="I4" s="80">
        <v>4</v>
      </c>
      <c r="J4" s="80">
        <v>209</v>
      </c>
      <c r="K4" s="80">
        <v>3</v>
      </c>
      <c r="L4" s="80">
        <v>129</v>
      </c>
      <c r="M4" s="80">
        <f>C4+E4+G4+I4+K4</f>
        <v>18</v>
      </c>
      <c r="N4" s="81">
        <v>748</v>
      </c>
      <c r="O4" s="82">
        <f>N4*350/2</f>
        <v>130900</v>
      </c>
      <c r="P4" s="78" t="s">
        <v>214</v>
      </c>
    </row>
    <row r="5" spans="1:16" s="78" customFormat="1" ht="20.100000000000001" customHeight="1">
      <c r="A5" s="67"/>
      <c r="B5" s="67" t="s">
        <v>44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>
        <f t="shared" ref="N5:O5" si="0">SUM(N4)</f>
        <v>748</v>
      </c>
      <c r="O5" s="67">
        <f t="shared" si="0"/>
        <v>130900</v>
      </c>
    </row>
    <row r="6" spans="1:16" s="78" customFormat="1" ht="11.25"/>
    <row r="7" spans="1:16" s="78" customFormat="1" ht="11.25"/>
    <row r="8" spans="1:16" s="78" customFormat="1" ht="11.25"/>
    <row r="9" spans="1:16" s="78" customFormat="1" ht="11.25"/>
    <row r="10" spans="1:16" s="78" customFormat="1" ht="11.25"/>
    <row r="11" spans="1:16" s="78" customFormat="1" ht="11.25"/>
    <row r="12" spans="1:16" s="78" customFormat="1" ht="11.25"/>
    <row r="13" spans="1:16" s="78" customFormat="1" ht="11.25"/>
    <row r="14" spans="1:16" s="78" customFormat="1" ht="11.25"/>
    <row r="15" spans="1:16" s="78" customFormat="1" ht="11.25"/>
    <row r="16" spans="1:16" s="78" customFormat="1" ht="11.25"/>
    <row r="17" s="78" customFormat="1" ht="11.25"/>
    <row r="18" s="78" customFormat="1" ht="11.25"/>
    <row r="19" s="78" customFormat="1" ht="11.25"/>
    <row r="20" s="78" customFormat="1" ht="11.25"/>
    <row r="21" s="78" customFormat="1" ht="11.25"/>
    <row r="22" s="78" customFormat="1" ht="11.25"/>
    <row r="23" s="78" customFormat="1" ht="11.25"/>
    <row r="24" s="78" customFormat="1" ht="11.25"/>
    <row r="25" s="78" customFormat="1" ht="11.25"/>
    <row r="26" s="78" customFormat="1" ht="11.25"/>
    <row r="27" s="78" customFormat="1" ht="11.25"/>
    <row r="28" s="78" customFormat="1" ht="11.25"/>
    <row r="29" s="78" customFormat="1" ht="11.25"/>
    <row r="30" s="78" customFormat="1" ht="11.25"/>
    <row r="31" s="78" customFormat="1" ht="11.25"/>
    <row r="32" s="78" customFormat="1" ht="11.25"/>
    <row r="33" s="78" customFormat="1" ht="11.25"/>
    <row r="34" s="78" customFormat="1" ht="11.25"/>
    <row r="35" s="78" customFormat="1" ht="11.25"/>
    <row r="36" s="78" customFormat="1" ht="11.25"/>
    <row r="37" s="78" customFormat="1" ht="11.25"/>
    <row r="38" s="78" customFormat="1" ht="11.25"/>
    <row r="39" s="78" customFormat="1" ht="11.25"/>
    <row r="40" s="78" customFormat="1" ht="11.25"/>
    <row r="41" s="78" customFormat="1" ht="11.25"/>
    <row r="42" s="78" customFormat="1" ht="11.25"/>
    <row r="43" s="78" customFormat="1" ht="11.25"/>
    <row r="44" s="78" customFormat="1" ht="11.25"/>
    <row r="45" s="78" customFormat="1" ht="11.25"/>
    <row r="46" s="78" customFormat="1" ht="11.25"/>
    <row r="47" s="78" customFormat="1" ht="11.25"/>
    <row r="48" s="78" customFormat="1" ht="11.25"/>
    <row r="49" s="78" customFormat="1" ht="11.25"/>
    <row r="50" s="78" customFormat="1" ht="11.25"/>
    <row r="51" s="78" customFormat="1" ht="11.25"/>
    <row r="52" s="78" customFormat="1" ht="11.25"/>
    <row r="53" s="78" customFormat="1" ht="11.25"/>
    <row r="54" s="78" customFormat="1" ht="11.25"/>
    <row r="55" s="78" customFormat="1" ht="11.25"/>
    <row r="56" s="78" customFormat="1" ht="11.25"/>
    <row r="57" s="78" customFormat="1" ht="11.25"/>
    <row r="58" s="78" customFormat="1" ht="11.25"/>
    <row r="59" s="78" customFormat="1" ht="11.25"/>
    <row r="60" s="78" customFormat="1" ht="11.25"/>
    <row r="61" s="78" customFormat="1" ht="11.25"/>
    <row r="62" s="78" customFormat="1" ht="11.25"/>
    <row r="63" s="78" customFormat="1" ht="11.25"/>
    <row r="64" s="78" customFormat="1" ht="11.25"/>
    <row r="65" s="78" customFormat="1" ht="11.25"/>
    <row r="66" s="78" customFormat="1" ht="11.25"/>
    <row r="67" s="78" customFormat="1" ht="11.25"/>
    <row r="68" s="78" customFormat="1" ht="11.25"/>
    <row r="69" s="78" customFormat="1" ht="11.25"/>
    <row r="70" s="78" customFormat="1" ht="11.25"/>
    <row r="71" s="78" customFormat="1" ht="11.25"/>
    <row r="72" s="78" customFormat="1" ht="11.25"/>
    <row r="73" s="78" customFormat="1" ht="11.25"/>
    <row r="74" s="78" customFormat="1" ht="11.25"/>
    <row r="75" s="78" customFormat="1" ht="11.25"/>
    <row r="76" s="78" customFormat="1" ht="11.25"/>
    <row r="77" s="78" customFormat="1" ht="11.25"/>
    <row r="78" s="78" customFormat="1" ht="11.25"/>
    <row r="79" s="78" customFormat="1" ht="11.25"/>
    <row r="80" s="78" customFormat="1" ht="11.25"/>
    <row r="81" s="78" customFormat="1" ht="11.25"/>
    <row r="82" s="78" customFormat="1" ht="11.25"/>
    <row r="83" s="78" customFormat="1" ht="11.25"/>
    <row r="84" s="78" customFormat="1" ht="11.25"/>
    <row r="85" s="78" customFormat="1" ht="11.25"/>
    <row r="86" s="78" customFormat="1" ht="11.25"/>
    <row r="87" s="78" customFormat="1" ht="11.25"/>
    <row r="88" s="78" customFormat="1" ht="11.25"/>
    <row r="89" s="78" customFormat="1" ht="11.25"/>
    <row r="90" s="78" customFormat="1" ht="11.25"/>
    <row r="91" s="78" customFormat="1" ht="11.25"/>
    <row r="92" s="78" customFormat="1" ht="11.25"/>
    <row r="93" s="78" customFormat="1" ht="11.25"/>
    <row r="94" s="78" customFormat="1" ht="11.25"/>
    <row r="95" s="78" customFormat="1" ht="11.25"/>
    <row r="96" s="78" customFormat="1" ht="11.25"/>
    <row r="97" s="78" customFormat="1" ht="11.25"/>
    <row r="98" s="78" customFormat="1" ht="11.25"/>
    <row r="99" s="78" customFormat="1" ht="11.25"/>
    <row r="100" s="78" customFormat="1" ht="11.25"/>
    <row r="101" s="78" customFormat="1" ht="11.25"/>
    <row r="102" s="78" customFormat="1" ht="11.25"/>
    <row r="103" s="78" customFormat="1" ht="11.25"/>
    <row r="104" s="78" customFormat="1" ht="11.25"/>
    <row r="105" s="78" customFormat="1" ht="11.25"/>
    <row r="106" s="78" customFormat="1" ht="11.25"/>
    <row r="107" s="78" customFormat="1" ht="11.25"/>
    <row r="108" s="78" customFormat="1" ht="11.25"/>
    <row r="109" s="78" customFormat="1" ht="11.25"/>
    <row r="110" s="78" customFormat="1" ht="11.25"/>
    <row r="111" s="78" customFormat="1" ht="11.25"/>
    <row r="112" s="78" customFormat="1" ht="11.25"/>
    <row r="113" s="78" customFormat="1" ht="11.25"/>
    <row r="114" s="78" customFormat="1" ht="11.25"/>
    <row r="115" s="78" customFormat="1" ht="11.25"/>
    <row r="116" s="78" customFormat="1" ht="11.25"/>
    <row r="117" s="78" customFormat="1" ht="11.25"/>
    <row r="118" s="78" customFormat="1" ht="11.25"/>
    <row r="119" s="78" customFormat="1" ht="11.25"/>
    <row r="120" s="78" customFormat="1" ht="11.25"/>
    <row r="121" s="78" customFormat="1" ht="11.25"/>
    <row r="122" s="78" customFormat="1" ht="11.25"/>
    <row r="123" s="78" customFormat="1" ht="11.25"/>
    <row r="124" s="78" customFormat="1" ht="11.25"/>
    <row r="125" s="78" customFormat="1" ht="11.25"/>
    <row r="126" s="78" customFormat="1" ht="11.25"/>
    <row r="127" s="78" customFormat="1" ht="11.25"/>
    <row r="128" s="78" customFormat="1" ht="11.25"/>
    <row r="129" s="78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5" sqref="A5:XFD17"/>
    </sheetView>
  </sheetViews>
  <sheetFormatPr defaultColWidth="27.25" defaultRowHeight="13.5"/>
  <cols>
    <col min="1" max="1" width="9" style="83" customWidth="1"/>
    <col min="2" max="2" width="27.25" style="83" bestFit="1" customWidth="1"/>
    <col min="3" max="3" width="9" style="83" bestFit="1" customWidth="1"/>
    <col min="4" max="9" width="9.625" style="83" customWidth="1"/>
    <col min="10" max="10" width="10.5" style="83" bestFit="1" customWidth="1"/>
    <col min="11" max="11" width="11" style="83" customWidth="1"/>
    <col min="12" max="246" width="9" style="83" customWidth="1"/>
    <col min="247" max="254" width="27.25" style="83"/>
    <col min="255" max="257" width="9" style="83" customWidth="1"/>
    <col min="258" max="258" width="27.25" style="83" bestFit="1" customWidth="1"/>
    <col min="259" max="259" width="9" style="83" bestFit="1" customWidth="1"/>
    <col min="260" max="265" width="9.625" style="83" customWidth="1"/>
    <col min="266" max="266" width="10.5" style="83" bestFit="1" customWidth="1"/>
    <col min="267" max="502" width="9" style="83" customWidth="1"/>
    <col min="503" max="510" width="27.25" style="83"/>
    <col min="511" max="513" width="9" style="83" customWidth="1"/>
    <col min="514" max="514" width="27.25" style="83" bestFit="1" customWidth="1"/>
    <col min="515" max="515" width="9" style="83" bestFit="1" customWidth="1"/>
    <col min="516" max="521" width="9.625" style="83" customWidth="1"/>
    <col min="522" max="522" width="10.5" style="83" bestFit="1" customWidth="1"/>
    <col min="523" max="758" width="9" style="83" customWidth="1"/>
    <col min="759" max="766" width="27.25" style="83"/>
    <col min="767" max="769" width="9" style="83" customWidth="1"/>
    <col min="770" max="770" width="27.25" style="83" bestFit="1" customWidth="1"/>
    <col min="771" max="771" width="9" style="83" bestFit="1" customWidth="1"/>
    <col min="772" max="777" width="9.625" style="83" customWidth="1"/>
    <col min="778" max="778" width="10.5" style="83" bestFit="1" customWidth="1"/>
    <col min="779" max="1014" width="9" style="83" customWidth="1"/>
    <col min="1015" max="1022" width="27.25" style="83"/>
    <col min="1023" max="1025" width="9" style="83" customWidth="1"/>
    <col min="1026" max="1026" width="27.25" style="83" bestFit="1" customWidth="1"/>
    <col min="1027" max="1027" width="9" style="83" bestFit="1" customWidth="1"/>
    <col min="1028" max="1033" width="9.625" style="83" customWidth="1"/>
    <col min="1034" max="1034" width="10.5" style="83" bestFit="1" customWidth="1"/>
    <col min="1035" max="1270" width="9" style="83" customWidth="1"/>
    <col min="1271" max="1278" width="27.25" style="83"/>
    <col min="1279" max="1281" width="9" style="83" customWidth="1"/>
    <col min="1282" max="1282" width="27.25" style="83" bestFit="1" customWidth="1"/>
    <col min="1283" max="1283" width="9" style="83" bestFit="1" customWidth="1"/>
    <col min="1284" max="1289" width="9.625" style="83" customWidth="1"/>
    <col min="1290" max="1290" width="10.5" style="83" bestFit="1" customWidth="1"/>
    <col min="1291" max="1526" width="9" style="83" customWidth="1"/>
    <col min="1527" max="1534" width="27.25" style="83"/>
    <col min="1535" max="1537" width="9" style="83" customWidth="1"/>
    <col min="1538" max="1538" width="27.25" style="83" bestFit="1" customWidth="1"/>
    <col min="1539" max="1539" width="9" style="83" bestFit="1" customWidth="1"/>
    <col min="1540" max="1545" width="9.625" style="83" customWidth="1"/>
    <col min="1546" max="1546" width="10.5" style="83" bestFit="1" customWidth="1"/>
    <col min="1547" max="1782" width="9" style="83" customWidth="1"/>
    <col min="1783" max="1790" width="27.25" style="83"/>
    <col min="1791" max="1793" width="9" style="83" customWidth="1"/>
    <col min="1794" max="1794" width="27.25" style="83" bestFit="1" customWidth="1"/>
    <col min="1795" max="1795" width="9" style="83" bestFit="1" customWidth="1"/>
    <col min="1796" max="1801" width="9.625" style="83" customWidth="1"/>
    <col min="1802" max="1802" width="10.5" style="83" bestFit="1" customWidth="1"/>
    <col min="1803" max="2038" width="9" style="83" customWidth="1"/>
    <col min="2039" max="2046" width="27.25" style="83"/>
    <col min="2047" max="2049" width="9" style="83" customWidth="1"/>
    <col min="2050" max="2050" width="27.25" style="83" bestFit="1" customWidth="1"/>
    <col min="2051" max="2051" width="9" style="83" bestFit="1" customWidth="1"/>
    <col min="2052" max="2057" width="9.625" style="83" customWidth="1"/>
    <col min="2058" max="2058" width="10.5" style="83" bestFit="1" customWidth="1"/>
    <col min="2059" max="2294" width="9" style="83" customWidth="1"/>
    <col min="2295" max="2302" width="27.25" style="83"/>
    <col min="2303" max="2305" width="9" style="83" customWidth="1"/>
    <col min="2306" max="2306" width="27.25" style="83" bestFit="1" customWidth="1"/>
    <col min="2307" max="2307" width="9" style="83" bestFit="1" customWidth="1"/>
    <col min="2308" max="2313" width="9.625" style="83" customWidth="1"/>
    <col min="2314" max="2314" width="10.5" style="83" bestFit="1" customWidth="1"/>
    <col min="2315" max="2550" width="9" style="83" customWidth="1"/>
    <col min="2551" max="2558" width="27.25" style="83"/>
    <col min="2559" max="2561" width="9" style="83" customWidth="1"/>
    <col min="2562" max="2562" width="27.25" style="83" bestFit="1" customWidth="1"/>
    <col min="2563" max="2563" width="9" style="83" bestFit="1" customWidth="1"/>
    <col min="2564" max="2569" width="9.625" style="83" customWidth="1"/>
    <col min="2570" max="2570" width="10.5" style="83" bestFit="1" customWidth="1"/>
    <col min="2571" max="2806" width="9" style="83" customWidth="1"/>
    <col min="2807" max="2814" width="27.25" style="83"/>
    <col min="2815" max="2817" width="9" style="83" customWidth="1"/>
    <col min="2818" max="2818" width="27.25" style="83" bestFit="1" customWidth="1"/>
    <col min="2819" max="2819" width="9" style="83" bestFit="1" customWidth="1"/>
    <col min="2820" max="2825" width="9.625" style="83" customWidth="1"/>
    <col min="2826" max="2826" width="10.5" style="83" bestFit="1" customWidth="1"/>
    <col min="2827" max="3062" width="9" style="83" customWidth="1"/>
    <col min="3063" max="3070" width="27.25" style="83"/>
    <col min="3071" max="3073" width="9" style="83" customWidth="1"/>
    <col min="3074" max="3074" width="27.25" style="83" bestFit="1" customWidth="1"/>
    <col min="3075" max="3075" width="9" style="83" bestFit="1" customWidth="1"/>
    <col min="3076" max="3081" width="9.625" style="83" customWidth="1"/>
    <col min="3082" max="3082" width="10.5" style="83" bestFit="1" customWidth="1"/>
    <col min="3083" max="3318" width="9" style="83" customWidth="1"/>
    <col min="3319" max="3326" width="27.25" style="83"/>
    <col min="3327" max="3329" width="9" style="83" customWidth="1"/>
    <col min="3330" max="3330" width="27.25" style="83" bestFit="1" customWidth="1"/>
    <col min="3331" max="3331" width="9" style="83" bestFit="1" customWidth="1"/>
    <col min="3332" max="3337" width="9.625" style="83" customWidth="1"/>
    <col min="3338" max="3338" width="10.5" style="83" bestFit="1" customWidth="1"/>
    <col min="3339" max="3574" width="9" style="83" customWidth="1"/>
    <col min="3575" max="3582" width="27.25" style="83"/>
    <col min="3583" max="3585" width="9" style="83" customWidth="1"/>
    <col min="3586" max="3586" width="27.25" style="83" bestFit="1" customWidth="1"/>
    <col min="3587" max="3587" width="9" style="83" bestFit="1" customWidth="1"/>
    <col min="3588" max="3593" width="9.625" style="83" customWidth="1"/>
    <col min="3594" max="3594" width="10.5" style="83" bestFit="1" customWidth="1"/>
    <col min="3595" max="3830" width="9" style="83" customWidth="1"/>
    <col min="3831" max="3838" width="27.25" style="83"/>
    <col min="3839" max="3841" width="9" style="83" customWidth="1"/>
    <col min="3842" max="3842" width="27.25" style="83" bestFit="1" customWidth="1"/>
    <col min="3843" max="3843" width="9" style="83" bestFit="1" customWidth="1"/>
    <col min="3844" max="3849" width="9.625" style="83" customWidth="1"/>
    <col min="3850" max="3850" width="10.5" style="83" bestFit="1" customWidth="1"/>
    <col min="3851" max="4086" width="9" style="83" customWidth="1"/>
    <col min="4087" max="4094" width="27.25" style="83"/>
    <col min="4095" max="4097" width="9" style="83" customWidth="1"/>
    <col min="4098" max="4098" width="27.25" style="83" bestFit="1" customWidth="1"/>
    <col min="4099" max="4099" width="9" style="83" bestFit="1" customWidth="1"/>
    <col min="4100" max="4105" width="9.625" style="83" customWidth="1"/>
    <col min="4106" max="4106" width="10.5" style="83" bestFit="1" customWidth="1"/>
    <col min="4107" max="4342" width="9" style="83" customWidth="1"/>
    <col min="4343" max="4350" width="27.25" style="83"/>
    <col min="4351" max="4353" width="9" style="83" customWidth="1"/>
    <col min="4354" max="4354" width="27.25" style="83" bestFit="1" customWidth="1"/>
    <col min="4355" max="4355" width="9" style="83" bestFit="1" customWidth="1"/>
    <col min="4356" max="4361" width="9.625" style="83" customWidth="1"/>
    <col min="4362" max="4362" width="10.5" style="83" bestFit="1" customWidth="1"/>
    <col min="4363" max="4598" width="9" style="83" customWidth="1"/>
    <col min="4599" max="4606" width="27.25" style="83"/>
    <col min="4607" max="4609" width="9" style="83" customWidth="1"/>
    <col min="4610" max="4610" width="27.25" style="83" bestFit="1" customWidth="1"/>
    <col min="4611" max="4611" width="9" style="83" bestFit="1" customWidth="1"/>
    <col min="4612" max="4617" width="9.625" style="83" customWidth="1"/>
    <col min="4618" max="4618" width="10.5" style="83" bestFit="1" customWidth="1"/>
    <col min="4619" max="4854" width="9" style="83" customWidth="1"/>
    <col min="4855" max="4862" width="27.25" style="83"/>
    <col min="4863" max="4865" width="9" style="83" customWidth="1"/>
    <col min="4866" max="4866" width="27.25" style="83" bestFit="1" customWidth="1"/>
    <col min="4867" max="4867" width="9" style="83" bestFit="1" customWidth="1"/>
    <col min="4868" max="4873" width="9.625" style="83" customWidth="1"/>
    <col min="4874" max="4874" width="10.5" style="83" bestFit="1" customWidth="1"/>
    <col min="4875" max="5110" width="9" style="83" customWidth="1"/>
    <col min="5111" max="5118" width="27.25" style="83"/>
    <col min="5119" max="5121" width="9" style="83" customWidth="1"/>
    <col min="5122" max="5122" width="27.25" style="83" bestFit="1" customWidth="1"/>
    <col min="5123" max="5123" width="9" style="83" bestFit="1" customWidth="1"/>
    <col min="5124" max="5129" width="9.625" style="83" customWidth="1"/>
    <col min="5130" max="5130" width="10.5" style="83" bestFit="1" customWidth="1"/>
    <col min="5131" max="5366" width="9" style="83" customWidth="1"/>
    <col min="5367" max="5374" width="27.25" style="83"/>
    <col min="5375" max="5377" width="9" style="83" customWidth="1"/>
    <col min="5378" max="5378" width="27.25" style="83" bestFit="1" customWidth="1"/>
    <col min="5379" max="5379" width="9" style="83" bestFit="1" customWidth="1"/>
    <col min="5380" max="5385" width="9.625" style="83" customWidth="1"/>
    <col min="5386" max="5386" width="10.5" style="83" bestFit="1" customWidth="1"/>
    <col min="5387" max="5622" width="9" style="83" customWidth="1"/>
    <col min="5623" max="5630" width="27.25" style="83"/>
    <col min="5631" max="5633" width="9" style="83" customWidth="1"/>
    <col min="5634" max="5634" width="27.25" style="83" bestFit="1" customWidth="1"/>
    <col min="5635" max="5635" width="9" style="83" bestFit="1" customWidth="1"/>
    <col min="5636" max="5641" width="9.625" style="83" customWidth="1"/>
    <col min="5642" max="5642" width="10.5" style="83" bestFit="1" customWidth="1"/>
    <col min="5643" max="5878" width="9" style="83" customWidth="1"/>
    <col min="5879" max="5886" width="27.25" style="83"/>
    <col min="5887" max="5889" width="9" style="83" customWidth="1"/>
    <col min="5890" max="5890" width="27.25" style="83" bestFit="1" customWidth="1"/>
    <col min="5891" max="5891" width="9" style="83" bestFit="1" customWidth="1"/>
    <col min="5892" max="5897" width="9.625" style="83" customWidth="1"/>
    <col min="5898" max="5898" width="10.5" style="83" bestFit="1" customWidth="1"/>
    <col min="5899" max="6134" width="9" style="83" customWidth="1"/>
    <col min="6135" max="6142" width="27.25" style="83"/>
    <col min="6143" max="6145" width="9" style="83" customWidth="1"/>
    <col min="6146" max="6146" width="27.25" style="83" bestFit="1" customWidth="1"/>
    <col min="6147" max="6147" width="9" style="83" bestFit="1" customWidth="1"/>
    <col min="6148" max="6153" width="9.625" style="83" customWidth="1"/>
    <col min="6154" max="6154" width="10.5" style="83" bestFit="1" customWidth="1"/>
    <col min="6155" max="6390" width="9" style="83" customWidth="1"/>
    <col min="6391" max="6398" width="27.25" style="83"/>
    <col min="6399" max="6401" width="9" style="83" customWidth="1"/>
    <col min="6402" max="6402" width="27.25" style="83" bestFit="1" customWidth="1"/>
    <col min="6403" max="6403" width="9" style="83" bestFit="1" customWidth="1"/>
    <col min="6404" max="6409" width="9.625" style="83" customWidth="1"/>
    <col min="6410" max="6410" width="10.5" style="83" bestFit="1" customWidth="1"/>
    <col min="6411" max="6646" width="9" style="83" customWidth="1"/>
    <col min="6647" max="6654" width="27.25" style="83"/>
    <col min="6655" max="6657" width="9" style="83" customWidth="1"/>
    <col min="6658" max="6658" width="27.25" style="83" bestFit="1" customWidth="1"/>
    <col min="6659" max="6659" width="9" style="83" bestFit="1" customWidth="1"/>
    <col min="6660" max="6665" width="9.625" style="83" customWidth="1"/>
    <col min="6666" max="6666" width="10.5" style="83" bestFit="1" customWidth="1"/>
    <col min="6667" max="6902" width="9" style="83" customWidth="1"/>
    <col min="6903" max="6910" width="27.25" style="83"/>
    <col min="6911" max="6913" width="9" style="83" customWidth="1"/>
    <col min="6914" max="6914" width="27.25" style="83" bestFit="1" customWidth="1"/>
    <col min="6915" max="6915" width="9" style="83" bestFit="1" customWidth="1"/>
    <col min="6916" max="6921" width="9.625" style="83" customWidth="1"/>
    <col min="6922" max="6922" width="10.5" style="83" bestFit="1" customWidth="1"/>
    <col min="6923" max="7158" width="9" style="83" customWidth="1"/>
    <col min="7159" max="7166" width="27.25" style="83"/>
    <col min="7167" max="7169" width="9" style="83" customWidth="1"/>
    <col min="7170" max="7170" width="27.25" style="83" bestFit="1" customWidth="1"/>
    <col min="7171" max="7171" width="9" style="83" bestFit="1" customWidth="1"/>
    <col min="7172" max="7177" width="9.625" style="83" customWidth="1"/>
    <col min="7178" max="7178" width="10.5" style="83" bestFit="1" customWidth="1"/>
    <col min="7179" max="7414" width="9" style="83" customWidth="1"/>
    <col min="7415" max="7422" width="27.25" style="83"/>
    <col min="7423" max="7425" width="9" style="83" customWidth="1"/>
    <col min="7426" max="7426" width="27.25" style="83" bestFit="1" customWidth="1"/>
    <col min="7427" max="7427" width="9" style="83" bestFit="1" customWidth="1"/>
    <col min="7428" max="7433" width="9.625" style="83" customWidth="1"/>
    <col min="7434" max="7434" width="10.5" style="83" bestFit="1" customWidth="1"/>
    <col min="7435" max="7670" width="9" style="83" customWidth="1"/>
    <col min="7671" max="7678" width="27.25" style="83"/>
    <col min="7679" max="7681" width="9" style="83" customWidth="1"/>
    <col min="7682" max="7682" width="27.25" style="83" bestFit="1" customWidth="1"/>
    <col min="7683" max="7683" width="9" style="83" bestFit="1" customWidth="1"/>
    <col min="7684" max="7689" width="9.625" style="83" customWidth="1"/>
    <col min="7690" max="7690" width="10.5" style="83" bestFit="1" customWidth="1"/>
    <col min="7691" max="7926" width="9" style="83" customWidth="1"/>
    <col min="7927" max="7934" width="27.25" style="83"/>
    <col min="7935" max="7937" width="9" style="83" customWidth="1"/>
    <col min="7938" max="7938" width="27.25" style="83" bestFit="1" customWidth="1"/>
    <col min="7939" max="7939" width="9" style="83" bestFit="1" customWidth="1"/>
    <col min="7940" max="7945" width="9.625" style="83" customWidth="1"/>
    <col min="7946" max="7946" width="10.5" style="83" bestFit="1" customWidth="1"/>
    <col min="7947" max="8182" width="9" style="83" customWidth="1"/>
    <col min="8183" max="8190" width="27.25" style="83"/>
    <col min="8191" max="8193" width="9" style="83" customWidth="1"/>
    <col min="8194" max="8194" width="27.25" style="83" bestFit="1" customWidth="1"/>
    <col min="8195" max="8195" width="9" style="83" bestFit="1" customWidth="1"/>
    <col min="8196" max="8201" width="9.625" style="83" customWidth="1"/>
    <col min="8202" max="8202" width="10.5" style="83" bestFit="1" customWidth="1"/>
    <col min="8203" max="8438" width="9" style="83" customWidth="1"/>
    <col min="8439" max="8446" width="27.25" style="83"/>
    <col min="8447" max="8449" width="9" style="83" customWidth="1"/>
    <col min="8450" max="8450" width="27.25" style="83" bestFit="1" customWidth="1"/>
    <col min="8451" max="8451" width="9" style="83" bestFit="1" customWidth="1"/>
    <col min="8452" max="8457" width="9.625" style="83" customWidth="1"/>
    <col min="8458" max="8458" width="10.5" style="83" bestFit="1" customWidth="1"/>
    <col min="8459" max="8694" width="9" style="83" customWidth="1"/>
    <col min="8695" max="8702" width="27.25" style="83"/>
    <col min="8703" max="8705" width="9" style="83" customWidth="1"/>
    <col min="8706" max="8706" width="27.25" style="83" bestFit="1" customWidth="1"/>
    <col min="8707" max="8707" width="9" style="83" bestFit="1" customWidth="1"/>
    <col min="8708" max="8713" width="9.625" style="83" customWidth="1"/>
    <col min="8714" max="8714" width="10.5" style="83" bestFit="1" customWidth="1"/>
    <col min="8715" max="8950" width="9" style="83" customWidth="1"/>
    <col min="8951" max="8958" width="27.25" style="83"/>
    <col min="8959" max="8961" width="9" style="83" customWidth="1"/>
    <col min="8962" max="8962" width="27.25" style="83" bestFit="1" customWidth="1"/>
    <col min="8963" max="8963" width="9" style="83" bestFit="1" customWidth="1"/>
    <col min="8964" max="8969" width="9.625" style="83" customWidth="1"/>
    <col min="8970" max="8970" width="10.5" style="83" bestFit="1" customWidth="1"/>
    <col min="8971" max="9206" width="9" style="83" customWidth="1"/>
    <col min="9207" max="9214" width="27.25" style="83"/>
    <col min="9215" max="9217" width="9" style="83" customWidth="1"/>
    <col min="9218" max="9218" width="27.25" style="83" bestFit="1" customWidth="1"/>
    <col min="9219" max="9219" width="9" style="83" bestFit="1" customWidth="1"/>
    <col min="9220" max="9225" width="9.625" style="83" customWidth="1"/>
    <col min="9226" max="9226" width="10.5" style="83" bestFit="1" customWidth="1"/>
    <col min="9227" max="9462" width="9" style="83" customWidth="1"/>
    <col min="9463" max="9470" width="27.25" style="83"/>
    <col min="9471" max="9473" width="9" style="83" customWidth="1"/>
    <col min="9474" max="9474" width="27.25" style="83" bestFit="1" customWidth="1"/>
    <col min="9475" max="9475" width="9" style="83" bestFit="1" customWidth="1"/>
    <col min="9476" max="9481" width="9.625" style="83" customWidth="1"/>
    <col min="9482" max="9482" width="10.5" style="83" bestFit="1" customWidth="1"/>
    <col min="9483" max="9718" width="9" style="83" customWidth="1"/>
    <col min="9719" max="9726" width="27.25" style="83"/>
    <col min="9727" max="9729" width="9" style="83" customWidth="1"/>
    <col min="9730" max="9730" width="27.25" style="83" bestFit="1" customWidth="1"/>
    <col min="9731" max="9731" width="9" style="83" bestFit="1" customWidth="1"/>
    <col min="9732" max="9737" width="9.625" style="83" customWidth="1"/>
    <col min="9738" max="9738" width="10.5" style="83" bestFit="1" customWidth="1"/>
    <col min="9739" max="9974" width="9" style="83" customWidth="1"/>
    <col min="9975" max="9982" width="27.25" style="83"/>
    <col min="9983" max="9985" width="9" style="83" customWidth="1"/>
    <col min="9986" max="9986" width="27.25" style="83" bestFit="1" customWidth="1"/>
    <col min="9987" max="9987" width="9" style="83" bestFit="1" customWidth="1"/>
    <col min="9988" max="9993" width="9.625" style="83" customWidth="1"/>
    <col min="9994" max="9994" width="10.5" style="83" bestFit="1" customWidth="1"/>
    <col min="9995" max="10230" width="9" style="83" customWidth="1"/>
    <col min="10231" max="10238" width="27.25" style="83"/>
    <col min="10239" max="10241" width="9" style="83" customWidth="1"/>
    <col min="10242" max="10242" width="27.25" style="83" bestFit="1" customWidth="1"/>
    <col min="10243" max="10243" width="9" style="83" bestFit="1" customWidth="1"/>
    <col min="10244" max="10249" width="9.625" style="83" customWidth="1"/>
    <col min="10250" max="10250" width="10.5" style="83" bestFit="1" customWidth="1"/>
    <col min="10251" max="10486" width="9" style="83" customWidth="1"/>
    <col min="10487" max="10494" width="27.25" style="83"/>
    <col min="10495" max="10497" width="9" style="83" customWidth="1"/>
    <col min="10498" max="10498" width="27.25" style="83" bestFit="1" customWidth="1"/>
    <col min="10499" max="10499" width="9" style="83" bestFit="1" customWidth="1"/>
    <col min="10500" max="10505" width="9.625" style="83" customWidth="1"/>
    <col min="10506" max="10506" width="10.5" style="83" bestFit="1" customWidth="1"/>
    <col min="10507" max="10742" width="9" style="83" customWidth="1"/>
    <col min="10743" max="10750" width="27.25" style="83"/>
    <col min="10751" max="10753" width="9" style="83" customWidth="1"/>
    <col min="10754" max="10754" width="27.25" style="83" bestFit="1" customWidth="1"/>
    <col min="10755" max="10755" width="9" style="83" bestFit="1" customWidth="1"/>
    <col min="10756" max="10761" width="9.625" style="83" customWidth="1"/>
    <col min="10762" max="10762" width="10.5" style="83" bestFit="1" customWidth="1"/>
    <col min="10763" max="10998" width="9" style="83" customWidth="1"/>
    <col min="10999" max="11006" width="27.25" style="83"/>
    <col min="11007" max="11009" width="9" style="83" customWidth="1"/>
    <col min="11010" max="11010" width="27.25" style="83" bestFit="1" customWidth="1"/>
    <col min="11011" max="11011" width="9" style="83" bestFit="1" customWidth="1"/>
    <col min="11012" max="11017" width="9.625" style="83" customWidth="1"/>
    <col min="11018" max="11018" width="10.5" style="83" bestFit="1" customWidth="1"/>
    <col min="11019" max="11254" width="9" style="83" customWidth="1"/>
    <col min="11255" max="11262" width="27.25" style="83"/>
    <col min="11263" max="11265" width="9" style="83" customWidth="1"/>
    <col min="11266" max="11266" width="27.25" style="83" bestFit="1" customWidth="1"/>
    <col min="11267" max="11267" width="9" style="83" bestFit="1" customWidth="1"/>
    <col min="11268" max="11273" width="9.625" style="83" customWidth="1"/>
    <col min="11274" max="11274" width="10.5" style="83" bestFit="1" customWidth="1"/>
    <col min="11275" max="11510" width="9" style="83" customWidth="1"/>
    <col min="11511" max="11518" width="27.25" style="83"/>
    <col min="11519" max="11521" width="9" style="83" customWidth="1"/>
    <col min="11522" max="11522" width="27.25" style="83" bestFit="1" customWidth="1"/>
    <col min="11523" max="11523" width="9" style="83" bestFit="1" customWidth="1"/>
    <col min="11524" max="11529" width="9.625" style="83" customWidth="1"/>
    <col min="11530" max="11530" width="10.5" style="83" bestFit="1" customWidth="1"/>
    <col min="11531" max="11766" width="9" style="83" customWidth="1"/>
    <col min="11767" max="11774" width="27.25" style="83"/>
    <col min="11775" max="11777" width="9" style="83" customWidth="1"/>
    <col min="11778" max="11778" width="27.25" style="83" bestFit="1" customWidth="1"/>
    <col min="11779" max="11779" width="9" style="83" bestFit="1" customWidth="1"/>
    <col min="11780" max="11785" width="9.625" style="83" customWidth="1"/>
    <col min="11786" max="11786" width="10.5" style="83" bestFit="1" customWidth="1"/>
    <col min="11787" max="12022" width="9" style="83" customWidth="1"/>
    <col min="12023" max="12030" width="27.25" style="83"/>
    <col min="12031" max="12033" width="9" style="83" customWidth="1"/>
    <col min="12034" max="12034" width="27.25" style="83" bestFit="1" customWidth="1"/>
    <col min="12035" max="12035" width="9" style="83" bestFit="1" customWidth="1"/>
    <col min="12036" max="12041" width="9.625" style="83" customWidth="1"/>
    <col min="12042" max="12042" width="10.5" style="83" bestFit="1" customWidth="1"/>
    <col min="12043" max="12278" width="9" style="83" customWidth="1"/>
    <col min="12279" max="12286" width="27.25" style="83"/>
    <col min="12287" max="12289" width="9" style="83" customWidth="1"/>
    <col min="12290" max="12290" width="27.25" style="83" bestFit="1" customWidth="1"/>
    <col min="12291" max="12291" width="9" style="83" bestFit="1" customWidth="1"/>
    <col min="12292" max="12297" width="9.625" style="83" customWidth="1"/>
    <col min="12298" max="12298" width="10.5" style="83" bestFit="1" customWidth="1"/>
    <col min="12299" max="12534" width="9" style="83" customWidth="1"/>
    <col min="12535" max="12542" width="27.25" style="83"/>
    <col min="12543" max="12545" width="9" style="83" customWidth="1"/>
    <col min="12546" max="12546" width="27.25" style="83" bestFit="1" customWidth="1"/>
    <col min="12547" max="12547" width="9" style="83" bestFit="1" customWidth="1"/>
    <col min="12548" max="12553" width="9.625" style="83" customWidth="1"/>
    <col min="12554" max="12554" width="10.5" style="83" bestFit="1" customWidth="1"/>
    <col min="12555" max="12790" width="9" style="83" customWidth="1"/>
    <col min="12791" max="12798" width="27.25" style="83"/>
    <col min="12799" max="12801" width="9" style="83" customWidth="1"/>
    <col min="12802" max="12802" width="27.25" style="83" bestFit="1" customWidth="1"/>
    <col min="12803" max="12803" width="9" style="83" bestFit="1" customWidth="1"/>
    <col min="12804" max="12809" width="9.625" style="83" customWidth="1"/>
    <col min="12810" max="12810" width="10.5" style="83" bestFit="1" customWidth="1"/>
    <col min="12811" max="13046" width="9" style="83" customWidth="1"/>
    <col min="13047" max="13054" width="27.25" style="83"/>
    <col min="13055" max="13057" width="9" style="83" customWidth="1"/>
    <col min="13058" max="13058" width="27.25" style="83" bestFit="1" customWidth="1"/>
    <col min="13059" max="13059" width="9" style="83" bestFit="1" customWidth="1"/>
    <col min="13060" max="13065" width="9.625" style="83" customWidth="1"/>
    <col min="13066" max="13066" width="10.5" style="83" bestFit="1" customWidth="1"/>
    <col min="13067" max="13302" width="9" style="83" customWidth="1"/>
    <col min="13303" max="13310" width="27.25" style="83"/>
    <col min="13311" max="13313" width="9" style="83" customWidth="1"/>
    <col min="13314" max="13314" width="27.25" style="83" bestFit="1" customWidth="1"/>
    <col min="13315" max="13315" width="9" style="83" bestFit="1" customWidth="1"/>
    <col min="13316" max="13321" width="9.625" style="83" customWidth="1"/>
    <col min="13322" max="13322" width="10.5" style="83" bestFit="1" customWidth="1"/>
    <col min="13323" max="13558" width="9" style="83" customWidth="1"/>
    <col min="13559" max="13566" width="27.25" style="83"/>
    <col min="13567" max="13569" width="9" style="83" customWidth="1"/>
    <col min="13570" max="13570" width="27.25" style="83" bestFit="1" customWidth="1"/>
    <col min="13571" max="13571" width="9" style="83" bestFit="1" customWidth="1"/>
    <col min="13572" max="13577" width="9.625" style="83" customWidth="1"/>
    <col min="13578" max="13578" width="10.5" style="83" bestFit="1" customWidth="1"/>
    <col min="13579" max="13814" width="9" style="83" customWidth="1"/>
    <col min="13815" max="13822" width="27.25" style="83"/>
    <col min="13823" max="13825" width="9" style="83" customWidth="1"/>
    <col min="13826" max="13826" width="27.25" style="83" bestFit="1" customWidth="1"/>
    <col min="13827" max="13827" width="9" style="83" bestFit="1" customWidth="1"/>
    <col min="13828" max="13833" width="9.625" style="83" customWidth="1"/>
    <col min="13834" max="13834" width="10.5" style="83" bestFit="1" customWidth="1"/>
    <col min="13835" max="14070" width="9" style="83" customWidth="1"/>
    <col min="14071" max="14078" width="27.25" style="83"/>
    <col min="14079" max="14081" width="9" style="83" customWidth="1"/>
    <col min="14082" max="14082" width="27.25" style="83" bestFit="1" customWidth="1"/>
    <col min="14083" max="14083" width="9" style="83" bestFit="1" customWidth="1"/>
    <col min="14084" max="14089" width="9.625" style="83" customWidth="1"/>
    <col min="14090" max="14090" width="10.5" style="83" bestFit="1" customWidth="1"/>
    <col min="14091" max="14326" width="9" style="83" customWidth="1"/>
    <col min="14327" max="14334" width="27.25" style="83"/>
    <col min="14335" max="14337" width="9" style="83" customWidth="1"/>
    <col min="14338" max="14338" width="27.25" style="83" bestFit="1" customWidth="1"/>
    <col min="14339" max="14339" width="9" style="83" bestFit="1" customWidth="1"/>
    <col min="14340" max="14345" width="9.625" style="83" customWidth="1"/>
    <col min="14346" max="14346" width="10.5" style="83" bestFit="1" customWidth="1"/>
    <col min="14347" max="14582" width="9" style="83" customWidth="1"/>
    <col min="14583" max="14590" width="27.25" style="83"/>
    <col min="14591" max="14593" width="9" style="83" customWidth="1"/>
    <col min="14594" max="14594" width="27.25" style="83" bestFit="1" customWidth="1"/>
    <col min="14595" max="14595" width="9" style="83" bestFit="1" customWidth="1"/>
    <col min="14596" max="14601" width="9.625" style="83" customWidth="1"/>
    <col min="14602" max="14602" width="10.5" style="83" bestFit="1" customWidth="1"/>
    <col min="14603" max="14838" width="9" style="83" customWidth="1"/>
    <col min="14839" max="14846" width="27.25" style="83"/>
    <col min="14847" max="14849" width="9" style="83" customWidth="1"/>
    <col min="14850" max="14850" width="27.25" style="83" bestFit="1" customWidth="1"/>
    <col min="14851" max="14851" width="9" style="83" bestFit="1" customWidth="1"/>
    <col min="14852" max="14857" width="9.625" style="83" customWidth="1"/>
    <col min="14858" max="14858" width="10.5" style="83" bestFit="1" customWidth="1"/>
    <col min="14859" max="15094" width="9" style="83" customWidth="1"/>
    <col min="15095" max="15102" width="27.25" style="83"/>
    <col min="15103" max="15105" width="9" style="83" customWidth="1"/>
    <col min="15106" max="15106" width="27.25" style="83" bestFit="1" customWidth="1"/>
    <col min="15107" max="15107" width="9" style="83" bestFit="1" customWidth="1"/>
    <col min="15108" max="15113" width="9.625" style="83" customWidth="1"/>
    <col min="15114" max="15114" width="10.5" style="83" bestFit="1" customWidth="1"/>
    <col min="15115" max="15350" width="9" style="83" customWidth="1"/>
    <col min="15351" max="15358" width="27.25" style="83"/>
    <col min="15359" max="15361" width="9" style="83" customWidth="1"/>
    <col min="15362" max="15362" width="27.25" style="83" bestFit="1" customWidth="1"/>
    <col min="15363" max="15363" width="9" style="83" bestFit="1" customWidth="1"/>
    <col min="15364" max="15369" width="9.625" style="83" customWidth="1"/>
    <col min="15370" max="15370" width="10.5" style="83" bestFit="1" customWidth="1"/>
    <col min="15371" max="15606" width="9" style="83" customWidth="1"/>
    <col min="15607" max="15614" width="27.25" style="83"/>
    <col min="15615" max="15617" width="9" style="83" customWidth="1"/>
    <col min="15618" max="15618" width="27.25" style="83" bestFit="1" customWidth="1"/>
    <col min="15619" max="15619" width="9" style="83" bestFit="1" customWidth="1"/>
    <col min="15620" max="15625" width="9.625" style="83" customWidth="1"/>
    <col min="15626" max="15626" width="10.5" style="83" bestFit="1" customWidth="1"/>
    <col min="15627" max="15862" width="9" style="83" customWidth="1"/>
    <col min="15863" max="15870" width="27.25" style="83"/>
    <col min="15871" max="15873" width="9" style="83" customWidth="1"/>
    <col min="15874" max="15874" width="27.25" style="83" bestFit="1" customWidth="1"/>
    <col min="15875" max="15875" width="9" style="83" bestFit="1" customWidth="1"/>
    <col min="15876" max="15881" width="9.625" style="83" customWidth="1"/>
    <col min="15882" max="15882" width="10.5" style="83" bestFit="1" customWidth="1"/>
    <col min="15883" max="16118" width="9" style="83" customWidth="1"/>
    <col min="16119" max="16126" width="27.25" style="83"/>
    <col min="16127" max="16129" width="9" style="83" customWidth="1"/>
    <col min="16130" max="16130" width="27.25" style="83" bestFit="1" customWidth="1"/>
    <col min="16131" max="16131" width="9" style="83" bestFit="1" customWidth="1"/>
    <col min="16132" max="16137" width="9.625" style="83" customWidth="1"/>
    <col min="16138" max="16138" width="10.5" style="83" bestFit="1" customWidth="1"/>
    <col min="16139" max="16374" width="9" style="83" customWidth="1"/>
    <col min="16375" max="16384" width="27.25" style="83"/>
  </cols>
  <sheetData>
    <row r="1" spans="1:11" ht="20.25">
      <c r="A1" s="318" t="s">
        <v>247</v>
      </c>
      <c r="B1" s="318"/>
      <c r="C1" s="318"/>
      <c r="D1" s="318"/>
      <c r="E1" s="318"/>
      <c r="F1" s="318"/>
      <c r="G1" s="318"/>
      <c r="H1" s="318"/>
      <c r="I1" s="318"/>
      <c r="J1" s="318"/>
      <c r="K1" s="266"/>
    </row>
    <row r="2" spans="1:11" ht="20.25" customHeight="1">
      <c r="A2" s="319" t="s">
        <v>244</v>
      </c>
      <c r="B2" s="319" t="s">
        <v>245</v>
      </c>
      <c r="C2" s="315" t="s">
        <v>239</v>
      </c>
      <c r="D2" s="316"/>
      <c r="E2" s="316"/>
      <c r="F2" s="317"/>
      <c r="G2" s="320">
        <v>44927</v>
      </c>
      <c r="H2" s="322" t="s">
        <v>240</v>
      </c>
      <c r="I2" s="322" t="s">
        <v>241</v>
      </c>
      <c r="J2" s="314" t="s">
        <v>242</v>
      </c>
      <c r="K2" s="314" t="s">
        <v>246</v>
      </c>
    </row>
    <row r="3" spans="1:11" ht="29.25" customHeight="1">
      <c r="A3" s="319"/>
      <c r="B3" s="319"/>
      <c r="C3" s="86"/>
      <c r="D3" s="87" t="s">
        <v>243</v>
      </c>
      <c r="E3" s="87" t="s">
        <v>228</v>
      </c>
      <c r="F3" s="87" t="s">
        <v>229</v>
      </c>
      <c r="G3" s="321"/>
      <c r="H3" s="322"/>
      <c r="I3" s="322"/>
      <c r="J3" s="314"/>
      <c r="K3" s="314"/>
    </row>
    <row r="4" spans="1:11" s="85" customFormat="1" ht="20.25" customHeight="1">
      <c r="A4" s="90" t="s">
        <v>134</v>
      </c>
      <c r="B4" s="97" t="s">
        <v>230</v>
      </c>
      <c r="C4" s="98" t="s">
        <v>238</v>
      </c>
      <c r="D4" s="91">
        <v>103</v>
      </c>
      <c r="E4" s="92">
        <v>5500</v>
      </c>
      <c r="F4" s="99">
        <f t="shared" ref="F4:F10" si="0">D4*E4</f>
        <v>566500</v>
      </c>
      <c r="G4" s="99">
        <f t="shared" ref="G4:G11" si="1">F4*0.2</f>
        <v>113300</v>
      </c>
      <c r="H4" s="95">
        <f t="shared" ref="H4:H11" si="2">F4</f>
        <v>566500</v>
      </c>
      <c r="I4" s="95">
        <f t="shared" ref="I4:I11" si="3">F4*0.8</f>
        <v>453200</v>
      </c>
      <c r="J4" s="100">
        <f t="shared" ref="J4:J10" si="4">SUM(G4:I4)</f>
        <v>1133000</v>
      </c>
      <c r="K4" s="101">
        <f t="shared" ref="K4:K10" si="5">ROUND(J4*0.7,0)</f>
        <v>793100</v>
      </c>
    </row>
    <row r="5" spans="1:11" s="85" customFormat="1" ht="20.25" customHeight="1">
      <c r="A5" s="90" t="s">
        <v>134</v>
      </c>
      <c r="B5" s="97" t="s">
        <v>231</v>
      </c>
      <c r="C5" s="98" t="s">
        <v>238</v>
      </c>
      <c r="D5" s="91">
        <v>34</v>
      </c>
      <c r="E5" s="92">
        <v>2500</v>
      </c>
      <c r="F5" s="99">
        <f t="shared" si="0"/>
        <v>85000</v>
      </c>
      <c r="G5" s="99">
        <f t="shared" si="1"/>
        <v>17000</v>
      </c>
      <c r="H5" s="95">
        <f t="shared" si="2"/>
        <v>85000</v>
      </c>
      <c r="I5" s="95">
        <f t="shared" si="3"/>
        <v>68000</v>
      </c>
      <c r="J5" s="100">
        <f t="shared" si="4"/>
        <v>170000</v>
      </c>
      <c r="K5" s="101">
        <f t="shared" si="5"/>
        <v>119000</v>
      </c>
    </row>
    <row r="6" spans="1:11" s="85" customFormat="1" ht="20.25" customHeight="1">
      <c r="A6" s="90" t="s">
        <v>134</v>
      </c>
      <c r="B6" s="97" t="s">
        <v>232</v>
      </c>
      <c r="C6" s="98" t="s">
        <v>238</v>
      </c>
      <c r="D6" s="91">
        <v>73</v>
      </c>
      <c r="E6" s="92">
        <v>3000</v>
      </c>
      <c r="F6" s="99">
        <f t="shared" si="0"/>
        <v>219000</v>
      </c>
      <c r="G6" s="99">
        <f t="shared" si="1"/>
        <v>43800</v>
      </c>
      <c r="H6" s="95">
        <f t="shared" si="2"/>
        <v>219000</v>
      </c>
      <c r="I6" s="95">
        <f t="shared" si="3"/>
        <v>175200</v>
      </c>
      <c r="J6" s="100">
        <f t="shared" si="4"/>
        <v>438000</v>
      </c>
      <c r="K6" s="101">
        <f t="shared" si="5"/>
        <v>306600</v>
      </c>
    </row>
    <row r="7" spans="1:11" s="85" customFormat="1" ht="20.25" customHeight="1">
      <c r="A7" s="90" t="s">
        <v>134</v>
      </c>
      <c r="B7" s="97" t="s">
        <v>233</v>
      </c>
      <c r="C7" s="98" t="s">
        <v>238</v>
      </c>
      <c r="D7" s="91">
        <v>101</v>
      </c>
      <c r="E7" s="92">
        <v>5500</v>
      </c>
      <c r="F7" s="99">
        <f t="shared" si="0"/>
        <v>555500</v>
      </c>
      <c r="G7" s="99">
        <f t="shared" si="1"/>
        <v>111100</v>
      </c>
      <c r="H7" s="95">
        <f t="shared" si="2"/>
        <v>555500</v>
      </c>
      <c r="I7" s="95">
        <f t="shared" si="3"/>
        <v>444400</v>
      </c>
      <c r="J7" s="100">
        <f t="shared" si="4"/>
        <v>1111000</v>
      </c>
      <c r="K7" s="101">
        <f t="shared" si="5"/>
        <v>777700</v>
      </c>
    </row>
    <row r="8" spans="1:11" s="85" customFormat="1" ht="20.25" customHeight="1">
      <c r="A8" s="90" t="s">
        <v>134</v>
      </c>
      <c r="B8" s="97" t="s">
        <v>234</v>
      </c>
      <c r="C8" s="98" t="s">
        <v>238</v>
      </c>
      <c r="D8" s="91">
        <v>168</v>
      </c>
      <c r="E8" s="92">
        <v>5500</v>
      </c>
      <c r="F8" s="99">
        <f t="shared" si="0"/>
        <v>924000</v>
      </c>
      <c r="G8" s="99">
        <f t="shared" si="1"/>
        <v>184800</v>
      </c>
      <c r="H8" s="95">
        <f t="shared" si="2"/>
        <v>924000</v>
      </c>
      <c r="I8" s="95">
        <f t="shared" si="3"/>
        <v>739200</v>
      </c>
      <c r="J8" s="100">
        <f t="shared" si="4"/>
        <v>1848000</v>
      </c>
      <c r="K8" s="101">
        <f t="shared" si="5"/>
        <v>1293600</v>
      </c>
    </row>
    <row r="9" spans="1:11" s="85" customFormat="1" ht="20.25" customHeight="1">
      <c r="A9" s="90" t="s">
        <v>134</v>
      </c>
      <c r="B9" s="97" t="s">
        <v>235</v>
      </c>
      <c r="C9" s="98" t="s">
        <v>238</v>
      </c>
      <c r="D9" s="91">
        <v>269</v>
      </c>
      <c r="E9" s="92">
        <v>4500</v>
      </c>
      <c r="F9" s="99">
        <f t="shared" si="0"/>
        <v>1210500</v>
      </c>
      <c r="G9" s="99">
        <f t="shared" si="1"/>
        <v>242100</v>
      </c>
      <c r="H9" s="95">
        <f t="shared" si="2"/>
        <v>1210500</v>
      </c>
      <c r="I9" s="95">
        <f t="shared" si="3"/>
        <v>968400</v>
      </c>
      <c r="J9" s="100">
        <f t="shared" si="4"/>
        <v>2421000</v>
      </c>
      <c r="K9" s="101">
        <f t="shared" si="5"/>
        <v>1694700</v>
      </c>
    </row>
    <row r="10" spans="1:11" s="85" customFormat="1" ht="20.25" customHeight="1">
      <c r="A10" s="90" t="s">
        <v>134</v>
      </c>
      <c r="B10" s="97" t="s">
        <v>236</v>
      </c>
      <c r="C10" s="98" t="s">
        <v>238</v>
      </c>
      <c r="D10" s="91">
        <v>257</v>
      </c>
      <c r="E10" s="92">
        <v>4000</v>
      </c>
      <c r="F10" s="99">
        <f t="shared" si="0"/>
        <v>1028000</v>
      </c>
      <c r="G10" s="99">
        <f t="shared" si="1"/>
        <v>205600</v>
      </c>
      <c r="H10" s="95">
        <f t="shared" si="2"/>
        <v>1028000</v>
      </c>
      <c r="I10" s="95">
        <f t="shared" si="3"/>
        <v>822400</v>
      </c>
      <c r="J10" s="100">
        <f t="shared" si="4"/>
        <v>2056000</v>
      </c>
      <c r="K10" s="101">
        <f t="shared" si="5"/>
        <v>1439200</v>
      </c>
    </row>
    <row r="11" spans="1:11" s="85" customFormat="1" ht="20.25" customHeight="1">
      <c r="A11" s="87"/>
      <c r="B11" s="89" t="s">
        <v>237</v>
      </c>
      <c r="C11" s="102"/>
      <c r="D11" s="93"/>
      <c r="E11" s="94"/>
      <c r="F11" s="103">
        <f>SUM(F4:F10)</f>
        <v>4588500</v>
      </c>
      <c r="G11" s="103">
        <f t="shared" si="1"/>
        <v>917700</v>
      </c>
      <c r="H11" s="96">
        <f t="shared" si="2"/>
        <v>4588500</v>
      </c>
      <c r="I11" s="96">
        <f t="shared" si="3"/>
        <v>3670800</v>
      </c>
      <c r="J11" s="96">
        <f>SUM(J4:J10)</f>
        <v>9177000</v>
      </c>
      <c r="K11" s="96">
        <f>SUM(K4:K10)</f>
        <v>6423900</v>
      </c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5" sqref="A5:XFD17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296" t="s">
        <v>268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ht="20.25" customHeight="1">
      <c r="A2" s="325" t="s">
        <v>248</v>
      </c>
      <c r="B2" s="325" t="s">
        <v>1</v>
      </c>
      <c r="C2" s="326" t="s">
        <v>250</v>
      </c>
      <c r="D2" s="326"/>
      <c r="E2" s="326"/>
      <c r="F2" s="326" t="s">
        <v>251</v>
      </c>
      <c r="G2" s="326"/>
      <c r="H2" s="326"/>
      <c r="I2" s="326" t="s">
        <v>252</v>
      </c>
      <c r="J2" s="326"/>
      <c r="K2" s="326"/>
      <c r="L2" s="327" t="s">
        <v>254</v>
      </c>
      <c r="M2" s="328"/>
      <c r="N2" s="329"/>
      <c r="O2" s="323" t="s">
        <v>207</v>
      </c>
    </row>
    <row r="3" spans="1:15" ht="20.25" customHeight="1">
      <c r="A3" s="325"/>
      <c r="B3" s="325"/>
      <c r="C3" s="109" t="s">
        <v>255</v>
      </c>
      <c r="D3" s="109" t="s">
        <v>256</v>
      </c>
      <c r="E3" s="109" t="s">
        <v>203</v>
      </c>
      <c r="F3" s="109" t="s">
        <v>255</v>
      </c>
      <c r="G3" s="109" t="s">
        <v>256</v>
      </c>
      <c r="H3" s="109" t="s">
        <v>203</v>
      </c>
      <c r="I3" s="109" t="s">
        <v>255</v>
      </c>
      <c r="J3" s="109" t="s">
        <v>256</v>
      </c>
      <c r="K3" s="109" t="s">
        <v>203</v>
      </c>
      <c r="L3" s="109" t="s">
        <v>255</v>
      </c>
      <c r="M3" s="109" t="s">
        <v>256</v>
      </c>
      <c r="N3" s="109" t="s">
        <v>203</v>
      </c>
      <c r="O3" s="324"/>
    </row>
    <row r="4" spans="1:15" s="108" customFormat="1" ht="20.100000000000001" customHeight="1">
      <c r="A4" s="106" t="s">
        <v>24</v>
      </c>
      <c r="B4" s="106" t="s">
        <v>257</v>
      </c>
      <c r="C4" s="112">
        <v>690</v>
      </c>
      <c r="D4" s="113">
        <v>2250</v>
      </c>
      <c r="E4" s="113">
        <f>C4*D4</f>
        <v>1552500</v>
      </c>
      <c r="F4" s="112">
        <v>268</v>
      </c>
      <c r="G4" s="114">
        <v>2650</v>
      </c>
      <c r="H4" s="113">
        <f>F4*G4</f>
        <v>710200</v>
      </c>
      <c r="I4" s="84">
        <v>0</v>
      </c>
      <c r="J4" s="105">
        <v>200</v>
      </c>
      <c r="K4" s="105">
        <f>I4*J4</f>
        <v>0</v>
      </c>
      <c r="L4" s="84">
        <v>0</v>
      </c>
      <c r="M4" s="105">
        <v>1300</v>
      </c>
      <c r="N4" s="105">
        <f>L4*M4</f>
        <v>0</v>
      </c>
      <c r="O4" s="115">
        <f t="shared" ref="O4:O9" si="0">E4+H4+K4+N4</f>
        <v>2262700</v>
      </c>
    </row>
    <row r="5" spans="1:15" s="108" customFormat="1" ht="20.100000000000001" customHeight="1">
      <c r="A5" s="107" t="s">
        <v>24</v>
      </c>
      <c r="B5" s="107" t="s">
        <v>258</v>
      </c>
      <c r="C5" s="112">
        <v>1074</v>
      </c>
      <c r="D5" s="113">
        <v>2250</v>
      </c>
      <c r="E5" s="113">
        <f>C5*D5</f>
        <v>2416500</v>
      </c>
      <c r="F5" s="112">
        <v>589</v>
      </c>
      <c r="G5" s="114">
        <v>2650</v>
      </c>
      <c r="H5" s="113">
        <f>F5*G5</f>
        <v>1560850</v>
      </c>
      <c r="I5" s="84">
        <v>9</v>
      </c>
      <c r="J5" s="105">
        <v>200</v>
      </c>
      <c r="K5" s="105">
        <f>I5*J5</f>
        <v>1800</v>
      </c>
      <c r="L5" s="84">
        <v>0</v>
      </c>
      <c r="M5" s="105">
        <v>1300</v>
      </c>
      <c r="N5" s="105">
        <f>L5*M5</f>
        <v>0</v>
      </c>
      <c r="O5" s="115">
        <f t="shared" si="0"/>
        <v>3979150</v>
      </c>
    </row>
    <row r="6" spans="1:15" s="108" customFormat="1" ht="20.100000000000001" customHeight="1">
      <c r="A6" s="107" t="s">
        <v>24</v>
      </c>
      <c r="B6" s="107" t="s">
        <v>259</v>
      </c>
      <c r="C6" s="112">
        <v>0</v>
      </c>
      <c r="D6" s="113">
        <v>2250</v>
      </c>
      <c r="E6" s="113">
        <f>C6*D6</f>
        <v>0</v>
      </c>
      <c r="F6" s="112">
        <v>1337</v>
      </c>
      <c r="G6" s="114">
        <v>2650</v>
      </c>
      <c r="H6" s="113">
        <f>F6*G6</f>
        <v>3543050</v>
      </c>
      <c r="I6" s="84">
        <v>12</v>
      </c>
      <c r="J6" s="105">
        <v>200</v>
      </c>
      <c r="K6" s="105">
        <f>I6*J6</f>
        <v>2400</v>
      </c>
      <c r="L6" s="84">
        <v>0</v>
      </c>
      <c r="M6" s="105">
        <v>1300</v>
      </c>
      <c r="N6" s="105">
        <f>L6*M6</f>
        <v>0</v>
      </c>
      <c r="O6" s="115">
        <f t="shared" si="0"/>
        <v>3545450</v>
      </c>
    </row>
    <row r="7" spans="1:15" s="108" customFormat="1" ht="20.100000000000001" customHeight="1">
      <c r="A7" s="107" t="s">
        <v>24</v>
      </c>
      <c r="B7" s="107" t="s">
        <v>260</v>
      </c>
      <c r="C7" s="112">
        <v>1349</v>
      </c>
      <c r="D7" s="113">
        <v>2250</v>
      </c>
      <c r="E7" s="113">
        <f>C7*D7</f>
        <v>3035250</v>
      </c>
      <c r="F7" s="112">
        <v>0</v>
      </c>
      <c r="G7" s="114">
        <v>2650</v>
      </c>
      <c r="H7" s="113">
        <f>F7*G7</f>
        <v>0</v>
      </c>
      <c r="I7" s="84">
        <v>0</v>
      </c>
      <c r="J7" s="105">
        <v>200</v>
      </c>
      <c r="K7" s="105">
        <f>I7*J7</f>
        <v>0</v>
      </c>
      <c r="L7" s="84">
        <v>0</v>
      </c>
      <c r="M7" s="105">
        <v>1300</v>
      </c>
      <c r="N7" s="105">
        <f>L7*M7</f>
        <v>0</v>
      </c>
      <c r="O7" s="115">
        <f t="shared" si="0"/>
        <v>3035250</v>
      </c>
    </row>
    <row r="8" spans="1:15" s="108" customFormat="1" ht="20.100000000000001" customHeight="1">
      <c r="A8" s="107" t="s">
        <v>24</v>
      </c>
      <c r="B8" s="107" t="s">
        <v>261</v>
      </c>
      <c r="C8" s="112">
        <v>0</v>
      </c>
      <c r="D8" s="113">
        <v>2250</v>
      </c>
      <c r="E8" s="113">
        <f>C8*D8</f>
        <v>0</v>
      </c>
      <c r="F8" s="112">
        <v>1725</v>
      </c>
      <c r="G8" s="114">
        <v>2650</v>
      </c>
      <c r="H8" s="113">
        <f>F8*G8</f>
        <v>4571250</v>
      </c>
      <c r="I8" s="84">
        <v>102</v>
      </c>
      <c r="J8" s="105">
        <v>200</v>
      </c>
      <c r="K8" s="105">
        <f>I8*J8</f>
        <v>20400</v>
      </c>
      <c r="L8" s="84">
        <v>165</v>
      </c>
      <c r="M8" s="105">
        <v>1300</v>
      </c>
      <c r="N8" s="105">
        <f>L8*M8</f>
        <v>214500</v>
      </c>
      <c r="O8" s="115">
        <f t="shared" si="0"/>
        <v>4806150</v>
      </c>
    </row>
    <row r="9" spans="1:15" s="108" customFormat="1" ht="20.100000000000001" customHeight="1">
      <c r="A9" s="88"/>
      <c r="B9" s="89" t="s">
        <v>237</v>
      </c>
      <c r="C9" s="111">
        <f>SUM(C4:C8)</f>
        <v>3113</v>
      </c>
      <c r="D9" s="110"/>
      <c r="E9" s="111">
        <f>SUM(E4:E8)</f>
        <v>7004250</v>
      </c>
      <c r="F9" s="111">
        <f>SUM(F4:F8)</f>
        <v>3919</v>
      </c>
      <c r="G9" s="110"/>
      <c r="H9" s="111">
        <f>SUM(H4:H8)</f>
        <v>10385350</v>
      </c>
      <c r="I9" s="111">
        <f>SUM(I4:I8)</f>
        <v>123</v>
      </c>
      <c r="J9" s="109"/>
      <c r="K9" s="111">
        <f>SUM(K4:K8)</f>
        <v>24600</v>
      </c>
      <c r="L9" s="111">
        <f>SUM(L4:L8)</f>
        <v>165</v>
      </c>
      <c r="M9" s="109"/>
      <c r="N9" s="111">
        <f>SUM(N4:N8)</f>
        <v>214500</v>
      </c>
      <c r="O9" s="116">
        <f t="shared" si="0"/>
        <v>17628700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5" sqref="A5:XFD17"/>
    </sheetView>
  </sheetViews>
  <sheetFormatPr defaultRowHeight="13.5"/>
  <cols>
    <col min="1" max="1" width="20.375" style="65" customWidth="1"/>
    <col min="2" max="2" width="17.5" style="65" customWidth="1"/>
    <col min="3" max="3" width="28.375" style="54" customWidth="1"/>
    <col min="4" max="4" width="23.75" style="54" customWidth="1"/>
    <col min="5" max="5" width="27.75" style="54" customWidth="1"/>
    <col min="6" max="16384" width="9" style="54"/>
  </cols>
  <sheetData>
    <row r="1" spans="1:5" ht="28.5" customHeight="1">
      <c r="A1" s="303" t="s">
        <v>264</v>
      </c>
      <c r="B1" s="303"/>
      <c r="C1" s="303"/>
      <c r="D1" s="303"/>
      <c r="E1" s="303"/>
    </row>
    <row r="2" spans="1:5" ht="24.95" customHeight="1">
      <c r="A2" s="297" t="s">
        <v>177</v>
      </c>
      <c r="B2" s="297" t="s">
        <v>92</v>
      </c>
      <c r="C2" s="300" t="s">
        <v>262</v>
      </c>
      <c r="D2" s="300"/>
      <c r="E2" s="330" t="s">
        <v>195</v>
      </c>
    </row>
    <row r="3" spans="1:5" ht="24.95" customHeight="1">
      <c r="A3" s="297"/>
      <c r="B3" s="297"/>
      <c r="C3" s="68" t="s">
        <v>200</v>
      </c>
      <c r="D3" s="56" t="s">
        <v>21</v>
      </c>
      <c r="E3" s="331"/>
    </row>
    <row r="4" spans="1:5" ht="24.95" customHeight="1">
      <c r="A4" s="298"/>
      <c r="B4" s="298"/>
      <c r="C4" s="68" t="s">
        <v>203</v>
      </c>
      <c r="D4" s="68" t="s">
        <v>203</v>
      </c>
      <c r="E4" s="332" t="s">
        <v>203</v>
      </c>
    </row>
    <row r="5" spans="1:5" ht="24.95" customHeight="1">
      <c r="A5" s="53" t="s">
        <v>263</v>
      </c>
      <c r="B5" s="74" t="s">
        <v>99</v>
      </c>
      <c r="C5" s="60">
        <v>3235</v>
      </c>
      <c r="D5" s="75">
        <f>C5</f>
        <v>3235</v>
      </c>
      <c r="E5" s="75">
        <f>D5*2</f>
        <v>6470</v>
      </c>
    </row>
    <row r="6" spans="1:5" ht="24.95" customHeight="1">
      <c r="A6" s="118" t="s">
        <v>44</v>
      </c>
      <c r="B6" s="117"/>
      <c r="C6" s="119">
        <f t="shared" ref="C6:E6" si="0">SUM(C5:C5)</f>
        <v>3235</v>
      </c>
      <c r="D6" s="119">
        <f t="shared" si="0"/>
        <v>3235</v>
      </c>
      <c r="E6" s="119">
        <f t="shared" si="0"/>
        <v>6470</v>
      </c>
    </row>
    <row r="7" spans="1:5">
      <c r="A7" s="64"/>
      <c r="B7" s="64"/>
    </row>
  </sheetData>
  <mergeCells count="5">
    <mergeCell ref="A1:E1"/>
    <mergeCell ref="A2:A4"/>
    <mergeCell ref="B2:B4"/>
    <mergeCell ref="C2:D2"/>
    <mergeCell ref="E2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5" sqref="A5:XFD17"/>
    </sheetView>
  </sheetViews>
  <sheetFormatPr defaultRowHeight="13.5"/>
  <cols>
    <col min="1" max="1" width="9" style="121"/>
    <col min="2" max="2" width="12.75" style="121" customWidth="1"/>
    <col min="3" max="3" width="37.25" style="121" customWidth="1"/>
    <col min="4" max="4" width="13.375" style="121" customWidth="1"/>
    <col min="5" max="5" width="13.125" style="121" customWidth="1"/>
    <col min="6" max="6" width="15.375" style="121" customWidth="1"/>
    <col min="7" max="237" width="9" style="121"/>
    <col min="238" max="238" width="5.125" style="121" customWidth="1"/>
    <col min="239" max="239" width="25.75" style="121" customWidth="1"/>
    <col min="240" max="250" width="9" style="121" customWidth="1"/>
    <col min="251" max="256" width="9" style="121"/>
    <col min="257" max="257" width="9.5" style="121" bestFit="1" customWidth="1"/>
    <col min="258" max="493" width="9" style="121"/>
    <col min="494" max="494" width="5.125" style="121" customWidth="1"/>
    <col min="495" max="495" width="25.75" style="121" customWidth="1"/>
    <col min="496" max="506" width="9" style="121" customWidth="1"/>
    <col min="507" max="512" width="9" style="121"/>
    <col min="513" max="513" width="9.5" style="121" bestFit="1" customWidth="1"/>
    <col min="514" max="749" width="9" style="121"/>
    <col min="750" max="750" width="5.125" style="121" customWidth="1"/>
    <col min="751" max="751" width="25.75" style="121" customWidth="1"/>
    <col min="752" max="762" width="9" style="121" customWidth="1"/>
    <col min="763" max="768" width="9" style="121"/>
    <col min="769" max="769" width="9.5" style="121" bestFit="1" customWidth="1"/>
    <col min="770" max="1005" width="9" style="121"/>
    <col min="1006" max="1006" width="5.125" style="121" customWidth="1"/>
    <col min="1007" max="1007" width="25.75" style="121" customWidth="1"/>
    <col min="1008" max="1018" width="9" style="121" customWidth="1"/>
    <col min="1019" max="1024" width="9" style="121"/>
    <col min="1025" max="1025" width="9.5" style="121" bestFit="1" customWidth="1"/>
    <col min="1026" max="1261" width="9" style="121"/>
    <col min="1262" max="1262" width="5.125" style="121" customWidth="1"/>
    <col min="1263" max="1263" width="25.75" style="121" customWidth="1"/>
    <col min="1264" max="1274" width="9" style="121" customWidth="1"/>
    <col min="1275" max="1280" width="9" style="121"/>
    <col min="1281" max="1281" width="9.5" style="121" bestFit="1" customWidth="1"/>
    <col min="1282" max="1517" width="9" style="121"/>
    <col min="1518" max="1518" width="5.125" style="121" customWidth="1"/>
    <col min="1519" max="1519" width="25.75" style="121" customWidth="1"/>
    <col min="1520" max="1530" width="9" style="121" customWidth="1"/>
    <col min="1531" max="1536" width="9" style="121"/>
    <col min="1537" max="1537" width="9.5" style="121" bestFit="1" customWidth="1"/>
    <col min="1538" max="1773" width="9" style="121"/>
    <col min="1774" max="1774" width="5.125" style="121" customWidth="1"/>
    <col min="1775" max="1775" width="25.75" style="121" customWidth="1"/>
    <col min="1776" max="1786" width="9" style="121" customWidth="1"/>
    <col min="1787" max="1792" width="9" style="121"/>
    <col min="1793" max="1793" width="9.5" style="121" bestFit="1" customWidth="1"/>
    <col min="1794" max="2029" width="9" style="121"/>
    <col min="2030" max="2030" width="5.125" style="121" customWidth="1"/>
    <col min="2031" max="2031" width="25.75" style="121" customWidth="1"/>
    <col min="2032" max="2042" width="9" style="121" customWidth="1"/>
    <col min="2043" max="2048" width="9" style="121"/>
    <col min="2049" max="2049" width="9.5" style="121" bestFit="1" customWidth="1"/>
    <col min="2050" max="2285" width="9" style="121"/>
    <col min="2286" max="2286" width="5.125" style="121" customWidth="1"/>
    <col min="2287" max="2287" width="25.75" style="121" customWidth="1"/>
    <col min="2288" max="2298" width="9" style="121" customWidth="1"/>
    <col min="2299" max="2304" width="9" style="121"/>
    <col min="2305" max="2305" width="9.5" style="121" bestFit="1" customWidth="1"/>
    <col min="2306" max="2541" width="9" style="121"/>
    <col min="2542" max="2542" width="5.125" style="121" customWidth="1"/>
    <col min="2543" max="2543" width="25.75" style="121" customWidth="1"/>
    <col min="2544" max="2554" width="9" style="121" customWidth="1"/>
    <col min="2555" max="2560" width="9" style="121"/>
    <col min="2561" max="2561" width="9.5" style="121" bestFit="1" customWidth="1"/>
    <col min="2562" max="2797" width="9" style="121"/>
    <col min="2798" max="2798" width="5.125" style="121" customWidth="1"/>
    <col min="2799" max="2799" width="25.75" style="121" customWidth="1"/>
    <col min="2800" max="2810" width="9" style="121" customWidth="1"/>
    <col min="2811" max="2816" width="9" style="121"/>
    <col min="2817" max="2817" width="9.5" style="121" bestFit="1" customWidth="1"/>
    <col min="2818" max="3053" width="9" style="121"/>
    <col min="3054" max="3054" width="5.125" style="121" customWidth="1"/>
    <col min="3055" max="3055" width="25.75" style="121" customWidth="1"/>
    <col min="3056" max="3066" width="9" style="121" customWidth="1"/>
    <col min="3067" max="3072" width="9" style="121"/>
    <col min="3073" max="3073" width="9.5" style="121" bestFit="1" customWidth="1"/>
    <col min="3074" max="3309" width="9" style="121"/>
    <col min="3310" max="3310" width="5.125" style="121" customWidth="1"/>
    <col min="3311" max="3311" width="25.75" style="121" customWidth="1"/>
    <col min="3312" max="3322" width="9" style="121" customWidth="1"/>
    <col min="3323" max="3328" width="9" style="121"/>
    <col min="3329" max="3329" width="9.5" style="121" bestFit="1" customWidth="1"/>
    <col min="3330" max="3565" width="9" style="121"/>
    <col min="3566" max="3566" width="5.125" style="121" customWidth="1"/>
    <col min="3567" max="3567" width="25.75" style="121" customWidth="1"/>
    <col min="3568" max="3578" width="9" style="121" customWidth="1"/>
    <col min="3579" max="3584" width="9" style="121"/>
    <col min="3585" max="3585" width="9.5" style="121" bestFit="1" customWidth="1"/>
    <col min="3586" max="3821" width="9" style="121"/>
    <col min="3822" max="3822" width="5.125" style="121" customWidth="1"/>
    <col min="3823" max="3823" width="25.75" style="121" customWidth="1"/>
    <col min="3824" max="3834" width="9" style="121" customWidth="1"/>
    <col min="3835" max="3840" width="9" style="121"/>
    <col min="3841" max="3841" width="9.5" style="121" bestFit="1" customWidth="1"/>
    <col min="3842" max="4077" width="9" style="121"/>
    <col min="4078" max="4078" width="5.125" style="121" customWidth="1"/>
    <col min="4079" max="4079" width="25.75" style="121" customWidth="1"/>
    <col min="4080" max="4090" width="9" style="121" customWidth="1"/>
    <col min="4091" max="4096" width="9" style="121"/>
    <col min="4097" max="4097" width="9.5" style="121" bestFit="1" customWidth="1"/>
    <col min="4098" max="4333" width="9" style="121"/>
    <col min="4334" max="4334" width="5.125" style="121" customWidth="1"/>
    <col min="4335" max="4335" width="25.75" style="121" customWidth="1"/>
    <col min="4336" max="4346" width="9" style="121" customWidth="1"/>
    <col min="4347" max="4352" width="9" style="121"/>
    <col min="4353" max="4353" width="9.5" style="121" bestFit="1" customWidth="1"/>
    <col min="4354" max="4589" width="9" style="121"/>
    <col min="4590" max="4590" width="5.125" style="121" customWidth="1"/>
    <col min="4591" max="4591" width="25.75" style="121" customWidth="1"/>
    <col min="4592" max="4602" width="9" style="121" customWidth="1"/>
    <col min="4603" max="4608" width="9" style="121"/>
    <col min="4609" max="4609" width="9.5" style="121" bestFit="1" customWidth="1"/>
    <col min="4610" max="4845" width="9" style="121"/>
    <col min="4846" max="4846" width="5.125" style="121" customWidth="1"/>
    <col min="4847" max="4847" width="25.75" style="121" customWidth="1"/>
    <col min="4848" max="4858" width="9" style="121" customWidth="1"/>
    <col min="4859" max="4864" width="9" style="121"/>
    <col min="4865" max="4865" width="9.5" style="121" bestFit="1" customWidth="1"/>
    <col min="4866" max="5101" width="9" style="121"/>
    <col min="5102" max="5102" width="5.125" style="121" customWidth="1"/>
    <col min="5103" max="5103" width="25.75" style="121" customWidth="1"/>
    <col min="5104" max="5114" width="9" style="121" customWidth="1"/>
    <col min="5115" max="5120" width="9" style="121"/>
    <col min="5121" max="5121" width="9.5" style="121" bestFit="1" customWidth="1"/>
    <col min="5122" max="5357" width="9" style="121"/>
    <col min="5358" max="5358" width="5.125" style="121" customWidth="1"/>
    <col min="5359" max="5359" width="25.75" style="121" customWidth="1"/>
    <col min="5360" max="5370" width="9" style="121" customWidth="1"/>
    <col min="5371" max="5376" width="9" style="121"/>
    <col min="5377" max="5377" width="9.5" style="121" bestFit="1" customWidth="1"/>
    <col min="5378" max="5613" width="9" style="121"/>
    <col min="5614" max="5614" width="5.125" style="121" customWidth="1"/>
    <col min="5615" max="5615" width="25.75" style="121" customWidth="1"/>
    <col min="5616" max="5626" width="9" style="121" customWidth="1"/>
    <col min="5627" max="5632" width="9" style="121"/>
    <col min="5633" max="5633" width="9.5" style="121" bestFit="1" customWidth="1"/>
    <col min="5634" max="5869" width="9" style="121"/>
    <col min="5870" max="5870" width="5.125" style="121" customWidth="1"/>
    <col min="5871" max="5871" width="25.75" style="121" customWidth="1"/>
    <col min="5872" max="5882" width="9" style="121" customWidth="1"/>
    <col min="5883" max="5888" width="9" style="121"/>
    <col min="5889" max="5889" width="9.5" style="121" bestFit="1" customWidth="1"/>
    <col min="5890" max="6125" width="9" style="121"/>
    <col min="6126" max="6126" width="5.125" style="121" customWidth="1"/>
    <col min="6127" max="6127" width="25.75" style="121" customWidth="1"/>
    <col min="6128" max="6138" width="9" style="121" customWidth="1"/>
    <col min="6139" max="6144" width="9" style="121"/>
    <col min="6145" max="6145" width="9.5" style="121" bestFit="1" customWidth="1"/>
    <col min="6146" max="6381" width="9" style="121"/>
    <col min="6382" max="6382" width="5.125" style="121" customWidth="1"/>
    <col min="6383" max="6383" width="25.75" style="121" customWidth="1"/>
    <col min="6384" max="6394" width="9" style="121" customWidth="1"/>
    <col min="6395" max="6400" width="9" style="121"/>
    <col min="6401" max="6401" width="9.5" style="121" bestFit="1" customWidth="1"/>
    <col min="6402" max="6637" width="9" style="121"/>
    <col min="6638" max="6638" width="5.125" style="121" customWidth="1"/>
    <col min="6639" max="6639" width="25.75" style="121" customWidth="1"/>
    <col min="6640" max="6650" width="9" style="121" customWidth="1"/>
    <col min="6651" max="6656" width="9" style="121"/>
    <col min="6657" max="6657" width="9.5" style="121" bestFit="1" customWidth="1"/>
    <col min="6658" max="6893" width="9" style="121"/>
    <col min="6894" max="6894" width="5.125" style="121" customWidth="1"/>
    <col min="6895" max="6895" width="25.75" style="121" customWidth="1"/>
    <col min="6896" max="6906" width="9" style="121" customWidth="1"/>
    <col min="6907" max="6912" width="9" style="121"/>
    <col min="6913" max="6913" width="9.5" style="121" bestFit="1" customWidth="1"/>
    <col min="6914" max="7149" width="9" style="121"/>
    <col min="7150" max="7150" width="5.125" style="121" customWidth="1"/>
    <col min="7151" max="7151" width="25.75" style="121" customWidth="1"/>
    <col min="7152" max="7162" width="9" style="121" customWidth="1"/>
    <col min="7163" max="7168" width="9" style="121"/>
    <col min="7169" max="7169" width="9.5" style="121" bestFit="1" customWidth="1"/>
    <col min="7170" max="7405" width="9" style="121"/>
    <col min="7406" max="7406" width="5.125" style="121" customWidth="1"/>
    <col min="7407" max="7407" width="25.75" style="121" customWidth="1"/>
    <col min="7408" max="7418" width="9" style="121" customWidth="1"/>
    <col min="7419" max="7424" width="9" style="121"/>
    <col min="7425" max="7425" width="9.5" style="121" bestFit="1" customWidth="1"/>
    <col min="7426" max="7661" width="9" style="121"/>
    <col min="7662" max="7662" width="5.125" style="121" customWidth="1"/>
    <col min="7663" max="7663" width="25.75" style="121" customWidth="1"/>
    <col min="7664" max="7674" width="9" style="121" customWidth="1"/>
    <col min="7675" max="7680" width="9" style="121"/>
    <col min="7681" max="7681" width="9.5" style="121" bestFit="1" customWidth="1"/>
    <col min="7682" max="7917" width="9" style="121"/>
    <col min="7918" max="7918" width="5.125" style="121" customWidth="1"/>
    <col min="7919" max="7919" width="25.75" style="121" customWidth="1"/>
    <col min="7920" max="7930" width="9" style="121" customWidth="1"/>
    <col min="7931" max="7936" width="9" style="121"/>
    <col min="7937" max="7937" width="9.5" style="121" bestFit="1" customWidth="1"/>
    <col min="7938" max="8173" width="9" style="121"/>
    <col min="8174" max="8174" width="5.125" style="121" customWidth="1"/>
    <col min="8175" max="8175" width="25.75" style="121" customWidth="1"/>
    <col min="8176" max="8186" width="9" style="121" customWidth="1"/>
    <col min="8187" max="8192" width="9" style="121"/>
    <col min="8193" max="8193" width="9.5" style="121" bestFit="1" customWidth="1"/>
    <col min="8194" max="8429" width="9" style="121"/>
    <col min="8430" max="8430" width="5.125" style="121" customWidth="1"/>
    <col min="8431" max="8431" width="25.75" style="121" customWidth="1"/>
    <col min="8432" max="8442" width="9" style="121" customWidth="1"/>
    <col min="8443" max="8448" width="9" style="121"/>
    <col min="8449" max="8449" width="9.5" style="121" bestFit="1" customWidth="1"/>
    <col min="8450" max="8685" width="9" style="121"/>
    <col min="8686" max="8686" width="5.125" style="121" customWidth="1"/>
    <col min="8687" max="8687" width="25.75" style="121" customWidth="1"/>
    <col min="8688" max="8698" width="9" style="121" customWidth="1"/>
    <col min="8699" max="8704" width="9" style="121"/>
    <col min="8705" max="8705" width="9.5" style="121" bestFit="1" customWidth="1"/>
    <col min="8706" max="8941" width="9" style="121"/>
    <col min="8942" max="8942" width="5.125" style="121" customWidth="1"/>
    <col min="8943" max="8943" width="25.75" style="121" customWidth="1"/>
    <col min="8944" max="8954" width="9" style="121" customWidth="1"/>
    <col min="8955" max="8960" width="9" style="121"/>
    <col min="8961" max="8961" width="9.5" style="121" bestFit="1" customWidth="1"/>
    <col min="8962" max="9197" width="9" style="121"/>
    <col min="9198" max="9198" width="5.125" style="121" customWidth="1"/>
    <col min="9199" max="9199" width="25.75" style="121" customWidth="1"/>
    <col min="9200" max="9210" width="9" style="121" customWidth="1"/>
    <col min="9211" max="9216" width="9" style="121"/>
    <col min="9217" max="9217" width="9.5" style="121" bestFit="1" customWidth="1"/>
    <col min="9218" max="9453" width="9" style="121"/>
    <col min="9454" max="9454" width="5.125" style="121" customWidth="1"/>
    <col min="9455" max="9455" width="25.75" style="121" customWidth="1"/>
    <col min="9456" max="9466" width="9" style="121" customWidth="1"/>
    <col min="9467" max="9472" width="9" style="121"/>
    <col min="9473" max="9473" width="9.5" style="121" bestFit="1" customWidth="1"/>
    <col min="9474" max="9709" width="9" style="121"/>
    <col min="9710" max="9710" width="5.125" style="121" customWidth="1"/>
    <col min="9711" max="9711" width="25.75" style="121" customWidth="1"/>
    <col min="9712" max="9722" width="9" style="121" customWidth="1"/>
    <col min="9723" max="9728" width="9" style="121"/>
    <col min="9729" max="9729" width="9.5" style="121" bestFit="1" customWidth="1"/>
    <col min="9730" max="9965" width="9" style="121"/>
    <col min="9966" max="9966" width="5.125" style="121" customWidth="1"/>
    <col min="9967" max="9967" width="25.75" style="121" customWidth="1"/>
    <col min="9968" max="9978" width="9" style="121" customWidth="1"/>
    <col min="9979" max="9984" width="9" style="121"/>
    <col min="9985" max="9985" width="9.5" style="121" bestFit="1" customWidth="1"/>
    <col min="9986" max="10221" width="9" style="121"/>
    <col min="10222" max="10222" width="5.125" style="121" customWidth="1"/>
    <col min="10223" max="10223" width="25.75" style="121" customWidth="1"/>
    <col min="10224" max="10234" width="9" style="121" customWidth="1"/>
    <col min="10235" max="10240" width="9" style="121"/>
    <col min="10241" max="10241" width="9.5" style="121" bestFit="1" customWidth="1"/>
    <col min="10242" max="10477" width="9" style="121"/>
    <col min="10478" max="10478" width="5.125" style="121" customWidth="1"/>
    <col min="10479" max="10479" width="25.75" style="121" customWidth="1"/>
    <col min="10480" max="10490" width="9" style="121" customWidth="1"/>
    <col min="10491" max="10496" width="9" style="121"/>
    <col min="10497" max="10497" width="9.5" style="121" bestFit="1" customWidth="1"/>
    <col min="10498" max="10733" width="9" style="121"/>
    <col min="10734" max="10734" width="5.125" style="121" customWidth="1"/>
    <col min="10735" max="10735" width="25.75" style="121" customWidth="1"/>
    <col min="10736" max="10746" width="9" style="121" customWidth="1"/>
    <col min="10747" max="10752" width="9" style="121"/>
    <col min="10753" max="10753" width="9.5" style="121" bestFit="1" customWidth="1"/>
    <col min="10754" max="10989" width="9" style="121"/>
    <col min="10990" max="10990" width="5.125" style="121" customWidth="1"/>
    <col min="10991" max="10991" width="25.75" style="121" customWidth="1"/>
    <col min="10992" max="11002" width="9" style="121" customWidth="1"/>
    <col min="11003" max="11008" width="9" style="121"/>
    <col min="11009" max="11009" width="9.5" style="121" bestFit="1" customWidth="1"/>
    <col min="11010" max="11245" width="9" style="121"/>
    <col min="11246" max="11246" width="5.125" style="121" customWidth="1"/>
    <col min="11247" max="11247" width="25.75" style="121" customWidth="1"/>
    <col min="11248" max="11258" width="9" style="121" customWidth="1"/>
    <col min="11259" max="11264" width="9" style="121"/>
    <col min="11265" max="11265" width="9.5" style="121" bestFit="1" customWidth="1"/>
    <col min="11266" max="11501" width="9" style="121"/>
    <col min="11502" max="11502" width="5.125" style="121" customWidth="1"/>
    <col min="11503" max="11503" width="25.75" style="121" customWidth="1"/>
    <col min="11504" max="11514" width="9" style="121" customWidth="1"/>
    <col min="11515" max="11520" width="9" style="121"/>
    <col min="11521" max="11521" width="9.5" style="121" bestFit="1" customWidth="1"/>
    <col min="11522" max="11757" width="9" style="121"/>
    <col min="11758" max="11758" width="5.125" style="121" customWidth="1"/>
    <col min="11759" max="11759" width="25.75" style="121" customWidth="1"/>
    <col min="11760" max="11770" width="9" style="121" customWidth="1"/>
    <col min="11771" max="11776" width="9" style="121"/>
    <col min="11777" max="11777" width="9.5" style="121" bestFit="1" customWidth="1"/>
    <col min="11778" max="12013" width="9" style="121"/>
    <col min="12014" max="12014" width="5.125" style="121" customWidth="1"/>
    <col min="12015" max="12015" width="25.75" style="121" customWidth="1"/>
    <col min="12016" max="12026" width="9" style="121" customWidth="1"/>
    <col min="12027" max="12032" width="9" style="121"/>
    <col min="12033" max="12033" width="9.5" style="121" bestFit="1" customWidth="1"/>
    <col min="12034" max="12269" width="9" style="121"/>
    <col min="12270" max="12270" width="5.125" style="121" customWidth="1"/>
    <col min="12271" max="12271" width="25.75" style="121" customWidth="1"/>
    <col min="12272" max="12282" width="9" style="121" customWidth="1"/>
    <col min="12283" max="12288" width="9" style="121"/>
    <col min="12289" max="12289" width="9.5" style="121" bestFit="1" customWidth="1"/>
    <col min="12290" max="12525" width="9" style="121"/>
    <col min="12526" max="12526" width="5.125" style="121" customWidth="1"/>
    <col min="12527" max="12527" width="25.75" style="121" customWidth="1"/>
    <col min="12528" max="12538" width="9" style="121" customWidth="1"/>
    <col min="12539" max="12544" width="9" style="121"/>
    <col min="12545" max="12545" width="9.5" style="121" bestFit="1" customWidth="1"/>
    <col min="12546" max="12781" width="9" style="121"/>
    <col min="12782" max="12782" width="5.125" style="121" customWidth="1"/>
    <col min="12783" max="12783" width="25.75" style="121" customWidth="1"/>
    <col min="12784" max="12794" width="9" style="121" customWidth="1"/>
    <col min="12795" max="12800" width="9" style="121"/>
    <col min="12801" max="12801" width="9.5" style="121" bestFit="1" customWidth="1"/>
    <col min="12802" max="13037" width="9" style="121"/>
    <col min="13038" max="13038" width="5.125" style="121" customWidth="1"/>
    <col min="13039" max="13039" width="25.75" style="121" customWidth="1"/>
    <col min="13040" max="13050" width="9" style="121" customWidth="1"/>
    <col min="13051" max="13056" width="9" style="121"/>
    <col min="13057" max="13057" width="9.5" style="121" bestFit="1" customWidth="1"/>
    <col min="13058" max="13293" width="9" style="121"/>
    <col min="13294" max="13294" width="5.125" style="121" customWidth="1"/>
    <col min="13295" max="13295" width="25.75" style="121" customWidth="1"/>
    <col min="13296" max="13306" width="9" style="121" customWidth="1"/>
    <col min="13307" max="13312" width="9" style="121"/>
    <col min="13313" max="13313" width="9.5" style="121" bestFit="1" customWidth="1"/>
    <col min="13314" max="13549" width="9" style="121"/>
    <col min="13550" max="13550" width="5.125" style="121" customWidth="1"/>
    <col min="13551" max="13551" width="25.75" style="121" customWidth="1"/>
    <col min="13552" max="13562" width="9" style="121" customWidth="1"/>
    <col min="13563" max="13568" width="9" style="121"/>
    <col min="13569" max="13569" width="9.5" style="121" bestFit="1" customWidth="1"/>
    <col min="13570" max="13805" width="9" style="121"/>
    <col min="13806" max="13806" width="5.125" style="121" customWidth="1"/>
    <col min="13807" max="13807" width="25.75" style="121" customWidth="1"/>
    <col min="13808" max="13818" width="9" style="121" customWidth="1"/>
    <col min="13819" max="13824" width="9" style="121"/>
    <col min="13825" max="13825" width="9.5" style="121" bestFit="1" customWidth="1"/>
    <col min="13826" max="14061" width="9" style="121"/>
    <col min="14062" max="14062" width="5.125" style="121" customWidth="1"/>
    <col min="14063" max="14063" width="25.75" style="121" customWidth="1"/>
    <col min="14064" max="14074" width="9" style="121" customWidth="1"/>
    <col min="14075" max="14080" width="9" style="121"/>
    <col min="14081" max="14081" width="9.5" style="121" bestFit="1" customWidth="1"/>
    <col min="14082" max="14317" width="9" style="121"/>
    <col min="14318" max="14318" width="5.125" style="121" customWidth="1"/>
    <col min="14319" max="14319" width="25.75" style="121" customWidth="1"/>
    <col min="14320" max="14330" width="9" style="121" customWidth="1"/>
    <col min="14331" max="14336" width="9" style="121"/>
    <col min="14337" max="14337" width="9.5" style="121" bestFit="1" customWidth="1"/>
    <col min="14338" max="14573" width="9" style="121"/>
    <col min="14574" max="14574" width="5.125" style="121" customWidth="1"/>
    <col min="14575" max="14575" width="25.75" style="121" customWidth="1"/>
    <col min="14576" max="14586" width="9" style="121" customWidth="1"/>
    <col min="14587" max="14592" width="9" style="121"/>
    <col min="14593" max="14593" width="9.5" style="121" bestFit="1" customWidth="1"/>
    <col min="14594" max="14829" width="9" style="121"/>
    <col min="14830" max="14830" width="5.125" style="121" customWidth="1"/>
    <col min="14831" max="14831" width="25.75" style="121" customWidth="1"/>
    <col min="14832" max="14842" width="9" style="121" customWidth="1"/>
    <col min="14843" max="14848" width="9" style="121"/>
    <col min="14849" max="14849" width="9.5" style="121" bestFit="1" customWidth="1"/>
    <col min="14850" max="15085" width="9" style="121"/>
    <col min="15086" max="15086" width="5.125" style="121" customWidth="1"/>
    <col min="15087" max="15087" width="25.75" style="121" customWidth="1"/>
    <col min="15088" max="15098" width="9" style="121" customWidth="1"/>
    <col min="15099" max="15104" width="9" style="121"/>
    <col min="15105" max="15105" width="9.5" style="121" bestFit="1" customWidth="1"/>
    <col min="15106" max="15341" width="9" style="121"/>
    <col min="15342" max="15342" width="5.125" style="121" customWidth="1"/>
    <col min="15343" max="15343" width="25.75" style="121" customWidth="1"/>
    <col min="15344" max="15354" width="9" style="121" customWidth="1"/>
    <col min="15355" max="15360" width="9" style="121"/>
    <col min="15361" max="15361" width="9.5" style="121" bestFit="1" customWidth="1"/>
    <col min="15362" max="15597" width="9" style="121"/>
    <col min="15598" max="15598" width="5.125" style="121" customWidth="1"/>
    <col min="15599" max="15599" width="25.75" style="121" customWidth="1"/>
    <col min="15600" max="15610" width="9" style="121" customWidth="1"/>
    <col min="15611" max="15616" width="9" style="121"/>
    <col min="15617" max="15617" width="9.5" style="121" bestFit="1" customWidth="1"/>
    <col min="15618" max="15853" width="9" style="121"/>
    <col min="15854" max="15854" width="5.125" style="121" customWidth="1"/>
    <col min="15855" max="15855" width="25.75" style="121" customWidth="1"/>
    <col min="15856" max="15866" width="9" style="121" customWidth="1"/>
    <col min="15867" max="15872" width="9" style="121"/>
    <col min="15873" max="15873" width="9.5" style="121" bestFit="1" customWidth="1"/>
    <col min="15874" max="16109" width="9" style="121"/>
    <col min="16110" max="16110" width="5.125" style="121" customWidth="1"/>
    <col min="16111" max="16111" width="25.75" style="121" customWidth="1"/>
    <col min="16112" max="16122" width="9" style="121" customWidth="1"/>
    <col min="16123" max="16128" width="9" style="121"/>
    <col min="16129" max="16129" width="9.5" style="121" bestFit="1" customWidth="1"/>
    <col min="16130" max="16384" width="9" style="121"/>
  </cols>
  <sheetData>
    <row r="1" spans="1:6" ht="20.25" customHeight="1">
      <c r="A1" s="333" t="s">
        <v>269</v>
      </c>
      <c r="B1" s="333"/>
      <c r="C1" s="333"/>
      <c r="D1" s="333"/>
      <c r="E1" s="333"/>
      <c r="F1" s="334"/>
    </row>
    <row r="2" spans="1:6" ht="20.25" customHeight="1">
      <c r="A2" s="138" t="s">
        <v>248</v>
      </c>
      <c r="B2" s="138" t="s">
        <v>249</v>
      </c>
      <c r="C2" s="138" t="s">
        <v>1</v>
      </c>
      <c r="D2" s="138" t="s">
        <v>98</v>
      </c>
      <c r="E2" s="138" t="s">
        <v>99</v>
      </c>
      <c r="F2" s="138" t="s">
        <v>224</v>
      </c>
    </row>
    <row r="3" spans="1:6" s="124" customFormat="1" ht="20.25" customHeight="1">
      <c r="A3" s="122" t="s">
        <v>24</v>
      </c>
      <c r="B3" s="123" t="s">
        <v>130</v>
      </c>
      <c r="C3" s="122" t="s">
        <v>257</v>
      </c>
      <c r="D3" s="177">
        <v>690</v>
      </c>
      <c r="E3" s="177">
        <v>268</v>
      </c>
      <c r="F3" s="82">
        <f t="shared" ref="F3:F7" si="0">D3*350+E3*430</f>
        <v>356740</v>
      </c>
    </row>
    <row r="4" spans="1:6" s="124" customFormat="1" ht="20.25" customHeight="1">
      <c r="A4" s="123" t="s">
        <v>24</v>
      </c>
      <c r="B4" s="123" t="s">
        <v>130</v>
      </c>
      <c r="C4" s="107" t="s">
        <v>258</v>
      </c>
      <c r="D4" s="177">
        <v>1074</v>
      </c>
      <c r="E4" s="177">
        <v>589</v>
      </c>
      <c r="F4" s="82">
        <f t="shared" si="0"/>
        <v>629170</v>
      </c>
    </row>
    <row r="5" spans="1:6" s="124" customFormat="1" ht="20.25" customHeight="1">
      <c r="A5" s="123" t="s">
        <v>24</v>
      </c>
      <c r="B5" s="123" t="s">
        <v>130</v>
      </c>
      <c r="C5" s="123" t="s">
        <v>260</v>
      </c>
      <c r="D5" s="177">
        <v>1349</v>
      </c>
      <c r="E5" s="122"/>
      <c r="F5" s="82">
        <f t="shared" si="0"/>
        <v>472150</v>
      </c>
    </row>
    <row r="6" spans="1:6" s="124" customFormat="1" ht="20.25" customHeight="1">
      <c r="A6" s="123" t="s">
        <v>24</v>
      </c>
      <c r="B6" s="123" t="s">
        <v>130</v>
      </c>
      <c r="C6" s="123" t="s">
        <v>259</v>
      </c>
      <c r="D6" s="122"/>
      <c r="E6" s="177">
        <v>1337</v>
      </c>
      <c r="F6" s="82">
        <f t="shared" si="0"/>
        <v>574910</v>
      </c>
    </row>
    <row r="7" spans="1:6" s="124" customFormat="1" ht="20.25" customHeight="1">
      <c r="A7" s="123" t="s">
        <v>24</v>
      </c>
      <c r="B7" s="123" t="s">
        <v>130</v>
      </c>
      <c r="C7" s="123" t="s">
        <v>261</v>
      </c>
      <c r="D7" s="122"/>
      <c r="E7" s="177">
        <v>1725</v>
      </c>
      <c r="F7" s="82">
        <f t="shared" si="0"/>
        <v>741750</v>
      </c>
    </row>
    <row r="8" spans="1:6" s="124" customFormat="1" ht="20.25" customHeight="1">
      <c r="A8" s="126"/>
      <c r="B8" s="126"/>
      <c r="C8" s="126" t="s">
        <v>265</v>
      </c>
      <c r="D8" s="125">
        <f>SUM(D3:D7)</f>
        <v>3113</v>
      </c>
      <c r="E8" s="125">
        <f>SUM(E3:E7)</f>
        <v>3919</v>
      </c>
      <c r="F8" s="125">
        <f>SUM(F3:F7)</f>
        <v>2774720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5" sqref="A5:XFD9"/>
    </sheetView>
  </sheetViews>
  <sheetFormatPr defaultRowHeight="13.5"/>
  <cols>
    <col min="1" max="1" width="25.75" customWidth="1"/>
    <col min="2" max="2" width="20.625" customWidth="1"/>
    <col min="3" max="3" width="23" customWidth="1"/>
    <col min="4" max="4" width="22.75" customWidth="1"/>
  </cols>
  <sheetData>
    <row r="1" spans="1:4" ht="18.75">
      <c r="A1" s="335" t="s">
        <v>272</v>
      </c>
      <c r="B1" s="335"/>
      <c r="C1" s="335"/>
      <c r="D1" s="336"/>
    </row>
    <row r="2" spans="1:4" ht="30" customHeight="1">
      <c r="A2" s="127" t="s">
        <v>177</v>
      </c>
      <c r="B2" s="127" t="s">
        <v>178</v>
      </c>
      <c r="C2" s="128" t="s">
        <v>270</v>
      </c>
      <c r="D2" s="127" t="s">
        <v>13</v>
      </c>
    </row>
    <row r="3" spans="1:4" ht="30" customHeight="1">
      <c r="A3" s="53" t="s">
        <v>271</v>
      </c>
      <c r="B3" s="178" t="s">
        <v>166</v>
      </c>
      <c r="C3" s="63">
        <v>30780</v>
      </c>
      <c r="D3" s="129">
        <f>30780*2</f>
        <v>61560</v>
      </c>
    </row>
    <row r="4" spans="1:4" ht="30" customHeight="1">
      <c r="A4" s="118" t="s">
        <v>44</v>
      </c>
      <c r="B4" s="117"/>
      <c r="C4" s="130">
        <v>30780</v>
      </c>
      <c r="D4" s="130">
        <f>SUM(D3)</f>
        <v>61560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"/>
  <sheetViews>
    <sheetView topLeftCell="B1" workbookViewId="0">
      <selection activeCell="D5" sqref="A5:XFD9"/>
    </sheetView>
  </sheetViews>
  <sheetFormatPr defaultRowHeight="13.5"/>
  <cols>
    <col min="1" max="1" width="4.5" style="131" bestFit="1" customWidth="1"/>
    <col min="2" max="2" width="7.5" style="131" bestFit="1" customWidth="1"/>
    <col min="3" max="3" width="22.25" style="131" bestFit="1" customWidth="1"/>
    <col min="4" max="10" width="10.625" style="131" customWidth="1"/>
    <col min="11" max="11" width="17" style="131" customWidth="1"/>
    <col min="12" max="13" width="9" style="131"/>
    <col min="14" max="14" width="13.25" style="131" customWidth="1"/>
    <col min="15" max="16" width="9" style="131"/>
    <col min="17" max="17" width="9" style="131" customWidth="1"/>
    <col min="18" max="18" width="9" style="131"/>
    <col min="19" max="19" width="15.875" style="131" customWidth="1"/>
    <col min="20" max="20" width="13.5" style="131" customWidth="1"/>
    <col min="21" max="246" width="9" style="131"/>
    <col min="247" max="248" width="4.5" style="131" bestFit="1" customWidth="1"/>
    <col min="249" max="249" width="7.5" style="131" bestFit="1" customWidth="1"/>
    <col min="250" max="250" width="22.25" style="131" bestFit="1" customWidth="1"/>
    <col min="251" max="257" width="10.625" style="131" customWidth="1"/>
    <col min="258" max="258" width="9.125" style="131" bestFit="1" customWidth="1"/>
    <col min="259" max="260" width="9.5" style="131" bestFit="1" customWidth="1"/>
    <col min="261" max="261" width="10.625" style="131" customWidth="1"/>
    <col min="262" max="502" width="9" style="131"/>
    <col min="503" max="504" width="4.5" style="131" bestFit="1" customWidth="1"/>
    <col min="505" max="505" width="7.5" style="131" bestFit="1" customWidth="1"/>
    <col min="506" max="506" width="22.25" style="131" bestFit="1" customWidth="1"/>
    <col min="507" max="513" width="10.625" style="131" customWidth="1"/>
    <col min="514" max="514" width="9.125" style="131" bestFit="1" customWidth="1"/>
    <col min="515" max="516" width="9.5" style="131" bestFit="1" customWidth="1"/>
    <col min="517" max="517" width="10.625" style="131" customWidth="1"/>
    <col min="518" max="758" width="9" style="131"/>
    <col min="759" max="760" width="4.5" style="131" bestFit="1" customWidth="1"/>
    <col min="761" max="761" width="7.5" style="131" bestFit="1" customWidth="1"/>
    <col min="762" max="762" width="22.25" style="131" bestFit="1" customWidth="1"/>
    <col min="763" max="769" width="10.625" style="131" customWidth="1"/>
    <col min="770" max="770" width="9.125" style="131" bestFit="1" customWidth="1"/>
    <col min="771" max="772" width="9.5" style="131" bestFit="1" customWidth="1"/>
    <col min="773" max="773" width="10.625" style="131" customWidth="1"/>
    <col min="774" max="1014" width="9" style="131"/>
    <col min="1015" max="1016" width="4.5" style="131" bestFit="1" customWidth="1"/>
    <col min="1017" max="1017" width="7.5" style="131" bestFit="1" customWidth="1"/>
    <col min="1018" max="1018" width="22.25" style="131" bestFit="1" customWidth="1"/>
    <col min="1019" max="1025" width="10.625" style="131" customWidth="1"/>
    <col min="1026" max="1026" width="9.125" style="131" bestFit="1" customWidth="1"/>
    <col min="1027" max="1028" width="9.5" style="131" bestFit="1" customWidth="1"/>
    <col min="1029" max="1029" width="10.625" style="131" customWidth="1"/>
    <col min="1030" max="1270" width="9" style="131"/>
    <col min="1271" max="1272" width="4.5" style="131" bestFit="1" customWidth="1"/>
    <col min="1273" max="1273" width="7.5" style="131" bestFit="1" customWidth="1"/>
    <col min="1274" max="1274" width="22.25" style="131" bestFit="1" customWidth="1"/>
    <col min="1275" max="1281" width="10.625" style="131" customWidth="1"/>
    <col min="1282" max="1282" width="9.125" style="131" bestFit="1" customWidth="1"/>
    <col min="1283" max="1284" width="9.5" style="131" bestFit="1" customWidth="1"/>
    <col min="1285" max="1285" width="10.625" style="131" customWidth="1"/>
    <col min="1286" max="1526" width="9" style="131"/>
    <col min="1527" max="1528" width="4.5" style="131" bestFit="1" customWidth="1"/>
    <col min="1529" max="1529" width="7.5" style="131" bestFit="1" customWidth="1"/>
    <col min="1530" max="1530" width="22.25" style="131" bestFit="1" customWidth="1"/>
    <col min="1531" max="1537" width="10.625" style="131" customWidth="1"/>
    <col min="1538" max="1538" width="9.125" style="131" bestFit="1" customWidth="1"/>
    <col min="1539" max="1540" width="9.5" style="131" bestFit="1" customWidth="1"/>
    <col min="1541" max="1541" width="10.625" style="131" customWidth="1"/>
    <col min="1542" max="1782" width="9" style="131"/>
    <col min="1783" max="1784" width="4.5" style="131" bestFit="1" customWidth="1"/>
    <col min="1785" max="1785" width="7.5" style="131" bestFit="1" customWidth="1"/>
    <col min="1786" max="1786" width="22.25" style="131" bestFit="1" customWidth="1"/>
    <col min="1787" max="1793" width="10.625" style="131" customWidth="1"/>
    <col min="1794" max="1794" width="9.125" style="131" bestFit="1" customWidth="1"/>
    <col min="1795" max="1796" width="9.5" style="131" bestFit="1" customWidth="1"/>
    <col min="1797" max="1797" width="10.625" style="131" customWidth="1"/>
    <col min="1798" max="2038" width="9" style="131"/>
    <col min="2039" max="2040" width="4.5" style="131" bestFit="1" customWidth="1"/>
    <col min="2041" max="2041" width="7.5" style="131" bestFit="1" customWidth="1"/>
    <col min="2042" max="2042" width="22.25" style="131" bestFit="1" customWidth="1"/>
    <col min="2043" max="2049" width="10.625" style="131" customWidth="1"/>
    <col min="2050" max="2050" width="9.125" style="131" bestFit="1" customWidth="1"/>
    <col min="2051" max="2052" width="9.5" style="131" bestFit="1" customWidth="1"/>
    <col min="2053" max="2053" width="10.625" style="131" customWidth="1"/>
    <col min="2054" max="2294" width="9" style="131"/>
    <col min="2295" max="2296" width="4.5" style="131" bestFit="1" customWidth="1"/>
    <col min="2297" max="2297" width="7.5" style="131" bestFit="1" customWidth="1"/>
    <col min="2298" max="2298" width="22.25" style="131" bestFit="1" customWidth="1"/>
    <col min="2299" max="2305" width="10.625" style="131" customWidth="1"/>
    <col min="2306" max="2306" width="9.125" style="131" bestFit="1" customWidth="1"/>
    <col min="2307" max="2308" width="9.5" style="131" bestFit="1" customWidth="1"/>
    <col min="2309" max="2309" width="10.625" style="131" customWidth="1"/>
    <col min="2310" max="2550" width="9" style="131"/>
    <col min="2551" max="2552" width="4.5" style="131" bestFit="1" customWidth="1"/>
    <col min="2553" max="2553" width="7.5" style="131" bestFit="1" customWidth="1"/>
    <col min="2554" max="2554" width="22.25" style="131" bestFit="1" customWidth="1"/>
    <col min="2555" max="2561" width="10.625" style="131" customWidth="1"/>
    <col min="2562" max="2562" width="9.125" style="131" bestFit="1" customWidth="1"/>
    <col min="2563" max="2564" width="9.5" style="131" bestFit="1" customWidth="1"/>
    <col min="2565" max="2565" width="10.625" style="131" customWidth="1"/>
    <col min="2566" max="2806" width="9" style="131"/>
    <col min="2807" max="2808" width="4.5" style="131" bestFit="1" customWidth="1"/>
    <col min="2809" max="2809" width="7.5" style="131" bestFit="1" customWidth="1"/>
    <col min="2810" max="2810" width="22.25" style="131" bestFit="1" customWidth="1"/>
    <col min="2811" max="2817" width="10.625" style="131" customWidth="1"/>
    <col min="2818" max="2818" width="9.125" style="131" bestFit="1" customWidth="1"/>
    <col min="2819" max="2820" width="9.5" style="131" bestFit="1" customWidth="1"/>
    <col min="2821" max="2821" width="10.625" style="131" customWidth="1"/>
    <col min="2822" max="3062" width="9" style="131"/>
    <col min="3063" max="3064" width="4.5" style="131" bestFit="1" customWidth="1"/>
    <col min="3065" max="3065" width="7.5" style="131" bestFit="1" customWidth="1"/>
    <col min="3066" max="3066" width="22.25" style="131" bestFit="1" customWidth="1"/>
    <col min="3067" max="3073" width="10.625" style="131" customWidth="1"/>
    <col min="3074" max="3074" width="9.125" style="131" bestFit="1" customWidth="1"/>
    <col min="3075" max="3076" width="9.5" style="131" bestFit="1" customWidth="1"/>
    <col min="3077" max="3077" width="10.625" style="131" customWidth="1"/>
    <col min="3078" max="3318" width="9" style="131"/>
    <col min="3319" max="3320" width="4.5" style="131" bestFit="1" customWidth="1"/>
    <col min="3321" max="3321" width="7.5" style="131" bestFit="1" customWidth="1"/>
    <col min="3322" max="3322" width="22.25" style="131" bestFit="1" customWidth="1"/>
    <col min="3323" max="3329" width="10.625" style="131" customWidth="1"/>
    <col min="3330" max="3330" width="9.125" style="131" bestFit="1" customWidth="1"/>
    <col min="3331" max="3332" width="9.5" style="131" bestFit="1" customWidth="1"/>
    <col min="3333" max="3333" width="10.625" style="131" customWidth="1"/>
    <col min="3334" max="3574" width="9" style="131"/>
    <col min="3575" max="3576" width="4.5" style="131" bestFit="1" customWidth="1"/>
    <col min="3577" max="3577" width="7.5" style="131" bestFit="1" customWidth="1"/>
    <col min="3578" max="3578" width="22.25" style="131" bestFit="1" customWidth="1"/>
    <col min="3579" max="3585" width="10.625" style="131" customWidth="1"/>
    <col min="3586" max="3586" width="9.125" style="131" bestFit="1" customWidth="1"/>
    <col min="3587" max="3588" width="9.5" style="131" bestFit="1" customWidth="1"/>
    <col min="3589" max="3589" width="10.625" style="131" customWidth="1"/>
    <col min="3590" max="3830" width="9" style="131"/>
    <col min="3831" max="3832" width="4.5" style="131" bestFit="1" customWidth="1"/>
    <col min="3833" max="3833" width="7.5" style="131" bestFit="1" customWidth="1"/>
    <col min="3834" max="3834" width="22.25" style="131" bestFit="1" customWidth="1"/>
    <col min="3835" max="3841" width="10.625" style="131" customWidth="1"/>
    <col min="3842" max="3842" width="9.125" style="131" bestFit="1" customWidth="1"/>
    <col min="3843" max="3844" width="9.5" style="131" bestFit="1" customWidth="1"/>
    <col min="3845" max="3845" width="10.625" style="131" customWidth="1"/>
    <col min="3846" max="4086" width="9" style="131"/>
    <col min="4087" max="4088" width="4.5" style="131" bestFit="1" customWidth="1"/>
    <col min="4089" max="4089" width="7.5" style="131" bestFit="1" customWidth="1"/>
    <col min="4090" max="4090" width="22.25" style="131" bestFit="1" customWidth="1"/>
    <col min="4091" max="4097" width="10.625" style="131" customWidth="1"/>
    <col min="4098" max="4098" width="9.125" style="131" bestFit="1" customWidth="1"/>
    <col min="4099" max="4100" width="9.5" style="131" bestFit="1" customWidth="1"/>
    <col min="4101" max="4101" width="10.625" style="131" customWidth="1"/>
    <col min="4102" max="4342" width="9" style="131"/>
    <col min="4343" max="4344" width="4.5" style="131" bestFit="1" customWidth="1"/>
    <col min="4345" max="4345" width="7.5" style="131" bestFit="1" customWidth="1"/>
    <col min="4346" max="4346" width="22.25" style="131" bestFit="1" customWidth="1"/>
    <col min="4347" max="4353" width="10.625" style="131" customWidth="1"/>
    <col min="4354" max="4354" width="9.125" style="131" bestFit="1" customWidth="1"/>
    <col min="4355" max="4356" width="9.5" style="131" bestFit="1" customWidth="1"/>
    <col min="4357" max="4357" width="10.625" style="131" customWidth="1"/>
    <col min="4358" max="4598" width="9" style="131"/>
    <col min="4599" max="4600" width="4.5" style="131" bestFit="1" customWidth="1"/>
    <col min="4601" max="4601" width="7.5" style="131" bestFit="1" customWidth="1"/>
    <col min="4602" max="4602" width="22.25" style="131" bestFit="1" customWidth="1"/>
    <col min="4603" max="4609" width="10.625" style="131" customWidth="1"/>
    <col min="4610" max="4610" width="9.125" style="131" bestFit="1" customWidth="1"/>
    <col min="4611" max="4612" width="9.5" style="131" bestFit="1" customWidth="1"/>
    <col min="4613" max="4613" width="10.625" style="131" customWidth="1"/>
    <col min="4614" max="4854" width="9" style="131"/>
    <col min="4855" max="4856" width="4.5" style="131" bestFit="1" customWidth="1"/>
    <col min="4857" max="4857" width="7.5" style="131" bestFit="1" customWidth="1"/>
    <col min="4858" max="4858" width="22.25" style="131" bestFit="1" customWidth="1"/>
    <col min="4859" max="4865" width="10.625" style="131" customWidth="1"/>
    <col min="4866" max="4866" width="9.125" style="131" bestFit="1" customWidth="1"/>
    <col min="4867" max="4868" width="9.5" style="131" bestFit="1" customWidth="1"/>
    <col min="4869" max="4869" width="10.625" style="131" customWidth="1"/>
    <col min="4870" max="5110" width="9" style="131"/>
    <col min="5111" max="5112" width="4.5" style="131" bestFit="1" customWidth="1"/>
    <col min="5113" max="5113" width="7.5" style="131" bestFit="1" customWidth="1"/>
    <col min="5114" max="5114" width="22.25" style="131" bestFit="1" customWidth="1"/>
    <col min="5115" max="5121" width="10.625" style="131" customWidth="1"/>
    <col min="5122" max="5122" width="9.125" style="131" bestFit="1" customWidth="1"/>
    <col min="5123" max="5124" width="9.5" style="131" bestFit="1" customWidth="1"/>
    <col min="5125" max="5125" width="10.625" style="131" customWidth="1"/>
    <col min="5126" max="5366" width="9" style="131"/>
    <col min="5367" max="5368" width="4.5" style="131" bestFit="1" customWidth="1"/>
    <col min="5369" max="5369" width="7.5" style="131" bestFit="1" customWidth="1"/>
    <col min="5370" max="5370" width="22.25" style="131" bestFit="1" customWidth="1"/>
    <col min="5371" max="5377" width="10.625" style="131" customWidth="1"/>
    <col min="5378" max="5378" width="9.125" style="131" bestFit="1" customWidth="1"/>
    <col min="5379" max="5380" width="9.5" style="131" bestFit="1" customWidth="1"/>
    <col min="5381" max="5381" width="10.625" style="131" customWidth="1"/>
    <col min="5382" max="5622" width="9" style="131"/>
    <col min="5623" max="5624" width="4.5" style="131" bestFit="1" customWidth="1"/>
    <col min="5625" max="5625" width="7.5" style="131" bestFit="1" customWidth="1"/>
    <col min="5626" max="5626" width="22.25" style="131" bestFit="1" customWidth="1"/>
    <col min="5627" max="5633" width="10.625" style="131" customWidth="1"/>
    <col min="5634" max="5634" width="9.125" style="131" bestFit="1" customWidth="1"/>
    <col min="5635" max="5636" width="9.5" style="131" bestFit="1" customWidth="1"/>
    <col min="5637" max="5637" width="10.625" style="131" customWidth="1"/>
    <col min="5638" max="5878" width="9" style="131"/>
    <col min="5879" max="5880" width="4.5" style="131" bestFit="1" customWidth="1"/>
    <col min="5881" max="5881" width="7.5" style="131" bestFit="1" customWidth="1"/>
    <col min="5882" max="5882" width="22.25" style="131" bestFit="1" customWidth="1"/>
    <col min="5883" max="5889" width="10.625" style="131" customWidth="1"/>
    <col min="5890" max="5890" width="9.125" style="131" bestFit="1" customWidth="1"/>
    <col min="5891" max="5892" width="9.5" style="131" bestFit="1" customWidth="1"/>
    <col min="5893" max="5893" width="10.625" style="131" customWidth="1"/>
    <col min="5894" max="6134" width="9" style="131"/>
    <col min="6135" max="6136" width="4.5" style="131" bestFit="1" customWidth="1"/>
    <col min="6137" max="6137" width="7.5" style="131" bestFit="1" customWidth="1"/>
    <col min="6138" max="6138" width="22.25" style="131" bestFit="1" customWidth="1"/>
    <col min="6139" max="6145" width="10.625" style="131" customWidth="1"/>
    <col min="6146" max="6146" width="9.125" style="131" bestFit="1" customWidth="1"/>
    <col min="6147" max="6148" width="9.5" style="131" bestFit="1" customWidth="1"/>
    <col min="6149" max="6149" width="10.625" style="131" customWidth="1"/>
    <col min="6150" max="6390" width="9" style="131"/>
    <col min="6391" max="6392" width="4.5" style="131" bestFit="1" customWidth="1"/>
    <col min="6393" max="6393" width="7.5" style="131" bestFit="1" customWidth="1"/>
    <col min="6394" max="6394" width="22.25" style="131" bestFit="1" customWidth="1"/>
    <col min="6395" max="6401" width="10.625" style="131" customWidth="1"/>
    <col min="6402" max="6402" width="9.125" style="131" bestFit="1" customWidth="1"/>
    <col min="6403" max="6404" width="9.5" style="131" bestFit="1" customWidth="1"/>
    <col min="6405" max="6405" width="10.625" style="131" customWidth="1"/>
    <col min="6406" max="6646" width="9" style="131"/>
    <col min="6647" max="6648" width="4.5" style="131" bestFit="1" customWidth="1"/>
    <col min="6649" max="6649" width="7.5" style="131" bestFit="1" customWidth="1"/>
    <col min="6650" max="6650" width="22.25" style="131" bestFit="1" customWidth="1"/>
    <col min="6651" max="6657" width="10.625" style="131" customWidth="1"/>
    <col min="6658" max="6658" width="9.125" style="131" bestFit="1" customWidth="1"/>
    <col min="6659" max="6660" width="9.5" style="131" bestFit="1" customWidth="1"/>
    <col min="6661" max="6661" width="10.625" style="131" customWidth="1"/>
    <col min="6662" max="6902" width="9" style="131"/>
    <col min="6903" max="6904" width="4.5" style="131" bestFit="1" customWidth="1"/>
    <col min="6905" max="6905" width="7.5" style="131" bestFit="1" customWidth="1"/>
    <col min="6906" max="6906" width="22.25" style="131" bestFit="1" customWidth="1"/>
    <col min="6907" max="6913" width="10.625" style="131" customWidth="1"/>
    <col min="6914" max="6914" width="9.125" style="131" bestFit="1" customWidth="1"/>
    <col min="6915" max="6916" width="9.5" style="131" bestFit="1" customWidth="1"/>
    <col min="6917" max="6917" width="10.625" style="131" customWidth="1"/>
    <col min="6918" max="7158" width="9" style="131"/>
    <col min="7159" max="7160" width="4.5" style="131" bestFit="1" customWidth="1"/>
    <col min="7161" max="7161" width="7.5" style="131" bestFit="1" customWidth="1"/>
    <col min="7162" max="7162" width="22.25" style="131" bestFit="1" customWidth="1"/>
    <col min="7163" max="7169" width="10.625" style="131" customWidth="1"/>
    <col min="7170" max="7170" width="9.125" style="131" bestFit="1" customWidth="1"/>
    <col min="7171" max="7172" width="9.5" style="131" bestFit="1" customWidth="1"/>
    <col min="7173" max="7173" width="10.625" style="131" customWidth="1"/>
    <col min="7174" max="7414" width="9" style="131"/>
    <col min="7415" max="7416" width="4.5" style="131" bestFit="1" customWidth="1"/>
    <col min="7417" max="7417" width="7.5" style="131" bestFit="1" customWidth="1"/>
    <col min="7418" max="7418" width="22.25" style="131" bestFit="1" customWidth="1"/>
    <col min="7419" max="7425" width="10.625" style="131" customWidth="1"/>
    <col min="7426" max="7426" width="9.125" style="131" bestFit="1" customWidth="1"/>
    <col min="7427" max="7428" width="9.5" style="131" bestFit="1" customWidth="1"/>
    <col min="7429" max="7429" width="10.625" style="131" customWidth="1"/>
    <col min="7430" max="7670" width="9" style="131"/>
    <col min="7671" max="7672" width="4.5" style="131" bestFit="1" customWidth="1"/>
    <col min="7673" max="7673" width="7.5" style="131" bestFit="1" customWidth="1"/>
    <col min="7674" max="7674" width="22.25" style="131" bestFit="1" customWidth="1"/>
    <col min="7675" max="7681" width="10.625" style="131" customWidth="1"/>
    <col min="7682" max="7682" width="9.125" style="131" bestFit="1" customWidth="1"/>
    <col min="7683" max="7684" width="9.5" style="131" bestFit="1" customWidth="1"/>
    <col min="7685" max="7685" width="10.625" style="131" customWidth="1"/>
    <col min="7686" max="7926" width="9" style="131"/>
    <col min="7927" max="7928" width="4.5" style="131" bestFit="1" customWidth="1"/>
    <col min="7929" max="7929" width="7.5" style="131" bestFit="1" customWidth="1"/>
    <col min="7930" max="7930" width="22.25" style="131" bestFit="1" customWidth="1"/>
    <col min="7931" max="7937" width="10.625" style="131" customWidth="1"/>
    <col min="7938" max="7938" width="9.125" style="131" bestFit="1" customWidth="1"/>
    <col min="7939" max="7940" width="9.5" style="131" bestFit="1" customWidth="1"/>
    <col min="7941" max="7941" width="10.625" style="131" customWidth="1"/>
    <col min="7942" max="8182" width="9" style="131"/>
    <col min="8183" max="8184" width="4.5" style="131" bestFit="1" customWidth="1"/>
    <col min="8185" max="8185" width="7.5" style="131" bestFit="1" customWidth="1"/>
    <col min="8186" max="8186" width="22.25" style="131" bestFit="1" customWidth="1"/>
    <col min="8187" max="8193" width="10.625" style="131" customWidth="1"/>
    <col min="8194" max="8194" width="9.125" style="131" bestFit="1" customWidth="1"/>
    <col min="8195" max="8196" width="9.5" style="131" bestFit="1" customWidth="1"/>
    <col min="8197" max="8197" width="10.625" style="131" customWidth="1"/>
    <col min="8198" max="8438" width="9" style="131"/>
    <col min="8439" max="8440" width="4.5" style="131" bestFit="1" customWidth="1"/>
    <col min="8441" max="8441" width="7.5" style="131" bestFit="1" customWidth="1"/>
    <col min="8442" max="8442" width="22.25" style="131" bestFit="1" customWidth="1"/>
    <col min="8443" max="8449" width="10.625" style="131" customWidth="1"/>
    <col min="8450" max="8450" width="9.125" style="131" bestFit="1" customWidth="1"/>
    <col min="8451" max="8452" width="9.5" style="131" bestFit="1" customWidth="1"/>
    <col min="8453" max="8453" width="10.625" style="131" customWidth="1"/>
    <col min="8454" max="8694" width="9" style="131"/>
    <col min="8695" max="8696" width="4.5" style="131" bestFit="1" customWidth="1"/>
    <col min="8697" max="8697" width="7.5" style="131" bestFit="1" customWidth="1"/>
    <col min="8698" max="8698" width="22.25" style="131" bestFit="1" customWidth="1"/>
    <col min="8699" max="8705" width="10.625" style="131" customWidth="1"/>
    <col min="8706" max="8706" width="9.125" style="131" bestFit="1" customWidth="1"/>
    <col min="8707" max="8708" width="9.5" style="131" bestFit="1" customWidth="1"/>
    <col min="8709" max="8709" width="10.625" style="131" customWidth="1"/>
    <col min="8710" max="8950" width="9" style="131"/>
    <col min="8951" max="8952" width="4.5" style="131" bestFit="1" customWidth="1"/>
    <col min="8953" max="8953" width="7.5" style="131" bestFit="1" customWidth="1"/>
    <col min="8954" max="8954" width="22.25" style="131" bestFit="1" customWidth="1"/>
    <col min="8955" max="8961" width="10.625" style="131" customWidth="1"/>
    <col min="8962" max="8962" width="9.125" style="131" bestFit="1" customWidth="1"/>
    <col min="8963" max="8964" width="9.5" style="131" bestFit="1" customWidth="1"/>
    <col min="8965" max="8965" width="10.625" style="131" customWidth="1"/>
    <col min="8966" max="9206" width="9" style="131"/>
    <col min="9207" max="9208" width="4.5" style="131" bestFit="1" customWidth="1"/>
    <col min="9209" max="9209" width="7.5" style="131" bestFit="1" customWidth="1"/>
    <col min="9210" max="9210" width="22.25" style="131" bestFit="1" customWidth="1"/>
    <col min="9211" max="9217" width="10.625" style="131" customWidth="1"/>
    <col min="9218" max="9218" width="9.125" style="131" bestFit="1" customWidth="1"/>
    <col min="9219" max="9220" width="9.5" style="131" bestFit="1" customWidth="1"/>
    <col min="9221" max="9221" width="10.625" style="131" customWidth="1"/>
    <col min="9222" max="9462" width="9" style="131"/>
    <col min="9463" max="9464" width="4.5" style="131" bestFit="1" customWidth="1"/>
    <col min="9465" max="9465" width="7.5" style="131" bestFit="1" customWidth="1"/>
    <col min="9466" max="9466" width="22.25" style="131" bestFit="1" customWidth="1"/>
    <col min="9467" max="9473" width="10.625" style="131" customWidth="1"/>
    <col min="9474" max="9474" width="9.125" style="131" bestFit="1" customWidth="1"/>
    <col min="9475" max="9476" width="9.5" style="131" bestFit="1" customWidth="1"/>
    <col min="9477" max="9477" width="10.625" style="131" customWidth="1"/>
    <col min="9478" max="9718" width="9" style="131"/>
    <col min="9719" max="9720" width="4.5" style="131" bestFit="1" customWidth="1"/>
    <col min="9721" max="9721" width="7.5" style="131" bestFit="1" customWidth="1"/>
    <col min="9722" max="9722" width="22.25" style="131" bestFit="1" customWidth="1"/>
    <col min="9723" max="9729" width="10.625" style="131" customWidth="1"/>
    <col min="9730" max="9730" width="9.125" style="131" bestFit="1" customWidth="1"/>
    <col min="9731" max="9732" width="9.5" style="131" bestFit="1" customWidth="1"/>
    <col min="9733" max="9733" width="10.625" style="131" customWidth="1"/>
    <col min="9734" max="9974" width="9" style="131"/>
    <col min="9975" max="9976" width="4.5" style="131" bestFit="1" customWidth="1"/>
    <col min="9977" max="9977" width="7.5" style="131" bestFit="1" customWidth="1"/>
    <col min="9978" max="9978" width="22.25" style="131" bestFit="1" customWidth="1"/>
    <col min="9979" max="9985" width="10.625" style="131" customWidth="1"/>
    <col min="9986" max="9986" width="9.125" style="131" bestFit="1" customWidth="1"/>
    <col min="9987" max="9988" width="9.5" style="131" bestFit="1" customWidth="1"/>
    <col min="9989" max="9989" width="10.625" style="131" customWidth="1"/>
    <col min="9990" max="10230" width="9" style="131"/>
    <col min="10231" max="10232" width="4.5" style="131" bestFit="1" customWidth="1"/>
    <col min="10233" max="10233" width="7.5" style="131" bestFit="1" customWidth="1"/>
    <col min="10234" max="10234" width="22.25" style="131" bestFit="1" customWidth="1"/>
    <col min="10235" max="10241" width="10.625" style="131" customWidth="1"/>
    <col min="10242" max="10242" width="9.125" style="131" bestFit="1" customWidth="1"/>
    <col min="10243" max="10244" width="9.5" style="131" bestFit="1" customWidth="1"/>
    <col min="10245" max="10245" width="10.625" style="131" customWidth="1"/>
    <col min="10246" max="10486" width="9" style="131"/>
    <col min="10487" max="10488" width="4.5" style="131" bestFit="1" customWidth="1"/>
    <col min="10489" max="10489" width="7.5" style="131" bestFit="1" customWidth="1"/>
    <col min="10490" max="10490" width="22.25" style="131" bestFit="1" customWidth="1"/>
    <col min="10491" max="10497" width="10.625" style="131" customWidth="1"/>
    <col min="10498" max="10498" width="9.125" style="131" bestFit="1" customWidth="1"/>
    <col min="10499" max="10500" width="9.5" style="131" bestFit="1" customWidth="1"/>
    <col min="10501" max="10501" width="10.625" style="131" customWidth="1"/>
    <col min="10502" max="10742" width="9" style="131"/>
    <col min="10743" max="10744" width="4.5" style="131" bestFit="1" customWidth="1"/>
    <col min="10745" max="10745" width="7.5" style="131" bestFit="1" customWidth="1"/>
    <col min="10746" max="10746" width="22.25" style="131" bestFit="1" customWidth="1"/>
    <col min="10747" max="10753" width="10.625" style="131" customWidth="1"/>
    <col min="10754" max="10754" width="9.125" style="131" bestFit="1" customWidth="1"/>
    <col min="10755" max="10756" width="9.5" style="131" bestFit="1" customWidth="1"/>
    <col min="10757" max="10757" width="10.625" style="131" customWidth="1"/>
    <col min="10758" max="10998" width="9" style="131"/>
    <col min="10999" max="11000" width="4.5" style="131" bestFit="1" customWidth="1"/>
    <col min="11001" max="11001" width="7.5" style="131" bestFit="1" customWidth="1"/>
    <col min="11002" max="11002" width="22.25" style="131" bestFit="1" customWidth="1"/>
    <col min="11003" max="11009" width="10.625" style="131" customWidth="1"/>
    <col min="11010" max="11010" width="9.125" style="131" bestFit="1" customWidth="1"/>
    <col min="11011" max="11012" width="9.5" style="131" bestFit="1" customWidth="1"/>
    <col min="11013" max="11013" width="10.625" style="131" customWidth="1"/>
    <col min="11014" max="11254" width="9" style="131"/>
    <col min="11255" max="11256" width="4.5" style="131" bestFit="1" customWidth="1"/>
    <col min="11257" max="11257" width="7.5" style="131" bestFit="1" customWidth="1"/>
    <col min="11258" max="11258" width="22.25" style="131" bestFit="1" customWidth="1"/>
    <col min="11259" max="11265" width="10.625" style="131" customWidth="1"/>
    <col min="11266" max="11266" width="9.125" style="131" bestFit="1" customWidth="1"/>
    <col min="11267" max="11268" width="9.5" style="131" bestFit="1" customWidth="1"/>
    <col min="11269" max="11269" width="10.625" style="131" customWidth="1"/>
    <col min="11270" max="11510" width="9" style="131"/>
    <col min="11511" max="11512" width="4.5" style="131" bestFit="1" customWidth="1"/>
    <col min="11513" max="11513" width="7.5" style="131" bestFit="1" customWidth="1"/>
    <col min="11514" max="11514" width="22.25" style="131" bestFit="1" customWidth="1"/>
    <col min="11515" max="11521" width="10.625" style="131" customWidth="1"/>
    <col min="11522" max="11522" width="9.125" style="131" bestFit="1" customWidth="1"/>
    <col min="11523" max="11524" width="9.5" style="131" bestFit="1" customWidth="1"/>
    <col min="11525" max="11525" width="10.625" style="131" customWidth="1"/>
    <col min="11526" max="11766" width="9" style="131"/>
    <col min="11767" max="11768" width="4.5" style="131" bestFit="1" customWidth="1"/>
    <col min="11769" max="11769" width="7.5" style="131" bestFit="1" customWidth="1"/>
    <col min="11770" max="11770" width="22.25" style="131" bestFit="1" customWidth="1"/>
    <col min="11771" max="11777" width="10.625" style="131" customWidth="1"/>
    <col min="11778" max="11778" width="9.125" style="131" bestFit="1" customWidth="1"/>
    <col min="11779" max="11780" width="9.5" style="131" bestFit="1" customWidth="1"/>
    <col min="11781" max="11781" width="10.625" style="131" customWidth="1"/>
    <col min="11782" max="12022" width="9" style="131"/>
    <col min="12023" max="12024" width="4.5" style="131" bestFit="1" customWidth="1"/>
    <col min="12025" max="12025" width="7.5" style="131" bestFit="1" customWidth="1"/>
    <col min="12026" max="12026" width="22.25" style="131" bestFit="1" customWidth="1"/>
    <col min="12027" max="12033" width="10.625" style="131" customWidth="1"/>
    <col min="12034" max="12034" width="9.125" style="131" bestFit="1" customWidth="1"/>
    <col min="12035" max="12036" width="9.5" style="131" bestFit="1" customWidth="1"/>
    <col min="12037" max="12037" width="10.625" style="131" customWidth="1"/>
    <col min="12038" max="12278" width="9" style="131"/>
    <col min="12279" max="12280" width="4.5" style="131" bestFit="1" customWidth="1"/>
    <col min="12281" max="12281" width="7.5" style="131" bestFit="1" customWidth="1"/>
    <col min="12282" max="12282" width="22.25" style="131" bestFit="1" customWidth="1"/>
    <col min="12283" max="12289" width="10.625" style="131" customWidth="1"/>
    <col min="12290" max="12290" width="9.125" style="131" bestFit="1" customWidth="1"/>
    <col min="12291" max="12292" width="9.5" style="131" bestFit="1" customWidth="1"/>
    <col min="12293" max="12293" width="10.625" style="131" customWidth="1"/>
    <col min="12294" max="12534" width="9" style="131"/>
    <col min="12535" max="12536" width="4.5" style="131" bestFit="1" customWidth="1"/>
    <col min="12537" max="12537" width="7.5" style="131" bestFit="1" customWidth="1"/>
    <col min="12538" max="12538" width="22.25" style="131" bestFit="1" customWidth="1"/>
    <col min="12539" max="12545" width="10.625" style="131" customWidth="1"/>
    <col min="12546" max="12546" width="9.125" style="131" bestFit="1" customWidth="1"/>
    <col min="12547" max="12548" width="9.5" style="131" bestFit="1" customWidth="1"/>
    <col min="12549" max="12549" width="10.625" style="131" customWidth="1"/>
    <col min="12550" max="12790" width="9" style="131"/>
    <col min="12791" max="12792" width="4.5" style="131" bestFit="1" customWidth="1"/>
    <col min="12793" max="12793" width="7.5" style="131" bestFit="1" customWidth="1"/>
    <col min="12794" max="12794" width="22.25" style="131" bestFit="1" customWidth="1"/>
    <col min="12795" max="12801" width="10.625" style="131" customWidth="1"/>
    <col min="12802" max="12802" width="9.125" style="131" bestFit="1" customWidth="1"/>
    <col min="12803" max="12804" width="9.5" style="131" bestFit="1" customWidth="1"/>
    <col min="12805" max="12805" width="10.625" style="131" customWidth="1"/>
    <col min="12806" max="13046" width="9" style="131"/>
    <col min="13047" max="13048" width="4.5" style="131" bestFit="1" customWidth="1"/>
    <col min="13049" max="13049" width="7.5" style="131" bestFit="1" customWidth="1"/>
    <col min="13050" max="13050" width="22.25" style="131" bestFit="1" customWidth="1"/>
    <col min="13051" max="13057" width="10.625" style="131" customWidth="1"/>
    <col min="13058" max="13058" width="9.125" style="131" bestFit="1" customWidth="1"/>
    <col min="13059" max="13060" width="9.5" style="131" bestFit="1" customWidth="1"/>
    <col min="13061" max="13061" width="10.625" style="131" customWidth="1"/>
    <col min="13062" max="13302" width="9" style="131"/>
    <col min="13303" max="13304" width="4.5" style="131" bestFit="1" customWidth="1"/>
    <col min="13305" max="13305" width="7.5" style="131" bestFit="1" customWidth="1"/>
    <col min="13306" max="13306" width="22.25" style="131" bestFit="1" customWidth="1"/>
    <col min="13307" max="13313" width="10.625" style="131" customWidth="1"/>
    <col min="13314" max="13314" width="9.125" style="131" bestFit="1" customWidth="1"/>
    <col min="13315" max="13316" width="9.5" style="131" bestFit="1" customWidth="1"/>
    <col min="13317" max="13317" width="10.625" style="131" customWidth="1"/>
    <col min="13318" max="13558" width="9" style="131"/>
    <col min="13559" max="13560" width="4.5" style="131" bestFit="1" customWidth="1"/>
    <col min="13561" max="13561" width="7.5" style="131" bestFit="1" customWidth="1"/>
    <col min="13562" max="13562" width="22.25" style="131" bestFit="1" customWidth="1"/>
    <col min="13563" max="13569" width="10.625" style="131" customWidth="1"/>
    <col min="13570" max="13570" width="9.125" style="131" bestFit="1" customWidth="1"/>
    <col min="13571" max="13572" width="9.5" style="131" bestFit="1" customWidth="1"/>
    <col min="13573" max="13573" width="10.625" style="131" customWidth="1"/>
    <col min="13574" max="13814" width="9" style="131"/>
    <col min="13815" max="13816" width="4.5" style="131" bestFit="1" customWidth="1"/>
    <col min="13817" max="13817" width="7.5" style="131" bestFit="1" customWidth="1"/>
    <col min="13818" max="13818" width="22.25" style="131" bestFit="1" customWidth="1"/>
    <col min="13819" max="13825" width="10.625" style="131" customWidth="1"/>
    <col min="13826" max="13826" width="9.125" style="131" bestFit="1" customWidth="1"/>
    <col min="13827" max="13828" width="9.5" style="131" bestFit="1" customWidth="1"/>
    <col min="13829" max="13829" width="10.625" style="131" customWidth="1"/>
    <col min="13830" max="14070" width="9" style="131"/>
    <col min="14071" max="14072" width="4.5" style="131" bestFit="1" customWidth="1"/>
    <col min="14073" max="14073" width="7.5" style="131" bestFit="1" customWidth="1"/>
    <col min="14074" max="14074" width="22.25" style="131" bestFit="1" customWidth="1"/>
    <col min="14075" max="14081" width="10.625" style="131" customWidth="1"/>
    <col min="14082" max="14082" width="9.125" style="131" bestFit="1" customWidth="1"/>
    <col min="14083" max="14084" width="9.5" style="131" bestFit="1" customWidth="1"/>
    <col min="14085" max="14085" width="10.625" style="131" customWidth="1"/>
    <col min="14086" max="14326" width="9" style="131"/>
    <col min="14327" max="14328" width="4.5" style="131" bestFit="1" customWidth="1"/>
    <col min="14329" max="14329" width="7.5" style="131" bestFit="1" customWidth="1"/>
    <col min="14330" max="14330" width="22.25" style="131" bestFit="1" customWidth="1"/>
    <col min="14331" max="14337" width="10.625" style="131" customWidth="1"/>
    <col min="14338" max="14338" width="9.125" style="131" bestFit="1" customWidth="1"/>
    <col min="14339" max="14340" width="9.5" style="131" bestFit="1" customWidth="1"/>
    <col min="14341" max="14341" width="10.625" style="131" customWidth="1"/>
    <col min="14342" max="14582" width="9" style="131"/>
    <col min="14583" max="14584" width="4.5" style="131" bestFit="1" customWidth="1"/>
    <col min="14585" max="14585" width="7.5" style="131" bestFit="1" customWidth="1"/>
    <col min="14586" max="14586" width="22.25" style="131" bestFit="1" customWidth="1"/>
    <col min="14587" max="14593" width="10.625" style="131" customWidth="1"/>
    <col min="14594" max="14594" width="9.125" style="131" bestFit="1" customWidth="1"/>
    <col min="14595" max="14596" width="9.5" style="131" bestFit="1" customWidth="1"/>
    <col min="14597" max="14597" width="10.625" style="131" customWidth="1"/>
    <col min="14598" max="14838" width="9" style="131"/>
    <col min="14839" max="14840" width="4.5" style="131" bestFit="1" customWidth="1"/>
    <col min="14841" max="14841" width="7.5" style="131" bestFit="1" customWidth="1"/>
    <col min="14842" max="14842" width="22.25" style="131" bestFit="1" customWidth="1"/>
    <col min="14843" max="14849" width="10.625" style="131" customWidth="1"/>
    <col min="14850" max="14850" width="9.125" style="131" bestFit="1" customWidth="1"/>
    <col min="14851" max="14852" width="9.5" style="131" bestFit="1" customWidth="1"/>
    <col min="14853" max="14853" width="10.625" style="131" customWidth="1"/>
    <col min="14854" max="15094" width="9" style="131"/>
    <col min="15095" max="15096" width="4.5" style="131" bestFit="1" customWidth="1"/>
    <col min="15097" max="15097" width="7.5" style="131" bestFit="1" customWidth="1"/>
    <col min="15098" max="15098" width="22.25" style="131" bestFit="1" customWidth="1"/>
    <col min="15099" max="15105" width="10.625" style="131" customWidth="1"/>
    <col min="15106" max="15106" width="9.125" style="131" bestFit="1" customWidth="1"/>
    <col min="15107" max="15108" width="9.5" style="131" bestFit="1" customWidth="1"/>
    <col min="15109" max="15109" width="10.625" style="131" customWidth="1"/>
    <col min="15110" max="15350" width="9" style="131"/>
    <col min="15351" max="15352" width="4.5" style="131" bestFit="1" customWidth="1"/>
    <col min="15353" max="15353" width="7.5" style="131" bestFit="1" customWidth="1"/>
    <col min="15354" max="15354" width="22.25" style="131" bestFit="1" customWidth="1"/>
    <col min="15355" max="15361" width="10.625" style="131" customWidth="1"/>
    <col min="15362" max="15362" width="9.125" style="131" bestFit="1" customWidth="1"/>
    <col min="15363" max="15364" width="9.5" style="131" bestFit="1" customWidth="1"/>
    <col min="15365" max="15365" width="10.625" style="131" customWidth="1"/>
    <col min="15366" max="15606" width="9" style="131"/>
    <col min="15607" max="15608" width="4.5" style="131" bestFit="1" customWidth="1"/>
    <col min="15609" max="15609" width="7.5" style="131" bestFit="1" customWidth="1"/>
    <col min="15610" max="15610" width="22.25" style="131" bestFit="1" customWidth="1"/>
    <col min="15611" max="15617" width="10.625" style="131" customWidth="1"/>
    <col min="15618" max="15618" width="9.125" style="131" bestFit="1" customWidth="1"/>
    <col min="15619" max="15620" width="9.5" style="131" bestFit="1" customWidth="1"/>
    <col min="15621" max="15621" width="10.625" style="131" customWidth="1"/>
    <col min="15622" max="15862" width="9" style="131"/>
    <col min="15863" max="15864" width="4.5" style="131" bestFit="1" customWidth="1"/>
    <col min="15865" max="15865" width="7.5" style="131" bestFit="1" customWidth="1"/>
    <col min="15866" max="15866" width="22.25" style="131" bestFit="1" customWidth="1"/>
    <col min="15867" max="15873" width="10.625" style="131" customWidth="1"/>
    <col min="15874" max="15874" width="9.125" style="131" bestFit="1" customWidth="1"/>
    <col min="15875" max="15876" width="9.5" style="131" bestFit="1" customWidth="1"/>
    <col min="15877" max="15877" width="10.625" style="131" customWidth="1"/>
    <col min="15878" max="16118" width="9" style="131"/>
    <col min="16119" max="16120" width="4.5" style="131" bestFit="1" customWidth="1"/>
    <col min="16121" max="16121" width="7.5" style="131" bestFit="1" customWidth="1"/>
    <col min="16122" max="16122" width="22.25" style="131" bestFit="1" customWidth="1"/>
    <col min="16123" max="16129" width="10.625" style="131" customWidth="1"/>
    <col min="16130" max="16130" width="9.125" style="131" bestFit="1" customWidth="1"/>
    <col min="16131" max="16132" width="9.5" style="131" bestFit="1" customWidth="1"/>
    <col min="16133" max="16133" width="10.625" style="131" customWidth="1"/>
    <col min="16134" max="16384" width="9" style="131"/>
  </cols>
  <sheetData>
    <row r="1" spans="1:20" ht="32.25" customHeight="1">
      <c r="A1" s="353" t="s">
        <v>275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20.25" customHeight="1">
      <c r="A2" s="325" t="s">
        <v>248</v>
      </c>
      <c r="B2" s="325" t="s">
        <v>249</v>
      </c>
      <c r="C2" s="325" t="s">
        <v>1</v>
      </c>
      <c r="D2" s="326" t="s">
        <v>273</v>
      </c>
      <c r="E2" s="326"/>
      <c r="F2" s="326"/>
      <c r="G2" s="326" t="s">
        <v>274</v>
      </c>
      <c r="H2" s="326"/>
      <c r="I2" s="326"/>
      <c r="J2" s="323" t="s">
        <v>253</v>
      </c>
      <c r="K2" s="341" t="s">
        <v>372</v>
      </c>
      <c r="L2" s="326" t="s">
        <v>273</v>
      </c>
      <c r="M2" s="326"/>
      <c r="N2" s="326"/>
      <c r="O2" s="326" t="s">
        <v>274</v>
      </c>
      <c r="P2" s="326"/>
      <c r="Q2" s="326"/>
      <c r="R2" s="323" t="s">
        <v>253</v>
      </c>
      <c r="S2" s="341" t="s">
        <v>375</v>
      </c>
      <c r="T2" s="341" t="s">
        <v>207</v>
      </c>
    </row>
    <row r="3" spans="1:20" ht="20.25" customHeight="1">
      <c r="A3" s="325"/>
      <c r="B3" s="325"/>
      <c r="C3" s="325"/>
      <c r="D3" s="137" t="s">
        <v>255</v>
      </c>
      <c r="E3" s="137" t="s">
        <v>256</v>
      </c>
      <c r="F3" s="137" t="s">
        <v>203</v>
      </c>
      <c r="G3" s="137" t="s">
        <v>255</v>
      </c>
      <c r="H3" s="137" t="s">
        <v>256</v>
      </c>
      <c r="I3" s="137" t="s">
        <v>203</v>
      </c>
      <c r="J3" s="324"/>
      <c r="K3" s="342"/>
      <c r="L3" s="238" t="s">
        <v>255</v>
      </c>
      <c r="M3" s="238" t="s">
        <v>256</v>
      </c>
      <c r="N3" s="238" t="s">
        <v>203</v>
      </c>
      <c r="O3" s="238" t="s">
        <v>255</v>
      </c>
      <c r="P3" s="238" t="s">
        <v>256</v>
      </c>
      <c r="Q3" s="238" t="s">
        <v>203</v>
      </c>
      <c r="R3" s="324"/>
      <c r="S3" s="342"/>
      <c r="T3" s="342"/>
    </row>
    <row r="4" spans="1:20" s="132" customFormat="1" ht="30" customHeight="1">
      <c r="A4" s="354" t="s">
        <v>24</v>
      </c>
      <c r="B4" s="354" t="s">
        <v>130</v>
      </c>
      <c r="C4" s="354" t="s">
        <v>258</v>
      </c>
      <c r="D4" s="84">
        <v>935</v>
      </c>
      <c r="E4" s="133">
        <v>28500</v>
      </c>
      <c r="F4" s="133">
        <f>D4*E4</f>
        <v>26647500</v>
      </c>
      <c r="G4" s="84">
        <v>497</v>
      </c>
      <c r="H4" s="133">
        <v>35000</v>
      </c>
      <c r="I4" s="133">
        <f>G4*H4</f>
        <v>17395000</v>
      </c>
      <c r="J4" s="356">
        <f>F4+F5+I4+I5</f>
        <v>50602500</v>
      </c>
      <c r="K4" s="347">
        <f>ROUND(J4/2/6*5,0)</f>
        <v>21084375</v>
      </c>
      <c r="L4" s="356">
        <v>1007</v>
      </c>
      <c r="M4" s="357">
        <v>28500</v>
      </c>
      <c r="N4" s="356">
        <f>L4*M4</f>
        <v>28699500</v>
      </c>
      <c r="O4" s="84">
        <v>169</v>
      </c>
      <c r="P4" s="133">
        <v>38500</v>
      </c>
      <c r="Q4" s="133">
        <f>O4*P4</f>
        <v>6506500</v>
      </c>
      <c r="R4" s="345">
        <f>N4+N5+Q4+Q5</f>
        <v>52601000</v>
      </c>
      <c r="S4" s="347">
        <f>ROUND(R4/2/6*4,0)</f>
        <v>17533667</v>
      </c>
      <c r="T4" s="343">
        <f>K4+S4</f>
        <v>38618042</v>
      </c>
    </row>
    <row r="5" spans="1:20" s="132" customFormat="1" ht="30" customHeight="1">
      <c r="A5" s="355"/>
      <c r="B5" s="355"/>
      <c r="C5" s="355"/>
      <c r="D5" s="84">
        <v>139</v>
      </c>
      <c r="E5" s="133">
        <v>28000</v>
      </c>
      <c r="F5" s="133">
        <f>D5*E5</f>
        <v>3892000</v>
      </c>
      <c r="G5" s="84">
        <v>92</v>
      </c>
      <c r="H5" s="133">
        <v>29000</v>
      </c>
      <c r="I5" s="133">
        <f>G5*H5</f>
        <v>2668000</v>
      </c>
      <c r="J5" s="355"/>
      <c r="K5" s="340"/>
      <c r="L5" s="346"/>
      <c r="M5" s="358"/>
      <c r="N5" s="346">
        <f>L5*M5</f>
        <v>0</v>
      </c>
      <c r="O5" s="84">
        <v>497</v>
      </c>
      <c r="P5" s="133">
        <v>35000</v>
      </c>
      <c r="Q5" s="133">
        <f>O5*P5</f>
        <v>17395000</v>
      </c>
      <c r="R5" s="346"/>
      <c r="S5" s="340"/>
      <c r="T5" s="344"/>
    </row>
    <row r="6" spans="1:20" s="132" customFormat="1" ht="30" customHeight="1">
      <c r="A6" s="351" t="s">
        <v>371</v>
      </c>
      <c r="B6" s="351" t="s">
        <v>373</v>
      </c>
      <c r="C6" s="351" t="s">
        <v>374</v>
      </c>
      <c r="D6" s="351"/>
      <c r="E6" s="351"/>
      <c r="F6" s="351"/>
      <c r="G6" s="348">
        <v>1337</v>
      </c>
      <c r="H6" s="350">
        <v>36000</v>
      </c>
      <c r="I6" s="350">
        <f>G6*H6</f>
        <v>48132000</v>
      </c>
      <c r="J6" s="337">
        <f>F6+I6</f>
        <v>48132000</v>
      </c>
      <c r="K6" s="339">
        <f>ROUND(J6/2/6*5,0)</f>
        <v>20055000</v>
      </c>
      <c r="L6" s="239"/>
      <c r="M6" s="239"/>
      <c r="N6" s="239"/>
      <c r="O6" s="84">
        <v>315</v>
      </c>
      <c r="P6" s="133">
        <v>38500</v>
      </c>
      <c r="Q6" s="133">
        <f>O6*P6</f>
        <v>12127500</v>
      </c>
      <c r="R6" s="337">
        <f>Q6+Q7</f>
        <v>47839500</v>
      </c>
      <c r="S6" s="339">
        <f>ROUND(R6/2/6*4,0)</f>
        <v>15946500</v>
      </c>
      <c r="T6" s="343">
        <f>K6+S6</f>
        <v>36001500</v>
      </c>
    </row>
    <row r="7" spans="1:20" s="132" customFormat="1" ht="30" customHeight="1">
      <c r="A7" s="352"/>
      <c r="B7" s="352"/>
      <c r="C7" s="352"/>
      <c r="D7" s="352"/>
      <c r="E7" s="352"/>
      <c r="F7" s="352"/>
      <c r="G7" s="349"/>
      <c r="H7" s="349"/>
      <c r="I7" s="349"/>
      <c r="J7" s="338"/>
      <c r="K7" s="340"/>
      <c r="L7" s="239"/>
      <c r="M7" s="239"/>
      <c r="N7" s="239"/>
      <c r="O7" s="240">
        <v>992</v>
      </c>
      <c r="P7" s="241">
        <v>36000</v>
      </c>
      <c r="Q7" s="241">
        <f>O7*P7</f>
        <v>35712000</v>
      </c>
      <c r="R7" s="338"/>
      <c r="S7" s="340"/>
      <c r="T7" s="344"/>
    </row>
    <row r="8" spans="1:20" s="132" customFormat="1" ht="30" customHeight="1">
      <c r="A8" s="107" t="s">
        <v>24</v>
      </c>
      <c r="B8" s="107" t="s">
        <v>130</v>
      </c>
      <c r="C8" s="107" t="s">
        <v>260</v>
      </c>
      <c r="D8" s="84">
        <v>1349</v>
      </c>
      <c r="E8" s="133">
        <v>28500</v>
      </c>
      <c r="F8" s="133">
        <f>D8*E8</f>
        <v>38446500</v>
      </c>
      <c r="G8" s="84">
        <v>0</v>
      </c>
      <c r="H8" s="133">
        <v>0</v>
      </c>
      <c r="I8" s="133">
        <f>G8*H8</f>
        <v>0</v>
      </c>
      <c r="J8" s="115">
        <f>F8+I8</f>
        <v>38446500</v>
      </c>
      <c r="K8" s="243">
        <f>ROUND(J8/2/6*5,0)</f>
        <v>16019375</v>
      </c>
      <c r="L8" s="84">
        <v>1337</v>
      </c>
      <c r="M8" s="133">
        <v>28500</v>
      </c>
      <c r="N8" s="133">
        <f>L8*M8</f>
        <v>38104500</v>
      </c>
      <c r="O8" s="84">
        <v>0</v>
      </c>
      <c r="P8" s="133">
        <v>0</v>
      </c>
      <c r="Q8" s="133">
        <f>O8*P8</f>
        <v>0</v>
      </c>
      <c r="R8" s="115">
        <f>N8+Q8</f>
        <v>38104500</v>
      </c>
      <c r="S8" s="243">
        <f>ROUND(R8/2/6*4,0)</f>
        <v>12701500</v>
      </c>
      <c r="T8" s="245">
        <f>K8+S8</f>
        <v>28720875</v>
      </c>
    </row>
    <row r="9" spans="1:20" s="132" customFormat="1" ht="30" customHeight="1">
      <c r="A9" s="88"/>
      <c r="B9" s="88"/>
      <c r="C9" s="89" t="s">
        <v>237</v>
      </c>
      <c r="D9" s="111">
        <f>SUM(D4:D8)</f>
        <v>2423</v>
      </c>
      <c r="E9" s="110"/>
      <c r="F9" s="111">
        <f>SUM(F4:F8)</f>
        <v>68986000</v>
      </c>
      <c r="G9" s="111">
        <f>SUM(G4:G8)</f>
        <v>1926</v>
      </c>
      <c r="H9" s="110"/>
      <c r="I9" s="111">
        <f>SUM(I4:I8)</f>
        <v>68195000</v>
      </c>
      <c r="J9" s="104">
        <f>SUM(J4:J8)</f>
        <v>137181000</v>
      </c>
      <c r="K9" s="242">
        <f>SUM(K4:K8)</f>
        <v>57158750</v>
      </c>
      <c r="L9" s="111">
        <f>SUM(L4:L8)</f>
        <v>2344</v>
      </c>
      <c r="M9" s="110"/>
      <c r="N9" s="111">
        <f>SUM(N4:N8)</f>
        <v>66804000</v>
      </c>
      <c r="O9" s="111">
        <f>SUM(O4:O8)</f>
        <v>1973</v>
      </c>
      <c r="P9" s="110"/>
      <c r="Q9" s="111">
        <f>SUM(Q4:Q8)</f>
        <v>71741000</v>
      </c>
      <c r="R9" s="104">
        <f>SUM(R4:R8)</f>
        <v>138545000</v>
      </c>
      <c r="S9" s="242">
        <f t="shared" ref="S9:T9" si="0">SUM(S4:S8)</f>
        <v>46181667</v>
      </c>
      <c r="T9" s="246">
        <f t="shared" si="0"/>
        <v>103340417</v>
      </c>
    </row>
  </sheetData>
  <mergeCells count="38">
    <mergeCell ref="A1:T1"/>
    <mergeCell ref="G2:I2"/>
    <mergeCell ref="J2:J3"/>
    <mergeCell ref="K2:K3"/>
    <mergeCell ref="A4:A5"/>
    <mergeCell ref="B4:B5"/>
    <mergeCell ref="C4:C5"/>
    <mergeCell ref="J4:J5"/>
    <mergeCell ref="K4:K5"/>
    <mergeCell ref="L2:N2"/>
    <mergeCell ref="O2:Q2"/>
    <mergeCell ref="L4:L5"/>
    <mergeCell ref="M4:M5"/>
    <mergeCell ref="N4:N5"/>
    <mergeCell ref="A2:A3"/>
    <mergeCell ref="B2:B3"/>
    <mergeCell ref="C2:C3"/>
    <mergeCell ref="D2:F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R6:R7"/>
    <mergeCell ref="S6:S7"/>
    <mergeCell ref="T2:T3"/>
    <mergeCell ref="T4:T5"/>
    <mergeCell ref="T6:T7"/>
    <mergeCell ref="R2:R3"/>
    <mergeCell ref="S2:S3"/>
    <mergeCell ref="R4:R5"/>
    <mergeCell ref="S4:S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D5" sqref="A5:XFD9"/>
    </sheetView>
  </sheetViews>
  <sheetFormatPr defaultColWidth="9" defaultRowHeight="13.5"/>
  <cols>
    <col min="1" max="1" width="3.625" style="185" customWidth="1"/>
    <col min="2" max="3" width="9" style="184"/>
    <col min="4" max="4" width="8.625" style="184" customWidth="1"/>
    <col min="5" max="5" width="8.75" style="184" customWidth="1"/>
    <col min="6" max="6" width="4.875" style="184" customWidth="1"/>
    <col min="7" max="7" width="8.5" style="184" hidden="1" customWidth="1"/>
    <col min="8" max="8" width="10" style="184" hidden="1" customWidth="1"/>
    <col min="9" max="9" width="14.5" style="184" hidden="1" customWidth="1"/>
    <col min="10" max="10" width="9.25" style="184" customWidth="1"/>
    <col min="11" max="11" width="9" style="184"/>
    <col min="12" max="12" width="14.875" style="184" customWidth="1"/>
    <col min="13" max="13" width="9" style="248"/>
    <col min="14" max="16384" width="9" style="184"/>
  </cols>
  <sheetData>
    <row r="1" spans="1:13" ht="30" customHeight="1">
      <c r="A1" s="383" t="s">
        <v>325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185" customFormat="1">
      <c r="A2" s="385" t="s">
        <v>305</v>
      </c>
      <c r="B2" s="385" t="s">
        <v>118</v>
      </c>
      <c r="C2" s="385" t="s">
        <v>306</v>
      </c>
      <c r="D2" s="385" t="s">
        <v>307</v>
      </c>
      <c r="E2" s="385" t="s">
        <v>308</v>
      </c>
      <c r="F2" s="385" t="s">
        <v>309</v>
      </c>
      <c r="G2" s="385" t="s">
        <v>310</v>
      </c>
      <c r="H2" s="385"/>
      <c r="I2" s="385"/>
      <c r="J2" s="385" t="s">
        <v>311</v>
      </c>
      <c r="K2" s="385"/>
      <c r="L2" s="385"/>
      <c r="M2" s="384" t="s">
        <v>378</v>
      </c>
    </row>
    <row r="3" spans="1:13" s="185" customFormat="1">
      <c r="A3" s="385"/>
      <c r="B3" s="385"/>
      <c r="C3" s="386"/>
      <c r="D3" s="385"/>
      <c r="E3" s="385"/>
      <c r="F3" s="385"/>
      <c r="G3" s="186" t="s">
        <v>312</v>
      </c>
      <c r="H3" s="186" t="s">
        <v>313</v>
      </c>
      <c r="I3" s="186" t="s">
        <v>314</v>
      </c>
      <c r="J3" s="186" t="s">
        <v>312</v>
      </c>
      <c r="K3" s="186" t="s">
        <v>313</v>
      </c>
      <c r="L3" s="186" t="s">
        <v>314</v>
      </c>
      <c r="M3" s="384"/>
    </row>
    <row r="4" spans="1:13" ht="24.95" customHeight="1">
      <c r="A4" s="186" t="s">
        <v>322</v>
      </c>
      <c r="B4" s="187" t="s">
        <v>134</v>
      </c>
      <c r="C4" s="187"/>
      <c r="D4" s="187"/>
      <c r="E4" s="187"/>
      <c r="F4" s="187"/>
      <c r="G4" s="187"/>
      <c r="H4" s="187"/>
      <c r="I4" s="200">
        <f>SUM(I15,I10,I46,I40,I28,I57)</f>
        <v>6326863.5</v>
      </c>
      <c r="J4" s="186"/>
      <c r="K4" s="186"/>
      <c r="L4" s="189">
        <f>SUM(L15,L10,L46,L40,L28,L57)</f>
        <v>5550724.2000000002</v>
      </c>
      <c r="M4" s="247">
        <f>M5+M11+M16+M29+M41+M47</f>
        <v>4440579</v>
      </c>
    </row>
    <row r="5" spans="1:13" ht="24.95" customHeight="1">
      <c r="A5" s="366">
        <v>1</v>
      </c>
      <c r="B5" s="367" t="s">
        <v>326</v>
      </c>
      <c r="C5" s="379" t="s">
        <v>327</v>
      </c>
      <c r="D5" s="194" t="s">
        <v>328</v>
      </c>
      <c r="E5" s="194" t="s">
        <v>329</v>
      </c>
      <c r="F5" s="194" t="s">
        <v>315</v>
      </c>
      <c r="G5" s="201">
        <v>1750</v>
      </c>
      <c r="H5" s="201">
        <v>300</v>
      </c>
      <c r="I5" s="201">
        <f>G5*H5</f>
        <v>525000</v>
      </c>
      <c r="J5" s="192">
        <v>1750</v>
      </c>
      <c r="K5" s="192">
        <v>300</v>
      </c>
      <c r="L5" s="192">
        <f>J5*K5</f>
        <v>525000</v>
      </c>
      <c r="M5" s="380">
        <f>ROUND(L10*0.8,0)</f>
        <v>967428</v>
      </c>
    </row>
    <row r="6" spans="1:13" ht="24.95" customHeight="1">
      <c r="A6" s="366"/>
      <c r="B6" s="367"/>
      <c r="C6" s="379"/>
      <c r="D6" s="194" t="s">
        <v>323</v>
      </c>
      <c r="E6" s="194" t="s">
        <v>330</v>
      </c>
      <c r="F6" s="194" t="s">
        <v>315</v>
      </c>
      <c r="G6" s="201">
        <v>3850</v>
      </c>
      <c r="H6" s="201">
        <v>150</v>
      </c>
      <c r="I6" s="201">
        <f>G6*H6</f>
        <v>577500</v>
      </c>
      <c r="J6" s="192">
        <v>2900</v>
      </c>
      <c r="K6" s="192">
        <v>180</v>
      </c>
      <c r="L6" s="192">
        <f>J6*K6</f>
        <v>522000</v>
      </c>
      <c r="M6" s="381"/>
    </row>
    <row r="7" spans="1:13" ht="24.95" customHeight="1">
      <c r="A7" s="366"/>
      <c r="B7" s="367"/>
      <c r="C7" s="368" t="s">
        <v>317</v>
      </c>
      <c r="D7" s="368"/>
      <c r="E7" s="368"/>
      <c r="F7" s="202"/>
      <c r="G7" s="203"/>
      <c r="H7" s="204"/>
      <c r="I7" s="203">
        <f>SUM(I5:I6)</f>
        <v>1102500</v>
      </c>
      <c r="J7" s="192"/>
      <c r="K7" s="192"/>
      <c r="L7" s="192">
        <f>SUM(L5:L6)</f>
        <v>1047000</v>
      </c>
      <c r="M7" s="381"/>
    </row>
    <row r="8" spans="1:13" ht="24.95" customHeight="1">
      <c r="A8" s="366"/>
      <c r="B8" s="367"/>
      <c r="C8" s="369" t="s">
        <v>331</v>
      </c>
      <c r="D8" s="369"/>
      <c r="E8" s="369"/>
      <c r="F8" s="205"/>
      <c r="G8" s="206"/>
      <c r="H8" s="204"/>
      <c r="I8" s="207">
        <f>I7*0.1+80000</f>
        <v>190250</v>
      </c>
      <c r="J8" s="192"/>
      <c r="K8" s="192"/>
      <c r="L8" s="190">
        <f>L7*0.1</f>
        <v>104700</v>
      </c>
      <c r="M8" s="381"/>
    </row>
    <row r="9" spans="1:13" ht="24.95" customHeight="1">
      <c r="A9" s="366"/>
      <c r="B9" s="367"/>
      <c r="C9" s="369" t="s">
        <v>321</v>
      </c>
      <c r="D9" s="369"/>
      <c r="E9" s="369"/>
      <c r="F9" s="205"/>
      <c r="G9" s="206"/>
      <c r="H9" s="204"/>
      <c r="I9" s="207">
        <f>(I7+I8)*0.05</f>
        <v>64637.5</v>
      </c>
      <c r="J9" s="192"/>
      <c r="K9" s="192"/>
      <c r="L9" s="190">
        <f>(L7+L8)*0.05</f>
        <v>57585</v>
      </c>
      <c r="M9" s="381"/>
    </row>
    <row r="10" spans="1:13" ht="24.95" customHeight="1">
      <c r="A10" s="366"/>
      <c r="B10" s="367"/>
      <c r="C10" s="370" t="s">
        <v>13</v>
      </c>
      <c r="D10" s="370"/>
      <c r="E10" s="370"/>
      <c r="F10" s="202"/>
      <c r="G10" s="203"/>
      <c r="H10" s="208"/>
      <c r="I10" s="203">
        <f>SUM(,I7)+I8+I9</f>
        <v>1357387.5</v>
      </c>
      <c r="J10" s="189"/>
      <c r="K10" s="189"/>
      <c r="L10" s="189">
        <f>ROUND(SUM(L7:L9),2)</f>
        <v>1209285</v>
      </c>
      <c r="M10" s="382"/>
    </row>
    <row r="11" spans="1:13" ht="24.95" customHeight="1">
      <c r="A11" s="366">
        <v>2</v>
      </c>
      <c r="B11" s="367" t="s">
        <v>332</v>
      </c>
      <c r="C11" s="198" t="s">
        <v>327</v>
      </c>
      <c r="D11" s="194" t="s">
        <v>323</v>
      </c>
      <c r="E11" s="194" t="s">
        <v>330</v>
      </c>
      <c r="F11" s="194" t="s">
        <v>315</v>
      </c>
      <c r="G11" s="194">
        <v>900</v>
      </c>
      <c r="H11" s="209">
        <v>350</v>
      </c>
      <c r="I11" s="209">
        <f>G11*H11</f>
        <v>315000</v>
      </c>
      <c r="J11" s="210">
        <v>823</v>
      </c>
      <c r="K11" s="195">
        <v>330</v>
      </c>
      <c r="L11" s="192">
        <f>J11*K11</f>
        <v>271590</v>
      </c>
      <c r="M11" s="380">
        <f>ROUND(L15*0.8,0)</f>
        <v>250949</v>
      </c>
    </row>
    <row r="12" spans="1:13" ht="24.95" customHeight="1">
      <c r="A12" s="366"/>
      <c r="B12" s="367"/>
      <c r="C12" s="368" t="s">
        <v>317</v>
      </c>
      <c r="D12" s="368"/>
      <c r="E12" s="368"/>
      <c r="F12" s="202"/>
      <c r="G12" s="202"/>
      <c r="H12" s="198"/>
      <c r="I12" s="211">
        <f>SUM(I11:I11)</f>
        <v>315000</v>
      </c>
      <c r="J12" s="195"/>
      <c r="K12" s="195"/>
      <c r="L12" s="192">
        <f>SUM(L11:L11)</f>
        <v>271590</v>
      </c>
      <c r="M12" s="381"/>
    </row>
    <row r="13" spans="1:13" ht="24.95" customHeight="1">
      <c r="A13" s="366"/>
      <c r="B13" s="367"/>
      <c r="C13" s="369" t="s">
        <v>333</v>
      </c>
      <c r="D13" s="369"/>
      <c r="E13" s="369"/>
      <c r="F13" s="205"/>
      <c r="G13" s="205"/>
      <c r="H13" s="198"/>
      <c r="I13" s="212">
        <v>31500</v>
      </c>
      <c r="J13" s="195"/>
      <c r="K13" s="192"/>
      <c r="L13" s="213">
        <f>L12*0.1</f>
        <v>27159</v>
      </c>
      <c r="M13" s="381"/>
    </row>
    <row r="14" spans="1:13" ht="24.95" customHeight="1">
      <c r="A14" s="366"/>
      <c r="B14" s="367"/>
      <c r="C14" s="369" t="s">
        <v>321</v>
      </c>
      <c r="D14" s="369"/>
      <c r="E14" s="369"/>
      <c r="F14" s="205"/>
      <c r="G14" s="205"/>
      <c r="H14" s="198"/>
      <c r="I14" s="212">
        <v>17325</v>
      </c>
      <c r="J14" s="195"/>
      <c r="K14" s="195"/>
      <c r="L14" s="213">
        <f>(L12+L13)*0.05</f>
        <v>14937.45</v>
      </c>
      <c r="M14" s="381"/>
    </row>
    <row r="15" spans="1:13" ht="24.95" customHeight="1">
      <c r="A15" s="366"/>
      <c r="B15" s="367"/>
      <c r="C15" s="370" t="s">
        <v>13</v>
      </c>
      <c r="D15" s="370"/>
      <c r="E15" s="370"/>
      <c r="F15" s="202"/>
      <c r="G15" s="202"/>
      <c r="H15" s="188"/>
      <c r="I15" s="211">
        <f>I12+I13+I14</f>
        <v>363825</v>
      </c>
      <c r="J15" s="186"/>
      <c r="K15" s="186"/>
      <c r="L15" s="189">
        <f>ROUND(L12+L13+L14,2)</f>
        <v>313686.45</v>
      </c>
      <c r="M15" s="382"/>
    </row>
    <row r="16" spans="1:13" s="199" customFormat="1" ht="24.95" customHeight="1">
      <c r="A16" s="359">
        <v>3</v>
      </c>
      <c r="B16" s="360" t="s">
        <v>38</v>
      </c>
      <c r="C16" s="371" t="s">
        <v>334</v>
      </c>
      <c r="D16" s="371" t="s">
        <v>316</v>
      </c>
      <c r="E16" s="214" t="s">
        <v>335</v>
      </c>
      <c r="F16" s="214" t="s">
        <v>315</v>
      </c>
      <c r="G16" s="209">
        <v>200</v>
      </c>
      <c r="H16" s="209">
        <v>80</v>
      </c>
      <c r="I16" s="209">
        <f t="shared" ref="I16:I23" si="0">G16*H16</f>
        <v>16000</v>
      </c>
      <c r="J16" s="192">
        <v>110</v>
      </c>
      <c r="K16" s="192">
        <v>80</v>
      </c>
      <c r="L16" s="193">
        <f t="shared" ref="L16:L24" si="1">J16*K16</f>
        <v>8800</v>
      </c>
      <c r="M16" s="380">
        <f>ROUND(L28*0.8,0)</f>
        <v>1356243</v>
      </c>
    </row>
    <row r="17" spans="1:13" s="199" customFormat="1" ht="24.95" customHeight="1">
      <c r="A17" s="359"/>
      <c r="B17" s="360"/>
      <c r="C17" s="371"/>
      <c r="D17" s="371"/>
      <c r="E17" s="214" t="s">
        <v>336</v>
      </c>
      <c r="F17" s="214" t="s">
        <v>315</v>
      </c>
      <c r="G17" s="209">
        <v>1115</v>
      </c>
      <c r="H17" s="209">
        <v>300</v>
      </c>
      <c r="I17" s="209">
        <f t="shared" si="0"/>
        <v>334500</v>
      </c>
      <c r="J17" s="192">
        <v>1100</v>
      </c>
      <c r="K17" s="192">
        <v>300</v>
      </c>
      <c r="L17" s="193">
        <f t="shared" si="1"/>
        <v>330000</v>
      </c>
      <c r="M17" s="381"/>
    </row>
    <row r="18" spans="1:13" s="199" customFormat="1" ht="24.95" customHeight="1">
      <c r="A18" s="359"/>
      <c r="B18" s="360"/>
      <c r="C18" s="371"/>
      <c r="D18" s="371" t="s">
        <v>337</v>
      </c>
      <c r="E18" s="215" t="s">
        <v>338</v>
      </c>
      <c r="F18" s="214" t="s">
        <v>315</v>
      </c>
      <c r="G18" s="209">
        <v>500</v>
      </c>
      <c r="H18" s="209">
        <v>80</v>
      </c>
      <c r="I18" s="209">
        <f t="shared" si="0"/>
        <v>40000</v>
      </c>
      <c r="J18" s="196">
        <v>210</v>
      </c>
      <c r="K18" s="196">
        <v>80</v>
      </c>
      <c r="L18" s="193">
        <f t="shared" si="1"/>
        <v>16800</v>
      </c>
      <c r="M18" s="381"/>
    </row>
    <row r="19" spans="1:13" s="199" customFormat="1" ht="24.95" customHeight="1">
      <c r="A19" s="359"/>
      <c r="B19" s="360"/>
      <c r="C19" s="371"/>
      <c r="D19" s="371"/>
      <c r="E19" s="214" t="s">
        <v>339</v>
      </c>
      <c r="F19" s="214" t="s">
        <v>315</v>
      </c>
      <c r="G19" s="209">
        <v>2100</v>
      </c>
      <c r="H19" s="209">
        <v>300</v>
      </c>
      <c r="I19" s="209">
        <f t="shared" si="0"/>
        <v>630000</v>
      </c>
      <c r="J19" s="192">
        <v>2100</v>
      </c>
      <c r="K19" s="192">
        <v>300</v>
      </c>
      <c r="L19" s="193">
        <f t="shared" si="1"/>
        <v>630000</v>
      </c>
      <c r="M19" s="381"/>
    </row>
    <row r="20" spans="1:13" s="199" customFormat="1" ht="24.95" customHeight="1">
      <c r="A20" s="359"/>
      <c r="B20" s="360"/>
      <c r="C20" s="371"/>
      <c r="D20" s="371"/>
      <c r="E20" s="215" t="s">
        <v>340</v>
      </c>
      <c r="F20" s="214" t="s">
        <v>324</v>
      </c>
      <c r="G20" s="209">
        <v>1</v>
      </c>
      <c r="H20" s="209">
        <v>30000</v>
      </c>
      <c r="I20" s="216">
        <f t="shared" si="0"/>
        <v>30000</v>
      </c>
      <c r="J20" s="193">
        <v>1</v>
      </c>
      <c r="K20" s="192">
        <v>30000</v>
      </c>
      <c r="L20" s="193">
        <f t="shared" si="1"/>
        <v>30000</v>
      </c>
      <c r="M20" s="381"/>
    </row>
    <row r="21" spans="1:13" s="199" customFormat="1" ht="24.95" customHeight="1">
      <c r="A21" s="359"/>
      <c r="B21" s="360"/>
      <c r="C21" s="371"/>
      <c r="D21" s="371" t="s">
        <v>341</v>
      </c>
      <c r="E21" s="215" t="s">
        <v>342</v>
      </c>
      <c r="F21" s="214" t="s">
        <v>343</v>
      </c>
      <c r="G21" s="209">
        <v>1050</v>
      </c>
      <c r="H21" s="209">
        <v>300</v>
      </c>
      <c r="I21" s="216">
        <f t="shared" si="0"/>
        <v>315000</v>
      </c>
      <c r="J21" s="193">
        <v>1050</v>
      </c>
      <c r="K21" s="192">
        <v>300</v>
      </c>
      <c r="L21" s="193">
        <f t="shared" si="1"/>
        <v>315000</v>
      </c>
      <c r="M21" s="381"/>
    </row>
    <row r="22" spans="1:13" s="199" customFormat="1" ht="24.95" customHeight="1">
      <c r="A22" s="359"/>
      <c r="B22" s="360"/>
      <c r="C22" s="371"/>
      <c r="D22" s="371"/>
      <c r="E22" s="215" t="s">
        <v>344</v>
      </c>
      <c r="F22" s="214" t="s">
        <v>343</v>
      </c>
      <c r="G22" s="209">
        <v>200</v>
      </c>
      <c r="H22" s="209">
        <v>80</v>
      </c>
      <c r="I22" s="216">
        <f t="shared" si="0"/>
        <v>16000</v>
      </c>
      <c r="J22" s="193">
        <v>105</v>
      </c>
      <c r="K22" s="192">
        <v>80</v>
      </c>
      <c r="L22" s="193">
        <f t="shared" si="1"/>
        <v>8400</v>
      </c>
      <c r="M22" s="381"/>
    </row>
    <row r="23" spans="1:13" s="199" customFormat="1" ht="24.95" customHeight="1">
      <c r="A23" s="359"/>
      <c r="B23" s="360"/>
      <c r="C23" s="371"/>
      <c r="D23" s="371" t="s">
        <v>345</v>
      </c>
      <c r="E23" s="378" t="s">
        <v>346</v>
      </c>
      <c r="F23" s="371" t="s">
        <v>343</v>
      </c>
      <c r="G23" s="372">
        <v>170</v>
      </c>
      <c r="H23" s="372">
        <v>600</v>
      </c>
      <c r="I23" s="373">
        <f t="shared" si="0"/>
        <v>102000</v>
      </c>
      <c r="J23" s="193">
        <v>165</v>
      </c>
      <c r="K23" s="192">
        <v>150</v>
      </c>
      <c r="L23" s="193">
        <f t="shared" si="1"/>
        <v>24750</v>
      </c>
      <c r="M23" s="381"/>
    </row>
    <row r="24" spans="1:13" s="199" customFormat="1" ht="24.95" customHeight="1">
      <c r="A24" s="359"/>
      <c r="B24" s="360"/>
      <c r="C24" s="371"/>
      <c r="D24" s="371"/>
      <c r="E24" s="378"/>
      <c r="F24" s="371"/>
      <c r="G24" s="372"/>
      <c r="H24" s="372"/>
      <c r="I24" s="373"/>
      <c r="J24" s="193">
        <v>165</v>
      </c>
      <c r="K24" s="192">
        <v>300</v>
      </c>
      <c r="L24" s="193">
        <f t="shared" si="1"/>
        <v>49500</v>
      </c>
      <c r="M24" s="381"/>
    </row>
    <row r="25" spans="1:13" s="199" customFormat="1" ht="24.95" customHeight="1">
      <c r="A25" s="359"/>
      <c r="B25" s="360"/>
      <c r="C25" s="376" t="s">
        <v>317</v>
      </c>
      <c r="D25" s="376"/>
      <c r="E25" s="376"/>
      <c r="F25" s="217"/>
      <c r="G25" s="211"/>
      <c r="H25" s="218"/>
      <c r="I25" s="211">
        <f>SUM(I16:I23)</f>
        <v>1483500</v>
      </c>
      <c r="J25" s="192"/>
      <c r="K25" s="192"/>
      <c r="L25" s="189">
        <f>SUM(L16:L24)</f>
        <v>1413250</v>
      </c>
      <c r="M25" s="381"/>
    </row>
    <row r="26" spans="1:13" s="199" customFormat="1" ht="24.95" customHeight="1">
      <c r="A26" s="359"/>
      <c r="B26" s="360"/>
      <c r="C26" s="377" t="s">
        <v>318</v>
      </c>
      <c r="D26" s="377"/>
      <c r="E26" s="377"/>
      <c r="F26" s="219"/>
      <c r="G26" s="212"/>
      <c r="H26" s="218"/>
      <c r="I26" s="212">
        <f>105050+4330+19485+18619+80000</f>
        <v>227484</v>
      </c>
      <c r="J26" s="192"/>
      <c r="K26" s="197">
        <v>0.1</v>
      </c>
      <c r="L26" s="192">
        <f>L25*10%+60000</f>
        <v>201325</v>
      </c>
      <c r="M26" s="381"/>
    </row>
    <row r="27" spans="1:13" s="199" customFormat="1" ht="24.95" customHeight="1">
      <c r="A27" s="359"/>
      <c r="B27" s="360"/>
      <c r="C27" s="377" t="s">
        <v>319</v>
      </c>
      <c r="D27" s="377"/>
      <c r="E27" s="377"/>
      <c r="F27" s="219"/>
      <c r="G27" s="212"/>
      <c r="H27" s="218"/>
      <c r="I27" s="212">
        <v>61777.5</v>
      </c>
      <c r="J27" s="192"/>
      <c r="K27" s="197">
        <v>0.05</v>
      </c>
      <c r="L27" s="192">
        <f>(L25+L26)*0.05</f>
        <v>80728.75</v>
      </c>
      <c r="M27" s="381"/>
    </row>
    <row r="28" spans="1:13" s="199" customFormat="1" ht="24.95" customHeight="1">
      <c r="A28" s="359"/>
      <c r="B28" s="360"/>
      <c r="C28" s="365" t="s">
        <v>13</v>
      </c>
      <c r="D28" s="365"/>
      <c r="E28" s="365"/>
      <c r="F28" s="217"/>
      <c r="G28" s="217"/>
      <c r="H28" s="220"/>
      <c r="I28" s="211">
        <f>SUM(I25:I27)</f>
        <v>1772761.5</v>
      </c>
      <c r="J28" s="189"/>
      <c r="K28" s="189"/>
      <c r="L28" s="189">
        <f>ROUND(SUM(L25:L27),2)</f>
        <v>1695303.75</v>
      </c>
      <c r="M28" s="382"/>
    </row>
    <row r="29" spans="1:13" ht="24.95" customHeight="1">
      <c r="A29" s="366">
        <v>4</v>
      </c>
      <c r="B29" s="367" t="s">
        <v>31</v>
      </c>
      <c r="C29" s="221" t="s">
        <v>347</v>
      </c>
      <c r="D29" s="221" t="s">
        <v>348</v>
      </c>
      <c r="E29" s="221" t="s">
        <v>349</v>
      </c>
      <c r="F29" s="221" t="s">
        <v>324</v>
      </c>
      <c r="G29" s="207">
        <v>1</v>
      </c>
      <c r="H29" s="207">
        <v>100000</v>
      </c>
      <c r="I29" s="209">
        <f t="shared" ref="I29:I36" si="2">G29*H29</f>
        <v>100000</v>
      </c>
      <c r="J29" s="190">
        <v>1</v>
      </c>
      <c r="K29" s="190">
        <v>100000</v>
      </c>
      <c r="L29" s="192">
        <f t="shared" ref="L29:L36" si="3">J29*K29</f>
        <v>100000</v>
      </c>
      <c r="M29" s="380">
        <f>ROUND(L40*0.8,0)</f>
        <v>227430</v>
      </c>
    </row>
    <row r="30" spans="1:13" ht="24.95" customHeight="1">
      <c r="A30" s="366"/>
      <c r="B30" s="367"/>
      <c r="C30" s="374" t="s">
        <v>350</v>
      </c>
      <c r="D30" s="374" t="s">
        <v>351</v>
      </c>
      <c r="E30" s="221" t="s">
        <v>352</v>
      </c>
      <c r="F30" s="221" t="s">
        <v>315</v>
      </c>
      <c r="G30" s="207">
        <v>138</v>
      </c>
      <c r="H30" s="207">
        <v>300</v>
      </c>
      <c r="I30" s="209">
        <f t="shared" si="2"/>
        <v>41400</v>
      </c>
      <c r="J30" s="190">
        <v>138</v>
      </c>
      <c r="K30" s="190">
        <v>250</v>
      </c>
      <c r="L30" s="192">
        <f t="shared" si="3"/>
        <v>34500</v>
      </c>
      <c r="M30" s="381"/>
    </row>
    <row r="31" spans="1:13" ht="24.95" customHeight="1">
      <c r="A31" s="366"/>
      <c r="B31" s="367"/>
      <c r="C31" s="374"/>
      <c r="D31" s="374"/>
      <c r="E31" s="221" t="s">
        <v>353</v>
      </c>
      <c r="F31" s="221" t="s">
        <v>315</v>
      </c>
      <c r="G31" s="207">
        <v>500</v>
      </c>
      <c r="H31" s="207">
        <v>45</v>
      </c>
      <c r="I31" s="209">
        <f t="shared" si="2"/>
        <v>22500</v>
      </c>
      <c r="J31" s="190">
        <v>500</v>
      </c>
      <c r="K31" s="190">
        <v>45</v>
      </c>
      <c r="L31" s="192">
        <f t="shared" si="3"/>
        <v>22500</v>
      </c>
      <c r="M31" s="381"/>
    </row>
    <row r="32" spans="1:13" ht="24.95" customHeight="1">
      <c r="A32" s="366"/>
      <c r="B32" s="367"/>
      <c r="C32" s="374"/>
      <c r="D32" s="374"/>
      <c r="E32" s="221" t="s">
        <v>354</v>
      </c>
      <c r="F32" s="221" t="s">
        <v>315</v>
      </c>
      <c r="G32" s="207">
        <v>90</v>
      </c>
      <c r="H32" s="207">
        <v>300</v>
      </c>
      <c r="I32" s="209">
        <f t="shared" si="2"/>
        <v>27000</v>
      </c>
      <c r="J32" s="190">
        <v>0</v>
      </c>
      <c r="K32" s="190">
        <v>300</v>
      </c>
      <c r="L32" s="192">
        <f t="shared" si="3"/>
        <v>0</v>
      </c>
      <c r="M32" s="381"/>
    </row>
    <row r="33" spans="1:13" ht="24.95" customHeight="1">
      <c r="A33" s="366"/>
      <c r="B33" s="367"/>
      <c r="C33" s="374"/>
      <c r="D33" s="374"/>
      <c r="E33" s="221" t="s">
        <v>355</v>
      </c>
      <c r="F33" s="221" t="s">
        <v>315</v>
      </c>
      <c r="G33" s="207">
        <v>138</v>
      </c>
      <c r="H33" s="207">
        <v>200</v>
      </c>
      <c r="I33" s="207">
        <f t="shared" si="2"/>
        <v>27600</v>
      </c>
      <c r="J33" s="190">
        <v>138</v>
      </c>
      <c r="K33" s="190">
        <v>200</v>
      </c>
      <c r="L33" s="190">
        <f t="shared" si="3"/>
        <v>27600</v>
      </c>
      <c r="M33" s="381"/>
    </row>
    <row r="34" spans="1:13" ht="24.95" customHeight="1">
      <c r="A34" s="366"/>
      <c r="B34" s="367"/>
      <c r="C34" s="374"/>
      <c r="D34" s="374"/>
      <c r="E34" s="221" t="s">
        <v>356</v>
      </c>
      <c r="F34" s="221" t="s">
        <v>315</v>
      </c>
      <c r="G34" s="207">
        <v>5</v>
      </c>
      <c r="H34" s="207">
        <v>800</v>
      </c>
      <c r="I34" s="207">
        <f t="shared" si="2"/>
        <v>4000</v>
      </c>
      <c r="J34" s="190">
        <v>0</v>
      </c>
      <c r="K34" s="190">
        <v>800</v>
      </c>
      <c r="L34" s="190">
        <f t="shared" si="3"/>
        <v>0</v>
      </c>
      <c r="M34" s="381"/>
    </row>
    <row r="35" spans="1:13" ht="24.95" customHeight="1">
      <c r="A35" s="366"/>
      <c r="B35" s="367"/>
      <c r="C35" s="374"/>
      <c r="D35" s="374"/>
      <c r="E35" s="221" t="s">
        <v>357</v>
      </c>
      <c r="F35" s="221" t="s">
        <v>315</v>
      </c>
      <c r="G35" s="207">
        <v>7</v>
      </c>
      <c r="H35" s="207">
        <v>800</v>
      </c>
      <c r="I35" s="207">
        <f t="shared" si="2"/>
        <v>5600</v>
      </c>
      <c r="J35" s="190">
        <v>7</v>
      </c>
      <c r="K35" s="190">
        <v>800</v>
      </c>
      <c r="L35" s="190">
        <f t="shared" si="3"/>
        <v>5600</v>
      </c>
      <c r="M35" s="381"/>
    </row>
    <row r="36" spans="1:13" ht="24.95" customHeight="1">
      <c r="A36" s="366"/>
      <c r="B36" s="367"/>
      <c r="C36" s="375"/>
      <c r="D36" s="375"/>
      <c r="E36" s="221" t="s">
        <v>358</v>
      </c>
      <c r="F36" s="221" t="s">
        <v>315</v>
      </c>
      <c r="G36" s="207">
        <v>138</v>
      </c>
      <c r="H36" s="207">
        <v>350</v>
      </c>
      <c r="I36" s="207">
        <f t="shared" si="2"/>
        <v>48300</v>
      </c>
      <c r="J36" s="190">
        <v>138</v>
      </c>
      <c r="K36" s="190">
        <v>350</v>
      </c>
      <c r="L36" s="190">
        <f t="shared" si="3"/>
        <v>48300</v>
      </c>
      <c r="M36" s="381"/>
    </row>
    <row r="37" spans="1:13" ht="24.95" customHeight="1">
      <c r="A37" s="366"/>
      <c r="B37" s="367"/>
      <c r="C37" s="368" t="s">
        <v>317</v>
      </c>
      <c r="D37" s="368"/>
      <c r="E37" s="368"/>
      <c r="F37" s="202"/>
      <c r="G37" s="211"/>
      <c r="H37" s="218"/>
      <c r="I37" s="211">
        <f>SUM(I29:I36)</f>
        <v>276400</v>
      </c>
      <c r="J37" s="192"/>
      <c r="K37" s="192"/>
      <c r="L37" s="192">
        <f>SUM(L29:L36)</f>
        <v>238500</v>
      </c>
      <c r="M37" s="381"/>
    </row>
    <row r="38" spans="1:13" ht="24.95" customHeight="1">
      <c r="A38" s="366"/>
      <c r="B38" s="367"/>
      <c r="C38" s="374" t="s">
        <v>333</v>
      </c>
      <c r="D38" s="375"/>
      <c r="E38" s="375"/>
      <c r="F38" s="221"/>
      <c r="G38" s="207"/>
      <c r="H38" s="207"/>
      <c r="I38" s="207">
        <f>I37*0.1+3600+4800</f>
        <v>36040</v>
      </c>
      <c r="J38" s="192"/>
      <c r="K38" s="192"/>
      <c r="L38" s="192">
        <f>L37*0.1+3600+4800</f>
        <v>32250</v>
      </c>
      <c r="M38" s="381"/>
    </row>
    <row r="39" spans="1:13" ht="24.95" customHeight="1">
      <c r="A39" s="366"/>
      <c r="B39" s="367"/>
      <c r="C39" s="374" t="s">
        <v>321</v>
      </c>
      <c r="D39" s="375"/>
      <c r="E39" s="375"/>
      <c r="F39" s="221"/>
      <c r="G39" s="207"/>
      <c r="H39" s="207"/>
      <c r="I39" s="207">
        <f>(I37+I38)*0.05</f>
        <v>15622</v>
      </c>
      <c r="J39" s="190"/>
      <c r="K39" s="190"/>
      <c r="L39" s="190">
        <f>(L37+L38)*0.05</f>
        <v>13537.5</v>
      </c>
      <c r="M39" s="381"/>
    </row>
    <row r="40" spans="1:13" ht="24.95" customHeight="1">
      <c r="A40" s="366"/>
      <c r="B40" s="367"/>
      <c r="C40" s="370" t="s">
        <v>13</v>
      </c>
      <c r="D40" s="370"/>
      <c r="E40" s="370"/>
      <c r="F40" s="202"/>
      <c r="G40" s="211"/>
      <c r="H40" s="222"/>
      <c r="I40" s="200">
        <f>I37+I38+I39</f>
        <v>328062</v>
      </c>
      <c r="J40" s="189"/>
      <c r="K40" s="189"/>
      <c r="L40" s="189">
        <f>ROUND(SUM(L37:L39),2)</f>
        <v>284287.5</v>
      </c>
      <c r="M40" s="382"/>
    </row>
    <row r="41" spans="1:13" ht="24.95" customHeight="1">
      <c r="A41" s="366">
        <v>5</v>
      </c>
      <c r="B41" s="367" t="s">
        <v>32</v>
      </c>
      <c r="C41" s="198" t="s">
        <v>320</v>
      </c>
      <c r="D41" s="198" t="s">
        <v>334</v>
      </c>
      <c r="E41" s="221" t="s">
        <v>359</v>
      </c>
      <c r="F41" s="194" t="s">
        <v>315</v>
      </c>
      <c r="G41" s="201">
        <v>2450</v>
      </c>
      <c r="H41" s="201">
        <v>230</v>
      </c>
      <c r="I41" s="201">
        <f>G41*H41</f>
        <v>563500</v>
      </c>
      <c r="J41" s="192">
        <v>2450</v>
      </c>
      <c r="K41" s="191">
        <v>170</v>
      </c>
      <c r="L41" s="192">
        <f>J41*K41</f>
        <v>416500</v>
      </c>
      <c r="M41" s="380">
        <f>ROUND(L46*0.8,0)</f>
        <v>423956</v>
      </c>
    </row>
    <row r="42" spans="1:13" ht="24.95" customHeight="1">
      <c r="A42" s="366"/>
      <c r="B42" s="367"/>
      <c r="C42" s="198" t="s">
        <v>320</v>
      </c>
      <c r="D42" s="198" t="s">
        <v>334</v>
      </c>
      <c r="E42" s="221" t="s">
        <v>360</v>
      </c>
      <c r="F42" s="194" t="s">
        <v>315</v>
      </c>
      <c r="G42" s="223">
        <v>500</v>
      </c>
      <c r="H42" s="201">
        <v>80</v>
      </c>
      <c r="I42" s="201">
        <f>G42*H42</f>
        <v>40000</v>
      </c>
      <c r="J42" s="192">
        <v>245</v>
      </c>
      <c r="K42" s="191">
        <v>80</v>
      </c>
      <c r="L42" s="192">
        <f>J42*K42</f>
        <v>19600</v>
      </c>
      <c r="M42" s="381"/>
    </row>
    <row r="43" spans="1:13" ht="24.95" customHeight="1">
      <c r="A43" s="366"/>
      <c r="B43" s="367"/>
      <c r="C43" s="368" t="s">
        <v>317</v>
      </c>
      <c r="D43" s="368"/>
      <c r="E43" s="368"/>
      <c r="F43" s="202"/>
      <c r="G43" s="224"/>
      <c r="H43" s="204"/>
      <c r="I43" s="203">
        <f>SUM(I41:I42)</f>
        <v>603500</v>
      </c>
      <c r="J43" s="192"/>
      <c r="K43" s="192"/>
      <c r="L43" s="189">
        <f>SUM(L41:L42)</f>
        <v>436100</v>
      </c>
      <c r="M43" s="381"/>
    </row>
    <row r="44" spans="1:13" ht="24.95" customHeight="1">
      <c r="A44" s="366"/>
      <c r="B44" s="367"/>
      <c r="C44" s="369" t="s">
        <v>331</v>
      </c>
      <c r="D44" s="369"/>
      <c r="E44" s="369"/>
      <c r="F44" s="221"/>
      <c r="G44" s="221"/>
      <c r="H44" s="221"/>
      <c r="I44" s="207">
        <f>I43*0.1+25000</f>
        <v>85350</v>
      </c>
      <c r="J44" s="192"/>
      <c r="K44" s="192"/>
      <c r="L44" s="192">
        <f>L43*0.1+25000</f>
        <v>68610</v>
      </c>
      <c r="M44" s="381"/>
    </row>
    <row r="45" spans="1:13" ht="24.95" customHeight="1">
      <c r="A45" s="366"/>
      <c r="B45" s="367"/>
      <c r="C45" s="369" t="s">
        <v>321</v>
      </c>
      <c r="D45" s="369"/>
      <c r="E45" s="369"/>
      <c r="F45" s="221"/>
      <c r="G45" s="221"/>
      <c r="H45" s="221"/>
      <c r="I45" s="207">
        <f>(I43+I44)*0.05</f>
        <v>34442.5</v>
      </c>
      <c r="J45" s="192"/>
      <c r="K45" s="192"/>
      <c r="L45" s="192">
        <f>(L43+L44)*0.05</f>
        <v>25235.5</v>
      </c>
      <c r="M45" s="381"/>
    </row>
    <row r="46" spans="1:13" ht="24.95" customHeight="1">
      <c r="A46" s="366"/>
      <c r="B46" s="367"/>
      <c r="C46" s="370" t="s">
        <v>13</v>
      </c>
      <c r="D46" s="370"/>
      <c r="E46" s="370"/>
      <c r="F46" s="202"/>
      <c r="G46" s="224"/>
      <c r="H46" s="225"/>
      <c r="I46" s="203">
        <f>I43+I44+I45</f>
        <v>723292.5</v>
      </c>
      <c r="J46" s="189"/>
      <c r="K46" s="189"/>
      <c r="L46" s="189">
        <f>ROUND(SUM(L43:L45),2)</f>
        <v>529945.5</v>
      </c>
      <c r="M46" s="382"/>
    </row>
    <row r="47" spans="1:13" ht="24.95" customHeight="1">
      <c r="A47" s="359">
        <v>6</v>
      </c>
      <c r="B47" s="360" t="s">
        <v>30</v>
      </c>
      <c r="C47" s="360" t="s">
        <v>334</v>
      </c>
      <c r="D47" s="360" t="s">
        <v>316</v>
      </c>
      <c r="E47" s="226" t="s">
        <v>335</v>
      </c>
      <c r="F47" s="226" t="s">
        <v>315</v>
      </c>
      <c r="G47" s="207">
        <v>100</v>
      </c>
      <c r="H47" s="207">
        <v>80</v>
      </c>
      <c r="I47" s="207">
        <f t="shared" ref="I47:I53" si="4">G47*H47</f>
        <v>8000</v>
      </c>
      <c r="J47" s="190">
        <v>60</v>
      </c>
      <c r="K47" s="190">
        <v>80</v>
      </c>
      <c r="L47" s="193">
        <f t="shared" ref="L47:L53" si="5">J47*K47</f>
        <v>4800</v>
      </c>
      <c r="M47" s="380">
        <f>ROUND(L57*0.8,0)</f>
        <v>1214573</v>
      </c>
    </row>
    <row r="48" spans="1:13" ht="24.95" customHeight="1">
      <c r="A48" s="359"/>
      <c r="B48" s="360"/>
      <c r="C48" s="360"/>
      <c r="D48" s="360"/>
      <c r="E48" s="226" t="s">
        <v>336</v>
      </c>
      <c r="F48" s="226" t="s">
        <v>315</v>
      </c>
      <c r="G48" s="207">
        <v>850</v>
      </c>
      <c r="H48" s="207">
        <v>300</v>
      </c>
      <c r="I48" s="207">
        <f t="shared" si="4"/>
        <v>255000</v>
      </c>
      <c r="J48" s="190">
        <v>660</v>
      </c>
      <c r="K48" s="190">
        <v>300</v>
      </c>
      <c r="L48" s="193">
        <f t="shared" si="5"/>
        <v>198000</v>
      </c>
      <c r="M48" s="381"/>
    </row>
    <row r="49" spans="1:13" ht="24.95" customHeight="1">
      <c r="A49" s="359"/>
      <c r="B49" s="360"/>
      <c r="C49" s="360"/>
      <c r="D49" s="361" t="s">
        <v>337</v>
      </c>
      <c r="E49" s="226" t="s">
        <v>338</v>
      </c>
      <c r="F49" s="226" t="s">
        <v>315</v>
      </c>
      <c r="G49" s="207">
        <v>200</v>
      </c>
      <c r="H49" s="207">
        <v>80</v>
      </c>
      <c r="I49" s="207">
        <f t="shared" si="4"/>
        <v>16000</v>
      </c>
      <c r="J49" s="190">
        <v>190</v>
      </c>
      <c r="K49" s="227">
        <v>80</v>
      </c>
      <c r="L49" s="193">
        <f t="shared" si="5"/>
        <v>15200</v>
      </c>
      <c r="M49" s="381"/>
    </row>
    <row r="50" spans="1:13" ht="24.95" customHeight="1">
      <c r="A50" s="359"/>
      <c r="B50" s="360"/>
      <c r="C50" s="360"/>
      <c r="D50" s="361"/>
      <c r="E50" s="226" t="s">
        <v>339</v>
      </c>
      <c r="F50" s="226" t="s">
        <v>315</v>
      </c>
      <c r="G50" s="207">
        <v>1900</v>
      </c>
      <c r="H50" s="207">
        <v>300</v>
      </c>
      <c r="I50" s="207">
        <f t="shared" si="4"/>
        <v>570000</v>
      </c>
      <c r="J50" s="190">
        <v>1900</v>
      </c>
      <c r="K50" s="227">
        <v>300</v>
      </c>
      <c r="L50" s="193">
        <f t="shared" si="5"/>
        <v>570000</v>
      </c>
      <c r="M50" s="381"/>
    </row>
    <row r="51" spans="1:13" ht="24.95" customHeight="1">
      <c r="A51" s="359"/>
      <c r="B51" s="360"/>
      <c r="C51" s="360"/>
      <c r="D51" s="361"/>
      <c r="E51" s="226" t="s">
        <v>340</v>
      </c>
      <c r="F51" s="226" t="s">
        <v>324</v>
      </c>
      <c r="G51" s="207">
        <v>1</v>
      </c>
      <c r="H51" s="207">
        <v>30000</v>
      </c>
      <c r="I51" s="207">
        <f t="shared" si="4"/>
        <v>30000</v>
      </c>
      <c r="J51" s="193">
        <v>1</v>
      </c>
      <c r="K51" s="190">
        <v>30000</v>
      </c>
      <c r="L51" s="193">
        <f t="shared" si="5"/>
        <v>30000</v>
      </c>
      <c r="M51" s="381"/>
    </row>
    <row r="52" spans="1:13" ht="24.95" customHeight="1">
      <c r="A52" s="359"/>
      <c r="B52" s="360"/>
      <c r="C52" s="360"/>
      <c r="D52" s="361" t="s">
        <v>361</v>
      </c>
      <c r="E52" s="226" t="s">
        <v>362</v>
      </c>
      <c r="F52" s="226" t="s">
        <v>315</v>
      </c>
      <c r="G52" s="207">
        <v>200</v>
      </c>
      <c r="H52" s="207">
        <v>80</v>
      </c>
      <c r="I52" s="207">
        <f t="shared" si="4"/>
        <v>16000</v>
      </c>
      <c r="J52" s="193">
        <v>200</v>
      </c>
      <c r="K52" s="190">
        <v>80</v>
      </c>
      <c r="L52" s="193">
        <f t="shared" si="5"/>
        <v>16000</v>
      </c>
      <c r="M52" s="381"/>
    </row>
    <row r="53" spans="1:13" ht="24.95" customHeight="1">
      <c r="A53" s="359"/>
      <c r="B53" s="360"/>
      <c r="C53" s="360"/>
      <c r="D53" s="361"/>
      <c r="E53" s="226" t="s">
        <v>363</v>
      </c>
      <c r="F53" s="226" t="s">
        <v>315</v>
      </c>
      <c r="G53" s="207">
        <v>2400</v>
      </c>
      <c r="H53" s="207">
        <v>230</v>
      </c>
      <c r="I53" s="207">
        <f t="shared" si="4"/>
        <v>552000</v>
      </c>
      <c r="J53" s="190">
        <v>2400</v>
      </c>
      <c r="K53" s="190">
        <v>170</v>
      </c>
      <c r="L53" s="190">
        <f t="shared" si="5"/>
        <v>408000</v>
      </c>
      <c r="M53" s="381"/>
    </row>
    <row r="54" spans="1:13" ht="24.95" customHeight="1">
      <c r="A54" s="359"/>
      <c r="B54" s="360"/>
      <c r="C54" s="362" t="s">
        <v>317</v>
      </c>
      <c r="D54" s="362"/>
      <c r="E54" s="362"/>
      <c r="F54" s="217"/>
      <c r="G54" s="211"/>
      <c r="H54" s="218"/>
      <c r="I54" s="211">
        <f>SUM(I47:I53)</f>
        <v>1447000</v>
      </c>
      <c r="J54" s="192"/>
      <c r="K54" s="192"/>
      <c r="L54" s="189">
        <f>SUM(L48:L53)</f>
        <v>1237200</v>
      </c>
      <c r="M54" s="381"/>
    </row>
    <row r="55" spans="1:13" ht="24.95" customHeight="1">
      <c r="A55" s="359"/>
      <c r="B55" s="360"/>
      <c r="C55" s="363" t="s">
        <v>333</v>
      </c>
      <c r="D55" s="364"/>
      <c r="E55" s="364"/>
      <c r="F55" s="226"/>
      <c r="G55" s="207"/>
      <c r="H55" s="207"/>
      <c r="I55" s="207">
        <f>I54*0.1+80000+25000</f>
        <v>249700</v>
      </c>
      <c r="J55" s="192"/>
      <c r="K55" s="197">
        <v>0.1</v>
      </c>
      <c r="L55" s="192">
        <f>L54*10%+60000+25000</f>
        <v>208720</v>
      </c>
      <c r="M55" s="381"/>
    </row>
    <row r="56" spans="1:13" ht="24.95" customHeight="1">
      <c r="A56" s="359"/>
      <c r="B56" s="360"/>
      <c r="C56" s="363" t="s">
        <v>321</v>
      </c>
      <c r="D56" s="364"/>
      <c r="E56" s="364"/>
      <c r="F56" s="226"/>
      <c r="G56" s="207"/>
      <c r="H56" s="207"/>
      <c r="I56" s="207">
        <f>(I54+I55)*0.05</f>
        <v>84835</v>
      </c>
      <c r="J56" s="192"/>
      <c r="K56" s="197">
        <v>0.05</v>
      </c>
      <c r="L56" s="192">
        <f>(L54+L55)*5%</f>
        <v>72296</v>
      </c>
      <c r="M56" s="381"/>
    </row>
    <row r="57" spans="1:13" ht="24.95" customHeight="1">
      <c r="A57" s="359"/>
      <c r="B57" s="360"/>
      <c r="C57" s="365" t="s">
        <v>13</v>
      </c>
      <c r="D57" s="365"/>
      <c r="E57" s="365"/>
      <c r="F57" s="217"/>
      <c r="G57" s="211"/>
      <c r="H57" s="222"/>
      <c r="I57" s="211">
        <f>SUM(I54:I56)</f>
        <v>1781535</v>
      </c>
      <c r="J57" s="189"/>
      <c r="K57" s="189"/>
      <c r="L57" s="189">
        <f>ROUND(SUM(L54:L56),2)</f>
        <v>1518216</v>
      </c>
      <c r="M57" s="382"/>
    </row>
    <row r="58" spans="1:13" ht="24.95" customHeight="1"/>
    <row r="59" spans="1:13" ht="24.95" customHeight="1"/>
    <row r="60" spans="1:13" ht="24.95" customHeight="1"/>
    <row r="61" spans="1:13" ht="24.95" customHeight="1"/>
    <row r="62" spans="1:13" ht="24.95" customHeight="1"/>
    <row r="63" spans="1:13" ht="24.95" customHeight="1"/>
    <row r="64" spans="1:13" ht="24.95" customHeight="1"/>
  </sheetData>
  <mergeCells count="69">
    <mergeCell ref="M41:M46"/>
    <mergeCell ref="M47:M57"/>
    <mergeCell ref="A1:M1"/>
    <mergeCell ref="M2:M3"/>
    <mergeCell ref="M5:M10"/>
    <mergeCell ref="M11:M15"/>
    <mergeCell ref="M16:M28"/>
    <mergeCell ref="M29:M40"/>
    <mergeCell ref="A2:A3"/>
    <mergeCell ref="B2:B3"/>
    <mergeCell ref="C2:C3"/>
    <mergeCell ref="D2:D3"/>
    <mergeCell ref="E2:E3"/>
    <mergeCell ref="F2:F3"/>
    <mergeCell ref="G2:I2"/>
    <mergeCell ref="J2:L2"/>
    <mergeCell ref="A5:A10"/>
    <mergeCell ref="B5:B10"/>
    <mergeCell ref="C5:C6"/>
    <mergeCell ref="C7:E7"/>
    <mergeCell ref="C8:E8"/>
    <mergeCell ref="C9:E9"/>
    <mergeCell ref="C10:E10"/>
    <mergeCell ref="C27:E27"/>
    <mergeCell ref="C28:E28"/>
    <mergeCell ref="E23:E24"/>
    <mergeCell ref="A11:A15"/>
    <mergeCell ref="B11:B15"/>
    <mergeCell ref="C12:E12"/>
    <mergeCell ref="C13:E13"/>
    <mergeCell ref="C14:E14"/>
    <mergeCell ref="C15:E15"/>
    <mergeCell ref="D16:D17"/>
    <mergeCell ref="D18:D20"/>
    <mergeCell ref="D21:D22"/>
    <mergeCell ref="D23:D24"/>
    <mergeCell ref="C26:E26"/>
    <mergeCell ref="F23:F24"/>
    <mergeCell ref="G23:G24"/>
    <mergeCell ref="H23:H24"/>
    <mergeCell ref="I23:I24"/>
    <mergeCell ref="A29:A40"/>
    <mergeCell ref="B29:B40"/>
    <mergeCell ref="C30:C36"/>
    <mergeCell ref="D30:D36"/>
    <mergeCell ref="C37:E37"/>
    <mergeCell ref="C38:E38"/>
    <mergeCell ref="C39:E39"/>
    <mergeCell ref="C40:E40"/>
    <mergeCell ref="C25:E25"/>
    <mergeCell ref="A16:A28"/>
    <mergeCell ref="B16:B28"/>
    <mergeCell ref="C16:C24"/>
    <mergeCell ref="A41:A46"/>
    <mergeCell ref="B41:B46"/>
    <mergeCell ref="C43:E43"/>
    <mergeCell ref="C44:E44"/>
    <mergeCell ref="C45:E45"/>
    <mergeCell ref="C46:E46"/>
    <mergeCell ref="A47:A57"/>
    <mergeCell ref="B47:B57"/>
    <mergeCell ref="C47:C53"/>
    <mergeCell ref="D47:D48"/>
    <mergeCell ref="D49:D51"/>
    <mergeCell ref="D52:D53"/>
    <mergeCell ref="C54:E54"/>
    <mergeCell ref="C55:E55"/>
    <mergeCell ref="C56:E56"/>
    <mergeCell ref="C57:E5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27</vt:i4>
      </vt:variant>
    </vt:vector>
  </HeadingPairs>
  <TitlesOfParts>
    <vt:vector size="45" baseType="lpstr">
      <vt:lpstr>七宝镇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小区生补贴</vt:lpstr>
      <vt:lpstr>民办学校补贴</vt:lpstr>
      <vt:lpstr>民办义务教育资助</vt:lpstr>
      <vt:lpstr>民办义务教育减免书薄费</vt:lpstr>
      <vt:lpstr>民办义务教育营养午餐</vt:lpstr>
      <vt:lpstr>政府购买学位</vt:lpstr>
      <vt:lpstr>七宝校舍维修2022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民办学校补贴!Print_Area</vt:lpstr>
      <vt:lpstr>民办义务教育减免书薄费!Print_Area</vt:lpstr>
      <vt:lpstr>民办义务教育营养午餐!Print_Area</vt:lpstr>
      <vt:lpstr>农民工学校减免书薄费!Print_Area</vt:lpstr>
      <vt:lpstr>农民工学校生均补贴!Print_Area</vt:lpstr>
      <vt:lpstr>农民工学校资助!Print_Area</vt:lpstr>
      <vt:lpstr>七宝校舍维修2022!Print_Area</vt:lpstr>
      <vt:lpstr>'清算2022补充公用经费（课后延时）'!Print_Area</vt:lpstr>
      <vt:lpstr>视频联网!Print_Area</vt:lpstr>
      <vt:lpstr>小区生补贴!Print_Area</vt:lpstr>
      <vt:lpstr>政府购买学位!Print_Area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民办学校补贴!Print_Titles</vt:lpstr>
      <vt:lpstr>七宝校舍维修2022!Print_Titles</vt:lpstr>
      <vt:lpstr>'清算2022补充公用经费（课后延时）'!Print_Titles</vt:lpstr>
      <vt:lpstr>视频联网!Print_Titles</vt:lpstr>
      <vt:lpstr>小区生补贴!Print_Titles</vt:lpstr>
      <vt:lpstr>政府购买学位!Print_Titles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2023-01-10T02:19:53Z</cp:lastPrinted>
  <dcterms:created xsi:type="dcterms:W3CDTF">2022-11-11T08:39:54Z</dcterms:created>
  <dcterms:modified xsi:type="dcterms:W3CDTF">2023-02-02T07:41:41Z</dcterms:modified>
</cp:coreProperties>
</file>