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980" windowHeight="11655"/>
  </bookViews>
  <sheets>
    <sheet name="颛桥镇" sheetId="30" r:id="rId1"/>
    <sheet name="补充公用经费" sheetId="2" state="hidden" r:id="rId2"/>
    <sheet name="清算2022补充公用经费（课后延时）" sheetId="27" state="hidden" r:id="rId3"/>
    <sheet name="保安经费" sheetId="3" state="hidden" r:id="rId4"/>
    <sheet name="视频联网" sheetId="4" state="hidden" r:id="rId5"/>
    <sheet name="公办义务教育减免书薄费" sheetId="6" state="hidden" r:id="rId6"/>
    <sheet name="公办义务教育营养午餐" sheetId="7" state="hidden" r:id="rId7"/>
    <sheet name="公办义务教育资助" sheetId="8" state="hidden" r:id="rId8"/>
    <sheet name="农民工学校生均补贴" sheetId="9" state="hidden" r:id="rId9"/>
    <sheet name="农民工学校资助" sheetId="10" state="hidden" r:id="rId10"/>
    <sheet name="农民工学校减免书薄费" sheetId="11" state="hidden" r:id="rId11"/>
    <sheet name="小区生补贴" sheetId="12" state="hidden" r:id="rId12"/>
    <sheet name="民办学校补贴" sheetId="13" state="hidden" r:id="rId13"/>
    <sheet name="民办义务教育减免书薄费" sheetId="15" state="hidden" r:id="rId14"/>
    <sheet name="颛桥校舍维修2022" sheetId="22" state="hidden" r:id="rId15"/>
  </sheets>
  <definedNames>
    <definedName name="_xlnm._FilterDatabase" localSheetId="3" hidden="1">保安经费!$A$2:$L$41</definedName>
    <definedName name="_xlnm.Print_Area" localSheetId="3">保安经费!$A$1:$L$41</definedName>
    <definedName name="_xlnm.Print_Area" localSheetId="1">补充公用经费!$A$1:$AP$18</definedName>
    <definedName name="_xlnm.Print_Area" localSheetId="5">公办义务教育减免书薄费!$A$1:$I$11</definedName>
    <definedName name="_xlnm.Print_Area" localSheetId="6">公办义务教育营养午餐!$A$1:$E$12</definedName>
    <definedName name="_xlnm.Print_Area" localSheetId="7">公办义务教育资助!$A$1:$L$14</definedName>
    <definedName name="_xlnm.Print_Area" localSheetId="12">民办学校补贴!$A$1:$O$5</definedName>
    <definedName name="_xlnm.Print_Area" localSheetId="13">民办义务教育减免书薄费!$A$1:$F$4</definedName>
    <definedName name="_xlnm.Print_Area" localSheetId="10">农民工学校减免书薄费!$A$1:$O$6</definedName>
    <definedName name="_xlnm.Print_Area" localSheetId="8">农民工学校生均补贴!$A$1:$H$5</definedName>
    <definedName name="_xlnm.Print_Area" localSheetId="9">农民工学校资助!$A$1:$L$7</definedName>
    <definedName name="_xlnm.Print_Area" localSheetId="2">'清算2022补充公用经费（课后延时）'!$A$1:$E$11</definedName>
    <definedName name="_xlnm.Print_Area" localSheetId="4">视频联网!$A$1:$K$27</definedName>
    <definedName name="_xlnm.Print_Area" localSheetId="11">小区生补贴!$A$1:$K$13</definedName>
    <definedName name="_xlnm.Print_Area" localSheetId="14">颛桥校舍维修2022!$A$1:$N$52</definedName>
    <definedName name="_xlnm.Print_Titles" localSheetId="3">保安经费!$1:$2</definedName>
    <definedName name="_xlnm.Print_Titles" localSheetId="1">补充公用经费!$1:$3</definedName>
    <definedName name="_xlnm.Print_Titles" localSheetId="5">公办义务教育减免书薄费!$1:$2</definedName>
    <definedName name="_xlnm.Print_Titles" localSheetId="6">公办义务教育营养午餐!$1:$2</definedName>
    <definedName name="_xlnm.Print_Titles" localSheetId="7">公办义务教育资助!$1:$4</definedName>
    <definedName name="_xlnm.Print_Titles" localSheetId="12">民办学校补贴!$1:$3</definedName>
    <definedName name="_xlnm.Print_Titles" localSheetId="2">'清算2022补充公用经费（课后延时）'!$1:$2</definedName>
    <definedName name="_xlnm.Print_Titles" localSheetId="4">视频联网!$1:$2</definedName>
    <definedName name="_xlnm.Print_Titles" localSheetId="11">小区生补贴!$1:$3</definedName>
    <definedName name="_xlnm.Print_Titles" localSheetId="14">颛桥校舍维修2022!$1:$3</definedName>
  </definedNames>
  <calcPr calcId="125725"/>
</workbook>
</file>

<file path=xl/calcChain.xml><?xml version="1.0" encoding="utf-8"?>
<calcChain xmlns="http://schemas.openxmlformats.org/spreadsheetml/2006/main">
  <c r="C16" i="30"/>
  <c r="E16" s="1"/>
  <c r="C15"/>
  <c r="D15" s="1"/>
  <c r="C14"/>
  <c r="C13"/>
  <c r="C12"/>
  <c r="D12" s="1"/>
  <c r="C11"/>
  <c r="C10"/>
  <c r="D10" s="1"/>
  <c r="C9"/>
  <c r="C7"/>
  <c r="E7" s="1"/>
  <c r="C6"/>
  <c r="E6" s="1"/>
  <c r="C5"/>
  <c r="E5" s="1"/>
  <c r="C4"/>
  <c r="E4" s="1"/>
  <c r="E15" l="1"/>
  <c r="D14"/>
  <c r="E14" s="1"/>
  <c r="E12"/>
  <c r="E11"/>
  <c r="D11"/>
  <c r="E10"/>
  <c r="D9"/>
  <c r="D13"/>
  <c r="E13" s="1"/>
  <c r="E9" l="1"/>
  <c r="AO18" i="2" l="1"/>
  <c r="N4" i="22"/>
  <c r="N45"/>
  <c r="N36"/>
  <c r="N29"/>
  <c r="N23"/>
  <c r="N14"/>
  <c r="N5"/>
  <c r="D11" i="27" l="1"/>
  <c r="E3"/>
  <c r="E4"/>
  <c r="E11" s="1"/>
  <c r="E5"/>
  <c r="E6"/>
  <c r="E7"/>
  <c r="E8"/>
  <c r="E9"/>
  <c r="E10"/>
  <c r="C11" l="1"/>
  <c r="M48" i="22" l="1"/>
  <c r="I48"/>
  <c r="M47"/>
  <c r="I47"/>
  <c r="M46"/>
  <c r="I46"/>
  <c r="M45"/>
  <c r="M49" s="1"/>
  <c r="I45"/>
  <c r="I49" s="1"/>
  <c r="I42"/>
  <c r="I41"/>
  <c r="I40"/>
  <c r="M39"/>
  <c r="I39"/>
  <c r="M38"/>
  <c r="I38"/>
  <c r="M37"/>
  <c r="I37"/>
  <c r="M36"/>
  <c r="M41" s="1"/>
  <c r="I36"/>
  <c r="I33"/>
  <c r="M31"/>
  <c r="I31"/>
  <c r="M30"/>
  <c r="M32" s="1"/>
  <c r="L30"/>
  <c r="I30"/>
  <c r="M29"/>
  <c r="I29"/>
  <c r="I32" s="1"/>
  <c r="M24"/>
  <c r="I24"/>
  <c r="M23"/>
  <c r="M25" s="1"/>
  <c r="I23"/>
  <c r="I25" s="1"/>
  <c r="L18"/>
  <c r="M18" s="1"/>
  <c r="I18"/>
  <c r="M17"/>
  <c r="K17"/>
  <c r="M16"/>
  <c r="K16"/>
  <c r="M15"/>
  <c r="K15"/>
  <c r="I15"/>
  <c r="M14"/>
  <c r="I14"/>
  <c r="I19" s="1"/>
  <c r="I9"/>
  <c r="M8"/>
  <c r="I8"/>
  <c r="I7"/>
  <c r="M6"/>
  <c r="I6"/>
  <c r="M5"/>
  <c r="M10" s="1"/>
  <c r="I5"/>
  <c r="I10" s="1"/>
  <c r="I12" l="1"/>
  <c r="I11"/>
  <c r="I13" s="1"/>
  <c r="I20"/>
  <c r="I22" s="1"/>
  <c r="I21"/>
  <c r="M26"/>
  <c r="K27" s="1"/>
  <c r="M27" s="1"/>
  <c r="K26"/>
  <c r="M42"/>
  <c r="K43" s="1"/>
  <c r="M43" s="1"/>
  <c r="K42"/>
  <c r="I28"/>
  <c r="I27"/>
  <c r="I26"/>
  <c r="K33"/>
  <c r="M33"/>
  <c r="K34" s="1"/>
  <c r="M34" s="1"/>
  <c r="K51"/>
  <c r="M51" s="1"/>
  <c r="K50"/>
  <c r="M50"/>
  <c r="M52" s="1"/>
  <c r="I50"/>
  <c r="I51" s="1"/>
  <c r="M11"/>
  <c r="K12" s="1"/>
  <c r="M12" s="1"/>
  <c r="M13"/>
  <c r="K11"/>
  <c r="M19"/>
  <c r="I34"/>
  <c r="I35" s="1"/>
  <c r="I43"/>
  <c r="I44" s="1"/>
  <c r="K20" l="1"/>
  <c r="M20"/>
  <c r="K21" s="1"/>
  <c r="M21" s="1"/>
  <c r="I52"/>
  <c r="I4" s="1"/>
  <c r="M35"/>
  <c r="M44"/>
  <c r="M28"/>
  <c r="M22" l="1"/>
  <c r="M4" s="1"/>
  <c r="D7" i="10" l="1"/>
  <c r="E7"/>
  <c r="F7"/>
  <c r="G7"/>
  <c r="H7"/>
  <c r="I7"/>
  <c r="J7"/>
  <c r="D14" i="8"/>
  <c r="E14"/>
  <c r="F14"/>
  <c r="G14"/>
  <c r="H14"/>
  <c r="I14"/>
  <c r="J14"/>
  <c r="E4" i="15" l="1"/>
  <c r="D4"/>
  <c r="F3"/>
  <c r="F4" s="1"/>
  <c r="L5" i="13"/>
  <c r="I5"/>
  <c r="F5"/>
  <c r="C5"/>
  <c r="N4"/>
  <c r="N5" s="1"/>
  <c r="K4"/>
  <c r="K5" s="1"/>
  <c r="H4"/>
  <c r="H5" s="1"/>
  <c r="E4"/>
  <c r="E5" s="1"/>
  <c r="F12" i="12"/>
  <c r="H12" s="1"/>
  <c r="F11"/>
  <c r="I11" s="1"/>
  <c r="F10"/>
  <c r="G10" s="1"/>
  <c r="F9"/>
  <c r="G9" s="1"/>
  <c r="F8"/>
  <c r="H8" s="1"/>
  <c r="F7"/>
  <c r="I7" s="1"/>
  <c r="F6"/>
  <c r="G6" s="1"/>
  <c r="F5"/>
  <c r="G5" s="1"/>
  <c r="F4"/>
  <c r="H4" s="1"/>
  <c r="I6" l="1"/>
  <c r="O5" i="13"/>
  <c r="O4"/>
  <c r="H7" i="12"/>
  <c r="H6"/>
  <c r="J6" s="1"/>
  <c r="K6" s="1"/>
  <c r="G7"/>
  <c r="J7" s="1"/>
  <c r="K7" s="1"/>
  <c r="I9"/>
  <c r="I10"/>
  <c r="H10"/>
  <c r="J10" s="1"/>
  <c r="K10" s="1"/>
  <c r="H11"/>
  <c r="I5"/>
  <c r="G11"/>
  <c r="G4"/>
  <c r="G8"/>
  <c r="G12"/>
  <c r="F13"/>
  <c r="I4"/>
  <c r="I8"/>
  <c r="I12"/>
  <c r="H5"/>
  <c r="H9"/>
  <c r="J11" l="1"/>
  <c r="K11" s="1"/>
  <c r="J9"/>
  <c r="K9" s="1"/>
  <c r="J5"/>
  <c r="K5" s="1"/>
  <c r="G13"/>
  <c r="H13"/>
  <c r="I13"/>
  <c r="J4"/>
  <c r="J8"/>
  <c r="K8" s="1"/>
  <c r="J12"/>
  <c r="K12" s="1"/>
  <c r="K4" l="1"/>
  <c r="K13" s="1"/>
  <c r="J13"/>
  <c r="N6" i="11" l="1"/>
  <c r="O5"/>
  <c r="M5"/>
  <c r="O4"/>
  <c r="O6" s="1"/>
  <c r="M4"/>
  <c r="K6" i="10" l="1"/>
  <c r="L6" s="1"/>
  <c r="K5"/>
  <c r="L5" l="1"/>
  <c r="L7" s="1"/>
  <c r="K7"/>
  <c r="G3" i="9"/>
  <c r="G4"/>
  <c r="F3"/>
  <c r="F4"/>
  <c r="E4"/>
  <c r="H4" s="1"/>
  <c r="E3"/>
  <c r="K13" i="8"/>
  <c r="L13" s="1"/>
  <c r="K12"/>
  <c r="L12" s="1"/>
  <c r="K11"/>
  <c r="L11" s="1"/>
  <c r="K10"/>
  <c r="L10" s="1"/>
  <c r="K9"/>
  <c r="L9" s="1"/>
  <c r="K8"/>
  <c r="L8" s="1"/>
  <c r="K7"/>
  <c r="L7" s="1"/>
  <c r="K6"/>
  <c r="L6" s="1"/>
  <c r="K5"/>
  <c r="D12" i="7"/>
  <c r="L5" i="8" l="1"/>
  <c r="L14" s="1"/>
  <c r="K14"/>
  <c r="H3" i="9"/>
  <c r="H5" s="1"/>
  <c r="E11" i="7" l="1"/>
  <c r="E10"/>
  <c r="E9"/>
  <c r="E8"/>
  <c r="E7"/>
  <c r="E6"/>
  <c r="E5"/>
  <c r="E4"/>
  <c r="E3"/>
  <c r="F11" i="6"/>
  <c r="E11"/>
  <c r="E12" i="7" l="1"/>
  <c r="H10" i="6"/>
  <c r="G10"/>
  <c r="H9"/>
  <c r="I9" s="1"/>
  <c r="H8"/>
  <c r="G8"/>
  <c r="H7"/>
  <c r="G7"/>
  <c r="H6"/>
  <c r="G6"/>
  <c r="H5"/>
  <c r="G5"/>
  <c r="H4"/>
  <c r="G4"/>
  <c r="H3"/>
  <c r="G3"/>
  <c r="J41" i="3"/>
  <c r="K41"/>
  <c r="G11" i="6" l="1"/>
  <c r="H11"/>
  <c r="I7"/>
  <c r="I6"/>
  <c r="I5"/>
  <c r="I10"/>
  <c r="I3"/>
  <c r="I8"/>
  <c r="I4"/>
  <c r="I11" l="1"/>
  <c r="K26" i="4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G41" i="3"/>
  <c r="F41"/>
  <c r="I40"/>
  <c r="L40" s="1"/>
  <c r="I37"/>
  <c r="L37" s="1"/>
  <c r="I38"/>
  <c r="L38" s="1"/>
  <c r="I39"/>
  <c r="L39" s="1"/>
  <c r="I36"/>
  <c r="L36" s="1"/>
  <c r="I28"/>
  <c r="L28" s="1"/>
  <c r="I29"/>
  <c r="L29" s="1"/>
  <c r="I30"/>
  <c r="L30" s="1"/>
  <c r="I31"/>
  <c r="L31" s="1"/>
  <c r="I32"/>
  <c r="L32" s="1"/>
  <c r="I33"/>
  <c r="L33" s="1"/>
  <c r="I34"/>
  <c r="L34" s="1"/>
  <c r="I35"/>
  <c r="L35" s="1"/>
  <c r="I27"/>
  <c r="L27" s="1"/>
  <c r="K27" i="4" l="1"/>
  <c r="I26" i="3"/>
  <c r="L26" s="1"/>
  <c r="I25"/>
  <c r="L25" s="1"/>
  <c r="I24"/>
  <c r="L24" s="1"/>
  <c r="I23"/>
  <c r="L23" s="1"/>
  <c r="I22"/>
  <c r="L22" s="1"/>
  <c r="I21"/>
  <c r="L21" s="1"/>
  <c r="I20"/>
  <c r="L20" s="1"/>
  <c r="I19"/>
  <c r="L19" s="1"/>
  <c r="I18"/>
  <c r="L18" s="1"/>
  <c r="I17"/>
  <c r="L17" s="1"/>
  <c r="I16"/>
  <c r="L16" s="1"/>
  <c r="I15"/>
  <c r="L15" s="1"/>
  <c r="I14"/>
  <c r="L14" s="1"/>
  <c r="I13"/>
  <c r="L13" s="1"/>
  <c r="I12"/>
  <c r="L12" s="1"/>
  <c r="I11"/>
  <c r="L11" s="1"/>
  <c r="I10"/>
  <c r="L10" s="1"/>
  <c r="I9"/>
  <c r="L9" s="1"/>
  <c r="I8"/>
  <c r="L8" s="1"/>
  <c r="I7"/>
  <c r="L7" s="1"/>
  <c r="I6"/>
  <c r="L6" s="1"/>
  <c r="I5"/>
  <c r="L5" s="1"/>
  <c r="I4"/>
  <c r="L4" s="1"/>
  <c r="I3"/>
  <c r="L3" l="1"/>
  <c r="L41" s="1"/>
  <c r="C8" i="30" s="1"/>
  <c r="I41" i="3"/>
  <c r="AJ4" i="2"/>
  <c r="AJ5"/>
  <c r="AJ6"/>
  <c r="AJ7"/>
  <c r="AJ8"/>
  <c r="AJ9"/>
  <c r="AJ10"/>
  <c r="AJ11"/>
  <c r="AJ12"/>
  <c r="AJ13"/>
  <c r="AJ14"/>
  <c r="AJ15"/>
  <c r="AJ16"/>
  <c r="AJ17"/>
  <c r="AD4"/>
  <c r="AD5"/>
  <c r="AD6"/>
  <c r="AD7"/>
  <c r="AD8"/>
  <c r="AD9"/>
  <c r="AD10"/>
  <c r="AD11"/>
  <c r="AD12"/>
  <c r="AD13"/>
  <c r="AD14"/>
  <c r="AD15"/>
  <c r="AD16"/>
  <c r="AD17"/>
  <c r="AB18"/>
  <c r="AA18"/>
  <c r="Z18"/>
  <c r="Y18"/>
  <c r="W18"/>
  <c r="V18"/>
  <c r="U18"/>
  <c r="T18"/>
  <c r="M18"/>
  <c r="L18"/>
  <c r="K18"/>
  <c r="J18"/>
  <c r="H18"/>
  <c r="G18"/>
  <c r="F18"/>
  <c r="E18"/>
  <c r="D18"/>
  <c r="AC17"/>
  <c r="AI17" s="1"/>
  <c r="X17"/>
  <c r="R17"/>
  <c r="Q17"/>
  <c r="P17"/>
  <c r="O17"/>
  <c r="N17"/>
  <c r="I17"/>
  <c r="AC16"/>
  <c r="AK16" s="1"/>
  <c r="X16"/>
  <c r="R16"/>
  <c r="Q16"/>
  <c r="P16"/>
  <c r="O16"/>
  <c r="N16"/>
  <c r="I16"/>
  <c r="AC15"/>
  <c r="AK15" s="1"/>
  <c r="X15"/>
  <c r="R15"/>
  <c r="Q15"/>
  <c r="P15"/>
  <c r="O15"/>
  <c r="N15"/>
  <c r="I15"/>
  <c r="AC14"/>
  <c r="AI14" s="1"/>
  <c r="X14"/>
  <c r="R14"/>
  <c r="Q14"/>
  <c r="P14"/>
  <c r="O14"/>
  <c r="N14"/>
  <c r="I14"/>
  <c r="AC13"/>
  <c r="AI13" s="1"/>
  <c r="X13"/>
  <c r="R13"/>
  <c r="Q13"/>
  <c r="P13"/>
  <c r="O13"/>
  <c r="N13"/>
  <c r="I13"/>
  <c r="AC12"/>
  <c r="AK12" s="1"/>
  <c r="X12"/>
  <c r="R12"/>
  <c r="Q12"/>
  <c r="P12"/>
  <c r="O12"/>
  <c r="N12"/>
  <c r="I12"/>
  <c r="AC11"/>
  <c r="AK11" s="1"/>
  <c r="X11"/>
  <c r="R11"/>
  <c r="Q11"/>
  <c r="P11"/>
  <c r="O11"/>
  <c r="N11"/>
  <c r="I11"/>
  <c r="AC10"/>
  <c r="AI10" s="1"/>
  <c r="X10"/>
  <c r="R10"/>
  <c r="Q10"/>
  <c r="P10"/>
  <c r="O10"/>
  <c r="N10"/>
  <c r="I10"/>
  <c r="AC9"/>
  <c r="AI9" s="1"/>
  <c r="X9"/>
  <c r="R9"/>
  <c r="Q9"/>
  <c r="P9"/>
  <c r="O9"/>
  <c r="N9"/>
  <c r="I9"/>
  <c r="AC8"/>
  <c r="AK8" s="1"/>
  <c r="X8"/>
  <c r="R8"/>
  <c r="Q8"/>
  <c r="P8"/>
  <c r="O8"/>
  <c r="N8"/>
  <c r="I8"/>
  <c r="AC7"/>
  <c r="AK7" s="1"/>
  <c r="X7"/>
  <c r="R7"/>
  <c r="Q7"/>
  <c r="P7"/>
  <c r="O7"/>
  <c r="N7"/>
  <c r="I7"/>
  <c r="AC6"/>
  <c r="AI6" s="1"/>
  <c r="X6"/>
  <c r="R6"/>
  <c r="Q6"/>
  <c r="P6"/>
  <c r="O6"/>
  <c r="N6"/>
  <c r="I6"/>
  <c r="AC5"/>
  <c r="AK5" s="1"/>
  <c r="X5"/>
  <c r="R5"/>
  <c r="Q5"/>
  <c r="P5"/>
  <c r="O5"/>
  <c r="N5"/>
  <c r="I5"/>
  <c r="AC4"/>
  <c r="AK4" s="1"/>
  <c r="X4"/>
  <c r="R4"/>
  <c r="Q4"/>
  <c r="P4"/>
  <c r="O4"/>
  <c r="N4"/>
  <c r="I4"/>
  <c r="D8" i="30" l="1"/>
  <c r="D17" s="1"/>
  <c r="C17"/>
  <c r="AD18" i="2"/>
  <c r="AJ18"/>
  <c r="AE11"/>
  <c r="AF11"/>
  <c r="AG7"/>
  <c r="AH9"/>
  <c r="AK17"/>
  <c r="AE15"/>
  <c r="AF13"/>
  <c r="AG11"/>
  <c r="AH13"/>
  <c r="AL13" s="1"/>
  <c r="AI7"/>
  <c r="AE17"/>
  <c r="AF15"/>
  <c r="AF5"/>
  <c r="AG15"/>
  <c r="AH17"/>
  <c r="AI11"/>
  <c r="AK9"/>
  <c r="AE7"/>
  <c r="AF17"/>
  <c r="AF9"/>
  <c r="AH5"/>
  <c r="AI15"/>
  <c r="AK13"/>
  <c r="AE16"/>
  <c r="AE12"/>
  <c r="AE8"/>
  <c r="AE4"/>
  <c r="AF14"/>
  <c r="AF10"/>
  <c r="AF6"/>
  <c r="AG16"/>
  <c r="AG12"/>
  <c r="AG8"/>
  <c r="AG4"/>
  <c r="AH14"/>
  <c r="AL14" s="1"/>
  <c r="AH10"/>
  <c r="AL10" s="1"/>
  <c r="AH6"/>
  <c r="AL6" s="1"/>
  <c r="AI16"/>
  <c r="AI12"/>
  <c r="AI8"/>
  <c r="AI4"/>
  <c r="AK14"/>
  <c r="AK10"/>
  <c r="AK6"/>
  <c r="AE13"/>
  <c r="AE9"/>
  <c r="AE5"/>
  <c r="AF7"/>
  <c r="AG17"/>
  <c r="AG13"/>
  <c r="AG9"/>
  <c r="AG5"/>
  <c r="AH15"/>
  <c r="AH11"/>
  <c r="AH7"/>
  <c r="AI5"/>
  <c r="AL17"/>
  <c r="AL9"/>
  <c r="AE14"/>
  <c r="AE10"/>
  <c r="AE6"/>
  <c r="AF16"/>
  <c r="AF12"/>
  <c r="AF8"/>
  <c r="AF4"/>
  <c r="AG14"/>
  <c r="AG10"/>
  <c r="AG6"/>
  <c r="AH16"/>
  <c r="AH12"/>
  <c r="AL12" s="1"/>
  <c r="AH8"/>
  <c r="AL8" s="1"/>
  <c r="AH4"/>
  <c r="P18"/>
  <c r="S6"/>
  <c r="S14"/>
  <c r="S11"/>
  <c r="O18"/>
  <c r="X18"/>
  <c r="S5"/>
  <c r="S12"/>
  <c r="S13"/>
  <c r="N18"/>
  <c r="R18"/>
  <c r="S7"/>
  <c r="S10"/>
  <c r="S15"/>
  <c r="I18"/>
  <c r="Q18"/>
  <c r="S8"/>
  <c r="S9"/>
  <c r="S16"/>
  <c r="S17"/>
  <c r="AC18"/>
  <c r="S4"/>
  <c r="E8" i="30" l="1"/>
  <c r="E17" s="1"/>
  <c r="AL16" i="2"/>
  <c r="AM16" s="1"/>
  <c r="AN16" s="1"/>
  <c r="AP16" s="1"/>
  <c r="AL15"/>
  <c r="AM15" s="1"/>
  <c r="AN15" s="1"/>
  <c r="AP15" s="1"/>
  <c r="AL5"/>
  <c r="AL7"/>
  <c r="AM7"/>
  <c r="AN7" s="1"/>
  <c r="AP7" s="1"/>
  <c r="AK18"/>
  <c r="AM6"/>
  <c r="AN6" s="1"/>
  <c r="AP6" s="1"/>
  <c r="AI18"/>
  <c r="AM9"/>
  <c r="AN9" s="1"/>
  <c r="AP9" s="1"/>
  <c r="AM14"/>
  <c r="AN14" s="1"/>
  <c r="AP14" s="1"/>
  <c r="AL11"/>
  <c r="AM11" s="1"/>
  <c r="AN11" s="1"/>
  <c r="AP11" s="1"/>
  <c r="AE18"/>
  <c r="AL4"/>
  <c r="AH18"/>
  <c r="AF18"/>
  <c r="AG18"/>
  <c r="AM4"/>
  <c r="AN4" s="1"/>
  <c r="AM17"/>
  <c r="AN17" s="1"/>
  <c r="AP17" s="1"/>
  <c r="AM5"/>
  <c r="AN5" s="1"/>
  <c r="AP5" s="1"/>
  <c r="AM10"/>
  <c r="AN10" s="1"/>
  <c r="AP10" s="1"/>
  <c r="AM13"/>
  <c r="AN13" s="1"/>
  <c r="AP13" s="1"/>
  <c r="AM12"/>
  <c r="AN12" s="1"/>
  <c r="AP12" s="1"/>
  <c r="AM8"/>
  <c r="AN8" s="1"/>
  <c r="AP8" s="1"/>
  <c r="S18"/>
  <c r="AN18" l="1"/>
  <c r="AP4"/>
  <c r="AP18" s="1"/>
  <c r="AL18"/>
  <c r="AM18"/>
</calcChain>
</file>

<file path=xl/comments1.xml><?xml version="1.0" encoding="utf-8"?>
<comments xmlns="http://schemas.openxmlformats.org/spreadsheetml/2006/main">
  <authors>
    <author>钱兢</author>
  </authors>
  <commentList>
    <comment ref="C17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初中部小学部共3门，其中2门5保，1门人车分离2保，共12保，另区考试中心；学籍中心1门3保。
</t>
        </r>
      </text>
    </comment>
    <comment ref="C18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
初中部小学部共3门，其中2门5保，1门人车分离2保，共12保，另区考试中心；学籍中心1门3保。
</t>
        </r>
      </text>
    </comment>
  </commentList>
</comments>
</file>

<file path=xl/sharedStrings.xml><?xml version="1.0" encoding="utf-8"?>
<sst xmlns="http://schemas.openxmlformats.org/spreadsheetml/2006/main" count="839" uniqueCount="343">
  <si>
    <t>镇属</t>
  </si>
  <si>
    <t>学校</t>
  </si>
  <si>
    <t>学段</t>
    <phoneticPr fontId="1" type="noConversion"/>
  </si>
  <si>
    <t>园部</t>
    <phoneticPr fontId="1" type="noConversion"/>
  </si>
  <si>
    <t>教育教辅后勤应配用工人数(2022人保提供）</t>
    <phoneticPr fontId="1" type="noConversion"/>
  </si>
  <si>
    <t>因故额外增加临时额度（2022人保提供）</t>
    <phoneticPr fontId="1" type="noConversion"/>
  </si>
  <si>
    <t>教育教辅后勤应配用工人数(正常额度+临时额度）</t>
  </si>
  <si>
    <t>现有辅助用工人数（2022年人保科提供）</t>
    <phoneticPr fontId="1" type="noConversion"/>
  </si>
  <si>
    <t>财政资金应配备人数</t>
  </si>
  <si>
    <t>专技岗位
应配人数</t>
  </si>
  <si>
    <t>管理岗位
应配人数</t>
  </si>
  <si>
    <t>技术岗位
应配人数</t>
  </si>
  <si>
    <t>勤杂岗位
应配人数</t>
  </si>
  <si>
    <t>合计</t>
  </si>
  <si>
    <t>工资
（1-12月）</t>
  </si>
  <si>
    <t>福利费
（1月-12月）</t>
  </si>
  <si>
    <t>伙食费
（1-12月）</t>
  </si>
  <si>
    <t>工会经费
（1-12月）</t>
  </si>
  <si>
    <t>考核
（1-12月）</t>
  </si>
  <si>
    <t>奖金</t>
    <phoneticPr fontId="1" type="noConversion"/>
  </si>
  <si>
    <t>掌勺津贴</t>
    <phoneticPr fontId="1" type="noConversion"/>
  </si>
  <si>
    <t>合计</t>
    <phoneticPr fontId="1" type="noConversion"/>
  </si>
  <si>
    <t>非义务</t>
    <phoneticPr fontId="1" type="noConversion"/>
  </si>
  <si>
    <t>义务</t>
    <phoneticPr fontId="1" type="noConversion"/>
  </si>
  <si>
    <t>颛桥</t>
  </si>
  <si>
    <t>上海师范大学闵行实验幼儿园</t>
  </si>
  <si>
    <t>闵行区君莲幼儿园</t>
  </si>
  <si>
    <t>闵行区颛桥镇第一幼儿园</t>
  </si>
  <si>
    <t>闵行区颛桥镇幼儿园</t>
  </si>
  <si>
    <t>闵行区北桥中心小学</t>
  </si>
  <si>
    <t>闵行区田园外语实验小学</t>
  </si>
  <si>
    <t>闵行区田园第二外语实验小学</t>
  </si>
  <si>
    <t>闵行区颛桥中心小学</t>
  </si>
  <si>
    <t>闵行区北桥中学</t>
  </si>
  <si>
    <t>闵行区颛桥中学</t>
  </si>
  <si>
    <t>闵行区君莲学校</t>
  </si>
  <si>
    <t>田园外国语中学</t>
  </si>
  <si>
    <t>田园都市幼儿园</t>
  </si>
  <si>
    <t>颛桥第二幼儿园</t>
  </si>
  <si>
    <t>颛桥合计</t>
  </si>
  <si>
    <t>2023年金额（年初预算：按中位数测算，学校实际执行按人事部门规定标准执行，严禁超标准发放）</t>
    <phoneticPr fontId="1" type="noConversion"/>
  </si>
  <si>
    <t>管理费
（2023年全年）</t>
    <phoneticPr fontId="1" type="noConversion"/>
  </si>
  <si>
    <t>值班单价</t>
    <phoneticPr fontId="3" type="noConversion"/>
  </si>
  <si>
    <t>值班金额</t>
    <phoneticPr fontId="3" type="noConversion"/>
  </si>
  <si>
    <t>所属大队</t>
    <phoneticPr fontId="3" type="noConversion"/>
  </si>
  <si>
    <t>备注</t>
    <phoneticPr fontId="3" type="noConversion"/>
  </si>
  <si>
    <t>七</t>
    <phoneticPr fontId="3" type="noConversion"/>
  </si>
  <si>
    <t>五</t>
    <phoneticPr fontId="3" type="noConversion"/>
  </si>
  <si>
    <r>
      <rPr>
        <sz val="10"/>
        <rFont val="宋体"/>
        <family val="3"/>
        <charset val="134"/>
      </rPr>
      <t>颛桥中学</t>
    </r>
    <phoneticPr fontId="3" type="noConversion"/>
  </si>
  <si>
    <t>颛桥镇</t>
    <phoneticPr fontId="3" type="noConversion"/>
  </si>
  <si>
    <r>
      <rPr>
        <sz val="10"/>
        <color indexed="8"/>
        <rFont val="宋体"/>
        <family val="3"/>
        <charset val="134"/>
      </rPr>
      <t>正门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人、后门</t>
    </r>
    <r>
      <rPr>
        <sz val="10"/>
        <color indexed="8"/>
        <rFont val="Arial"/>
        <family val="2"/>
      </rPr>
      <t>4</t>
    </r>
    <r>
      <rPr>
        <sz val="10"/>
        <color indexed="8"/>
        <rFont val="宋体"/>
        <family val="3"/>
        <charset val="134"/>
      </rPr>
      <t>人</t>
    </r>
    <phoneticPr fontId="3" type="noConversion"/>
  </si>
  <si>
    <r>
      <rPr>
        <sz val="10"/>
        <rFont val="宋体"/>
        <family val="3"/>
        <charset val="134"/>
      </rPr>
      <t>北桥中学</t>
    </r>
    <phoneticPr fontId="3" type="noConversion"/>
  </si>
  <si>
    <r>
      <rPr>
        <sz val="10"/>
        <rFont val="宋体"/>
        <family val="3"/>
        <charset val="134"/>
      </rPr>
      <t>北桥中心小学</t>
    </r>
    <phoneticPr fontId="3" type="noConversion"/>
  </si>
  <si>
    <r>
      <rPr>
        <sz val="10"/>
        <rFont val="宋体"/>
        <family val="3"/>
        <charset val="134"/>
      </rPr>
      <t>颛桥小学</t>
    </r>
    <phoneticPr fontId="3" type="noConversion"/>
  </si>
  <si>
    <t>田园小学金都校区</t>
    <phoneticPr fontId="3" type="noConversion"/>
  </si>
  <si>
    <t>田园小学银都校区</t>
    <phoneticPr fontId="3" type="noConversion"/>
  </si>
  <si>
    <r>
      <rPr>
        <sz val="10"/>
        <rFont val="宋体"/>
        <family val="3"/>
        <charset val="134"/>
      </rPr>
      <t>颛桥第一幼儿园</t>
    </r>
    <phoneticPr fontId="3" type="noConversion"/>
  </si>
  <si>
    <t>总园</t>
  </si>
  <si>
    <t>银桥分园</t>
    <phoneticPr fontId="3" type="noConversion"/>
  </si>
  <si>
    <r>
      <rPr>
        <sz val="10"/>
        <rFont val="宋体"/>
        <family val="3"/>
        <charset val="134"/>
      </rPr>
      <t>颛桥镇幼儿总园</t>
    </r>
    <phoneticPr fontId="3" type="noConversion"/>
  </si>
  <si>
    <t>新闵分园</t>
    <phoneticPr fontId="3" type="noConversion"/>
  </si>
  <si>
    <t>荣顺分园</t>
    <phoneticPr fontId="3" type="noConversion"/>
  </si>
  <si>
    <t>繁盛分园</t>
    <phoneticPr fontId="3" type="noConversion"/>
  </si>
  <si>
    <t>田园都市幼儿园</t>
    <phoneticPr fontId="3" type="noConversion"/>
  </si>
  <si>
    <t>田园都市幼儿园银三园</t>
    <phoneticPr fontId="3" type="noConversion"/>
  </si>
  <si>
    <r>
      <rPr>
        <sz val="10"/>
        <rFont val="宋体"/>
        <family val="3"/>
        <charset val="134"/>
      </rPr>
      <t>君莲幼儿园</t>
    </r>
    <phoneticPr fontId="3" type="noConversion"/>
  </si>
  <si>
    <t>六</t>
    <phoneticPr fontId="3" type="noConversion"/>
  </si>
  <si>
    <r>
      <rPr>
        <sz val="10"/>
        <rFont val="宋体"/>
        <family val="3"/>
        <charset val="134"/>
      </rPr>
      <t>君莲学校</t>
    </r>
    <phoneticPr fontId="3" type="noConversion"/>
  </si>
  <si>
    <r>
      <rPr>
        <sz val="10"/>
        <rFont val="宋体"/>
        <family val="3"/>
        <charset val="134"/>
      </rPr>
      <t>上师大实验幼儿园</t>
    </r>
    <phoneticPr fontId="3" type="noConversion"/>
  </si>
  <si>
    <t>上师大实验幼儿园翔泰分园</t>
    <phoneticPr fontId="3" type="noConversion"/>
  </si>
  <si>
    <r>
      <rPr>
        <sz val="10"/>
        <rFont val="宋体"/>
        <family val="3"/>
        <charset val="134"/>
      </rPr>
      <t>君莲幼儿园分园</t>
    </r>
    <phoneticPr fontId="3" type="noConversion"/>
  </si>
  <si>
    <t>原春都分园</t>
    <phoneticPr fontId="3" type="noConversion"/>
  </si>
  <si>
    <t>闵行区田园第二外语实验小学</t>
    <phoneticPr fontId="3" type="noConversion"/>
  </si>
  <si>
    <t>2018年7月1日派驻</t>
    <phoneticPr fontId="3" type="noConversion"/>
  </si>
  <si>
    <t>上海市闵行区田园外国语中学</t>
    <phoneticPr fontId="3" type="noConversion"/>
  </si>
  <si>
    <t>上海市闵行区颛桥镇第二幼儿园</t>
    <phoneticPr fontId="3" type="noConversion"/>
  </si>
  <si>
    <t>华星小学</t>
    <phoneticPr fontId="1" type="noConversion"/>
  </si>
  <si>
    <t>学段</t>
    <phoneticPr fontId="1" type="noConversion"/>
  </si>
  <si>
    <t>一贯制</t>
    <phoneticPr fontId="1" type="noConversion"/>
  </si>
  <si>
    <t>性质</t>
    <phoneticPr fontId="1" type="noConversion"/>
  </si>
  <si>
    <t>公办</t>
    <phoneticPr fontId="1" type="noConversion"/>
  </si>
  <si>
    <t>民办</t>
    <phoneticPr fontId="1" type="noConversion"/>
  </si>
  <si>
    <t>学前</t>
    <phoneticPr fontId="1" type="noConversion"/>
  </si>
  <si>
    <t>小学</t>
    <phoneticPr fontId="1" type="noConversion"/>
  </si>
  <si>
    <t>初中</t>
    <phoneticPr fontId="1" type="noConversion"/>
  </si>
  <si>
    <t>农民工小学</t>
    <phoneticPr fontId="1" type="noConversion"/>
  </si>
  <si>
    <t>君莲学校小学部</t>
    <phoneticPr fontId="3" type="noConversion"/>
  </si>
  <si>
    <t>银星小学</t>
    <phoneticPr fontId="1" type="noConversion"/>
  </si>
  <si>
    <r>
      <rPr>
        <sz val="10"/>
        <color indexed="8"/>
        <rFont val="宋体"/>
        <family val="3"/>
        <charset val="134"/>
      </rPr>
      <t>嘟嘟幼儿园</t>
    </r>
    <phoneticPr fontId="1" type="noConversion"/>
  </si>
  <si>
    <r>
      <rPr>
        <sz val="10"/>
        <color indexed="8"/>
        <rFont val="宋体"/>
        <family val="3"/>
        <charset val="134"/>
      </rPr>
      <t>博爱满庭芳幼儿园</t>
    </r>
    <phoneticPr fontId="1" type="noConversion"/>
  </si>
  <si>
    <r>
      <rPr>
        <sz val="10"/>
        <color indexed="8"/>
        <rFont val="宋体"/>
        <family val="3"/>
        <charset val="134"/>
      </rPr>
      <t>哈哈幼儿园</t>
    </r>
    <phoneticPr fontId="1" type="noConversion"/>
  </si>
  <si>
    <r>
      <rPr>
        <sz val="10"/>
        <color indexed="8"/>
        <rFont val="宋体"/>
        <family val="3"/>
        <charset val="134"/>
      </rPr>
      <t>嘟嘟雅歌幼儿园</t>
    </r>
    <phoneticPr fontId="1" type="noConversion"/>
  </si>
  <si>
    <r>
      <rPr>
        <sz val="10"/>
        <color indexed="8"/>
        <rFont val="宋体"/>
        <family val="3"/>
        <charset val="134"/>
      </rPr>
      <t>常春藤幼儿园</t>
    </r>
    <phoneticPr fontId="1" type="noConversion"/>
  </si>
  <si>
    <t>上海闵行区学乐星幼儿园</t>
    <phoneticPr fontId="1" type="noConversion"/>
  </si>
  <si>
    <r>
      <rPr>
        <sz val="9"/>
        <color indexed="8"/>
        <rFont val="宋体"/>
        <family val="3"/>
        <charset val="134"/>
      </rPr>
      <t>民办鲁冰花幼儿园</t>
    </r>
    <phoneticPr fontId="1" type="noConversion"/>
  </si>
  <si>
    <r>
      <rPr>
        <sz val="9"/>
        <color indexed="8"/>
        <rFont val="宋体"/>
        <family val="3"/>
        <charset val="134"/>
      </rPr>
      <t>民办新春幼儿园</t>
    </r>
    <phoneticPr fontId="1" type="noConversion"/>
  </si>
  <si>
    <t>金盛幼儿园</t>
    <phoneticPr fontId="1" type="noConversion"/>
  </si>
  <si>
    <t>烛光幼儿园</t>
    <phoneticPr fontId="1" type="noConversion"/>
  </si>
  <si>
    <t>初中</t>
    <phoneticPr fontId="3" type="noConversion"/>
  </si>
  <si>
    <t>星河湾学校</t>
    <phoneticPr fontId="1" type="noConversion"/>
  </si>
  <si>
    <t>学校名称</t>
  </si>
  <si>
    <t>学校办别</t>
  </si>
  <si>
    <t>学校类别</t>
  </si>
  <si>
    <t>所在街镇</t>
  </si>
  <si>
    <t>合计服务数量
（不含摄像头）</t>
  </si>
  <si>
    <t>合计服务数量（含摄像头）</t>
  </si>
  <si>
    <t>总数</t>
  </si>
  <si>
    <t>单价
（不含摄像头）
元/月/路</t>
  </si>
  <si>
    <t>单价
（含摄像头）
元/月/路</t>
  </si>
  <si>
    <t>服务期
（月）</t>
  </si>
  <si>
    <t>总价</t>
  </si>
  <si>
    <t>小学</t>
  </si>
  <si>
    <t>镇管</t>
  </si>
  <si>
    <t>初级中学</t>
  </si>
  <si>
    <t>九年一贯制</t>
  </si>
  <si>
    <t>幼儿园</t>
  </si>
  <si>
    <t>上海市闵行区北桥中学</t>
  </si>
  <si>
    <t>颛桥镇</t>
  </si>
  <si>
    <t>上海市闵行区君莲学校</t>
  </si>
  <si>
    <t>上海市闵行区颛桥中学</t>
  </si>
  <si>
    <t>上海市闵行区田园外语实验小学</t>
  </si>
  <si>
    <t>上海市闵行区田园外语实验小学金都校区</t>
  </si>
  <si>
    <t>上海市闵行区君莲学校小学部</t>
  </si>
  <si>
    <t>上海市闵行区颛桥镇幼儿园</t>
  </si>
  <si>
    <t>上海市闵行区颛桥镇幼儿园莘闵分园</t>
  </si>
  <si>
    <t>上海市闵行区颛桥镇幼儿园繁盛分园</t>
  </si>
  <si>
    <t>上海市闵行区颛桥镇第一幼儿园</t>
  </si>
  <si>
    <t>上海市闵行区颛桥镇第一幼儿园田园分园</t>
  </si>
  <si>
    <t>上海市闵行区君莲幼儿园</t>
  </si>
  <si>
    <t>上海市闵行区君莲幼儿园春都分园</t>
  </si>
  <si>
    <t>上海师范大学闵行实验幼儿园翔泰分园</t>
  </si>
  <si>
    <t>上海市闵行区田园外国语中学</t>
  </si>
  <si>
    <t>闵行区田园都市幼儿园银三分园</t>
  </si>
  <si>
    <t>颛桥镇第一幼儿园银桥分园</t>
  </si>
  <si>
    <t>上海闵行区民办华星小学</t>
  </si>
  <si>
    <t>上海闵行区民办银星学校</t>
  </si>
  <si>
    <t>上海市闵行区颛桥镇第二幼儿园</t>
  </si>
  <si>
    <t>颛桥镇 汇总</t>
  </si>
  <si>
    <t>镇属</t>
    <phoneticPr fontId="1" type="noConversion"/>
  </si>
  <si>
    <t>颛桥</t>
    <phoneticPr fontId="1" type="noConversion"/>
  </si>
  <si>
    <t>2023年镇管单位补充公用经费预算表</t>
    <phoneticPr fontId="1" type="noConversion"/>
  </si>
  <si>
    <t>属性</t>
  </si>
  <si>
    <t>性质</t>
  </si>
  <si>
    <t>初中</t>
  </si>
  <si>
    <r>
      <rPr>
        <sz val="10"/>
        <rFont val="宋体"/>
        <family val="3"/>
        <charset val="134"/>
      </rPr>
      <t>上海市闵行区田园外语实验小学</t>
    </r>
  </si>
  <si>
    <t>田园二外小</t>
  </si>
  <si>
    <r>
      <rPr>
        <sz val="10"/>
        <rFont val="宋体"/>
        <family val="3"/>
        <charset val="134"/>
      </rPr>
      <t>闵行区颛桥中心小学</t>
    </r>
  </si>
  <si>
    <r>
      <rPr>
        <sz val="10"/>
        <rFont val="宋体"/>
        <family val="3"/>
        <charset val="134"/>
      </rPr>
      <t>闵行区北桥中心小学</t>
    </r>
  </si>
  <si>
    <r>
      <rPr>
        <sz val="10"/>
        <rFont val="宋体"/>
        <family val="3"/>
        <charset val="134"/>
      </rPr>
      <t>闵行区君莲学校</t>
    </r>
  </si>
  <si>
    <r>
      <rPr>
        <sz val="10"/>
        <rFont val="宋体"/>
        <family val="3"/>
        <charset val="134"/>
      </rPr>
      <t>上海市闵行区北桥中学</t>
    </r>
  </si>
  <si>
    <r>
      <rPr>
        <sz val="10"/>
        <rFont val="宋体"/>
        <family val="3"/>
        <charset val="134"/>
      </rPr>
      <t>上海市闵行区颛桥中学</t>
    </r>
  </si>
  <si>
    <t>颛桥 汇总</t>
  </si>
  <si>
    <t xml:space="preserve"> 单位名称</t>
  </si>
  <si>
    <t>单位类别</t>
  </si>
  <si>
    <t>合计</t>
    <phoneticPr fontId="1" type="noConversion"/>
  </si>
  <si>
    <t>九年一贯</t>
  </si>
  <si>
    <t>君莲学校（中学）</t>
    <phoneticPr fontId="1" type="noConversion"/>
  </si>
  <si>
    <t>君莲学校（小学）</t>
    <phoneticPr fontId="1" type="noConversion"/>
  </si>
  <si>
    <t>北桥小学</t>
  </si>
  <si>
    <t>颛桥小学</t>
  </si>
  <si>
    <t>田园外小</t>
  </si>
  <si>
    <t>颛桥中学</t>
  </si>
  <si>
    <t>北桥中学</t>
  </si>
  <si>
    <t>2023年公办义务教育减免书薄费预算表</t>
    <phoneticPr fontId="3" type="noConversion"/>
  </si>
  <si>
    <t>2023年公办义务教育营养午餐预算表</t>
    <phoneticPr fontId="1" type="noConversion"/>
  </si>
  <si>
    <t>2022年第一学期各资助类型金额</t>
    <phoneticPr fontId="1" type="noConversion"/>
  </si>
  <si>
    <t>全年</t>
    <phoneticPr fontId="1" type="noConversion"/>
  </si>
  <si>
    <t>建档立卡贫困家庭学生</t>
    <phoneticPr fontId="1" type="noConversion"/>
  </si>
  <si>
    <t>适龄孤儿</t>
    <phoneticPr fontId="1" type="noConversion"/>
  </si>
  <si>
    <t>低收入家庭学生</t>
  </si>
  <si>
    <t>困境儿童</t>
  </si>
  <si>
    <t>低保家庭学生</t>
    <phoneticPr fontId="1" type="noConversion"/>
  </si>
  <si>
    <t>烈士家庭学生数</t>
  </si>
  <si>
    <t>残疾学生</t>
    <phoneticPr fontId="1" type="noConversion"/>
  </si>
  <si>
    <t>金额</t>
  </si>
  <si>
    <t>君莲学校（初中）</t>
    <phoneticPr fontId="1" type="noConversion"/>
  </si>
  <si>
    <t>君莲学校（小学）</t>
  </si>
  <si>
    <t>2023年公办义务教育资助预算表</t>
    <phoneticPr fontId="1" type="noConversion"/>
  </si>
  <si>
    <t>合计</t>
    <phoneticPr fontId="3" type="noConversion"/>
  </si>
  <si>
    <t>闵行区民办银星学校</t>
  </si>
  <si>
    <t>消耗性材料数</t>
    <phoneticPr fontId="3" type="noConversion"/>
  </si>
  <si>
    <t>体检费</t>
    <phoneticPr fontId="3" type="noConversion"/>
  </si>
  <si>
    <t>2023年农民工学校生均补贴预算表</t>
    <phoneticPr fontId="1" type="noConversion"/>
  </si>
  <si>
    <t>学生数</t>
    <phoneticPr fontId="1" type="noConversion"/>
  </si>
  <si>
    <t>生均标准</t>
    <phoneticPr fontId="3" type="noConversion"/>
  </si>
  <si>
    <t>生均金额</t>
    <phoneticPr fontId="3" type="noConversion"/>
  </si>
  <si>
    <t>银星学校</t>
  </si>
  <si>
    <t>华星小学</t>
  </si>
  <si>
    <t>2023年农民工学校义务教育资助调整预算表</t>
    <phoneticPr fontId="1" type="noConversion"/>
  </si>
  <si>
    <t>一年级</t>
  </si>
  <si>
    <t>二年级</t>
  </si>
  <si>
    <t>三年级</t>
  </si>
  <si>
    <t>四年级</t>
  </si>
  <si>
    <t>五年级</t>
  </si>
  <si>
    <t>2018年下半年学生人数</t>
  </si>
  <si>
    <t>学生人数</t>
    <phoneticPr fontId="1" type="noConversion"/>
  </si>
  <si>
    <t>金额</t>
    <phoneticPr fontId="1" type="noConversion"/>
  </si>
  <si>
    <t>班级数</t>
  </si>
  <si>
    <t>学生数</t>
  </si>
  <si>
    <t>2023闵行区随迁子女学校减免书簿预算表</t>
    <phoneticPr fontId="1" type="noConversion"/>
  </si>
  <si>
    <t>补贴标准元/生/半年</t>
  </si>
  <si>
    <t>金额（元）</t>
  </si>
  <si>
    <t>上海闵行区嘟嘟幼儿园</t>
  </si>
  <si>
    <t>上海闵行区博爱满庭芳幼儿园</t>
  </si>
  <si>
    <t>上海闵行区哈哈幼稚园</t>
  </si>
  <si>
    <t>上海闵行区嘟嘟雅歌幼儿园</t>
  </si>
  <si>
    <t>上海闵行区常春藤幼儿园</t>
  </si>
  <si>
    <t>上海闵行区颛桥镇颛溪幼儿园</t>
  </si>
  <si>
    <t>上海闵行区颛桥镇日月华亭幼儿园</t>
  </si>
  <si>
    <t>上海闵行区私立蒙特梭利幼儿园</t>
  </si>
  <si>
    <t>上海闵行区学乐星幼儿园</t>
  </si>
  <si>
    <t>颛桥小计</t>
  </si>
  <si>
    <t>幼儿园二级</t>
    <phoneticPr fontId="3" type="noConversion"/>
  </si>
  <si>
    <r>
      <t>2</t>
    </r>
    <r>
      <rPr>
        <sz val="9"/>
        <rFont val="宋体"/>
        <family val="3"/>
        <charset val="134"/>
      </rPr>
      <t>021年9-2022年1月小区生情况</t>
    </r>
    <phoneticPr fontId="3" type="noConversion"/>
  </si>
  <si>
    <t>2023年2月-2023年6月</t>
    <phoneticPr fontId="3" type="noConversion"/>
  </si>
  <si>
    <r>
      <t>2023年9月-202</t>
    </r>
    <r>
      <rPr>
        <sz val="9"/>
        <rFont val="宋体"/>
        <family val="3"/>
        <charset val="134"/>
      </rPr>
      <t>3年12月</t>
    </r>
    <phoneticPr fontId="3" type="noConversion"/>
  </si>
  <si>
    <t>总计</t>
    <phoneticPr fontId="3" type="noConversion"/>
  </si>
  <si>
    <t>小区生月平均人数</t>
    <phoneticPr fontId="3" type="noConversion"/>
  </si>
  <si>
    <t>乡镇</t>
    <phoneticPr fontId="3" type="noConversion"/>
  </si>
  <si>
    <t>学校</t>
    <phoneticPr fontId="3" type="noConversion"/>
  </si>
  <si>
    <t>70%下达</t>
    <phoneticPr fontId="3" type="noConversion"/>
  </si>
  <si>
    <t>2023年镇级小区生补贴预算表</t>
    <phoneticPr fontId="3" type="noConversion"/>
  </si>
  <si>
    <t>乡镇</t>
  </si>
  <si>
    <t>隶属关系</t>
  </si>
  <si>
    <t>小学（1125元/学期/人）</t>
  </si>
  <si>
    <t>中学（1325元/学期/人）</t>
  </si>
  <si>
    <t>民办义务教育寄宿生补助（100/学期）（初中教育）</t>
  </si>
  <si>
    <t>民办高中学费补贴（650/学期）</t>
  </si>
  <si>
    <t>人数</t>
  </si>
  <si>
    <t>标准</t>
  </si>
  <si>
    <t>上海星河湾双语学校</t>
  </si>
  <si>
    <t>颛桥合计</t>
    <phoneticPr fontId="1" type="noConversion"/>
  </si>
  <si>
    <t>2023年镇管学校保安经费预算表</t>
    <phoneticPr fontId="3" type="noConversion"/>
  </si>
  <si>
    <t>2023年镇管学校视频联网预算表</t>
    <phoneticPr fontId="1" type="noConversion"/>
  </si>
  <si>
    <t>2023年民办学校生均补贴预算表</t>
    <phoneticPr fontId="1" type="noConversion"/>
  </si>
  <si>
    <t>2023年民办义务教育减免书薄费</t>
    <phoneticPr fontId="1" type="noConversion"/>
  </si>
  <si>
    <t>镇属</t>
    <phoneticPr fontId="1" type="noConversion"/>
  </si>
  <si>
    <t>一次分配合计</t>
    <phoneticPr fontId="1" type="noConversion"/>
  </si>
  <si>
    <t>其中：教育局</t>
    <phoneticPr fontId="1" type="noConversion"/>
  </si>
  <si>
    <t>社保公积金
（35.756%）</t>
    <phoneticPr fontId="1" type="noConversion"/>
  </si>
  <si>
    <r>
      <rPr>
        <sz val="11"/>
        <rFont val="宋体"/>
        <family val="3"/>
        <charset val="134"/>
      </rPr>
      <t>学校名称</t>
    </r>
    <phoneticPr fontId="3" type="noConversion"/>
  </si>
  <si>
    <r>
      <rPr>
        <sz val="11"/>
        <color indexed="8"/>
        <rFont val="宋体"/>
        <family val="3"/>
        <charset val="134"/>
      </rPr>
      <t>所属街镇</t>
    </r>
    <phoneticPr fontId="3" type="noConversion"/>
  </si>
  <si>
    <t>校区门数</t>
    <phoneticPr fontId="3" type="noConversion"/>
  </si>
  <si>
    <r>
      <rPr>
        <sz val="11"/>
        <rFont val="宋体"/>
        <family val="3"/>
        <charset val="134"/>
      </rPr>
      <t>在岗人数</t>
    </r>
    <phoneticPr fontId="3" type="noConversion"/>
  </si>
  <si>
    <t>立蒙特梭利幼儿园</t>
    <phoneticPr fontId="1" type="noConversion"/>
  </si>
  <si>
    <t>颛溪八村幼儿园</t>
    <phoneticPr fontId="1" type="noConversion"/>
  </si>
  <si>
    <t>日月华庭幼儿园</t>
    <phoneticPr fontId="1" type="noConversion"/>
  </si>
  <si>
    <t>颛桥小计</t>
    <phoneticPr fontId="3" type="noConversion"/>
  </si>
  <si>
    <t>小学金额
（175元/学期*2）</t>
    <phoneticPr fontId="3" type="noConversion"/>
  </si>
  <si>
    <t>初中金额
（215元/学期*2）</t>
    <phoneticPr fontId="3" type="noConversion"/>
  </si>
  <si>
    <t>田园初中</t>
    <phoneticPr fontId="1" type="noConversion"/>
  </si>
  <si>
    <t>下半年金额</t>
    <phoneticPr fontId="1" type="noConversion"/>
  </si>
  <si>
    <t>九年一贯</t>
    <phoneticPr fontId="1" type="noConversion"/>
  </si>
  <si>
    <t>中学</t>
    <phoneticPr fontId="1" type="noConversion"/>
  </si>
  <si>
    <t>颛桥</t>
    <phoneticPr fontId="1" type="noConversion"/>
  </si>
  <si>
    <t>学段</t>
    <phoneticPr fontId="1" type="noConversion"/>
  </si>
  <si>
    <t>全年</t>
    <phoneticPr fontId="1" type="noConversion"/>
  </si>
  <si>
    <t>建档立卡贫困家庭学生</t>
    <phoneticPr fontId="1" type="noConversion"/>
  </si>
  <si>
    <t>低保家庭学生</t>
    <phoneticPr fontId="1" type="noConversion"/>
  </si>
  <si>
    <t>适龄孤儿</t>
    <phoneticPr fontId="1" type="noConversion"/>
  </si>
  <si>
    <t>残疾学生</t>
    <phoneticPr fontId="1" type="noConversion"/>
  </si>
  <si>
    <t>合计</t>
    <phoneticPr fontId="1" type="noConversion"/>
  </si>
  <si>
    <t>颛桥</t>
    <phoneticPr fontId="1" type="noConversion"/>
  </si>
  <si>
    <t>颛桥小计</t>
    <phoneticPr fontId="1" type="noConversion"/>
  </si>
  <si>
    <t>2022年第一学期各资助类型金额</t>
    <phoneticPr fontId="1" type="noConversion"/>
  </si>
  <si>
    <t>序号</t>
  </si>
  <si>
    <t>单位</t>
  </si>
  <si>
    <t>工程量</t>
  </si>
  <si>
    <t>㎡</t>
  </si>
  <si>
    <t>建安费合计</t>
  </si>
  <si>
    <t>校舍修缮</t>
  </si>
  <si>
    <t>预备费（按5%计）</t>
  </si>
  <si>
    <t>一</t>
    <phoneticPr fontId="6" type="noConversion"/>
  </si>
  <si>
    <t>教学楼</t>
  </si>
  <si>
    <t>m</t>
  </si>
  <si>
    <t>项</t>
  </si>
  <si>
    <t>校舍维修</t>
  </si>
  <si>
    <t>场地</t>
  </si>
  <si>
    <t>篮球场基础修补</t>
  </si>
  <si>
    <t>篮球场新做8厚硅PU</t>
  </si>
  <si>
    <t>塑胶跑道基础修补</t>
  </si>
  <si>
    <t>塑胶跑道新做13厚塑胶面层</t>
  </si>
  <si>
    <t>塑胶跑道排水沟盖板及疏通</t>
  </si>
  <si>
    <t>学校全称</t>
  </si>
  <si>
    <t>维修类型</t>
  </si>
  <si>
    <t>建筑物名称</t>
  </si>
  <si>
    <t>校舍维修内容</t>
  </si>
  <si>
    <t>申报</t>
  </si>
  <si>
    <t>单价（元）</t>
  </si>
  <si>
    <t>合价（元）</t>
  </si>
  <si>
    <t>二类费用</t>
    <phoneticPr fontId="6" type="noConversion"/>
  </si>
  <si>
    <t>上海市闵行区教育局2022年镇管学校校舍修缮专项项目预算审核明细表(颛桥镇）</t>
    <phoneticPr fontId="6" type="noConversion"/>
  </si>
  <si>
    <t>场地（中学部）</t>
  </si>
  <si>
    <t>新做13厚塑胶跑道（含半圆）</t>
  </si>
  <si>
    <t>排水沟疏通及盖板更换</t>
  </si>
  <si>
    <t>屋顶防水（小学部）</t>
  </si>
  <si>
    <t>新做屋面防水、保温、找坡等</t>
  </si>
  <si>
    <t>避雷带修复</t>
  </si>
  <si>
    <t>上海师范大学闵行实验幼儿园（复地园）</t>
  </si>
  <si>
    <t>厨房仓库改造</t>
  </si>
  <si>
    <t>卫生间整体改造</t>
  </si>
  <si>
    <t>保育员操作间整体改造</t>
  </si>
  <si>
    <t>上海市闵行区颛桥镇第一幼儿园（银桥园）</t>
  </si>
  <si>
    <t>卫生间整体修缮</t>
  </si>
  <si>
    <t>楼梯间防护网</t>
  </si>
  <si>
    <t>上海市闵行区颛桥镇幼儿园（莘闵园）</t>
    <phoneticPr fontId="6" type="noConversion"/>
  </si>
  <si>
    <t>补充申报（卫生间整体修缮）</t>
    <phoneticPr fontId="6" type="noConversion"/>
  </si>
  <si>
    <t>补充申报（室外排水管修复）</t>
    <phoneticPr fontId="6" type="noConversion"/>
  </si>
  <si>
    <t>上海市闵行区田园外语实验小学（金都校区）</t>
  </si>
  <si>
    <t>原人造草坪铲除及外运</t>
  </si>
  <si>
    <t>基础修补</t>
  </si>
  <si>
    <t>30厚人造草坪</t>
  </si>
  <si>
    <t>5厚减震垫</t>
  </si>
  <si>
    <t>上海市闵行区田园第二外语实验小学</t>
  </si>
  <si>
    <t>镇属</t>
    <phoneticPr fontId="6" type="noConversion"/>
  </si>
  <si>
    <t>颛桥</t>
    <phoneticPr fontId="6" type="noConversion"/>
  </si>
  <si>
    <t>2022年已下达金额</t>
    <phoneticPr fontId="1" type="noConversion"/>
  </si>
  <si>
    <t>核定金额</t>
    <phoneticPr fontId="6" type="noConversion"/>
  </si>
  <si>
    <t>清算金额</t>
    <phoneticPr fontId="1" type="noConversion"/>
  </si>
  <si>
    <t>2022年镇管学校延时服务核定表（补充公用经费）</t>
    <phoneticPr fontId="6" type="noConversion"/>
  </si>
  <si>
    <t>离职补偿</t>
    <phoneticPr fontId="1" type="noConversion"/>
  </si>
  <si>
    <t>合计预下达</t>
    <phoneticPr fontId="1" type="noConversion"/>
  </si>
  <si>
    <t>预下达</t>
    <phoneticPr fontId="1" type="noConversion"/>
  </si>
  <si>
    <t>审核</t>
    <phoneticPr fontId="6" type="noConversion"/>
  </si>
  <si>
    <t>2023年教育费附加镇级使用部分第一次分配附表</t>
    <phoneticPr fontId="1" type="noConversion"/>
  </si>
  <si>
    <t>单位：元</t>
    <phoneticPr fontId="3" type="noConversion"/>
  </si>
  <si>
    <t>序号</t>
    <phoneticPr fontId="3" type="noConversion"/>
  </si>
  <si>
    <t>项目</t>
    <phoneticPr fontId="3" type="noConversion"/>
  </si>
  <si>
    <t>其中：乡镇</t>
    <phoneticPr fontId="1" type="noConversion"/>
  </si>
  <si>
    <t>补充公用经费</t>
    <phoneticPr fontId="1" type="noConversion"/>
  </si>
  <si>
    <t>义务教育减免书簿费</t>
    <phoneticPr fontId="1" type="noConversion"/>
  </si>
  <si>
    <t>义务教育营养午餐</t>
    <phoneticPr fontId="1" type="noConversion"/>
  </si>
  <si>
    <t>义务教育学生资助</t>
    <phoneticPr fontId="1" type="noConversion"/>
  </si>
  <si>
    <t>保安经费</t>
    <phoneticPr fontId="3" type="noConversion"/>
  </si>
  <si>
    <t>视频联网</t>
    <phoneticPr fontId="1" type="noConversion"/>
  </si>
  <si>
    <t>农民工学校补贴</t>
    <phoneticPr fontId="1" type="noConversion"/>
  </si>
  <si>
    <t>农民工学校学生资助</t>
    <phoneticPr fontId="1" type="noConversion"/>
  </si>
  <si>
    <t>农民工学校减免书簿费</t>
    <phoneticPr fontId="1" type="noConversion"/>
  </si>
  <si>
    <t>民办幼儿园小区生补贴</t>
    <phoneticPr fontId="1" type="noConversion"/>
  </si>
  <si>
    <t>民办学校生均补贴</t>
    <phoneticPr fontId="1" type="noConversion"/>
  </si>
  <si>
    <t>民办学校减免书簿费</t>
    <phoneticPr fontId="1" type="noConversion"/>
  </si>
  <si>
    <t>校舍维修</t>
    <phoneticPr fontId="1" type="noConversion"/>
  </si>
  <si>
    <t>颛桥镇：</t>
    <phoneticPr fontId="3" type="noConversion"/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</si>
</sst>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76" formatCode="[$-F800]dddd\,\ mmmm\ dd\,\ yyyy"/>
    <numFmt numFmtId="177" formatCode="0.00_ "/>
    <numFmt numFmtId="178" formatCode="0.00_);[Red]\(0.00\)"/>
    <numFmt numFmtId="179" formatCode="0.0_ "/>
    <numFmt numFmtId="180" formatCode="0_);\(0\)"/>
    <numFmt numFmtId="181" formatCode="0_);[Red]\(0\)"/>
    <numFmt numFmtId="182" formatCode="_-* #,##0_-;\-* #,##0_-;_-* &quot;-&quot;_-;_-@_-"/>
    <numFmt numFmtId="183" formatCode="#,##0.0"/>
    <numFmt numFmtId="184" formatCode="#,##0.0_ "/>
    <numFmt numFmtId="185" formatCode="[$-409]d/mmm/yy;@"/>
  </numFmts>
  <fonts count="6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name val="宋体"/>
      <family val="2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14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1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name val="Arial"/>
      <family val="2"/>
    </font>
    <font>
      <sz val="11"/>
      <color indexed="8"/>
      <name val="宋体"/>
      <family val="3"/>
      <charset val="134"/>
    </font>
    <font>
      <sz val="14"/>
      <color indexed="8"/>
      <name val="微软雅黑"/>
      <family val="2"/>
      <charset val="134"/>
    </font>
    <font>
      <sz val="14"/>
      <name val="宋体"/>
      <family val="3"/>
      <charset val="134"/>
    </font>
    <font>
      <sz val="16"/>
      <name val="宋体"/>
      <family val="3"/>
      <charset val="134"/>
      <scheme val="minor"/>
    </font>
    <font>
      <sz val="16"/>
      <name val="宋体"/>
      <family val="2"/>
      <charset val="134"/>
      <scheme val="minor"/>
    </font>
    <font>
      <sz val="14"/>
      <name val="宋体"/>
      <family val="3"/>
      <charset val="134"/>
      <scheme val="minor"/>
    </font>
    <font>
      <sz val="16"/>
      <color indexed="8"/>
      <name val="宋体"/>
      <family val="3"/>
      <charset val="134"/>
    </font>
    <font>
      <sz val="10"/>
      <name val="宋体"/>
      <family val="2"/>
      <charset val="134"/>
      <scheme val="minor"/>
    </font>
    <font>
      <sz val="10"/>
      <name val="楷体_GB2312"/>
      <family val="3"/>
      <charset val="134"/>
    </font>
    <font>
      <sz val="14"/>
      <color theme="1"/>
      <name val="宋体"/>
      <family val="3"/>
      <charset val="134"/>
      <scheme val="minor"/>
    </font>
    <font>
      <b/>
      <sz val="7.5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.5"/>
      <name val="Times New Roman"/>
      <family val="1"/>
    </font>
    <font>
      <sz val="14"/>
      <color indexed="8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b/>
      <sz val="7.5"/>
      <name val="宋体"/>
      <family val="3"/>
      <charset val="134"/>
    </font>
    <font>
      <b/>
      <sz val="16"/>
      <name val="宋体"/>
      <family val="3"/>
      <charset val="134"/>
      <scheme val="major"/>
    </font>
    <font>
      <sz val="14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>
      <alignment vertical="center"/>
    </xf>
    <xf numFmtId="176" fontId="2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0" borderId="0"/>
    <xf numFmtId="176" fontId="11" fillId="0" borderId="0"/>
    <xf numFmtId="176" fontId="11" fillId="0" borderId="0"/>
    <xf numFmtId="176" fontId="11" fillId="0" borderId="0"/>
    <xf numFmtId="176" fontId="11" fillId="0" borderId="0"/>
    <xf numFmtId="176" fontId="2" fillId="0" borderId="0">
      <alignment vertical="center"/>
    </xf>
    <xf numFmtId="176" fontId="2" fillId="0" borderId="0">
      <alignment vertical="center"/>
    </xf>
    <xf numFmtId="176" fontId="7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176" fontId="2" fillId="0" borderId="0">
      <alignment vertical="center"/>
    </xf>
    <xf numFmtId="0" fontId="30" fillId="0" borderId="0">
      <alignment vertical="center"/>
    </xf>
    <xf numFmtId="176" fontId="11" fillId="0" borderId="0"/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14" fillId="0" borderId="0"/>
    <xf numFmtId="176" fontId="14" fillId="0" borderId="0"/>
    <xf numFmtId="0" fontId="7" fillId="0" borderId="0">
      <alignment vertical="center"/>
    </xf>
    <xf numFmtId="0" fontId="14" fillId="0" borderId="0"/>
    <xf numFmtId="182" fontId="14" fillId="0" borderId="0" applyFont="0" applyFill="0" applyBorder="0" applyAlignment="0" applyProtection="0">
      <alignment vertical="center"/>
    </xf>
    <xf numFmtId="182" fontId="14" fillId="0" borderId="0" applyFont="0" applyFill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176" fontId="2" fillId="0" borderId="0">
      <alignment vertical="center"/>
    </xf>
    <xf numFmtId="185" fontId="14" fillId="0" borderId="0">
      <alignment vertical="center"/>
    </xf>
    <xf numFmtId="43" fontId="14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5" fillId="2" borderId="0" xfId="0" applyNumberFormat="1" applyFont="1" applyFill="1">
      <alignment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>
      <alignment vertical="center"/>
    </xf>
    <xf numFmtId="177" fontId="6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178" fontId="10" fillId="4" borderId="1" xfId="2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178" fontId="8" fillId="4" borderId="0" xfId="2" applyNumberFormat="1" applyFont="1" applyFill="1" applyAlignment="1">
      <alignment horizontal="center" vertical="center"/>
    </xf>
    <xf numFmtId="178" fontId="8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178" fontId="10" fillId="2" borderId="1" xfId="2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3" fontId="9" fillId="2" borderId="1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11" fillId="6" borderId="3" xfId="0" applyNumberFormat="1" applyFont="1" applyFill="1" applyBorder="1" applyAlignment="1">
      <alignment horizontal="center" vertical="center"/>
    </xf>
    <xf numFmtId="0" fontId="22" fillId="0" borderId="0" xfId="0" applyNumberFormat="1" applyFont="1">
      <alignment vertical="center"/>
    </xf>
    <xf numFmtId="0" fontId="3" fillId="2" borderId="1" xfId="4" applyNumberFormat="1" applyFont="1" applyFill="1" applyBorder="1" applyAlignment="1">
      <alignment vertical="center" wrapText="1"/>
    </xf>
    <xf numFmtId="176" fontId="24" fillId="0" borderId="0" xfId="0" applyNumberFormat="1" applyFont="1">
      <alignment vertical="center"/>
    </xf>
    <xf numFmtId="0" fontId="25" fillId="3" borderId="1" xfId="10" applyNumberFormat="1" applyFont="1" applyFill="1" applyBorder="1" applyAlignment="1">
      <alignment horizontal="center" vertical="center" wrapText="1"/>
    </xf>
    <xf numFmtId="0" fontId="26" fillId="3" borderId="1" xfId="1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>
      <alignment vertical="center"/>
    </xf>
    <xf numFmtId="0" fontId="27" fillId="0" borderId="1" xfId="11" applyFont="1" applyBorder="1" applyAlignment="1">
      <alignment horizontal="center" vertical="center"/>
    </xf>
    <xf numFmtId="0" fontId="28" fillId="0" borderId="1" xfId="12" applyFont="1" applyBorder="1" applyAlignment="1">
      <alignment horizontal="center" vertical="center"/>
    </xf>
    <xf numFmtId="0" fontId="6" fillId="2" borderId="1" xfId="13" applyNumberFormat="1" applyFont="1" applyFill="1" applyBorder="1" applyAlignment="1">
      <alignment horizontal="left" vertical="center"/>
    </xf>
    <xf numFmtId="0" fontId="27" fillId="2" borderId="1" xfId="11" applyFont="1" applyFill="1" applyBorder="1" applyAlignment="1">
      <alignment horizontal="center" vertical="center"/>
    </xf>
    <xf numFmtId="0" fontId="24" fillId="0" borderId="0" xfId="0" applyNumberFormat="1" applyFont="1">
      <alignment vertical="center"/>
    </xf>
    <xf numFmtId="176" fontId="24" fillId="0" borderId="1" xfId="0" applyNumberFormat="1" applyFont="1" applyBorder="1">
      <alignment vertical="center"/>
    </xf>
    <xf numFmtId="0" fontId="3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2" fillId="2" borderId="1" xfId="14" applyNumberFormat="1" applyFont="1" applyFill="1" applyBorder="1" applyAlignment="1">
      <alignment horizontal="right" vertical="center"/>
    </xf>
    <xf numFmtId="0" fontId="32" fillId="0" borderId="1" xfId="14" applyFont="1" applyBorder="1" applyAlignment="1">
      <alignment horizontal="right" vertical="center"/>
    </xf>
    <xf numFmtId="177" fontId="27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vertical="center"/>
    </xf>
    <xf numFmtId="0" fontId="34" fillId="3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5" fillId="2" borderId="1" xfId="14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0" xfId="11">
      <alignment vertical="center"/>
    </xf>
    <xf numFmtId="0" fontId="36" fillId="2" borderId="1" xfId="3" applyFont="1" applyFill="1" applyBorder="1" applyAlignment="1">
      <alignment horizontal="center" vertical="center"/>
    </xf>
    <xf numFmtId="0" fontId="2" fillId="0" borderId="0" xfId="11" applyFont="1">
      <alignment vertical="center"/>
    </xf>
    <xf numFmtId="0" fontId="3" fillId="3" borderId="1" xfId="3" applyFont="1" applyFill="1" applyBorder="1" applyAlignment="1">
      <alignment horizontal="center" vertical="center"/>
    </xf>
    <xf numFmtId="0" fontId="6" fillId="3" borderId="1" xfId="16" applyNumberFormat="1" applyFont="1" applyFill="1" applyBorder="1" applyAlignment="1">
      <alignment horizontal="center" vertical="center" wrapText="1"/>
    </xf>
    <xf numFmtId="0" fontId="36" fillId="3" borderId="1" xfId="18" applyFont="1" applyFill="1" applyBorder="1" applyAlignment="1">
      <alignment horizontal="center" vertical="center" wrapText="1"/>
    </xf>
    <xf numFmtId="0" fontId="36" fillId="3" borderId="1" xfId="19" applyFont="1" applyFill="1" applyBorder="1" applyAlignment="1">
      <alignment horizontal="center" vertical="center" wrapText="1"/>
    </xf>
    <xf numFmtId="0" fontId="6" fillId="2" borderId="1" xfId="16" applyNumberFormat="1" applyFont="1" applyFill="1" applyBorder="1" applyAlignment="1">
      <alignment horizontal="center" vertical="center" wrapText="1"/>
    </xf>
    <xf numFmtId="0" fontId="6" fillId="2" borderId="1" xfId="17" applyFont="1" applyFill="1" applyBorder="1" applyAlignment="1">
      <alignment horizontal="center" vertical="center"/>
    </xf>
    <xf numFmtId="0" fontId="6" fillId="2" borderId="1" xfId="17" applyNumberFormat="1" applyFont="1" applyFill="1" applyBorder="1" applyAlignment="1">
      <alignment horizontal="center" vertical="center" wrapText="1"/>
    </xf>
    <xf numFmtId="0" fontId="5" fillId="3" borderId="1" xfId="16" applyNumberFormat="1" applyFont="1" applyFill="1" applyBorder="1" applyAlignment="1">
      <alignment horizontal="center" vertical="center" wrapText="1"/>
    </xf>
    <xf numFmtId="0" fontId="5" fillId="3" borderId="1" xfId="17" applyFont="1" applyFill="1" applyBorder="1" applyAlignment="1">
      <alignment horizontal="center" vertical="center"/>
    </xf>
    <xf numFmtId="0" fontId="5" fillId="3" borderId="1" xfId="17" applyNumberFormat="1" applyFont="1" applyFill="1" applyBorder="1" applyAlignment="1">
      <alignment horizontal="center" vertical="center" wrapText="1"/>
    </xf>
    <xf numFmtId="181" fontId="5" fillId="2" borderId="1" xfId="11" applyNumberFormat="1" applyFont="1" applyFill="1" applyBorder="1" applyAlignment="1">
      <alignment horizontal="center" vertical="center" wrapText="1"/>
    </xf>
    <xf numFmtId="181" fontId="5" fillId="3" borderId="1" xfId="11" applyNumberFormat="1" applyFont="1" applyFill="1" applyBorder="1" applyAlignment="1">
      <alignment horizontal="center" vertical="center" wrapText="1"/>
    </xf>
    <xf numFmtId="0" fontId="17" fillId="2" borderId="1" xfId="16" applyNumberFormat="1" applyFont="1" applyFill="1" applyBorder="1" applyAlignment="1">
      <alignment horizontal="center" vertical="center" wrapText="1"/>
    </xf>
    <xf numFmtId="0" fontId="37" fillId="2" borderId="1" xfId="11" applyFont="1" applyFill="1" applyBorder="1" applyAlignment="1">
      <alignment horizontal="center" vertical="center" wrapText="1"/>
    </xf>
    <xf numFmtId="0" fontId="6" fillId="2" borderId="1" xfId="16" applyNumberFormat="1" applyFont="1" applyFill="1" applyBorder="1" applyAlignment="1">
      <alignment horizontal="center" vertical="center"/>
    </xf>
    <xf numFmtId="180" fontId="36" fillId="2" borderId="1" xfId="3" applyNumberFormat="1" applyFont="1" applyFill="1" applyBorder="1" applyAlignment="1">
      <alignment horizontal="center" vertical="center"/>
    </xf>
    <xf numFmtId="0" fontId="5" fillId="0" borderId="1" xfId="11" applyFont="1" applyBorder="1" applyAlignment="1">
      <alignment horizontal="center" vertical="center"/>
    </xf>
    <xf numFmtId="0" fontId="37" fillId="3" borderId="1" xfId="11" applyFont="1" applyFill="1" applyBorder="1" applyAlignment="1">
      <alignment horizontal="center" vertical="center" wrapText="1"/>
    </xf>
    <xf numFmtId="0" fontId="17" fillId="2" borderId="1" xfId="17" applyFont="1" applyFill="1" applyBorder="1" applyAlignment="1">
      <alignment horizontal="center" vertical="center" wrapText="1"/>
    </xf>
    <xf numFmtId="0" fontId="5" fillId="3" borderId="1" xfId="16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6" fillId="2" borderId="1" xfId="18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180" fontId="36" fillId="3" borderId="1" xfId="18" applyNumberFormat="1" applyFont="1" applyFill="1" applyBorder="1" applyAlignment="1">
      <alignment horizontal="center" vertical="center"/>
    </xf>
    <xf numFmtId="0" fontId="36" fillId="3" borderId="1" xfId="3" applyFont="1" applyFill="1" applyBorder="1" applyAlignment="1">
      <alignment horizontal="center" vertical="center"/>
    </xf>
    <xf numFmtId="0" fontId="36" fillId="0" borderId="1" xfId="3" applyFont="1" applyBorder="1" applyAlignment="1">
      <alignment horizontal="center" vertical="center"/>
    </xf>
    <xf numFmtId="180" fontId="36" fillId="0" borderId="1" xfId="18" applyNumberFormat="1" applyFont="1" applyBorder="1" applyAlignment="1">
      <alignment horizontal="center" vertical="center"/>
    </xf>
    <xf numFmtId="180" fontId="36" fillId="0" borderId="1" xfId="18" applyNumberFormat="1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180" fontId="5" fillId="3" borderId="1" xfId="0" applyNumberFormat="1" applyFont="1" applyFill="1" applyBorder="1" applyAlignment="1">
      <alignment horizontal="center" vertical="center"/>
    </xf>
    <xf numFmtId="0" fontId="3" fillId="3" borderId="1" xfId="4" applyNumberFormat="1" applyFont="1" applyFill="1" applyBorder="1" applyAlignment="1">
      <alignment vertical="center" wrapText="1"/>
    </xf>
    <xf numFmtId="0" fontId="0" fillId="0" borderId="0" xfId="0" applyNumberFormat="1">
      <alignment vertical="center"/>
    </xf>
    <xf numFmtId="0" fontId="3" fillId="0" borderId="1" xfId="20" applyNumberFormat="1" applyFont="1" applyFill="1" applyBorder="1" applyAlignment="1">
      <alignment horizontal="center" vertical="center" wrapText="1"/>
    </xf>
    <xf numFmtId="0" fontId="0" fillId="0" borderId="0" xfId="0" applyNumberFormat="1" applyFont="1">
      <alignment vertical="center"/>
    </xf>
    <xf numFmtId="0" fontId="3" fillId="3" borderId="1" xfId="20" applyNumberFormat="1" applyFont="1" applyFill="1" applyBorder="1" applyAlignment="1">
      <alignment horizontal="center" vertical="center"/>
    </xf>
    <xf numFmtId="0" fontId="3" fillId="3" borderId="1" xfId="20" applyNumberFormat="1" applyFont="1" applyFill="1" applyBorder="1" applyAlignment="1">
      <alignment horizontal="center" vertical="center" wrapText="1"/>
    </xf>
    <xf numFmtId="0" fontId="11" fillId="3" borderId="1" xfId="4" applyNumberFormat="1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4" fillId="3" borderId="1" xfId="20" applyNumberFormat="1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178" fontId="25" fillId="4" borderId="1" xfId="2" applyNumberFormat="1" applyFont="1" applyFill="1" applyBorder="1" applyAlignment="1">
      <alignment horizontal="center" vertical="center" wrapText="1"/>
    </xf>
    <xf numFmtId="178" fontId="25" fillId="4" borderId="1" xfId="0" applyNumberFormat="1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" fillId="0" borderId="0" xfId="0" applyNumberFormat="1" applyFont="1" applyAlignment="1"/>
    <xf numFmtId="0" fontId="11" fillId="6" borderId="1" xfId="0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2" fillId="0" borderId="1" xfId="0" applyNumberFormat="1" applyFont="1" applyBorder="1" applyAlignment="1">
      <alignment horizontal="center" vertical="center"/>
    </xf>
    <xf numFmtId="0" fontId="11" fillId="4" borderId="1" xfId="4" applyNumberFormat="1" applyFont="1" applyFill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/>
    </xf>
    <xf numFmtId="0" fontId="23" fillId="2" borderId="1" xfId="8" applyNumberFormat="1" applyFont="1" applyFill="1" applyBorder="1" applyAlignment="1">
      <alignment horizontal="center" vertical="center"/>
    </xf>
    <xf numFmtId="0" fontId="11" fillId="2" borderId="1" xfId="4" applyNumberFormat="1" applyFont="1" applyFill="1" applyBorder="1" applyAlignment="1">
      <alignment horizontal="center" vertical="center" wrapText="1"/>
    </xf>
    <xf numFmtId="0" fontId="22" fillId="3" borderId="1" xfId="0" applyNumberFormat="1" applyFont="1" applyFill="1" applyBorder="1" applyAlignment="1">
      <alignment horizontal="center" vertical="center"/>
    </xf>
    <xf numFmtId="0" fontId="23" fillId="3" borderId="1" xfId="0" applyNumberFormat="1" applyFont="1" applyFill="1" applyBorder="1" applyAlignment="1">
      <alignment horizontal="center" vertical="center"/>
    </xf>
    <xf numFmtId="0" fontId="11" fillId="3" borderId="1" xfId="4" applyNumberFormat="1" applyFont="1" applyFill="1" applyBorder="1" applyAlignment="1">
      <alignment horizontal="center" vertical="center" wrapText="1"/>
    </xf>
    <xf numFmtId="0" fontId="23" fillId="3" borderId="1" xfId="8" applyNumberFormat="1" applyFont="1" applyFill="1" applyBorder="1" applyAlignment="1">
      <alignment horizontal="center" vertical="center"/>
    </xf>
    <xf numFmtId="176" fontId="29" fillId="3" borderId="1" xfId="0" applyNumberFormat="1" applyFont="1" applyFill="1" applyBorder="1">
      <alignment vertical="center"/>
    </xf>
    <xf numFmtId="177" fontId="1" fillId="3" borderId="1" xfId="0" applyNumberFormat="1" applyFont="1" applyFill="1" applyBorder="1">
      <alignment vertical="center"/>
    </xf>
    <xf numFmtId="0" fontId="6" fillId="3" borderId="1" xfId="13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32" fillId="3" borderId="1" xfId="14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32" fillId="3" borderId="1" xfId="14" applyNumberFormat="1" applyFont="1" applyFill="1" applyBorder="1" applyAlignment="1">
      <alignment horizontal="right" vertical="center"/>
    </xf>
    <xf numFmtId="0" fontId="32" fillId="3" borderId="1" xfId="14" applyFont="1" applyFill="1" applyBorder="1" applyAlignment="1">
      <alignment horizontal="right" vertical="center"/>
    </xf>
    <xf numFmtId="177" fontId="27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center" vertical="center"/>
    </xf>
    <xf numFmtId="0" fontId="3" fillId="2" borderId="1" xfId="18" applyNumberFormat="1" applyFont="1" applyFill="1" applyBorder="1" applyAlignment="1">
      <alignment horizontal="center" vertical="center"/>
    </xf>
    <xf numFmtId="0" fontId="11" fillId="3" borderId="1" xfId="10" applyNumberFormat="1" applyFont="1" applyFill="1" applyBorder="1" applyAlignment="1">
      <alignment horizontal="center" vertical="center" wrapText="1"/>
    </xf>
    <xf numFmtId="0" fontId="49" fillId="3" borderId="1" xfId="10" applyNumberFormat="1" applyFont="1" applyFill="1" applyBorder="1" applyAlignment="1">
      <alignment horizontal="center" vertical="center" wrapText="1"/>
    </xf>
    <xf numFmtId="176" fontId="48" fillId="0" borderId="1" xfId="0" applyNumberFormat="1" applyFont="1" applyBorder="1" applyAlignment="1">
      <alignment horizontal="center" vertical="center"/>
    </xf>
    <xf numFmtId="177" fontId="48" fillId="0" borderId="1" xfId="0" applyNumberFormat="1" applyFont="1" applyBorder="1" applyAlignment="1">
      <alignment horizontal="center" vertical="center"/>
    </xf>
    <xf numFmtId="177" fontId="48" fillId="3" borderId="1" xfId="0" applyNumberFormat="1" applyFont="1" applyFill="1" applyBorder="1" applyAlignment="1">
      <alignment horizontal="center" vertical="center"/>
    </xf>
    <xf numFmtId="0" fontId="14" fillId="0" borderId="0" xfId="7" applyNumberFormat="1" applyFont="1" applyFill="1" applyAlignment="1">
      <alignment horizontal="center" vertical="center"/>
    </xf>
    <xf numFmtId="0" fontId="3" fillId="0" borderId="1" xfId="7" applyNumberFormat="1" applyFont="1" applyFill="1" applyBorder="1" applyAlignment="1">
      <alignment horizontal="center" vertical="center"/>
    </xf>
    <xf numFmtId="0" fontId="3" fillId="0" borderId="1" xfId="22" applyNumberFormat="1" applyFont="1" applyFill="1" applyBorder="1" applyAlignment="1">
      <alignment horizontal="center" vertical="center" wrapText="1"/>
    </xf>
    <xf numFmtId="0" fontId="3" fillId="0" borderId="1" xfId="24" applyNumberFormat="1" applyFont="1" applyFill="1" applyBorder="1" applyAlignment="1">
      <alignment horizontal="center" vertical="center" wrapText="1"/>
    </xf>
    <xf numFmtId="0" fontId="3" fillId="0" borderId="1" xfId="22" applyFont="1" applyFill="1" applyBorder="1" applyAlignment="1">
      <alignment horizontal="center" vertical="center" wrapText="1"/>
    </xf>
    <xf numFmtId="181" fontId="3" fillId="0" borderId="1" xfId="22" applyNumberFormat="1" applyFont="1" applyFill="1" applyBorder="1" applyAlignment="1">
      <alignment horizontal="center" vertical="center" wrapText="1"/>
    </xf>
    <xf numFmtId="181" fontId="34" fillId="0" borderId="1" xfId="22" applyNumberFormat="1" applyFont="1" applyFill="1" applyBorder="1" applyAlignment="1">
      <alignment horizontal="center" vertical="center" wrapText="1"/>
    </xf>
    <xf numFmtId="9" fontId="3" fillId="0" borderId="1" xfId="7" applyNumberFormat="1" applyFont="1" applyFill="1" applyBorder="1" applyAlignment="1">
      <alignment horizontal="center" vertical="center"/>
    </xf>
    <xf numFmtId="181" fontId="34" fillId="0" borderId="1" xfId="24" applyNumberFormat="1" applyFont="1" applyFill="1" applyBorder="1" applyAlignment="1">
      <alignment horizontal="center" vertical="center" wrapText="1"/>
    </xf>
    <xf numFmtId="0" fontId="34" fillId="0" borderId="1" xfId="24" applyNumberFormat="1" applyFon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left" vertical="center"/>
    </xf>
    <xf numFmtId="0" fontId="53" fillId="0" borderId="0" xfId="0" applyFont="1" applyFill="1">
      <alignment vertical="center"/>
    </xf>
    <xf numFmtId="182" fontId="25" fillId="0" borderId="0" xfId="24" applyNumberFormat="1" applyFont="1" applyFill="1" applyAlignment="1">
      <alignment horizontal="center" vertical="center"/>
    </xf>
    <xf numFmtId="0" fontId="11" fillId="0" borderId="0" xfId="7" applyNumberFormat="1" applyFont="1" applyFill="1"/>
    <xf numFmtId="177" fontId="5" fillId="2" borderId="11" xfId="0" applyNumberFormat="1" applyFont="1" applyFill="1" applyBorder="1">
      <alignment vertical="center"/>
    </xf>
    <xf numFmtId="0" fontId="38" fillId="0" borderId="11" xfId="0" applyFont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183" fontId="36" fillId="2" borderId="11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38" fillId="0" borderId="11" xfId="0" applyFont="1" applyBorder="1">
      <alignment vertical="center"/>
    </xf>
    <xf numFmtId="0" fontId="36" fillId="0" borderId="11" xfId="0" applyNumberFormat="1" applyFont="1" applyFill="1" applyBorder="1">
      <alignment vertical="center"/>
    </xf>
    <xf numFmtId="183" fontId="15" fillId="2" borderId="11" xfId="0" applyNumberFormat="1" applyFont="1" applyFill="1" applyBorder="1">
      <alignment vertical="center"/>
    </xf>
    <xf numFmtId="184" fontId="38" fillId="0" borderId="11" xfId="0" applyNumberFormat="1" applyFont="1" applyBorder="1">
      <alignment vertical="center"/>
    </xf>
    <xf numFmtId="0" fontId="55" fillId="0" borderId="11" xfId="0" applyFont="1" applyBorder="1">
      <alignment vertical="center"/>
    </xf>
    <xf numFmtId="0" fontId="34" fillId="0" borderId="1" xfId="7" applyNumberFormat="1" applyFont="1" applyFill="1" applyBorder="1" applyAlignment="1">
      <alignment horizontal="center" vertical="center"/>
    </xf>
    <xf numFmtId="0" fontId="56" fillId="0" borderId="10" xfId="7" applyNumberFormat="1" applyFont="1" applyFill="1" applyBorder="1" applyAlignment="1">
      <alignment horizontal="center" vertical="center"/>
    </xf>
    <xf numFmtId="182" fontId="34" fillId="0" borderId="1" xfId="24" applyNumberFormat="1" applyFont="1" applyFill="1" applyBorder="1" applyAlignment="1">
      <alignment horizontal="center" vertical="center"/>
    </xf>
    <xf numFmtId="0" fontId="58" fillId="0" borderId="0" xfId="0" applyNumberFormat="1" applyFont="1" applyBorder="1" applyAlignment="1">
      <alignment horizontal="right" vertical="center"/>
    </xf>
    <xf numFmtId="0" fontId="59" fillId="0" borderId="10" xfId="0" applyNumberFormat="1" applyFont="1" applyBorder="1" applyAlignment="1">
      <alignment horizontal="center" vertical="center"/>
    </xf>
    <xf numFmtId="0" fontId="59" fillId="0" borderId="10" xfId="0" applyNumberFormat="1" applyFont="1" applyFill="1" applyBorder="1" applyAlignment="1">
      <alignment horizontal="center" vertical="center"/>
    </xf>
    <xf numFmtId="177" fontId="59" fillId="0" borderId="10" xfId="0" applyNumberFormat="1" applyFont="1" applyFill="1" applyBorder="1" applyAlignment="1">
      <alignment horizontal="right" vertical="center"/>
    </xf>
    <xf numFmtId="0" fontId="59" fillId="0" borderId="10" xfId="0" applyNumberFormat="1" applyFont="1" applyBorder="1" applyAlignment="1">
      <alignment horizontal="center" vertical="center" wrapText="1"/>
    </xf>
    <xf numFmtId="177" fontId="60" fillId="0" borderId="10" xfId="0" applyNumberFormat="1" applyFon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177" fontId="59" fillId="0" borderId="10" xfId="0" applyNumberFormat="1" applyFont="1" applyBorder="1" applyAlignment="1">
      <alignment horizontal="right" vertical="center"/>
    </xf>
    <xf numFmtId="0" fontId="0" fillId="0" borderId="0" xfId="0" applyNumberFormat="1" applyAlignment="1">
      <alignment horizontal="center" vertical="center"/>
    </xf>
    <xf numFmtId="0" fontId="57" fillId="0" borderId="0" xfId="0" applyNumberFormat="1" applyFon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58" fillId="0" borderId="2" xfId="0" applyNumberFormat="1" applyFon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9" fontId="5" fillId="3" borderId="5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50" fillId="0" borderId="2" xfId="0" applyFont="1" applyBorder="1" applyAlignment="1">
      <alignment vertical="center"/>
    </xf>
    <xf numFmtId="0" fontId="42" fillId="4" borderId="0" xfId="0" applyFont="1" applyFill="1" applyBorder="1" applyAlignment="1">
      <alignment horizontal="center" vertical="center"/>
    </xf>
    <xf numFmtId="0" fontId="40" fillId="4" borderId="3" xfId="0" applyFont="1" applyFill="1" applyBorder="1" applyAlignment="1">
      <alignment horizontal="center" vertical="center"/>
    </xf>
    <xf numFmtId="0" fontId="40" fillId="4" borderId="4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43" fillId="0" borderId="2" xfId="0" applyNumberFormat="1" applyFont="1" applyBorder="1" applyAlignment="1">
      <alignment horizontal="center" vertical="center"/>
    </xf>
    <xf numFmtId="0" fontId="44" fillId="0" borderId="2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5" fillId="3" borderId="1" xfId="4" applyNumberFormat="1" applyFont="1" applyFill="1" applyBorder="1" applyAlignment="1">
      <alignment horizontal="center" vertical="center"/>
    </xf>
    <xf numFmtId="0" fontId="24" fillId="0" borderId="1" xfId="10" applyNumberFormat="1" applyFont="1" applyBorder="1" applyAlignment="1">
      <alignment horizontal="center" vertical="center"/>
    </xf>
    <xf numFmtId="176" fontId="45" fillId="0" borderId="2" xfId="0" applyNumberFormat="1" applyFont="1" applyBorder="1" applyAlignment="1">
      <alignment horizontal="center" vertical="center"/>
    </xf>
    <xf numFmtId="0" fontId="25" fillId="3" borderId="1" xfId="10" applyNumberFormat="1" applyFont="1" applyFill="1" applyBorder="1" applyAlignment="1">
      <alignment horizontal="center" vertical="center" wrapText="1"/>
    </xf>
    <xf numFmtId="176" fontId="24" fillId="3" borderId="1" xfId="0" applyNumberFormat="1" applyFont="1" applyFill="1" applyBorder="1" applyAlignment="1">
      <alignment horizontal="center" vertical="center"/>
    </xf>
    <xf numFmtId="0" fontId="31" fillId="0" borderId="2" xfId="14" applyNumberFormat="1" applyFont="1" applyBorder="1" applyAlignment="1">
      <alignment horizontal="center" vertical="center" wrapText="1"/>
    </xf>
    <xf numFmtId="176" fontId="48" fillId="3" borderId="1" xfId="0" applyNumberFormat="1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176" fontId="46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1" fillId="3" borderId="1" xfId="4" applyNumberFormat="1" applyFont="1" applyFill="1" applyBorder="1" applyAlignment="1">
      <alignment horizontal="center" vertical="center"/>
    </xf>
    <xf numFmtId="0" fontId="48" fillId="3" borderId="1" xfId="10" applyNumberFormat="1" applyFont="1" applyFill="1" applyBorder="1" applyAlignment="1">
      <alignment horizontal="center" vertical="center"/>
    </xf>
    <xf numFmtId="0" fontId="11" fillId="3" borderId="1" xfId="10" applyNumberFormat="1" applyFont="1" applyFill="1" applyBorder="1" applyAlignment="1">
      <alignment horizontal="center" vertical="center" wrapText="1"/>
    </xf>
    <xf numFmtId="0" fontId="47" fillId="0" borderId="2" xfId="0" applyNumberFormat="1" applyFont="1" applyBorder="1" applyAlignment="1">
      <alignment horizontal="center" vertical="center"/>
    </xf>
    <xf numFmtId="0" fontId="33" fillId="0" borderId="2" xfId="0" applyNumberFormat="1" applyFont="1" applyBorder="1" applyAlignment="1">
      <alignment vertical="center"/>
    </xf>
    <xf numFmtId="0" fontId="34" fillId="3" borderId="1" xfId="0" applyNumberFormat="1" applyFont="1" applyFill="1" applyBorder="1" applyAlignment="1">
      <alignment horizontal="center" vertical="center"/>
    </xf>
    <xf numFmtId="0" fontId="34" fillId="3" borderId="1" xfId="0" applyNumberFormat="1" applyFont="1" applyFill="1" applyBorder="1" applyAlignment="1">
      <alignment horizontal="center" vertical="center" wrapText="1"/>
    </xf>
    <xf numFmtId="180" fontId="3" fillId="3" borderId="1" xfId="3" applyNumberFormat="1" applyFont="1" applyFill="1" applyBorder="1" applyAlignment="1">
      <alignment horizontal="center" vertical="center"/>
    </xf>
    <xf numFmtId="9" fontId="6" fillId="3" borderId="3" xfId="11" applyNumberFormat="1" applyFont="1" applyFill="1" applyBorder="1" applyAlignment="1">
      <alignment horizontal="center" vertical="center" wrapText="1"/>
    </xf>
    <xf numFmtId="0" fontId="38" fillId="3" borderId="6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3" fillId="0" borderId="2" xfId="11" applyFont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/>
    </xf>
    <xf numFmtId="57" fontId="6" fillId="3" borderId="1" xfId="11" applyNumberFormat="1" applyFont="1" applyFill="1" applyBorder="1" applyAlignment="1">
      <alignment horizontal="center" vertical="center" wrapText="1"/>
    </xf>
    <xf numFmtId="0" fontId="6" fillId="3" borderId="1" xfId="11" applyNumberFormat="1" applyFont="1" applyFill="1" applyBorder="1" applyAlignment="1">
      <alignment horizontal="center" vertical="center" wrapText="1"/>
    </xf>
    <xf numFmtId="179" fontId="6" fillId="3" borderId="1" xfId="11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6" fillId="3" borderId="1" xfId="18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3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/>
    </xf>
    <xf numFmtId="0" fontId="56" fillId="0" borderId="12" xfId="7" applyNumberFormat="1" applyFont="1" applyFill="1" applyBorder="1" applyAlignment="1">
      <alignment horizontal="center" vertical="center"/>
    </xf>
    <xf numFmtId="0" fontId="56" fillId="0" borderId="9" xfId="7" applyNumberFormat="1" applyFont="1" applyFill="1" applyBorder="1" applyAlignment="1">
      <alignment horizontal="center" vertical="center"/>
    </xf>
    <xf numFmtId="0" fontId="56" fillId="0" borderId="7" xfId="7" applyNumberFormat="1" applyFont="1" applyFill="1" applyBorder="1" applyAlignment="1">
      <alignment horizontal="center" vertical="center"/>
    </xf>
    <xf numFmtId="0" fontId="52" fillId="0" borderId="2" xfId="7" applyNumberFormat="1" applyFont="1" applyFill="1" applyBorder="1" applyAlignment="1">
      <alignment horizontal="center" vertical="center"/>
    </xf>
    <xf numFmtId="0" fontId="51" fillId="0" borderId="10" xfId="0" applyFont="1" applyFill="1" applyBorder="1" applyAlignment="1">
      <alignment horizontal="center" vertical="center"/>
    </xf>
    <xf numFmtId="0" fontId="34" fillId="0" borderId="1" xfId="7" applyNumberFormat="1" applyFont="1" applyFill="1" applyBorder="1" applyAlignment="1">
      <alignment horizontal="center" vertical="center"/>
    </xf>
    <xf numFmtId="0" fontId="34" fillId="0" borderId="3" xfId="7" applyNumberFormat="1" applyFont="1" applyFill="1" applyBorder="1" applyAlignment="1">
      <alignment horizontal="center" vertical="center"/>
    </xf>
    <xf numFmtId="0" fontId="34" fillId="0" borderId="6" xfId="7" applyNumberFormat="1" applyFont="1" applyFill="1" applyBorder="1" applyAlignment="1">
      <alignment horizontal="center" vertical="center"/>
    </xf>
    <xf numFmtId="0" fontId="34" fillId="0" borderId="4" xfId="7" applyNumberFormat="1" applyFont="1" applyFill="1" applyBorder="1" applyAlignment="1">
      <alignment horizontal="center" vertical="center"/>
    </xf>
    <xf numFmtId="0" fontId="3" fillId="0" borderId="1" xfId="22" applyFont="1" applyFill="1" applyBorder="1" applyAlignment="1">
      <alignment horizontal="center" vertical="center" wrapText="1"/>
    </xf>
    <xf numFmtId="0" fontId="3" fillId="0" borderId="1" xfId="7" applyNumberFormat="1" applyFont="1" applyFill="1" applyBorder="1" applyAlignment="1">
      <alignment horizontal="center" vertical="center"/>
    </xf>
    <xf numFmtId="0" fontId="3" fillId="0" borderId="5" xfId="22" applyNumberFormat="1" applyFont="1" applyFill="1" applyBorder="1" applyAlignment="1">
      <alignment horizontal="center" vertical="center" wrapText="1"/>
    </xf>
    <xf numFmtId="0" fontId="3" fillId="0" borderId="7" xfId="22" applyNumberFormat="1" applyFont="1" applyFill="1" applyBorder="1" applyAlignment="1">
      <alignment horizontal="center" vertical="center" wrapText="1"/>
    </xf>
    <xf numFmtId="0" fontId="3" fillId="0" borderId="5" xfId="24" applyNumberFormat="1" applyFont="1" applyFill="1" applyBorder="1" applyAlignment="1">
      <alignment horizontal="center" vertical="center" wrapText="1"/>
    </xf>
    <xf numFmtId="0" fontId="3" fillId="0" borderId="7" xfId="24" applyNumberFormat="1" applyFont="1" applyFill="1" applyBorder="1" applyAlignment="1">
      <alignment horizontal="center" vertical="center" wrapText="1"/>
    </xf>
    <xf numFmtId="0" fontId="34" fillId="0" borderId="1" xfId="22" applyFont="1" applyFill="1" applyBorder="1" applyAlignment="1">
      <alignment horizontal="center" vertical="center" wrapText="1"/>
    </xf>
    <xf numFmtId="0" fontId="3" fillId="0" borderId="5" xfId="22" applyFont="1" applyFill="1" applyBorder="1" applyAlignment="1">
      <alignment horizontal="center" vertical="center" wrapText="1"/>
    </xf>
    <xf numFmtId="0" fontId="3" fillId="0" borderId="9" xfId="22" applyFont="1" applyFill="1" applyBorder="1" applyAlignment="1">
      <alignment horizontal="center" vertical="center" wrapText="1"/>
    </xf>
    <xf numFmtId="0" fontId="3" fillId="0" borderId="7" xfId="22" applyFont="1" applyFill="1" applyBorder="1" applyAlignment="1">
      <alignment horizontal="center" vertical="center" wrapText="1"/>
    </xf>
    <xf numFmtId="181" fontId="3" fillId="0" borderId="5" xfId="22" applyNumberFormat="1" applyFont="1" applyFill="1" applyBorder="1" applyAlignment="1">
      <alignment horizontal="center" vertical="center" wrapText="1"/>
    </xf>
    <xf numFmtId="181" fontId="3" fillId="0" borderId="9" xfId="22" applyNumberFormat="1" applyFont="1" applyFill="1" applyBorder="1" applyAlignment="1">
      <alignment horizontal="center" vertical="center" wrapText="1"/>
    </xf>
    <xf numFmtId="181" fontId="3" fillId="0" borderId="7" xfId="22" applyNumberFormat="1" applyFont="1" applyFill="1" applyBorder="1" applyAlignment="1">
      <alignment horizontal="center" vertical="center" wrapText="1"/>
    </xf>
    <xf numFmtId="0" fontId="3" fillId="0" borderId="5" xfId="7" applyNumberFormat="1" applyFont="1" applyFill="1" applyBorder="1" applyAlignment="1">
      <alignment horizontal="center" vertical="center"/>
    </xf>
    <xf numFmtId="0" fontId="3" fillId="0" borderId="9" xfId="7" applyNumberFormat="1" applyFont="1" applyFill="1" applyBorder="1" applyAlignment="1">
      <alignment horizontal="center" vertical="center"/>
    </xf>
    <xf numFmtId="0" fontId="3" fillId="0" borderId="7" xfId="7" applyNumberFormat="1" applyFont="1" applyFill="1" applyBorder="1" applyAlignment="1">
      <alignment horizontal="center" vertical="center"/>
    </xf>
  </cellXfs>
  <cellStyles count="31">
    <cellStyle name="常规" xfId="0" builtinId="0"/>
    <cellStyle name="常规 10" xfId="4"/>
    <cellStyle name="常规 107" xfId="1"/>
    <cellStyle name="常规 11" xfId="5"/>
    <cellStyle name="常规 11 9" xfId="8"/>
    <cellStyle name="常规 2" xfId="7"/>
    <cellStyle name="常规 2 2" xfId="29"/>
    <cellStyle name="常规 2 24" xfId="13"/>
    <cellStyle name="常规 2 3" xfId="11"/>
    <cellStyle name="常规 292 2" xfId="21"/>
    <cellStyle name="常规 293" xfId="10"/>
    <cellStyle name="常规 294" xfId="28"/>
    <cellStyle name="常规 3" xfId="25"/>
    <cellStyle name="常规 3 2 2" xfId="26"/>
    <cellStyle name="常规 3 4" xfId="6"/>
    <cellStyle name="常规 3 4 9" xfId="9"/>
    <cellStyle name="常规 3 5" xfId="27"/>
    <cellStyle name="常规 4" xfId="15"/>
    <cellStyle name="常规 5" xfId="14"/>
    <cellStyle name="常规 6" xfId="16"/>
    <cellStyle name="常规 6 2" xfId="12"/>
    <cellStyle name="常规 8" xfId="3"/>
    <cellStyle name="常规 8 2" xfId="18"/>
    <cellStyle name="常规 8 2 2" xfId="19"/>
    <cellStyle name="常规 8 2 7" xfId="20"/>
    <cellStyle name="常规 9" xfId="17"/>
    <cellStyle name="常规_Sheet1" xfId="22"/>
    <cellStyle name="千位分隔" xfId="2" builtinId="3"/>
    <cellStyle name="千位分隔 12 3 3" xfId="30"/>
    <cellStyle name="千位分隔[0] 2" xfId="24"/>
    <cellStyle name="千位分隔[0] 3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C16" sqref="C16"/>
    </sheetView>
  </sheetViews>
  <sheetFormatPr defaultColWidth="9" defaultRowHeight="13.5"/>
  <cols>
    <col min="1" max="1" width="5.625" style="102" customWidth="1"/>
    <col min="2" max="2" width="25.625" style="194" customWidth="1"/>
    <col min="3" max="4" width="20.625" style="102" customWidth="1"/>
    <col min="5" max="5" width="25.625" style="102" customWidth="1"/>
    <col min="6" max="6" width="20.5" style="102" bestFit="1" customWidth="1"/>
    <col min="7" max="7" width="18.625" style="102" hidden="1" customWidth="1"/>
    <col min="8" max="8" width="18.375" style="102" bestFit="1" customWidth="1"/>
    <col min="9" max="9" width="14.375" style="102" hidden="1" customWidth="1"/>
    <col min="10" max="10" width="14.25" style="102" hidden="1" customWidth="1"/>
    <col min="11" max="254" width="9" style="102"/>
    <col min="255" max="255" width="6.625" style="102" customWidth="1"/>
    <col min="256" max="257" width="21.625" style="102" customWidth="1"/>
    <col min="258" max="258" width="16.125" style="102" bestFit="1" customWidth="1"/>
    <col min="259" max="259" width="13.875" style="102" bestFit="1" customWidth="1"/>
    <col min="260" max="260" width="17.25" style="102" bestFit="1" customWidth="1"/>
    <col min="261" max="262" width="20.5" style="102" bestFit="1" customWidth="1"/>
    <col min="263" max="263" width="0" style="102" hidden="1" customWidth="1"/>
    <col min="264" max="264" width="18.375" style="102" bestFit="1" customWidth="1"/>
    <col min="265" max="266" width="0" style="102" hidden="1" customWidth="1"/>
    <col min="267" max="510" width="9" style="102"/>
    <col min="511" max="511" width="6.625" style="102" customWidth="1"/>
    <col min="512" max="513" width="21.625" style="102" customWidth="1"/>
    <col min="514" max="514" width="16.125" style="102" bestFit="1" customWidth="1"/>
    <col min="515" max="515" width="13.875" style="102" bestFit="1" customWidth="1"/>
    <col min="516" max="516" width="17.25" style="102" bestFit="1" customWidth="1"/>
    <col min="517" max="518" width="20.5" style="102" bestFit="1" customWidth="1"/>
    <col min="519" max="519" width="0" style="102" hidden="1" customWidth="1"/>
    <col min="520" max="520" width="18.375" style="102" bestFit="1" customWidth="1"/>
    <col min="521" max="522" width="0" style="102" hidden="1" customWidth="1"/>
    <col min="523" max="766" width="9" style="102"/>
    <col min="767" max="767" width="6.625" style="102" customWidth="1"/>
    <col min="768" max="769" width="21.625" style="102" customWidth="1"/>
    <col min="770" max="770" width="16.125" style="102" bestFit="1" customWidth="1"/>
    <col min="771" max="771" width="13.875" style="102" bestFit="1" customWidth="1"/>
    <col min="772" max="772" width="17.25" style="102" bestFit="1" customWidth="1"/>
    <col min="773" max="774" width="20.5" style="102" bestFit="1" customWidth="1"/>
    <col min="775" max="775" width="0" style="102" hidden="1" customWidth="1"/>
    <col min="776" max="776" width="18.375" style="102" bestFit="1" customWidth="1"/>
    <col min="777" max="778" width="0" style="102" hidden="1" customWidth="1"/>
    <col min="779" max="1022" width="9" style="102"/>
    <col min="1023" max="1023" width="6.625" style="102" customWidth="1"/>
    <col min="1024" max="1025" width="21.625" style="102" customWidth="1"/>
    <col min="1026" max="1026" width="16.125" style="102" bestFit="1" customWidth="1"/>
    <col min="1027" max="1027" width="13.875" style="102" bestFit="1" customWidth="1"/>
    <col min="1028" max="1028" width="17.25" style="102" bestFit="1" customWidth="1"/>
    <col min="1029" max="1030" width="20.5" style="102" bestFit="1" customWidth="1"/>
    <col min="1031" max="1031" width="0" style="102" hidden="1" customWidth="1"/>
    <col min="1032" max="1032" width="18.375" style="102" bestFit="1" customWidth="1"/>
    <col min="1033" max="1034" width="0" style="102" hidden="1" customWidth="1"/>
    <col min="1035" max="1278" width="9" style="102"/>
    <col min="1279" max="1279" width="6.625" style="102" customWidth="1"/>
    <col min="1280" max="1281" width="21.625" style="102" customWidth="1"/>
    <col min="1282" max="1282" width="16.125" style="102" bestFit="1" customWidth="1"/>
    <col min="1283" max="1283" width="13.875" style="102" bestFit="1" customWidth="1"/>
    <col min="1284" max="1284" width="17.25" style="102" bestFit="1" customWidth="1"/>
    <col min="1285" max="1286" width="20.5" style="102" bestFit="1" customWidth="1"/>
    <col min="1287" max="1287" width="0" style="102" hidden="1" customWidth="1"/>
    <col min="1288" max="1288" width="18.375" style="102" bestFit="1" customWidth="1"/>
    <col min="1289" max="1290" width="0" style="102" hidden="1" customWidth="1"/>
    <col min="1291" max="1534" width="9" style="102"/>
    <col min="1535" max="1535" width="6.625" style="102" customWidth="1"/>
    <col min="1536" max="1537" width="21.625" style="102" customWidth="1"/>
    <col min="1538" max="1538" width="16.125" style="102" bestFit="1" customWidth="1"/>
    <col min="1539" max="1539" width="13.875" style="102" bestFit="1" customWidth="1"/>
    <col min="1540" max="1540" width="17.25" style="102" bestFit="1" customWidth="1"/>
    <col min="1541" max="1542" width="20.5" style="102" bestFit="1" customWidth="1"/>
    <col min="1543" max="1543" width="0" style="102" hidden="1" customWidth="1"/>
    <col min="1544" max="1544" width="18.375" style="102" bestFit="1" customWidth="1"/>
    <col min="1545" max="1546" width="0" style="102" hidden="1" customWidth="1"/>
    <col min="1547" max="1790" width="9" style="102"/>
    <col min="1791" max="1791" width="6.625" style="102" customWidth="1"/>
    <col min="1792" max="1793" width="21.625" style="102" customWidth="1"/>
    <col min="1794" max="1794" width="16.125" style="102" bestFit="1" customWidth="1"/>
    <col min="1795" max="1795" width="13.875" style="102" bestFit="1" customWidth="1"/>
    <col min="1796" max="1796" width="17.25" style="102" bestFit="1" customWidth="1"/>
    <col min="1797" max="1798" width="20.5" style="102" bestFit="1" customWidth="1"/>
    <col min="1799" max="1799" width="0" style="102" hidden="1" customWidth="1"/>
    <col min="1800" max="1800" width="18.375" style="102" bestFit="1" customWidth="1"/>
    <col min="1801" max="1802" width="0" style="102" hidden="1" customWidth="1"/>
    <col min="1803" max="2046" width="9" style="102"/>
    <col min="2047" max="2047" width="6.625" style="102" customWidth="1"/>
    <col min="2048" max="2049" width="21.625" style="102" customWidth="1"/>
    <col min="2050" max="2050" width="16.125" style="102" bestFit="1" customWidth="1"/>
    <col min="2051" max="2051" width="13.875" style="102" bestFit="1" customWidth="1"/>
    <col min="2052" max="2052" width="17.25" style="102" bestFit="1" customWidth="1"/>
    <col min="2053" max="2054" width="20.5" style="102" bestFit="1" customWidth="1"/>
    <col min="2055" max="2055" width="0" style="102" hidden="1" customWidth="1"/>
    <col min="2056" max="2056" width="18.375" style="102" bestFit="1" customWidth="1"/>
    <col min="2057" max="2058" width="0" style="102" hidden="1" customWidth="1"/>
    <col min="2059" max="2302" width="9" style="102"/>
    <col min="2303" max="2303" width="6.625" style="102" customWidth="1"/>
    <col min="2304" max="2305" width="21.625" style="102" customWidth="1"/>
    <col min="2306" max="2306" width="16.125" style="102" bestFit="1" customWidth="1"/>
    <col min="2307" max="2307" width="13.875" style="102" bestFit="1" customWidth="1"/>
    <col min="2308" max="2308" width="17.25" style="102" bestFit="1" customWidth="1"/>
    <col min="2309" max="2310" width="20.5" style="102" bestFit="1" customWidth="1"/>
    <col min="2311" max="2311" width="0" style="102" hidden="1" customWidth="1"/>
    <col min="2312" max="2312" width="18.375" style="102" bestFit="1" customWidth="1"/>
    <col min="2313" max="2314" width="0" style="102" hidden="1" customWidth="1"/>
    <col min="2315" max="2558" width="9" style="102"/>
    <col min="2559" max="2559" width="6.625" style="102" customWidth="1"/>
    <col min="2560" max="2561" width="21.625" style="102" customWidth="1"/>
    <col min="2562" max="2562" width="16.125" style="102" bestFit="1" customWidth="1"/>
    <col min="2563" max="2563" width="13.875" style="102" bestFit="1" customWidth="1"/>
    <col min="2564" max="2564" width="17.25" style="102" bestFit="1" customWidth="1"/>
    <col min="2565" max="2566" width="20.5" style="102" bestFit="1" customWidth="1"/>
    <col min="2567" max="2567" width="0" style="102" hidden="1" customWidth="1"/>
    <col min="2568" max="2568" width="18.375" style="102" bestFit="1" customWidth="1"/>
    <col min="2569" max="2570" width="0" style="102" hidden="1" customWidth="1"/>
    <col min="2571" max="2814" width="9" style="102"/>
    <col min="2815" max="2815" width="6.625" style="102" customWidth="1"/>
    <col min="2816" max="2817" width="21.625" style="102" customWidth="1"/>
    <col min="2818" max="2818" width="16.125" style="102" bestFit="1" customWidth="1"/>
    <col min="2819" max="2819" width="13.875" style="102" bestFit="1" customWidth="1"/>
    <col min="2820" max="2820" width="17.25" style="102" bestFit="1" customWidth="1"/>
    <col min="2821" max="2822" width="20.5" style="102" bestFit="1" customWidth="1"/>
    <col min="2823" max="2823" width="0" style="102" hidden="1" customWidth="1"/>
    <col min="2824" max="2824" width="18.375" style="102" bestFit="1" customWidth="1"/>
    <col min="2825" max="2826" width="0" style="102" hidden="1" customWidth="1"/>
    <col min="2827" max="3070" width="9" style="102"/>
    <col min="3071" max="3071" width="6.625" style="102" customWidth="1"/>
    <col min="3072" max="3073" width="21.625" style="102" customWidth="1"/>
    <col min="3074" max="3074" width="16.125" style="102" bestFit="1" customWidth="1"/>
    <col min="3075" max="3075" width="13.875" style="102" bestFit="1" customWidth="1"/>
    <col min="3076" max="3076" width="17.25" style="102" bestFit="1" customWidth="1"/>
    <col min="3077" max="3078" width="20.5" style="102" bestFit="1" customWidth="1"/>
    <col min="3079" max="3079" width="0" style="102" hidden="1" customWidth="1"/>
    <col min="3080" max="3080" width="18.375" style="102" bestFit="1" customWidth="1"/>
    <col min="3081" max="3082" width="0" style="102" hidden="1" customWidth="1"/>
    <col min="3083" max="3326" width="9" style="102"/>
    <col min="3327" max="3327" width="6.625" style="102" customWidth="1"/>
    <col min="3328" max="3329" width="21.625" style="102" customWidth="1"/>
    <col min="3330" max="3330" width="16.125" style="102" bestFit="1" customWidth="1"/>
    <col min="3331" max="3331" width="13.875" style="102" bestFit="1" customWidth="1"/>
    <col min="3332" max="3332" width="17.25" style="102" bestFit="1" customWidth="1"/>
    <col min="3333" max="3334" width="20.5" style="102" bestFit="1" customWidth="1"/>
    <col min="3335" max="3335" width="0" style="102" hidden="1" customWidth="1"/>
    <col min="3336" max="3336" width="18.375" style="102" bestFit="1" customWidth="1"/>
    <col min="3337" max="3338" width="0" style="102" hidden="1" customWidth="1"/>
    <col min="3339" max="3582" width="9" style="102"/>
    <col min="3583" max="3583" width="6.625" style="102" customWidth="1"/>
    <col min="3584" max="3585" width="21.625" style="102" customWidth="1"/>
    <col min="3586" max="3586" width="16.125" style="102" bestFit="1" customWidth="1"/>
    <col min="3587" max="3587" width="13.875" style="102" bestFit="1" customWidth="1"/>
    <col min="3588" max="3588" width="17.25" style="102" bestFit="1" customWidth="1"/>
    <col min="3589" max="3590" width="20.5" style="102" bestFit="1" customWidth="1"/>
    <col min="3591" max="3591" width="0" style="102" hidden="1" customWidth="1"/>
    <col min="3592" max="3592" width="18.375" style="102" bestFit="1" customWidth="1"/>
    <col min="3593" max="3594" width="0" style="102" hidden="1" customWidth="1"/>
    <col min="3595" max="3838" width="9" style="102"/>
    <col min="3839" max="3839" width="6.625" style="102" customWidth="1"/>
    <col min="3840" max="3841" width="21.625" style="102" customWidth="1"/>
    <col min="3842" max="3842" width="16.125" style="102" bestFit="1" customWidth="1"/>
    <col min="3843" max="3843" width="13.875" style="102" bestFit="1" customWidth="1"/>
    <col min="3844" max="3844" width="17.25" style="102" bestFit="1" customWidth="1"/>
    <col min="3845" max="3846" width="20.5" style="102" bestFit="1" customWidth="1"/>
    <col min="3847" max="3847" width="0" style="102" hidden="1" customWidth="1"/>
    <col min="3848" max="3848" width="18.375" style="102" bestFit="1" customWidth="1"/>
    <col min="3849" max="3850" width="0" style="102" hidden="1" customWidth="1"/>
    <col min="3851" max="4094" width="9" style="102"/>
    <col min="4095" max="4095" width="6.625" style="102" customWidth="1"/>
    <col min="4096" max="4097" width="21.625" style="102" customWidth="1"/>
    <col min="4098" max="4098" width="16.125" style="102" bestFit="1" customWidth="1"/>
    <col min="4099" max="4099" width="13.875" style="102" bestFit="1" customWidth="1"/>
    <col min="4100" max="4100" width="17.25" style="102" bestFit="1" customWidth="1"/>
    <col min="4101" max="4102" width="20.5" style="102" bestFit="1" customWidth="1"/>
    <col min="4103" max="4103" width="0" style="102" hidden="1" customWidth="1"/>
    <col min="4104" max="4104" width="18.375" style="102" bestFit="1" customWidth="1"/>
    <col min="4105" max="4106" width="0" style="102" hidden="1" customWidth="1"/>
    <col min="4107" max="4350" width="9" style="102"/>
    <col min="4351" max="4351" width="6.625" style="102" customWidth="1"/>
    <col min="4352" max="4353" width="21.625" style="102" customWidth="1"/>
    <col min="4354" max="4354" width="16.125" style="102" bestFit="1" customWidth="1"/>
    <col min="4355" max="4355" width="13.875" style="102" bestFit="1" customWidth="1"/>
    <col min="4356" max="4356" width="17.25" style="102" bestFit="1" customWidth="1"/>
    <col min="4357" max="4358" width="20.5" style="102" bestFit="1" customWidth="1"/>
    <col min="4359" max="4359" width="0" style="102" hidden="1" customWidth="1"/>
    <col min="4360" max="4360" width="18.375" style="102" bestFit="1" customWidth="1"/>
    <col min="4361" max="4362" width="0" style="102" hidden="1" customWidth="1"/>
    <col min="4363" max="4606" width="9" style="102"/>
    <col min="4607" max="4607" width="6.625" style="102" customWidth="1"/>
    <col min="4608" max="4609" width="21.625" style="102" customWidth="1"/>
    <col min="4610" max="4610" width="16.125" style="102" bestFit="1" customWidth="1"/>
    <col min="4611" max="4611" width="13.875" style="102" bestFit="1" customWidth="1"/>
    <col min="4612" max="4612" width="17.25" style="102" bestFit="1" customWidth="1"/>
    <col min="4613" max="4614" width="20.5" style="102" bestFit="1" customWidth="1"/>
    <col min="4615" max="4615" width="0" style="102" hidden="1" customWidth="1"/>
    <col min="4616" max="4616" width="18.375" style="102" bestFit="1" customWidth="1"/>
    <col min="4617" max="4618" width="0" style="102" hidden="1" customWidth="1"/>
    <col min="4619" max="4862" width="9" style="102"/>
    <col min="4863" max="4863" width="6.625" style="102" customWidth="1"/>
    <col min="4864" max="4865" width="21.625" style="102" customWidth="1"/>
    <col min="4866" max="4866" width="16.125" style="102" bestFit="1" customWidth="1"/>
    <col min="4867" max="4867" width="13.875" style="102" bestFit="1" customWidth="1"/>
    <col min="4868" max="4868" width="17.25" style="102" bestFit="1" customWidth="1"/>
    <col min="4869" max="4870" width="20.5" style="102" bestFit="1" customWidth="1"/>
    <col min="4871" max="4871" width="0" style="102" hidden="1" customWidth="1"/>
    <col min="4872" max="4872" width="18.375" style="102" bestFit="1" customWidth="1"/>
    <col min="4873" max="4874" width="0" style="102" hidden="1" customWidth="1"/>
    <col min="4875" max="5118" width="9" style="102"/>
    <col min="5119" max="5119" width="6.625" style="102" customWidth="1"/>
    <col min="5120" max="5121" width="21.625" style="102" customWidth="1"/>
    <col min="5122" max="5122" width="16.125" style="102" bestFit="1" customWidth="1"/>
    <col min="5123" max="5123" width="13.875" style="102" bestFit="1" customWidth="1"/>
    <col min="5124" max="5124" width="17.25" style="102" bestFit="1" customWidth="1"/>
    <col min="5125" max="5126" width="20.5" style="102" bestFit="1" customWidth="1"/>
    <col min="5127" max="5127" width="0" style="102" hidden="1" customWidth="1"/>
    <col min="5128" max="5128" width="18.375" style="102" bestFit="1" customWidth="1"/>
    <col min="5129" max="5130" width="0" style="102" hidden="1" customWidth="1"/>
    <col min="5131" max="5374" width="9" style="102"/>
    <col min="5375" max="5375" width="6.625" style="102" customWidth="1"/>
    <col min="5376" max="5377" width="21.625" style="102" customWidth="1"/>
    <col min="5378" max="5378" width="16.125" style="102" bestFit="1" customWidth="1"/>
    <col min="5379" max="5379" width="13.875" style="102" bestFit="1" customWidth="1"/>
    <col min="5380" max="5380" width="17.25" style="102" bestFit="1" customWidth="1"/>
    <col min="5381" max="5382" width="20.5" style="102" bestFit="1" customWidth="1"/>
    <col min="5383" max="5383" width="0" style="102" hidden="1" customWidth="1"/>
    <col min="5384" max="5384" width="18.375" style="102" bestFit="1" customWidth="1"/>
    <col min="5385" max="5386" width="0" style="102" hidden="1" customWidth="1"/>
    <col min="5387" max="5630" width="9" style="102"/>
    <col min="5631" max="5631" width="6.625" style="102" customWidth="1"/>
    <col min="5632" max="5633" width="21.625" style="102" customWidth="1"/>
    <col min="5634" max="5634" width="16.125" style="102" bestFit="1" customWidth="1"/>
    <col min="5635" max="5635" width="13.875" style="102" bestFit="1" customWidth="1"/>
    <col min="5636" max="5636" width="17.25" style="102" bestFit="1" customWidth="1"/>
    <col min="5637" max="5638" width="20.5" style="102" bestFit="1" customWidth="1"/>
    <col min="5639" max="5639" width="0" style="102" hidden="1" customWidth="1"/>
    <col min="5640" max="5640" width="18.375" style="102" bestFit="1" customWidth="1"/>
    <col min="5641" max="5642" width="0" style="102" hidden="1" customWidth="1"/>
    <col min="5643" max="5886" width="9" style="102"/>
    <col min="5887" max="5887" width="6.625" style="102" customWidth="1"/>
    <col min="5888" max="5889" width="21.625" style="102" customWidth="1"/>
    <col min="5890" max="5890" width="16.125" style="102" bestFit="1" customWidth="1"/>
    <col min="5891" max="5891" width="13.875" style="102" bestFit="1" customWidth="1"/>
    <col min="5892" max="5892" width="17.25" style="102" bestFit="1" customWidth="1"/>
    <col min="5893" max="5894" width="20.5" style="102" bestFit="1" customWidth="1"/>
    <col min="5895" max="5895" width="0" style="102" hidden="1" customWidth="1"/>
    <col min="5896" max="5896" width="18.375" style="102" bestFit="1" customWidth="1"/>
    <col min="5897" max="5898" width="0" style="102" hidden="1" customWidth="1"/>
    <col min="5899" max="6142" width="9" style="102"/>
    <col min="6143" max="6143" width="6.625" style="102" customWidth="1"/>
    <col min="6144" max="6145" width="21.625" style="102" customWidth="1"/>
    <col min="6146" max="6146" width="16.125" style="102" bestFit="1" customWidth="1"/>
    <col min="6147" max="6147" width="13.875" style="102" bestFit="1" customWidth="1"/>
    <col min="6148" max="6148" width="17.25" style="102" bestFit="1" customWidth="1"/>
    <col min="6149" max="6150" width="20.5" style="102" bestFit="1" customWidth="1"/>
    <col min="6151" max="6151" width="0" style="102" hidden="1" customWidth="1"/>
    <col min="6152" max="6152" width="18.375" style="102" bestFit="1" customWidth="1"/>
    <col min="6153" max="6154" width="0" style="102" hidden="1" customWidth="1"/>
    <col min="6155" max="6398" width="9" style="102"/>
    <col min="6399" max="6399" width="6.625" style="102" customWidth="1"/>
    <col min="6400" max="6401" width="21.625" style="102" customWidth="1"/>
    <col min="6402" max="6402" width="16.125" style="102" bestFit="1" customWidth="1"/>
    <col min="6403" max="6403" width="13.875" style="102" bestFit="1" customWidth="1"/>
    <col min="6404" max="6404" width="17.25" style="102" bestFit="1" customWidth="1"/>
    <col min="6405" max="6406" width="20.5" style="102" bestFit="1" customWidth="1"/>
    <col min="6407" max="6407" width="0" style="102" hidden="1" customWidth="1"/>
    <col min="6408" max="6408" width="18.375" style="102" bestFit="1" customWidth="1"/>
    <col min="6409" max="6410" width="0" style="102" hidden="1" customWidth="1"/>
    <col min="6411" max="6654" width="9" style="102"/>
    <col min="6655" max="6655" width="6.625" style="102" customWidth="1"/>
    <col min="6656" max="6657" width="21.625" style="102" customWidth="1"/>
    <col min="6658" max="6658" width="16.125" style="102" bestFit="1" customWidth="1"/>
    <col min="6659" max="6659" width="13.875" style="102" bestFit="1" customWidth="1"/>
    <col min="6660" max="6660" width="17.25" style="102" bestFit="1" customWidth="1"/>
    <col min="6661" max="6662" width="20.5" style="102" bestFit="1" customWidth="1"/>
    <col min="6663" max="6663" width="0" style="102" hidden="1" customWidth="1"/>
    <col min="6664" max="6664" width="18.375" style="102" bestFit="1" customWidth="1"/>
    <col min="6665" max="6666" width="0" style="102" hidden="1" customWidth="1"/>
    <col min="6667" max="6910" width="9" style="102"/>
    <col min="6911" max="6911" width="6.625" style="102" customWidth="1"/>
    <col min="6912" max="6913" width="21.625" style="102" customWidth="1"/>
    <col min="6914" max="6914" width="16.125" style="102" bestFit="1" customWidth="1"/>
    <col min="6915" max="6915" width="13.875" style="102" bestFit="1" customWidth="1"/>
    <col min="6916" max="6916" width="17.25" style="102" bestFit="1" customWidth="1"/>
    <col min="6917" max="6918" width="20.5" style="102" bestFit="1" customWidth="1"/>
    <col min="6919" max="6919" width="0" style="102" hidden="1" customWidth="1"/>
    <col min="6920" max="6920" width="18.375" style="102" bestFit="1" customWidth="1"/>
    <col min="6921" max="6922" width="0" style="102" hidden="1" customWidth="1"/>
    <col min="6923" max="7166" width="9" style="102"/>
    <col min="7167" max="7167" width="6.625" style="102" customWidth="1"/>
    <col min="7168" max="7169" width="21.625" style="102" customWidth="1"/>
    <col min="7170" max="7170" width="16.125" style="102" bestFit="1" customWidth="1"/>
    <col min="7171" max="7171" width="13.875" style="102" bestFit="1" customWidth="1"/>
    <col min="7172" max="7172" width="17.25" style="102" bestFit="1" customWidth="1"/>
    <col min="7173" max="7174" width="20.5" style="102" bestFit="1" customWidth="1"/>
    <col min="7175" max="7175" width="0" style="102" hidden="1" customWidth="1"/>
    <col min="7176" max="7176" width="18.375" style="102" bestFit="1" customWidth="1"/>
    <col min="7177" max="7178" width="0" style="102" hidden="1" customWidth="1"/>
    <col min="7179" max="7422" width="9" style="102"/>
    <col min="7423" max="7423" width="6.625" style="102" customWidth="1"/>
    <col min="7424" max="7425" width="21.625" style="102" customWidth="1"/>
    <col min="7426" max="7426" width="16.125" style="102" bestFit="1" customWidth="1"/>
    <col min="7427" max="7427" width="13.875" style="102" bestFit="1" customWidth="1"/>
    <col min="7428" max="7428" width="17.25" style="102" bestFit="1" customWidth="1"/>
    <col min="7429" max="7430" width="20.5" style="102" bestFit="1" customWidth="1"/>
    <col min="7431" max="7431" width="0" style="102" hidden="1" customWidth="1"/>
    <col min="7432" max="7432" width="18.375" style="102" bestFit="1" customWidth="1"/>
    <col min="7433" max="7434" width="0" style="102" hidden="1" customWidth="1"/>
    <col min="7435" max="7678" width="9" style="102"/>
    <col min="7679" max="7679" width="6.625" style="102" customWidth="1"/>
    <col min="7680" max="7681" width="21.625" style="102" customWidth="1"/>
    <col min="7682" max="7682" width="16.125" style="102" bestFit="1" customWidth="1"/>
    <col min="7683" max="7683" width="13.875" style="102" bestFit="1" customWidth="1"/>
    <col min="7684" max="7684" width="17.25" style="102" bestFit="1" customWidth="1"/>
    <col min="7685" max="7686" width="20.5" style="102" bestFit="1" customWidth="1"/>
    <col min="7687" max="7687" width="0" style="102" hidden="1" customWidth="1"/>
    <col min="7688" max="7688" width="18.375" style="102" bestFit="1" customWidth="1"/>
    <col min="7689" max="7690" width="0" style="102" hidden="1" customWidth="1"/>
    <col min="7691" max="7934" width="9" style="102"/>
    <col min="7935" max="7935" width="6.625" style="102" customWidth="1"/>
    <col min="7936" max="7937" width="21.625" style="102" customWidth="1"/>
    <col min="7938" max="7938" width="16.125" style="102" bestFit="1" customWidth="1"/>
    <col min="7939" max="7939" width="13.875" style="102" bestFit="1" customWidth="1"/>
    <col min="7940" max="7940" width="17.25" style="102" bestFit="1" customWidth="1"/>
    <col min="7941" max="7942" width="20.5" style="102" bestFit="1" customWidth="1"/>
    <col min="7943" max="7943" width="0" style="102" hidden="1" customWidth="1"/>
    <col min="7944" max="7944" width="18.375" style="102" bestFit="1" customWidth="1"/>
    <col min="7945" max="7946" width="0" style="102" hidden="1" customWidth="1"/>
    <col min="7947" max="8190" width="9" style="102"/>
    <col min="8191" max="8191" width="6.625" style="102" customWidth="1"/>
    <col min="8192" max="8193" width="21.625" style="102" customWidth="1"/>
    <col min="8194" max="8194" width="16.125" style="102" bestFit="1" customWidth="1"/>
    <col min="8195" max="8195" width="13.875" style="102" bestFit="1" customWidth="1"/>
    <col min="8196" max="8196" width="17.25" style="102" bestFit="1" customWidth="1"/>
    <col min="8197" max="8198" width="20.5" style="102" bestFit="1" customWidth="1"/>
    <col min="8199" max="8199" width="0" style="102" hidden="1" customWidth="1"/>
    <col min="8200" max="8200" width="18.375" style="102" bestFit="1" customWidth="1"/>
    <col min="8201" max="8202" width="0" style="102" hidden="1" customWidth="1"/>
    <col min="8203" max="8446" width="9" style="102"/>
    <col min="8447" max="8447" width="6.625" style="102" customWidth="1"/>
    <col min="8448" max="8449" width="21.625" style="102" customWidth="1"/>
    <col min="8450" max="8450" width="16.125" style="102" bestFit="1" customWidth="1"/>
    <col min="8451" max="8451" width="13.875" style="102" bestFit="1" customWidth="1"/>
    <col min="8452" max="8452" width="17.25" style="102" bestFit="1" customWidth="1"/>
    <col min="8453" max="8454" width="20.5" style="102" bestFit="1" customWidth="1"/>
    <col min="8455" max="8455" width="0" style="102" hidden="1" customWidth="1"/>
    <col min="8456" max="8456" width="18.375" style="102" bestFit="1" customWidth="1"/>
    <col min="8457" max="8458" width="0" style="102" hidden="1" customWidth="1"/>
    <col min="8459" max="8702" width="9" style="102"/>
    <col min="8703" max="8703" width="6.625" style="102" customWidth="1"/>
    <col min="8704" max="8705" width="21.625" style="102" customWidth="1"/>
    <col min="8706" max="8706" width="16.125" style="102" bestFit="1" customWidth="1"/>
    <col min="8707" max="8707" width="13.875" style="102" bestFit="1" customWidth="1"/>
    <col min="8708" max="8708" width="17.25" style="102" bestFit="1" customWidth="1"/>
    <col min="8709" max="8710" width="20.5" style="102" bestFit="1" customWidth="1"/>
    <col min="8711" max="8711" width="0" style="102" hidden="1" customWidth="1"/>
    <col min="8712" max="8712" width="18.375" style="102" bestFit="1" customWidth="1"/>
    <col min="8713" max="8714" width="0" style="102" hidden="1" customWidth="1"/>
    <col min="8715" max="8958" width="9" style="102"/>
    <col min="8959" max="8959" width="6.625" style="102" customWidth="1"/>
    <col min="8960" max="8961" width="21.625" style="102" customWidth="1"/>
    <col min="8962" max="8962" width="16.125" style="102" bestFit="1" customWidth="1"/>
    <col min="8963" max="8963" width="13.875" style="102" bestFit="1" customWidth="1"/>
    <col min="8964" max="8964" width="17.25" style="102" bestFit="1" customWidth="1"/>
    <col min="8965" max="8966" width="20.5" style="102" bestFit="1" customWidth="1"/>
    <col min="8967" max="8967" width="0" style="102" hidden="1" customWidth="1"/>
    <col min="8968" max="8968" width="18.375" style="102" bestFit="1" customWidth="1"/>
    <col min="8969" max="8970" width="0" style="102" hidden="1" customWidth="1"/>
    <col min="8971" max="9214" width="9" style="102"/>
    <col min="9215" max="9215" width="6.625" style="102" customWidth="1"/>
    <col min="9216" max="9217" width="21.625" style="102" customWidth="1"/>
    <col min="9218" max="9218" width="16.125" style="102" bestFit="1" customWidth="1"/>
    <col min="9219" max="9219" width="13.875" style="102" bestFit="1" customWidth="1"/>
    <col min="9220" max="9220" width="17.25" style="102" bestFit="1" customWidth="1"/>
    <col min="9221" max="9222" width="20.5" style="102" bestFit="1" customWidth="1"/>
    <col min="9223" max="9223" width="0" style="102" hidden="1" customWidth="1"/>
    <col min="9224" max="9224" width="18.375" style="102" bestFit="1" customWidth="1"/>
    <col min="9225" max="9226" width="0" style="102" hidden="1" customWidth="1"/>
    <col min="9227" max="9470" width="9" style="102"/>
    <col min="9471" max="9471" width="6.625" style="102" customWidth="1"/>
    <col min="9472" max="9473" width="21.625" style="102" customWidth="1"/>
    <col min="9474" max="9474" width="16.125" style="102" bestFit="1" customWidth="1"/>
    <col min="9475" max="9475" width="13.875" style="102" bestFit="1" customWidth="1"/>
    <col min="9476" max="9476" width="17.25" style="102" bestFit="1" customWidth="1"/>
    <col min="9477" max="9478" width="20.5" style="102" bestFit="1" customWidth="1"/>
    <col min="9479" max="9479" width="0" style="102" hidden="1" customWidth="1"/>
    <col min="9480" max="9480" width="18.375" style="102" bestFit="1" customWidth="1"/>
    <col min="9481" max="9482" width="0" style="102" hidden="1" customWidth="1"/>
    <col min="9483" max="9726" width="9" style="102"/>
    <col min="9727" max="9727" width="6.625" style="102" customWidth="1"/>
    <col min="9728" max="9729" width="21.625" style="102" customWidth="1"/>
    <col min="9730" max="9730" width="16.125" style="102" bestFit="1" customWidth="1"/>
    <col min="9731" max="9731" width="13.875" style="102" bestFit="1" customWidth="1"/>
    <col min="9732" max="9732" width="17.25" style="102" bestFit="1" customWidth="1"/>
    <col min="9733" max="9734" width="20.5" style="102" bestFit="1" customWidth="1"/>
    <col min="9735" max="9735" width="0" style="102" hidden="1" customWidth="1"/>
    <col min="9736" max="9736" width="18.375" style="102" bestFit="1" customWidth="1"/>
    <col min="9737" max="9738" width="0" style="102" hidden="1" customWidth="1"/>
    <col min="9739" max="9982" width="9" style="102"/>
    <col min="9983" max="9983" width="6.625" style="102" customWidth="1"/>
    <col min="9984" max="9985" width="21.625" style="102" customWidth="1"/>
    <col min="9986" max="9986" width="16.125" style="102" bestFit="1" customWidth="1"/>
    <col min="9987" max="9987" width="13.875" style="102" bestFit="1" customWidth="1"/>
    <col min="9988" max="9988" width="17.25" style="102" bestFit="1" customWidth="1"/>
    <col min="9989" max="9990" width="20.5" style="102" bestFit="1" customWidth="1"/>
    <col min="9991" max="9991" width="0" style="102" hidden="1" customWidth="1"/>
    <col min="9992" max="9992" width="18.375" style="102" bestFit="1" customWidth="1"/>
    <col min="9993" max="9994" width="0" style="102" hidden="1" customWidth="1"/>
    <col min="9995" max="10238" width="9" style="102"/>
    <col min="10239" max="10239" width="6.625" style="102" customWidth="1"/>
    <col min="10240" max="10241" width="21.625" style="102" customWidth="1"/>
    <col min="10242" max="10242" width="16.125" style="102" bestFit="1" customWidth="1"/>
    <col min="10243" max="10243" width="13.875" style="102" bestFit="1" customWidth="1"/>
    <col min="10244" max="10244" width="17.25" style="102" bestFit="1" customWidth="1"/>
    <col min="10245" max="10246" width="20.5" style="102" bestFit="1" customWidth="1"/>
    <col min="10247" max="10247" width="0" style="102" hidden="1" customWidth="1"/>
    <col min="10248" max="10248" width="18.375" style="102" bestFit="1" customWidth="1"/>
    <col min="10249" max="10250" width="0" style="102" hidden="1" customWidth="1"/>
    <col min="10251" max="10494" width="9" style="102"/>
    <col min="10495" max="10495" width="6.625" style="102" customWidth="1"/>
    <col min="10496" max="10497" width="21.625" style="102" customWidth="1"/>
    <col min="10498" max="10498" width="16.125" style="102" bestFit="1" customWidth="1"/>
    <col min="10499" max="10499" width="13.875" style="102" bestFit="1" customWidth="1"/>
    <col min="10500" max="10500" width="17.25" style="102" bestFit="1" customWidth="1"/>
    <col min="10501" max="10502" width="20.5" style="102" bestFit="1" customWidth="1"/>
    <col min="10503" max="10503" width="0" style="102" hidden="1" customWidth="1"/>
    <col min="10504" max="10504" width="18.375" style="102" bestFit="1" customWidth="1"/>
    <col min="10505" max="10506" width="0" style="102" hidden="1" customWidth="1"/>
    <col min="10507" max="10750" width="9" style="102"/>
    <col min="10751" max="10751" width="6.625" style="102" customWidth="1"/>
    <col min="10752" max="10753" width="21.625" style="102" customWidth="1"/>
    <col min="10754" max="10754" width="16.125" style="102" bestFit="1" customWidth="1"/>
    <col min="10755" max="10755" width="13.875" style="102" bestFit="1" customWidth="1"/>
    <col min="10756" max="10756" width="17.25" style="102" bestFit="1" customWidth="1"/>
    <col min="10757" max="10758" width="20.5" style="102" bestFit="1" customWidth="1"/>
    <col min="10759" max="10759" width="0" style="102" hidden="1" customWidth="1"/>
    <col min="10760" max="10760" width="18.375" style="102" bestFit="1" customWidth="1"/>
    <col min="10761" max="10762" width="0" style="102" hidden="1" customWidth="1"/>
    <col min="10763" max="11006" width="9" style="102"/>
    <col min="11007" max="11007" width="6.625" style="102" customWidth="1"/>
    <col min="11008" max="11009" width="21.625" style="102" customWidth="1"/>
    <col min="11010" max="11010" width="16.125" style="102" bestFit="1" customWidth="1"/>
    <col min="11011" max="11011" width="13.875" style="102" bestFit="1" customWidth="1"/>
    <col min="11012" max="11012" width="17.25" style="102" bestFit="1" customWidth="1"/>
    <col min="11013" max="11014" width="20.5" style="102" bestFit="1" customWidth="1"/>
    <col min="11015" max="11015" width="0" style="102" hidden="1" customWidth="1"/>
    <col min="11016" max="11016" width="18.375" style="102" bestFit="1" customWidth="1"/>
    <col min="11017" max="11018" width="0" style="102" hidden="1" customWidth="1"/>
    <col min="11019" max="11262" width="9" style="102"/>
    <col min="11263" max="11263" width="6.625" style="102" customWidth="1"/>
    <col min="11264" max="11265" width="21.625" style="102" customWidth="1"/>
    <col min="11266" max="11266" width="16.125" style="102" bestFit="1" customWidth="1"/>
    <col min="11267" max="11267" width="13.875" style="102" bestFit="1" customWidth="1"/>
    <col min="11268" max="11268" width="17.25" style="102" bestFit="1" customWidth="1"/>
    <col min="11269" max="11270" width="20.5" style="102" bestFit="1" customWidth="1"/>
    <col min="11271" max="11271" width="0" style="102" hidden="1" customWidth="1"/>
    <col min="11272" max="11272" width="18.375" style="102" bestFit="1" customWidth="1"/>
    <col min="11273" max="11274" width="0" style="102" hidden="1" customWidth="1"/>
    <col min="11275" max="11518" width="9" style="102"/>
    <col min="11519" max="11519" width="6.625" style="102" customWidth="1"/>
    <col min="11520" max="11521" width="21.625" style="102" customWidth="1"/>
    <col min="11522" max="11522" width="16.125" style="102" bestFit="1" customWidth="1"/>
    <col min="11523" max="11523" width="13.875" style="102" bestFit="1" customWidth="1"/>
    <col min="11524" max="11524" width="17.25" style="102" bestFit="1" customWidth="1"/>
    <col min="11525" max="11526" width="20.5" style="102" bestFit="1" customWidth="1"/>
    <col min="11527" max="11527" width="0" style="102" hidden="1" customWidth="1"/>
    <col min="11528" max="11528" width="18.375" style="102" bestFit="1" customWidth="1"/>
    <col min="11529" max="11530" width="0" style="102" hidden="1" customWidth="1"/>
    <col min="11531" max="11774" width="9" style="102"/>
    <col min="11775" max="11775" width="6.625" style="102" customWidth="1"/>
    <col min="11776" max="11777" width="21.625" style="102" customWidth="1"/>
    <col min="11778" max="11778" width="16.125" style="102" bestFit="1" customWidth="1"/>
    <col min="11779" max="11779" width="13.875" style="102" bestFit="1" customWidth="1"/>
    <col min="11780" max="11780" width="17.25" style="102" bestFit="1" customWidth="1"/>
    <col min="11781" max="11782" width="20.5" style="102" bestFit="1" customWidth="1"/>
    <col min="11783" max="11783" width="0" style="102" hidden="1" customWidth="1"/>
    <col min="11784" max="11784" width="18.375" style="102" bestFit="1" customWidth="1"/>
    <col min="11785" max="11786" width="0" style="102" hidden="1" customWidth="1"/>
    <col min="11787" max="12030" width="9" style="102"/>
    <col min="12031" max="12031" width="6.625" style="102" customWidth="1"/>
    <col min="12032" max="12033" width="21.625" style="102" customWidth="1"/>
    <col min="12034" max="12034" width="16.125" style="102" bestFit="1" customWidth="1"/>
    <col min="12035" max="12035" width="13.875" style="102" bestFit="1" customWidth="1"/>
    <col min="12036" max="12036" width="17.25" style="102" bestFit="1" customWidth="1"/>
    <col min="12037" max="12038" width="20.5" style="102" bestFit="1" customWidth="1"/>
    <col min="12039" max="12039" width="0" style="102" hidden="1" customWidth="1"/>
    <col min="12040" max="12040" width="18.375" style="102" bestFit="1" customWidth="1"/>
    <col min="12041" max="12042" width="0" style="102" hidden="1" customWidth="1"/>
    <col min="12043" max="12286" width="9" style="102"/>
    <col min="12287" max="12287" width="6.625" style="102" customWidth="1"/>
    <col min="12288" max="12289" width="21.625" style="102" customWidth="1"/>
    <col min="12290" max="12290" width="16.125" style="102" bestFit="1" customWidth="1"/>
    <col min="12291" max="12291" width="13.875" style="102" bestFit="1" customWidth="1"/>
    <col min="12292" max="12292" width="17.25" style="102" bestFit="1" customWidth="1"/>
    <col min="12293" max="12294" width="20.5" style="102" bestFit="1" customWidth="1"/>
    <col min="12295" max="12295" width="0" style="102" hidden="1" customWidth="1"/>
    <col min="12296" max="12296" width="18.375" style="102" bestFit="1" customWidth="1"/>
    <col min="12297" max="12298" width="0" style="102" hidden="1" customWidth="1"/>
    <col min="12299" max="12542" width="9" style="102"/>
    <col min="12543" max="12543" width="6.625" style="102" customWidth="1"/>
    <col min="12544" max="12545" width="21.625" style="102" customWidth="1"/>
    <col min="12546" max="12546" width="16.125" style="102" bestFit="1" customWidth="1"/>
    <col min="12547" max="12547" width="13.875" style="102" bestFit="1" customWidth="1"/>
    <col min="12548" max="12548" width="17.25" style="102" bestFit="1" customWidth="1"/>
    <col min="12549" max="12550" width="20.5" style="102" bestFit="1" customWidth="1"/>
    <col min="12551" max="12551" width="0" style="102" hidden="1" customWidth="1"/>
    <col min="12552" max="12552" width="18.375" style="102" bestFit="1" customWidth="1"/>
    <col min="12553" max="12554" width="0" style="102" hidden="1" customWidth="1"/>
    <col min="12555" max="12798" width="9" style="102"/>
    <col min="12799" max="12799" width="6.625" style="102" customWidth="1"/>
    <col min="12800" max="12801" width="21.625" style="102" customWidth="1"/>
    <col min="12802" max="12802" width="16.125" style="102" bestFit="1" customWidth="1"/>
    <col min="12803" max="12803" width="13.875" style="102" bestFit="1" customWidth="1"/>
    <col min="12804" max="12804" width="17.25" style="102" bestFit="1" customWidth="1"/>
    <col min="12805" max="12806" width="20.5" style="102" bestFit="1" customWidth="1"/>
    <col min="12807" max="12807" width="0" style="102" hidden="1" customWidth="1"/>
    <col min="12808" max="12808" width="18.375" style="102" bestFit="1" customWidth="1"/>
    <col min="12809" max="12810" width="0" style="102" hidden="1" customWidth="1"/>
    <col min="12811" max="13054" width="9" style="102"/>
    <col min="13055" max="13055" width="6.625" style="102" customWidth="1"/>
    <col min="13056" max="13057" width="21.625" style="102" customWidth="1"/>
    <col min="13058" max="13058" width="16.125" style="102" bestFit="1" customWidth="1"/>
    <col min="13059" max="13059" width="13.875" style="102" bestFit="1" customWidth="1"/>
    <col min="13060" max="13060" width="17.25" style="102" bestFit="1" customWidth="1"/>
    <col min="13061" max="13062" width="20.5" style="102" bestFit="1" customWidth="1"/>
    <col min="13063" max="13063" width="0" style="102" hidden="1" customWidth="1"/>
    <col min="13064" max="13064" width="18.375" style="102" bestFit="1" customWidth="1"/>
    <col min="13065" max="13066" width="0" style="102" hidden="1" customWidth="1"/>
    <col min="13067" max="13310" width="9" style="102"/>
    <col min="13311" max="13311" width="6.625" style="102" customWidth="1"/>
    <col min="13312" max="13313" width="21.625" style="102" customWidth="1"/>
    <col min="13314" max="13314" width="16.125" style="102" bestFit="1" customWidth="1"/>
    <col min="13315" max="13315" width="13.875" style="102" bestFit="1" customWidth="1"/>
    <col min="13316" max="13316" width="17.25" style="102" bestFit="1" customWidth="1"/>
    <col min="13317" max="13318" width="20.5" style="102" bestFit="1" customWidth="1"/>
    <col min="13319" max="13319" width="0" style="102" hidden="1" customWidth="1"/>
    <col min="13320" max="13320" width="18.375" style="102" bestFit="1" customWidth="1"/>
    <col min="13321" max="13322" width="0" style="102" hidden="1" customWidth="1"/>
    <col min="13323" max="13566" width="9" style="102"/>
    <col min="13567" max="13567" width="6.625" style="102" customWidth="1"/>
    <col min="13568" max="13569" width="21.625" style="102" customWidth="1"/>
    <col min="13570" max="13570" width="16.125" style="102" bestFit="1" customWidth="1"/>
    <col min="13571" max="13571" width="13.875" style="102" bestFit="1" customWidth="1"/>
    <col min="13572" max="13572" width="17.25" style="102" bestFit="1" customWidth="1"/>
    <col min="13573" max="13574" width="20.5" style="102" bestFit="1" customWidth="1"/>
    <col min="13575" max="13575" width="0" style="102" hidden="1" customWidth="1"/>
    <col min="13576" max="13576" width="18.375" style="102" bestFit="1" customWidth="1"/>
    <col min="13577" max="13578" width="0" style="102" hidden="1" customWidth="1"/>
    <col min="13579" max="13822" width="9" style="102"/>
    <col min="13823" max="13823" width="6.625" style="102" customWidth="1"/>
    <col min="13824" max="13825" width="21.625" style="102" customWidth="1"/>
    <col min="13826" max="13826" width="16.125" style="102" bestFit="1" customWidth="1"/>
    <col min="13827" max="13827" width="13.875" style="102" bestFit="1" customWidth="1"/>
    <col min="13828" max="13828" width="17.25" style="102" bestFit="1" customWidth="1"/>
    <col min="13829" max="13830" width="20.5" style="102" bestFit="1" customWidth="1"/>
    <col min="13831" max="13831" width="0" style="102" hidden="1" customWidth="1"/>
    <col min="13832" max="13832" width="18.375" style="102" bestFit="1" customWidth="1"/>
    <col min="13833" max="13834" width="0" style="102" hidden="1" customWidth="1"/>
    <col min="13835" max="14078" width="9" style="102"/>
    <col min="14079" max="14079" width="6.625" style="102" customWidth="1"/>
    <col min="14080" max="14081" width="21.625" style="102" customWidth="1"/>
    <col min="14082" max="14082" width="16.125" style="102" bestFit="1" customWidth="1"/>
    <col min="14083" max="14083" width="13.875" style="102" bestFit="1" customWidth="1"/>
    <col min="14084" max="14084" width="17.25" style="102" bestFit="1" customWidth="1"/>
    <col min="14085" max="14086" width="20.5" style="102" bestFit="1" customWidth="1"/>
    <col min="14087" max="14087" width="0" style="102" hidden="1" customWidth="1"/>
    <col min="14088" max="14088" width="18.375" style="102" bestFit="1" customWidth="1"/>
    <col min="14089" max="14090" width="0" style="102" hidden="1" customWidth="1"/>
    <col min="14091" max="14334" width="9" style="102"/>
    <col min="14335" max="14335" width="6.625" style="102" customWidth="1"/>
    <col min="14336" max="14337" width="21.625" style="102" customWidth="1"/>
    <col min="14338" max="14338" width="16.125" style="102" bestFit="1" customWidth="1"/>
    <col min="14339" max="14339" width="13.875" style="102" bestFit="1" customWidth="1"/>
    <col min="14340" max="14340" width="17.25" style="102" bestFit="1" customWidth="1"/>
    <col min="14341" max="14342" width="20.5" style="102" bestFit="1" customWidth="1"/>
    <col min="14343" max="14343" width="0" style="102" hidden="1" customWidth="1"/>
    <col min="14344" max="14344" width="18.375" style="102" bestFit="1" customWidth="1"/>
    <col min="14345" max="14346" width="0" style="102" hidden="1" customWidth="1"/>
    <col min="14347" max="14590" width="9" style="102"/>
    <col min="14591" max="14591" width="6.625" style="102" customWidth="1"/>
    <col min="14592" max="14593" width="21.625" style="102" customWidth="1"/>
    <col min="14594" max="14594" width="16.125" style="102" bestFit="1" customWidth="1"/>
    <col min="14595" max="14595" width="13.875" style="102" bestFit="1" customWidth="1"/>
    <col min="14596" max="14596" width="17.25" style="102" bestFit="1" customWidth="1"/>
    <col min="14597" max="14598" width="20.5" style="102" bestFit="1" customWidth="1"/>
    <col min="14599" max="14599" width="0" style="102" hidden="1" customWidth="1"/>
    <col min="14600" max="14600" width="18.375" style="102" bestFit="1" customWidth="1"/>
    <col min="14601" max="14602" width="0" style="102" hidden="1" customWidth="1"/>
    <col min="14603" max="14846" width="9" style="102"/>
    <col min="14847" max="14847" width="6.625" style="102" customWidth="1"/>
    <col min="14848" max="14849" width="21.625" style="102" customWidth="1"/>
    <col min="14850" max="14850" width="16.125" style="102" bestFit="1" customWidth="1"/>
    <col min="14851" max="14851" width="13.875" style="102" bestFit="1" customWidth="1"/>
    <col min="14852" max="14852" width="17.25" style="102" bestFit="1" customWidth="1"/>
    <col min="14853" max="14854" width="20.5" style="102" bestFit="1" customWidth="1"/>
    <col min="14855" max="14855" width="0" style="102" hidden="1" customWidth="1"/>
    <col min="14856" max="14856" width="18.375" style="102" bestFit="1" customWidth="1"/>
    <col min="14857" max="14858" width="0" style="102" hidden="1" customWidth="1"/>
    <col min="14859" max="15102" width="9" style="102"/>
    <col min="15103" max="15103" width="6.625" style="102" customWidth="1"/>
    <col min="15104" max="15105" width="21.625" style="102" customWidth="1"/>
    <col min="15106" max="15106" width="16.125" style="102" bestFit="1" customWidth="1"/>
    <col min="15107" max="15107" width="13.875" style="102" bestFit="1" customWidth="1"/>
    <col min="15108" max="15108" width="17.25" style="102" bestFit="1" customWidth="1"/>
    <col min="15109" max="15110" width="20.5" style="102" bestFit="1" customWidth="1"/>
    <col min="15111" max="15111" width="0" style="102" hidden="1" customWidth="1"/>
    <col min="15112" max="15112" width="18.375" style="102" bestFit="1" customWidth="1"/>
    <col min="15113" max="15114" width="0" style="102" hidden="1" customWidth="1"/>
    <col min="15115" max="15358" width="9" style="102"/>
    <col min="15359" max="15359" width="6.625" style="102" customWidth="1"/>
    <col min="15360" max="15361" width="21.625" style="102" customWidth="1"/>
    <col min="15362" max="15362" width="16.125" style="102" bestFit="1" customWidth="1"/>
    <col min="15363" max="15363" width="13.875" style="102" bestFit="1" customWidth="1"/>
    <col min="15364" max="15364" width="17.25" style="102" bestFit="1" customWidth="1"/>
    <col min="15365" max="15366" width="20.5" style="102" bestFit="1" customWidth="1"/>
    <col min="15367" max="15367" width="0" style="102" hidden="1" customWidth="1"/>
    <col min="15368" max="15368" width="18.375" style="102" bestFit="1" customWidth="1"/>
    <col min="15369" max="15370" width="0" style="102" hidden="1" customWidth="1"/>
    <col min="15371" max="15614" width="9" style="102"/>
    <col min="15615" max="15615" width="6.625" style="102" customWidth="1"/>
    <col min="15616" max="15617" width="21.625" style="102" customWidth="1"/>
    <col min="15618" max="15618" width="16.125" style="102" bestFit="1" customWidth="1"/>
    <col min="15619" max="15619" width="13.875" style="102" bestFit="1" customWidth="1"/>
    <col min="15620" max="15620" width="17.25" style="102" bestFit="1" customWidth="1"/>
    <col min="15621" max="15622" width="20.5" style="102" bestFit="1" customWidth="1"/>
    <col min="15623" max="15623" width="0" style="102" hidden="1" customWidth="1"/>
    <col min="15624" max="15624" width="18.375" style="102" bestFit="1" customWidth="1"/>
    <col min="15625" max="15626" width="0" style="102" hidden="1" customWidth="1"/>
    <col min="15627" max="15870" width="9" style="102"/>
    <col min="15871" max="15871" width="6.625" style="102" customWidth="1"/>
    <col min="15872" max="15873" width="21.625" style="102" customWidth="1"/>
    <col min="15874" max="15874" width="16.125" style="102" bestFit="1" customWidth="1"/>
    <col min="15875" max="15875" width="13.875" style="102" bestFit="1" customWidth="1"/>
    <col min="15876" max="15876" width="17.25" style="102" bestFit="1" customWidth="1"/>
    <col min="15877" max="15878" width="20.5" style="102" bestFit="1" customWidth="1"/>
    <col min="15879" max="15879" width="0" style="102" hidden="1" customWidth="1"/>
    <col min="15880" max="15880" width="18.375" style="102" bestFit="1" customWidth="1"/>
    <col min="15881" max="15882" width="0" style="102" hidden="1" customWidth="1"/>
    <col min="15883" max="16126" width="9" style="102"/>
    <col min="16127" max="16127" width="6.625" style="102" customWidth="1"/>
    <col min="16128" max="16129" width="21.625" style="102" customWidth="1"/>
    <col min="16130" max="16130" width="16.125" style="102" bestFit="1" customWidth="1"/>
    <col min="16131" max="16131" width="13.875" style="102" bestFit="1" customWidth="1"/>
    <col min="16132" max="16132" width="17.25" style="102" bestFit="1" customWidth="1"/>
    <col min="16133" max="16134" width="20.5" style="102" bestFit="1" customWidth="1"/>
    <col min="16135" max="16135" width="0" style="102" hidden="1" customWidth="1"/>
    <col min="16136" max="16136" width="18.375" style="102" bestFit="1" customWidth="1"/>
    <col min="16137" max="16138" width="0" style="102" hidden="1" customWidth="1"/>
    <col min="16139" max="16384" width="9" style="102"/>
  </cols>
  <sheetData>
    <row r="1" spans="1:5" ht="20.25">
      <c r="A1" s="195" t="s">
        <v>324</v>
      </c>
      <c r="B1" s="196"/>
      <c r="C1" s="196"/>
      <c r="D1" s="196"/>
      <c r="E1" s="196"/>
    </row>
    <row r="2" spans="1:5" ht="35.1" customHeight="1">
      <c r="A2" s="197" t="s">
        <v>342</v>
      </c>
      <c r="B2" s="198"/>
      <c r="E2" s="186" t="s">
        <v>325</v>
      </c>
    </row>
    <row r="3" spans="1:5" ht="30" customHeight="1">
      <c r="A3" s="187" t="s">
        <v>326</v>
      </c>
      <c r="B3" s="187" t="s">
        <v>327</v>
      </c>
      <c r="C3" s="188" t="s">
        <v>237</v>
      </c>
      <c r="D3" s="188" t="s">
        <v>238</v>
      </c>
      <c r="E3" s="188" t="s">
        <v>328</v>
      </c>
    </row>
    <row r="4" spans="1:5" ht="30" customHeight="1">
      <c r="A4" s="187">
        <v>1</v>
      </c>
      <c r="B4" s="187" t="s">
        <v>329</v>
      </c>
      <c r="C4" s="189">
        <f>补充公用经费!AP18+'清算2022补充公用经费（课后延时）'!E11</f>
        <v>23050698.5</v>
      </c>
      <c r="D4" s="189"/>
      <c r="E4" s="189">
        <f>C4-D4</f>
        <v>23050698.5</v>
      </c>
    </row>
    <row r="5" spans="1:5" ht="30" customHeight="1">
      <c r="A5" s="187">
        <v>2</v>
      </c>
      <c r="B5" s="190" t="s">
        <v>330</v>
      </c>
      <c r="C5" s="191">
        <f>公办义务教育减免书薄费!I11</f>
        <v>3956050</v>
      </c>
      <c r="D5" s="192"/>
      <c r="E5" s="189">
        <f t="shared" ref="E5:E16" si="0">C5-D5</f>
        <v>3956050</v>
      </c>
    </row>
    <row r="6" spans="1:5" ht="30" customHeight="1">
      <c r="A6" s="187">
        <v>3</v>
      </c>
      <c r="B6" s="190" t="s">
        <v>331</v>
      </c>
      <c r="C6" s="191">
        <f>公办义务教育营养午餐!E12</f>
        <v>1767910</v>
      </c>
      <c r="D6" s="192"/>
      <c r="E6" s="189">
        <f t="shared" si="0"/>
        <v>1767910</v>
      </c>
    </row>
    <row r="7" spans="1:5" ht="30" customHeight="1">
      <c r="A7" s="187">
        <v>4</v>
      </c>
      <c r="B7" s="190" t="s">
        <v>332</v>
      </c>
      <c r="C7" s="191">
        <f>公办义务教育资助!L14</f>
        <v>218220</v>
      </c>
      <c r="D7" s="192"/>
      <c r="E7" s="189">
        <f t="shared" si="0"/>
        <v>218220</v>
      </c>
    </row>
    <row r="8" spans="1:5" ht="30" customHeight="1">
      <c r="A8" s="187">
        <v>5</v>
      </c>
      <c r="B8" s="187" t="s">
        <v>333</v>
      </c>
      <c r="C8" s="191">
        <f>保安经费!L41</f>
        <v>10201275</v>
      </c>
      <c r="D8" s="191">
        <f>C8</f>
        <v>10201275</v>
      </c>
      <c r="E8" s="189">
        <f t="shared" si="0"/>
        <v>0</v>
      </c>
    </row>
    <row r="9" spans="1:5" ht="30" customHeight="1">
      <c r="A9" s="187">
        <v>6</v>
      </c>
      <c r="B9" s="187" t="s">
        <v>334</v>
      </c>
      <c r="C9" s="191">
        <f>视频联网!K27</f>
        <v>691128</v>
      </c>
      <c r="D9" s="191">
        <f t="shared" ref="D9:D15" si="1">C9</f>
        <v>691128</v>
      </c>
      <c r="E9" s="189">
        <f t="shared" si="0"/>
        <v>0</v>
      </c>
    </row>
    <row r="10" spans="1:5" ht="30" customHeight="1">
      <c r="A10" s="187">
        <v>7</v>
      </c>
      <c r="B10" s="187" t="s">
        <v>335</v>
      </c>
      <c r="C10" s="191">
        <f>农民工学校生均补贴!H5</f>
        <v>13433400</v>
      </c>
      <c r="D10" s="191">
        <f t="shared" si="1"/>
        <v>13433400</v>
      </c>
      <c r="E10" s="189">
        <f t="shared" si="0"/>
        <v>0</v>
      </c>
    </row>
    <row r="11" spans="1:5" ht="30" customHeight="1">
      <c r="A11" s="187">
        <v>8</v>
      </c>
      <c r="B11" s="187" t="s">
        <v>336</v>
      </c>
      <c r="C11" s="191">
        <f>农民工学校资助!L7</f>
        <v>102040</v>
      </c>
      <c r="D11" s="191">
        <f t="shared" si="1"/>
        <v>102040</v>
      </c>
      <c r="E11" s="189">
        <f t="shared" si="0"/>
        <v>0</v>
      </c>
    </row>
    <row r="12" spans="1:5" ht="30" customHeight="1">
      <c r="A12" s="187">
        <v>9</v>
      </c>
      <c r="B12" s="187" t="s">
        <v>337</v>
      </c>
      <c r="C12" s="191">
        <f>农民工学校减免书薄费!O6</f>
        <v>614600</v>
      </c>
      <c r="D12" s="191">
        <f t="shared" si="1"/>
        <v>614600</v>
      </c>
      <c r="E12" s="189">
        <f t="shared" si="0"/>
        <v>0</v>
      </c>
    </row>
    <row r="13" spans="1:5" ht="30" customHeight="1">
      <c r="A13" s="187">
        <v>10</v>
      </c>
      <c r="B13" s="187" t="s">
        <v>338</v>
      </c>
      <c r="C13" s="191">
        <f>小区生补贴!K13</f>
        <v>6874000</v>
      </c>
      <c r="D13" s="191">
        <f t="shared" si="1"/>
        <v>6874000</v>
      </c>
      <c r="E13" s="189">
        <f t="shared" si="0"/>
        <v>0</v>
      </c>
    </row>
    <row r="14" spans="1:5" ht="30" customHeight="1">
      <c r="A14" s="187">
        <v>11</v>
      </c>
      <c r="B14" s="187" t="s">
        <v>339</v>
      </c>
      <c r="C14" s="191">
        <f>民办学校补贴!O5</f>
        <v>3839550</v>
      </c>
      <c r="D14" s="191">
        <f t="shared" si="1"/>
        <v>3839550</v>
      </c>
      <c r="E14" s="189">
        <f t="shared" si="0"/>
        <v>0</v>
      </c>
    </row>
    <row r="15" spans="1:5" ht="30" customHeight="1">
      <c r="A15" s="187">
        <v>12</v>
      </c>
      <c r="B15" s="187" t="s">
        <v>340</v>
      </c>
      <c r="C15" s="191">
        <f>民办义务教育减免书薄费!F4</f>
        <v>607610</v>
      </c>
      <c r="D15" s="191">
        <f t="shared" si="1"/>
        <v>607610</v>
      </c>
      <c r="E15" s="189">
        <f t="shared" si="0"/>
        <v>0</v>
      </c>
    </row>
    <row r="16" spans="1:5" ht="30" customHeight="1">
      <c r="A16" s="187">
        <v>13</v>
      </c>
      <c r="B16" s="187" t="s">
        <v>341</v>
      </c>
      <c r="C16" s="191">
        <f>颛桥校舍维修2022!N4</f>
        <v>4366792</v>
      </c>
      <c r="D16" s="191"/>
      <c r="E16" s="189">
        <f t="shared" si="0"/>
        <v>4366792</v>
      </c>
    </row>
    <row r="17" spans="1:5" ht="30" customHeight="1">
      <c r="A17" s="187"/>
      <c r="B17" s="187" t="s">
        <v>178</v>
      </c>
      <c r="C17" s="193">
        <f>SUM(C4:C16)</f>
        <v>69723273.5</v>
      </c>
      <c r="D17" s="193">
        <f t="shared" ref="D17:E17" si="2">SUM(D4:D16)</f>
        <v>36363603</v>
      </c>
      <c r="E17" s="193">
        <f t="shared" si="2"/>
        <v>33359670.5</v>
      </c>
    </row>
    <row r="18" spans="1:5" ht="30" customHeight="1"/>
    <row r="19" spans="1:5" ht="30" customHeight="1"/>
  </sheetData>
  <mergeCells count="2">
    <mergeCell ref="A1:E1"/>
    <mergeCell ref="A2:B2"/>
  </mergeCells>
  <phoneticPr fontId="1" type="noConversion"/>
  <pageMargins left="0.7" right="0.7" top="0.75" bottom="0.75" header="0.3" footer="0.3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E6" sqref="A6:XFD13"/>
    </sheetView>
  </sheetViews>
  <sheetFormatPr defaultRowHeight="13.5"/>
  <cols>
    <col min="1" max="1" width="16.5" style="44" customWidth="1"/>
    <col min="2" max="2" width="18.875" style="52" customWidth="1"/>
    <col min="3" max="3" width="8.625" style="52" customWidth="1"/>
    <col min="4" max="5" width="10.625" style="44" customWidth="1"/>
    <col min="6" max="7" width="10.625" style="44" hidden="1" customWidth="1"/>
    <col min="8" max="8" width="10.625" style="44" customWidth="1"/>
    <col min="9" max="10" width="10.625" style="44" hidden="1" customWidth="1"/>
    <col min="11" max="11" width="10.625" style="44" customWidth="1"/>
    <col min="12" max="12" width="16.75" style="44" customWidth="1"/>
    <col min="13" max="16384" width="9" style="44"/>
  </cols>
  <sheetData>
    <row r="1" spans="1:12" ht="28.5" customHeight="1">
      <c r="A1" s="238" t="s">
        <v>188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12" ht="13.5" customHeight="1">
      <c r="A2" s="240" t="s">
        <v>236</v>
      </c>
      <c r="B2" s="240" t="s">
        <v>152</v>
      </c>
      <c r="C2" s="240" t="s">
        <v>255</v>
      </c>
      <c r="D2" s="242" t="s">
        <v>264</v>
      </c>
      <c r="E2" s="242"/>
      <c r="F2" s="242"/>
      <c r="G2" s="242"/>
      <c r="H2" s="242"/>
      <c r="I2" s="242"/>
      <c r="J2" s="242"/>
      <c r="K2" s="242"/>
      <c r="L2" s="236" t="s">
        <v>256</v>
      </c>
    </row>
    <row r="3" spans="1:12" ht="13.5" customHeight="1">
      <c r="A3" s="240"/>
      <c r="B3" s="240"/>
      <c r="C3" s="240"/>
      <c r="D3" s="154" t="s">
        <v>257</v>
      </c>
      <c r="E3" s="154" t="s">
        <v>258</v>
      </c>
      <c r="F3" s="154" t="s">
        <v>172</v>
      </c>
      <c r="G3" s="154" t="s">
        <v>259</v>
      </c>
      <c r="H3" s="154" t="s">
        <v>260</v>
      </c>
      <c r="I3" s="154" t="s">
        <v>169</v>
      </c>
      <c r="J3" s="154" t="s">
        <v>170</v>
      </c>
      <c r="K3" s="155" t="s">
        <v>261</v>
      </c>
      <c r="L3" s="236"/>
    </row>
    <row r="4" spans="1:12">
      <c r="A4" s="241"/>
      <c r="B4" s="241"/>
      <c r="C4" s="241"/>
      <c r="D4" s="154" t="s">
        <v>174</v>
      </c>
      <c r="E4" s="154" t="s">
        <v>174</v>
      </c>
      <c r="F4" s="154" t="s">
        <v>174</v>
      </c>
      <c r="G4" s="154" t="s">
        <v>174</v>
      </c>
      <c r="H4" s="154" t="s">
        <v>174</v>
      </c>
      <c r="I4" s="154" t="s">
        <v>174</v>
      </c>
      <c r="J4" s="154" t="s">
        <v>174</v>
      </c>
      <c r="K4" s="154" t="s">
        <v>174</v>
      </c>
      <c r="L4" s="236" t="s">
        <v>174</v>
      </c>
    </row>
    <row r="5" spans="1:12" ht="20.100000000000001" customHeight="1">
      <c r="A5" s="156" t="s">
        <v>262</v>
      </c>
      <c r="B5" s="138" t="s">
        <v>186</v>
      </c>
      <c r="C5" s="138" t="s">
        <v>111</v>
      </c>
      <c r="D5" s="48">
        <v>31350</v>
      </c>
      <c r="E5" s="48">
        <v>1425</v>
      </c>
      <c r="F5" s="48"/>
      <c r="G5" s="48"/>
      <c r="H5" s="48"/>
      <c r="I5" s="48"/>
      <c r="J5" s="49"/>
      <c r="K5" s="157">
        <f t="shared" ref="K5:K6" si="0">D5+E5+F5+G5+H5+I5+J5</f>
        <v>32775</v>
      </c>
      <c r="L5" s="157">
        <f t="shared" ref="L5:L6" si="1">K5*2</f>
        <v>65550</v>
      </c>
    </row>
    <row r="6" spans="1:12" ht="20.100000000000001" customHeight="1">
      <c r="A6" s="156" t="s">
        <v>262</v>
      </c>
      <c r="B6" s="138" t="s">
        <v>187</v>
      </c>
      <c r="C6" s="138" t="s">
        <v>111</v>
      </c>
      <c r="D6" s="48">
        <v>16620</v>
      </c>
      <c r="E6" s="48">
        <v>1625</v>
      </c>
      <c r="F6" s="48"/>
      <c r="G6" s="48"/>
      <c r="H6" s="48"/>
      <c r="I6" s="48"/>
      <c r="J6" s="49"/>
      <c r="K6" s="157">
        <f t="shared" si="0"/>
        <v>18245</v>
      </c>
      <c r="L6" s="157">
        <f t="shared" si="1"/>
        <v>36490</v>
      </c>
    </row>
    <row r="7" spans="1:12" ht="20.100000000000001" customHeight="1">
      <c r="A7" s="236" t="s">
        <v>263</v>
      </c>
      <c r="B7" s="237"/>
      <c r="C7" s="141"/>
      <c r="D7" s="158">
        <f t="shared" ref="D7:K7" si="2">SUM(D5:D6)</f>
        <v>47970</v>
      </c>
      <c r="E7" s="158">
        <f t="shared" si="2"/>
        <v>3050</v>
      </c>
      <c r="F7" s="158">
        <f t="shared" si="2"/>
        <v>0</v>
      </c>
      <c r="G7" s="158">
        <f t="shared" si="2"/>
        <v>0</v>
      </c>
      <c r="H7" s="158">
        <f t="shared" si="2"/>
        <v>0</v>
      </c>
      <c r="I7" s="158">
        <f t="shared" si="2"/>
        <v>0</v>
      </c>
      <c r="J7" s="158">
        <f t="shared" si="2"/>
        <v>0</v>
      </c>
      <c r="K7" s="158">
        <f t="shared" si="2"/>
        <v>51020</v>
      </c>
      <c r="L7" s="158">
        <f>SUM(L5:L6)</f>
        <v>102040</v>
      </c>
    </row>
  </sheetData>
  <mergeCells count="7">
    <mergeCell ref="A7:B7"/>
    <mergeCell ref="A1:L1"/>
    <mergeCell ref="A2:A4"/>
    <mergeCell ref="B2:B4"/>
    <mergeCell ref="C2:C4"/>
    <mergeCell ref="D2:K2"/>
    <mergeCell ref="L2:L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O128"/>
  <sheetViews>
    <sheetView workbookViewId="0">
      <selection activeCell="E6" sqref="A6:XFD13"/>
    </sheetView>
  </sheetViews>
  <sheetFormatPr defaultRowHeight="13.5"/>
  <cols>
    <col min="1" max="1" width="16.75" style="60" customWidth="1"/>
    <col min="2" max="2" width="37.125" style="60" customWidth="1"/>
    <col min="3" max="13" width="8" style="60" hidden="1" customWidth="1"/>
    <col min="14" max="14" width="27.5" style="60" customWidth="1"/>
    <col min="15" max="15" width="26.5" style="60" customWidth="1"/>
    <col min="16" max="245" width="9" style="60"/>
    <col min="246" max="246" width="5.875" style="60" customWidth="1"/>
    <col min="247" max="247" width="18" style="60" customWidth="1"/>
    <col min="248" max="258" width="0" style="60" hidden="1" customWidth="1"/>
    <col min="259" max="259" width="9" style="60"/>
    <col min="260" max="260" width="9.875" style="60" customWidth="1"/>
    <col min="261" max="261" width="9" style="60" customWidth="1"/>
    <col min="262" max="262" width="9.5" style="60" bestFit="1" customWidth="1"/>
    <col min="263" max="263" width="9.5" style="60" customWidth="1"/>
    <col min="264" max="264" width="9.375" style="60" customWidth="1"/>
    <col min="265" max="265" width="10.125" style="60" customWidth="1"/>
    <col min="266" max="266" width="11.125" style="60" customWidth="1"/>
    <col min="267" max="501" width="9" style="60"/>
    <col min="502" max="502" width="5.875" style="60" customWidth="1"/>
    <col min="503" max="503" width="18" style="60" customWidth="1"/>
    <col min="504" max="514" width="0" style="60" hidden="1" customWidth="1"/>
    <col min="515" max="515" width="9" style="60"/>
    <col min="516" max="516" width="9.875" style="60" customWidth="1"/>
    <col min="517" max="517" width="9" style="60" customWidth="1"/>
    <col min="518" max="518" width="9.5" style="60" bestFit="1" customWidth="1"/>
    <col min="519" max="519" width="9.5" style="60" customWidth="1"/>
    <col min="520" max="520" width="9.375" style="60" customWidth="1"/>
    <col min="521" max="521" width="10.125" style="60" customWidth="1"/>
    <col min="522" max="522" width="11.125" style="60" customWidth="1"/>
    <col min="523" max="757" width="9" style="60"/>
    <col min="758" max="758" width="5.875" style="60" customWidth="1"/>
    <col min="759" max="759" width="18" style="60" customWidth="1"/>
    <col min="760" max="770" width="0" style="60" hidden="1" customWidth="1"/>
    <col min="771" max="771" width="9" style="60"/>
    <col min="772" max="772" width="9.875" style="60" customWidth="1"/>
    <col min="773" max="773" width="9" style="60" customWidth="1"/>
    <col min="774" max="774" width="9.5" style="60" bestFit="1" customWidth="1"/>
    <col min="775" max="775" width="9.5" style="60" customWidth="1"/>
    <col min="776" max="776" width="9.375" style="60" customWidth="1"/>
    <col min="777" max="777" width="10.125" style="60" customWidth="1"/>
    <col min="778" max="778" width="11.125" style="60" customWidth="1"/>
    <col min="779" max="1013" width="9" style="60"/>
    <col min="1014" max="1014" width="5.875" style="60" customWidth="1"/>
    <col min="1015" max="1015" width="18" style="60" customWidth="1"/>
    <col min="1016" max="1026" width="0" style="60" hidden="1" customWidth="1"/>
    <col min="1027" max="1027" width="9" style="60"/>
    <col min="1028" max="1028" width="9.875" style="60" customWidth="1"/>
    <col min="1029" max="1029" width="9" style="60" customWidth="1"/>
    <col min="1030" max="1030" width="9.5" style="60" bestFit="1" customWidth="1"/>
    <col min="1031" max="1031" width="9.5" style="60" customWidth="1"/>
    <col min="1032" max="1032" width="9.375" style="60" customWidth="1"/>
    <col min="1033" max="1033" width="10.125" style="60" customWidth="1"/>
    <col min="1034" max="1034" width="11.125" style="60" customWidth="1"/>
    <col min="1035" max="1269" width="9" style="60"/>
    <col min="1270" max="1270" width="5.875" style="60" customWidth="1"/>
    <col min="1271" max="1271" width="18" style="60" customWidth="1"/>
    <col min="1272" max="1282" width="0" style="60" hidden="1" customWidth="1"/>
    <col min="1283" max="1283" width="9" style="60"/>
    <col min="1284" max="1284" width="9.875" style="60" customWidth="1"/>
    <col min="1285" max="1285" width="9" style="60" customWidth="1"/>
    <col min="1286" max="1286" width="9.5" style="60" bestFit="1" customWidth="1"/>
    <col min="1287" max="1287" width="9.5" style="60" customWidth="1"/>
    <col min="1288" max="1288" width="9.375" style="60" customWidth="1"/>
    <col min="1289" max="1289" width="10.125" style="60" customWidth="1"/>
    <col min="1290" max="1290" width="11.125" style="60" customWidth="1"/>
    <col min="1291" max="1525" width="9" style="60"/>
    <col min="1526" max="1526" width="5.875" style="60" customWidth="1"/>
    <col min="1527" max="1527" width="18" style="60" customWidth="1"/>
    <col min="1528" max="1538" width="0" style="60" hidden="1" customWidth="1"/>
    <col min="1539" max="1539" width="9" style="60"/>
    <col min="1540" max="1540" width="9.875" style="60" customWidth="1"/>
    <col min="1541" max="1541" width="9" style="60" customWidth="1"/>
    <col min="1542" max="1542" width="9.5" style="60" bestFit="1" customWidth="1"/>
    <col min="1543" max="1543" width="9.5" style="60" customWidth="1"/>
    <col min="1544" max="1544" width="9.375" style="60" customWidth="1"/>
    <col min="1545" max="1545" width="10.125" style="60" customWidth="1"/>
    <col min="1546" max="1546" width="11.125" style="60" customWidth="1"/>
    <col min="1547" max="1781" width="9" style="60"/>
    <col min="1782" max="1782" width="5.875" style="60" customWidth="1"/>
    <col min="1783" max="1783" width="18" style="60" customWidth="1"/>
    <col min="1784" max="1794" width="0" style="60" hidden="1" customWidth="1"/>
    <col min="1795" max="1795" width="9" style="60"/>
    <col min="1796" max="1796" width="9.875" style="60" customWidth="1"/>
    <col min="1797" max="1797" width="9" style="60" customWidth="1"/>
    <col min="1798" max="1798" width="9.5" style="60" bestFit="1" customWidth="1"/>
    <col min="1799" max="1799" width="9.5" style="60" customWidth="1"/>
    <col min="1800" max="1800" width="9.375" style="60" customWidth="1"/>
    <col min="1801" max="1801" width="10.125" style="60" customWidth="1"/>
    <col min="1802" max="1802" width="11.125" style="60" customWidth="1"/>
    <col min="1803" max="2037" width="9" style="60"/>
    <col min="2038" max="2038" width="5.875" style="60" customWidth="1"/>
    <col min="2039" max="2039" width="18" style="60" customWidth="1"/>
    <col min="2040" max="2050" width="0" style="60" hidden="1" customWidth="1"/>
    <col min="2051" max="2051" width="9" style="60"/>
    <col min="2052" max="2052" width="9.875" style="60" customWidth="1"/>
    <col min="2053" max="2053" width="9" style="60" customWidth="1"/>
    <col min="2054" max="2054" width="9.5" style="60" bestFit="1" customWidth="1"/>
    <col min="2055" max="2055" width="9.5" style="60" customWidth="1"/>
    <col min="2056" max="2056" width="9.375" style="60" customWidth="1"/>
    <col min="2057" max="2057" width="10.125" style="60" customWidth="1"/>
    <col min="2058" max="2058" width="11.125" style="60" customWidth="1"/>
    <col min="2059" max="2293" width="9" style="60"/>
    <col min="2294" max="2294" width="5.875" style="60" customWidth="1"/>
    <col min="2295" max="2295" width="18" style="60" customWidth="1"/>
    <col min="2296" max="2306" width="0" style="60" hidden="1" customWidth="1"/>
    <col min="2307" max="2307" width="9" style="60"/>
    <col min="2308" max="2308" width="9.875" style="60" customWidth="1"/>
    <col min="2309" max="2309" width="9" style="60" customWidth="1"/>
    <col min="2310" max="2310" width="9.5" style="60" bestFit="1" customWidth="1"/>
    <col min="2311" max="2311" width="9.5" style="60" customWidth="1"/>
    <col min="2312" max="2312" width="9.375" style="60" customWidth="1"/>
    <col min="2313" max="2313" width="10.125" style="60" customWidth="1"/>
    <col min="2314" max="2314" width="11.125" style="60" customWidth="1"/>
    <col min="2315" max="2549" width="9" style="60"/>
    <col min="2550" max="2550" width="5.875" style="60" customWidth="1"/>
    <col min="2551" max="2551" width="18" style="60" customWidth="1"/>
    <col min="2552" max="2562" width="0" style="60" hidden="1" customWidth="1"/>
    <col min="2563" max="2563" width="9" style="60"/>
    <col min="2564" max="2564" width="9.875" style="60" customWidth="1"/>
    <col min="2565" max="2565" width="9" style="60" customWidth="1"/>
    <col min="2566" max="2566" width="9.5" style="60" bestFit="1" customWidth="1"/>
    <col min="2567" max="2567" width="9.5" style="60" customWidth="1"/>
    <col min="2568" max="2568" width="9.375" style="60" customWidth="1"/>
    <col min="2569" max="2569" width="10.125" style="60" customWidth="1"/>
    <col min="2570" max="2570" width="11.125" style="60" customWidth="1"/>
    <col min="2571" max="2805" width="9" style="60"/>
    <col min="2806" max="2806" width="5.875" style="60" customWidth="1"/>
    <col min="2807" max="2807" width="18" style="60" customWidth="1"/>
    <col min="2808" max="2818" width="0" style="60" hidden="1" customWidth="1"/>
    <col min="2819" max="2819" width="9" style="60"/>
    <col min="2820" max="2820" width="9.875" style="60" customWidth="1"/>
    <col min="2821" max="2821" width="9" style="60" customWidth="1"/>
    <col min="2822" max="2822" width="9.5" style="60" bestFit="1" customWidth="1"/>
    <col min="2823" max="2823" width="9.5" style="60" customWidth="1"/>
    <col min="2824" max="2824" width="9.375" style="60" customWidth="1"/>
    <col min="2825" max="2825" width="10.125" style="60" customWidth="1"/>
    <col min="2826" max="2826" width="11.125" style="60" customWidth="1"/>
    <col min="2827" max="3061" width="9" style="60"/>
    <col min="3062" max="3062" width="5.875" style="60" customWidth="1"/>
    <col min="3063" max="3063" width="18" style="60" customWidth="1"/>
    <col min="3064" max="3074" width="0" style="60" hidden="1" customWidth="1"/>
    <col min="3075" max="3075" width="9" style="60"/>
    <col min="3076" max="3076" width="9.875" style="60" customWidth="1"/>
    <col min="3077" max="3077" width="9" style="60" customWidth="1"/>
    <col min="3078" max="3078" width="9.5" style="60" bestFit="1" customWidth="1"/>
    <col min="3079" max="3079" width="9.5" style="60" customWidth="1"/>
    <col min="3080" max="3080" width="9.375" style="60" customWidth="1"/>
    <col min="3081" max="3081" width="10.125" style="60" customWidth="1"/>
    <col min="3082" max="3082" width="11.125" style="60" customWidth="1"/>
    <col min="3083" max="3317" width="9" style="60"/>
    <col min="3318" max="3318" width="5.875" style="60" customWidth="1"/>
    <col min="3319" max="3319" width="18" style="60" customWidth="1"/>
    <col min="3320" max="3330" width="0" style="60" hidden="1" customWidth="1"/>
    <col min="3331" max="3331" width="9" style="60"/>
    <col min="3332" max="3332" width="9.875" style="60" customWidth="1"/>
    <col min="3333" max="3333" width="9" style="60" customWidth="1"/>
    <col min="3334" max="3334" width="9.5" style="60" bestFit="1" customWidth="1"/>
    <col min="3335" max="3335" width="9.5" style="60" customWidth="1"/>
    <col min="3336" max="3336" width="9.375" style="60" customWidth="1"/>
    <col min="3337" max="3337" width="10.125" style="60" customWidth="1"/>
    <col min="3338" max="3338" width="11.125" style="60" customWidth="1"/>
    <col min="3339" max="3573" width="9" style="60"/>
    <col min="3574" max="3574" width="5.875" style="60" customWidth="1"/>
    <col min="3575" max="3575" width="18" style="60" customWidth="1"/>
    <col min="3576" max="3586" width="0" style="60" hidden="1" customWidth="1"/>
    <col min="3587" max="3587" width="9" style="60"/>
    <col min="3588" max="3588" width="9.875" style="60" customWidth="1"/>
    <col min="3589" max="3589" width="9" style="60" customWidth="1"/>
    <col min="3590" max="3590" width="9.5" style="60" bestFit="1" customWidth="1"/>
    <col min="3591" max="3591" width="9.5" style="60" customWidth="1"/>
    <col min="3592" max="3592" width="9.375" style="60" customWidth="1"/>
    <col min="3593" max="3593" width="10.125" style="60" customWidth="1"/>
    <col min="3594" max="3594" width="11.125" style="60" customWidth="1"/>
    <col min="3595" max="3829" width="9" style="60"/>
    <col min="3830" max="3830" width="5.875" style="60" customWidth="1"/>
    <col min="3831" max="3831" width="18" style="60" customWidth="1"/>
    <col min="3832" max="3842" width="0" style="60" hidden="1" customWidth="1"/>
    <col min="3843" max="3843" width="9" style="60"/>
    <col min="3844" max="3844" width="9.875" style="60" customWidth="1"/>
    <col min="3845" max="3845" width="9" style="60" customWidth="1"/>
    <col min="3846" max="3846" width="9.5" style="60" bestFit="1" customWidth="1"/>
    <col min="3847" max="3847" width="9.5" style="60" customWidth="1"/>
    <col min="3848" max="3848" width="9.375" style="60" customWidth="1"/>
    <col min="3849" max="3849" width="10.125" style="60" customWidth="1"/>
    <col min="3850" max="3850" width="11.125" style="60" customWidth="1"/>
    <col min="3851" max="4085" width="9" style="60"/>
    <col min="4086" max="4086" width="5.875" style="60" customWidth="1"/>
    <col min="4087" max="4087" width="18" style="60" customWidth="1"/>
    <col min="4088" max="4098" width="0" style="60" hidden="1" customWidth="1"/>
    <col min="4099" max="4099" width="9" style="60"/>
    <col min="4100" max="4100" width="9.875" style="60" customWidth="1"/>
    <col min="4101" max="4101" width="9" style="60" customWidth="1"/>
    <col min="4102" max="4102" width="9.5" style="60" bestFit="1" customWidth="1"/>
    <col min="4103" max="4103" width="9.5" style="60" customWidth="1"/>
    <col min="4104" max="4104" width="9.375" style="60" customWidth="1"/>
    <col min="4105" max="4105" width="10.125" style="60" customWidth="1"/>
    <col min="4106" max="4106" width="11.125" style="60" customWidth="1"/>
    <col min="4107" max="4341" width="9" style="60"/>
    <col min="4342" max="4342" width="5.875" style="60" customWidth="1"/>
    <col min="4343" max="4343" width="18" style="60" customWidth="1"/>
    <col min="4344" max="4354" width="0" style="60" hidden="1" customWidth="1"/>
    <col min="4355" max="4355" width="9" style="60"/>
    <col min="4356" max="4356" width="9.875" style="60" customWidth="1"/>
    <col min="4357" max="4357" width="9" style="60" customWidth="1"/>
    <col min="4358" max="4358" width="9.5" style="60" bestFit="1" customWidth="1"/>
    <col min="4359" max="4359" width="9.5" style="60" customWidth="1"/>
    <col min="4360" max="4360" width="9.375" style="60" customWidth="1"/>
    <col min="4361" max="4361" width="10.125" style="60" customWidth="1"/>
    <col min="4362" max="4362" width="11.125" style="60" customWidth="1"/>
    <col min="4363" max="4597" width="9" style="60"/>
    <col min="4598" max="4598" width="5.875" style="60" customWidth="1"/>
    <col min="4599" max="4599" width="18" style="60" customWidth="1"/>
    <col min="4600" max="4610" width="0" style="60" hidden="1" customWidth="1"/>
    <col min="4611" max="4611" width="9" style="60"/>
    <col min="4612" max="4612" width="9.875" style="60" customWidth="1"/>
    <col min="4613" max="4613" width="9" style="60" customWidth="1"/>
    <col min="4614" max="4614" width="9.5" style="60" bestFit="1" customWidth="1"/>
    <col min="4615" max="4615" width="9.5" style="60" customWidth="1"/>
    <col min="4616" max="4616" width="9.375" style="60" customWidth="1"/>
    <col min="4617" max="4617" width="10.125" style="60" customWidth="1"/>
    <col min="4618" max="4618" width="11.125" style="60" customWidth="1"/>
    <col min="4619" max="4853" width="9" style="60"/>
    <col min="4854" max="4854" width="5.875" style="60" customWidth="1"/>
    <col min="4855" max="4855" width="18" style="60" customWidth="1"/>
    <col min="4856" max="4866" width="0" style="60" hidden="1" customWidth="1"/>
    <col min="4867" max="4867" width="9" style="60"/>
    <col min="4868" max="4868" width="9.875" style="60" customWidth="1"/>
    <col min="4869" max="4869" width="9" style="60" customWidth="1"/>
    <col min="4870" max="4870" width="9.5" style="60" bestFit="1" customWidth="1"/>
    <col min="4871" max="4871" width="9.5" style="60" customWidth="1"/>
    <col min="4872" max="4872" width="9.375" style="60" customWidth="1"/>
    <col min="4873" max="4873" width="10.125" style="60" customWidth="1"/>
    <col min="4874" max="4874" width="11.125" style="60" customWidth="1"/>
    <col min="4875" max="5109" width="9" style="60"/>
    <col min="5110" max="5110" width="5.875" style="60" customWidth="1"/>
    <col min="5111" max="5111" width="18" style="60" customWidth="1"/>
    <col min="5112" max="5122" width="0" style="60" hidden="1" customWidth="1"/>
    <col min="5123" max="5123" width="9" style="60"/>
    <col min="5124" max="5124" width="9.875" style="60" customWidth="1"/>
    <col min="5125" max="5125" width="9" style="60" customWidth="1"/>
    <col min="5126" max="5126" width="9.5" style="60" bestFit="1" customWidth="1"/>
    <col min="5127" max="5127" width="9.5" style="60" customWidth="1"/>
    <col min="5128" max="5128" width="9.375" style="60" customWidth="1"/>
    <col min="5129" max="5129" width="10.125" style="60" customWidth="1"/>
    <col min="5130" max="5130" width="11.125" style="60" customWidth="1"/>
    <col min="5131" max="5365" width="9" style="60"/>
    <col min="5366" max="5366" width="5.875" style="60" customWidth="1"/>
    <col min="5367" max="5367" width="18" style="60" customWidth="1"/>
    <col min="5368" max="5378" width="0" style="60" hidden="1" customWidth="1"/>
    <col min="5379" max="5379" width="9" style="60"/>
    <col min="5380" max="5380" width="9.875" style="60" customWidth="1"/>
    <col min="5381" max="5381" width="9" style="60" customWidth="1"/>
    <col min="5382" max="5382" width="9.5" style="60" bestFit="1" customWidth="1"/>
    <col min="5383" max="5383" width="9.5" style="60" customWidth="1"/>
    <col min="5384" max="5384" width="9.375" style="60" customWidth="1"/>
    <col min="5385" max="5385" width="10.125" style="60" customWidth="1"/>
    <col min="5386" max="5386" width="11.125" style="60" customWidth="1"/>
    <col min="5387" max="5621" width="9" style="60"/>
    <col min="5622" max="5622" width="5.875" style="60" customWidth="1"/>
    <col min="5623" max="5623" width="18" style="60" customWidth="1"/>
    <col min="5624" max="5634" width="0" style="60" hidden="1" customWidth="1"/>
    <col min="5635" max="5635" width="9" style="60"/>
    <col min="5636" max="5636" width="9.875" style="60" customWidth="1"/>
    <col min="5637" max="5637" width="9" style="60" customWidth="1"/>
    <col min="5638" max="5638" width="9.5" style="60" bestFit="1" customWidth="1"/>
    <col min="5639" max="5639" width="9.5" style="60" customWidth="1"/>
    <col min="5640" max="5640" width="9.375" style="60" customWidth="1"/>
    <col min="5641" max="5641" width="10.125" style="60" customWidth="1"/>
    <col min="5642" max="5642" width="11.125" style="60" customWidth="1"/>
    <col min="5643" max="5877" width="9" style="60"/>
    <col min="5878" max="5878" width="5.875" style="60" customWidth="1"/>
    <col min="5879" max="5879" width="18" style="60" customWidth="1"/>
    <col min="5880" max="5890" width="0" style="60" hidden="1" customWidth="1"/>
    <col min="5891" max="5891" width="9" style="60"/>
    <col min="5892" max="5892" width="9.875" style="60" customWidth="1"/>
    <col min="5893" max="5893" width="9" style="60" customWidth="1"/>
    <col min="5894" max="5894" width="9.5" style="60" bestFit="1" customWidth="1"/>
    <col min="5895" max="5895" width="9.5" style="60" customWidth="1"/>
    <col min="5896" max="5896" width="9.375" style="60" customWidth="1"/>
    <col min="5897" max="5897" width="10.125" style="60" customWidth="1"/>
    <col min="5898" max="5898" width="11.125" style="60" customWidth="1"/>
    <col min="5899" max="6133" width="9" style="60"/>
    <col min="6134" max="6134" width="5.875" style="60" customWidth="1"/>
    <col min="6135" max="6135" width="18" style="60" customWidth="1"/>
    <col min="6136" max="6146" width="0" style="60" hidden="1" customWidth="1"/>
    <col min="6147" max="6147" width="9" style="60"/>
    <col min="6148" max="6148" width="9.875" style="60" customWidth="1"/>
    <col min="6149" max="6149" width="9" style="60" customWidth="1"/>
    <col min="6150" max="6150" width="9.5" style="60" bestFit="1" customWidth="1"/>
    <col min="6151" max="6151" width="9.5" style="60" customWidth="1"/>
    <col min="6152" max="6152" width="9.375" style="60" customWidth="1"/>
    <col min="6153" max="6153" width="10.125" style="60" customWidth="1"/>
    <col min="6154" max="6154" width="11.125" style="60" customWidth="1"/>
    <col min="6155" max="6389" width="9" style="60"/>
    <col min="6390" max="6390" width="5.875" style="60" customWidth="1"/>
    <col min="6391" max="6391" width="18" style="60" customWidth="1"/>
    <col min="6392" max="6402" width="0" style="60" hidden="1" customWidth="1"/>
    <col min="6403" max="6403" width="9" style="60"/>
    <col min="6404" max="6404" width="9.875" style="60" customWidth="1"/>
    <col min="6405" max="6405" width="9" style="60" customWidth="1"/>
    <col min="6406" max="6406" width="9.5" style="60" bestFit="1" customWidth="1"/>
    <col min="6407" max="6407" width="9.5" style="60" customWidth="1"/>
    <col min="6408" max="6408" width="9.375" style="60" customWidth="1"/>
    <col min="6409" max="6409" width="10.125" style="60" customWidth="1"/>
    <col min="6410" max="6410" width="11.125" style="60" customWidth="1"/>
    <col min="6411" max="6645" width="9" style="60"/>
    <col min="6646" max="6646" width="5.875" style="60" customWidth="1"/>
    <col min="6647" max="6647" width="18" style="60" customWidth="1"/>
    <col min="6648" max="6658" width="0" style="60" hidden="1" customWidth="1"/>
    <col min="6659" max="6659" width="9" style="60"/>
    <col min="6660" max="6660" width="9.875" style="60" customWidth="1"/>
    <col min="6661" max="6661" width="9" style="60" customWidth="1"/>
    <col min="6662" max="6662" width="9.5" style="60" bestFit="1" customWidth="1"/>
    <col min="6663" max="6663" width="9.5" style="60" customWidth="1"/>
    <col min="6664" max="6664" width="9.375" style="60" customWidth="1"/>
    <col min="6665" max="6665" width="10.125" style="60" customWidth="1"/>
    <col min="6666" max="6666" width="11.125" style="60" customWidth="1"/>
    <col min="6667" max="6901" width="9" style="60"/>
    <col min="6902" max="6902" width="5.875" style="60" customWidth="1"/>
    <col min="6903" max="6903" width="18" style="60" customWidth="1"/>
    <col min="6904" max="6914" width="0" style="60" hidden="1" customWidth="1"/>
    <col min="6915" max="6915" width="9" style="60"/>
    <col min="6916" max="6916" width="9.875" style="60" customWidth="1"/>
    <col min="6917" max="6917" width="9" style="60" customWidth="1"/>
    <col min="6918" max="6918" width="9.5" style="60" bestFit="1" customWidth="1"/>
    <col min="6919" max="6919" width="9.5" style="60" customWidth="1"/>
    <col min="6920" max="6920" width="9.375" style="60" customWidth="1"/>
    <col min="6921" max="6921" width="10.125" style="60" customWidth="1"/>
    <col min="6922" max="6922" width="11.125" style="60" customWidth="1"/>
    <col min="6923" max="7157" width="9" style="60"/>
    <col min="7158" max="7158" width="5.875" style="60" customWidth="1"/>
    <col min="7159" max="7159" width="18" style="60" customWidth="1"/>
    <col min="7160" max="7170" width="0" style="60" hidden="1" customWidth="1"/>
    <col min="7171" max="7171" width="9" style="60"/>
    <col min="7172" max="7172" width="9.875" style="60" customWidth="1"/>
    <col min="7173" max="7173" width="9" style="60" customWidth="1"/>
    <col min="7174" max="7174" width="9.5" style="60" bestFit="1" customWidth="1"/>
    <col min="7175" max="7175" width="9.5" style="60" customWidth="1"/>
    <col min="7176" max="7176" width="9.375" style="60" customWidth="1"/>
    <col min="7177" max="7177" width="10.125" style="60" customWidth="1"/>
    <col min="7178" max="7178" width="11.125" style="60" customWidth="1"/>
    <col min="7179" max="7413" width="9" style="60"/>
    <col min="7414" max="7414" width="5.875" style="60" customWidth="1"/>
    <col min="7415" max="7415" width="18" style="60" customWidth="1"/>
    <col min="7416" max="7426" width="0" style="60" hidden="1" customWidth="1"/>
    <col min="7427" max="7427" width="9" style="60"/>
    <col min="7428" max="7428" width="9.875" style="60" customWidth="1"/>
    <col min="7429" max="7429" width="9" style="60" customWidth="1"/>
    <col min="7430" max="7430" width="9.5" style="60" bestFit="1" customWidth="1"/>
    <col min="7431" max="7431" width="9.5" style="60" customWidth="1"/>
    <col min="7432" max="7432" width="9.375" style="60" customWidth="1"/>
    <col min="7433" max="7433" width="10.125" style="60" customWidth="1"/>
    <col min="7434" max="7434" width="11.125" style="60" customWidth="1"/>
    <col min="7435" max="7669" width="9" style="60"/>
    <col min="7670" max="7670" width="5.875" style="60" customWidth="1"/>
    <col min="7671" max="7671" width="18" style="60" customWidth="1"/>
    <col min="7672" max="7682" width="0" style="60" hidden="1" customWidth="1"/>
    <col min="7683" max="7683" width="9" style="60"/>
    <col min="7684" max="7684" width="9.875" style="60" customWidth="1"/>
    <col min="7685" max="7685" width="9" style="60" customWidth="1"/>
    <col min="7686" max="7686" width="9.5" style="60" bestFit="1" customWidth="1"/>
    <col min="7687" max="7687" width="9.5" style="60" customWidth="1"/>
    <col min="7688" max="7688" width="9.375" style="60" customWidth="1"/>
    <col min="7689" max="7689" width="10.125" style="60" customWidth="1"/>
    <col min="7690" max="7690" width="11.125" style="60" customWidth="1"/>
    <col min="7691" max="7925" width="9" style="60"/>
    <col min="7926" max="7926" width="5.875" style="60" customWidth="1"/>
    <col min="7927" max="7927" width="18" style="60" customWidth="1"/>
    <col min="7928" max="7938" width="0" style="60" hidden="1" customWidth="1"/>
    <col min="7939" max="7939" width="9" style="60"/>
    <col min="7940" max="7940" width="9.875" style="60" customWidth="1"/>
    <col min="7941" max="7941" width="9" style="60" customWidth="1"/>
    <col min="7942" max="7942" width="9.5" style="60" bestFit="1" customWidth="1"/>
    <col min="7943" max="7943" width="9.5" style="60" customWidth="1"/>
    <col min="7944" max="7944" width="9.375" style="60" customWidth="1"/>
    <col min="7945" max="7945" width="10.125" style="60" customWidth="1"/>
    <col min="7946" max="7946" width="11.125" style="60" customWidth="1"/>
    <col min="7947" max="8181" width="9" style="60"/>
    <col min="8182" max="8182" width="5.875" style="60" customWidth="1"/>
    <col min="8183" max="8183" width="18" style="60" customWidth="1"/>
    <col min="8184" max="8194" width="0" style="60" hidden="1" customWidth="1"/>
    <col min="8195" max="8195" width="9" style="60"/>
    <col min="8196" max="8196" width="9.875" style="60" customWidth="1"/>
    <col min="8197" max="8197" width="9" style="60" customWidth="1"/>
    <col min="8198" max="8198" width="9.5" style="60" bestFit="1" customWidth="1"/>
    <col min="8199" max="8199" width="9.5" style="60" customWidth="1"/>
    <col min="8200" max="8200" width="9.375" style="60" customWidth="1"/>
    <col min="8201" max="8201" width="10.125" style="60" customWidth="1"/>
    <col min="8202" max="8202" width="11.125" style="60" customWidth="1"/>
    <col min="8203" max="8437" width="9" style="60"/>
    <col min="8438" max="8438" width="5.875" style="60" customWidth="1"/>
    <col min="8439" max="8439" width="18" style="60" customWidth="1"/>
    <col min="8440" max="8450" width="0" style="60" hidden="1" customWidth="1"/>
    <col min="8451" max="8451" width="9" style="60"/>
    <col min="8452" max="8452" width="9.875" style="60" customWidth="1"/>
    <col min="8453" max="8453" width="9" style="60" customWidth="1"/>
    <col min="8454" max="8454" width="9.5" style="60" bestFit="1" customWidth="1"/>
    <col min="8455" max="8455" width="9.5" style="60" customWidth="1"/>
    <col min="8456" max="8456" width="9.375" style="60" customWidth="1"/>
    <col min="8457" max="8457" width="10.125" style="60" customWidth="1"/>
    <col min="8458" max="8458" width="11.125" style="60" customWidth="1"/>
    <col min="8459" max="8693" width="9" style="60"/>
    <col min="8694" max="8694" width="5.875" style="60" customWidth="1"/>
    <col min="8695" max="8695" width="18" style="60" customWidth="1"/>
    <col min="8696" max="8706" width="0" style="60" hidden="1" customWidth="1"/>
    <col min="8707" max="8707" width="9" style="60"/>
    <col min="8708" max="8708" width="9.875" style="60" customWidth="1"/>
    <col min="8709" max="8709" width="9" style="60" customWidth="1"/>
    <col min="8710" max="8710" width="9.5" style="60" bestFit="1" customWidth="1"/>
    <col min="8711" max="8711" width="9.5" style="60" customWidth="1"/>
    <col min="8712" max="8712" width="9.375" style="60" customWidth="1"/>
    <col min="8713" max="8713" width="10.125" style="60" customWidth="1"/>
    <col min="8714" max="8714" width="11.125" style="60" customWidth="1"/>
    <col min="8715" max="8949" width="9" style="60"/>
    <col min="8950" max="8950" width="5.875" style="60" customWidth="1"/>
    <col min="8951" max="8951" width="18" style="60" customWidth="1"/>
    <col min="8952" max="8962" width="0" style="60" hidden="1" customWidth="1"/>
    <col min="8963" max="8963" width="9" style="60"/>
    <col min="8964" max="8964" width="9.875" style="60" customWidth="1"/>
    <col min="8965" max="8965" width="9" style="60" customWidth="1"/>
    <col min="8966" max="8966" width="9.5" style="60" bestFit="1" customWidth="1"/>
    <col min="8967" max="8967" width="9.5" style="60" customWidth="1"/>
    <col min="8968" max="8968" width="9.375" style="60" customWidth="1"/>
    <col min="8969" max="8969" width="10.125" style="60" customWidth="1"/>
    <col min="8970" max="8970" width="11.125" style="60" customWidth="1"/>
    <col min="8971" max="9205" width="9" style="60"/>
    <col min="9206" max="9206" width="5.875" style="60" customWidth="1"/>
    <col min="9207" max="9207" width="18" style="60" customWidth="1"/>
    <col min="9208" max="9218" width="0" style="60" hidden="1" customWidth="1"/>
    <col min="9219" max="9219" width="9" style="60"/>
    <col min="9220" max="9220" width="9.875" style="60" customWidth="1"/>
    <col min="9221" max="9221" width="9" style="60" customWidth="1"/>
    <col min="9222" max="9222" width="9.5" style="60" bestFit="1" customWidth="1"/>
    <col min="9223" max="9223" width="9.5" style="60" customWidth="1"/>
    <col min="9224" max="9224" width="9.375" style="60" customWidth="1"/>
    <col min="9225" max="9225" width="10.125" style="60" customWidth="1"/>
    <col min="9226" max="9226" width="11.125" style="60" customWidth="1"/>
    <col min="9227" max="9461" width="9" style="60"/>
    <col min="9462" max="9462" width="5.875" style="60" customWidth="1"/>
    <col min="9463" max="9463" width="18" style="60" customWidth="1"/>
    <col min="9464" max="9474" width="0" style="60" hidden="1" customWidth="1"/>
    <col min="9475" max="9475" width="9" style="60"/>
    <col min="9476" max="9476" width="9.875" style="60" customWidth="1"/>
    <col min="9477" max="9477" width="9" style="60" customWidth="1"/>
    <col min="9478" max="9478" width="9.5" style="60" bestFit="1" customWidth="1"/>
    <col min="9479" max="9479" width="9.5" style="60" customWidth="1"/>
    <col min="9480" max="9480" width="9.375" style="60" customWidth="1"/>
    <col min="9481" max="9481" width="10.125" style="60" customWidth="1"/>
    <col min="9482" max="9482" width="11.125" style="60" customWidth="1"/>
    <col min="9483" max="9717" width="9" style="60"/>
    <col min="9718" max="9718" width="5.875" style="60" customWidth="1"/>
    <col min="9719" max="9719" width="18" style="60" customWidth="1"/>
    <col min="9720" max="9730" width="0" style="60" hidden="1" customWidth="1"/>
    <col min="9731" max="9731" width="9" style="60"/>
    <col min="9732" max="9732" width="9.875" style="60" customWidth="1"/>
    <col min="9733" max="9733" width="9" style="60" customWidth="1"/>
    <col min="9734" max="9734" width="9.5" style="60" bestFit="1" customWidth="1"/>
    <col min="9735" max="9735" width="9.5" style="60" customWidth="1"/>
    <col min="9736" max="9736" width="9.375" style="60" customWidth="1"/>
    <col min="9737" max="9737" width="10.125" style="60" customWidth="1"/>
    <col min="9738" max="9738" width="11.125" style="60" customWidth="1"/>
    <col min="9739" max="9973" width="9" style="60"/>
    <col min="9974" max="9974" width="5.875" style="60" customWidth="1"/>
    <col min="9975" max="9975" width="18" style="60" customWidth="1"/>
    <col min="9976" max="9986" width="0" style="60" hidden="1" customWidth="1"/>
    <col min="9987" max="9987" width="9" style="60"/>
    <col min="9988" max="9988" width="9.875" style="60" customWidth="1"/>
    <col min="9989" max="9989" width="9" style="60" customWidth="1"/>
    <col min="9990" max="9990" width="9.5" style="60" bestFit="1" customWidth="1"/>
    <col min="9991" max="9991" width="9.5" style="60" customWidth="1"/>
    <col min="9992" max="9992" width="9.375" style="60" customWidth="1"/>
    <col min="9993" max="9993" width="10.125" style="60" customWidth="1"/>
    <col min="9994" max="9994" width="11.125" style="60" customWidth="1"/>
    <col min="9995" max="10229" width="9" style="60"/>
    <col min="10230" max="10230" width="5.875" style="60" customWidth="1"/>
    <col min="10231" max="10231" width="18" style="60" customWidth="1"/>
    <col min="10232" max="10242" width="0" style="60" hidden="1" customWidth="1"/>
    <col min="10243" max="10243" width="9" style="60"/>
    <col min="10244" max="10244" width="9.875" style="60" customWidth="1"/>
    <col min="10245" max="10245" width="9" style="60" customWidth="1"/>
    <col min="10246" max="10246" width="9.5" style="60" bestFit="1" customWidth="1"/>
    <col min="10247" max="10247" width="9.5" style="60" customWidth="1"/>
    <col min="10248" max="10248" width="9.375" style="60" customWidth="1"/>
    <col min="10249" max="10249" width="10.125" style="60" customWidth="1"/>
    <col min="10250" max="10250" width="11.125" style="60" customWidth="1"/>
    <col min="10251" max="10485" width="9" style="60"/>
    <col min="10486" max="10486" width="5.875" style="60" customWidth="1"/>
    <col min="10487" max="10487" width="18" style="60" customWidth="1"/>
    <col min="10488" max="10498" width="0" style="60" hidden="1" customWidth="1"/>
    <col min="10499" max="10499" width="9" style="60"/>
    <col min="10500" max="10500" width="9.875" style="60" customWidth="1"/>
    <col min="10501" max="10501" width="9" style="60" customWidth="1"/>
    <col min="10502" max="10502" width="9.5" style="60" bestFit="1" customWidth="1"/>
    <col min="10503" max="10503" width="9.5" style="60" customWidth="1"/>
    <col min="10504" max="10504" width="9.375" style="60" customWidth="1"/>
    <col min="10505" max="10505" width="10.125" style="60" customWidth="1"/>
    <col min="10506" max="10506" width="11.125" style="60" customWidth="1"/>
    <col min="10507" max="10741" width="9" style="60"/>
    <col min="10742" max="10742" width="5.875" style="60" customWidth="1"/>
    <col min="10743" max="10743" width="18" style="60" customWidth="1"/>
    <col min="10744" max="10754" width="0" style="60" hidden="1" customWidth="1"/>
    <col min="10755" max="10755" width="9" style="60"/>
    <col min="10756" max="10756" width="9.875" style="60" customWidth="1"/>
    <col min="10757" max="10757" width="9" style="60" customWidth="1"/>
    <col min="10758" max="10758" width="9.5" style="60" bestFit="1" customWidth="1"/>
    <col min="10759" max="10759" width="9.5" style="60" customWidth="1"/>
    <col min="10760" max="10760" width="9.375" style="60" customWidth="1"/>
    <col min="10761" max="10761" width="10.125" style="60" customWidth="1"/>
    <col min="10762" max="10762" width="11.125" style="60" customWidth="1"/>
    <col min="10763" max="10997" width="9" style="60"/>
    <col min="10998" max="10998" width="5.875" style="60" customWidth="1"/>
    <col min="10999" max="10999" width="18" style="60" customWidth="1"/>
    <col min="11000" max="11010" width="0" style="60" hidden="1" customWidth="1"/>
    <col min="11011" max="11011" width="9" style="60"/>
    <col min="11012" max="11012" width="9.875" style="60" customWidth="1"/>
    <col min="11013" max="11013" width="9" style="60" customWidth="1"/>
    <col min="11014" max="11014" width="9.5" style="60" bestFit="1" customWidth="1"/>
    <col min="11015" max="11015" width="9.5" style="60" customWidth="1"/>
    <col min="11016" max="11016" width="9.375" style="60" customWidth="1"/>
    <col min="11017" max="11017" width="10.125" style="60" customWidth="1"/>
    <col min="11018" max="11018" width="11.125" style="60" customWidth="1"/>
    <col min="11019" max="11253" width="9" style="60"/>
    <col min="11254" max="11254" width="5.875" style="60" customWidth="1"/>
    <col min="11255" max="11255" width="18" style="60" customWidth="1"/>
    <col min="11256" max="11266" width="0" style="60" hidden="1" customWidth="1"/>
    <col min="11267" max="11267" width="9" style="60"/>
    <col min="11268" max="11268" width="9.875" style="60" customWidth="1"/>
    <col min="11269" max="11269" width="9" style="60" customWidth="1"/>
    <col min="11270" max="11270" width="9.5" style="60" bestFit="1" customWidth="1"/>
    <col min="11271" max="11271" width="9.5" style="60" customWidth="1"/>
    <col min="11272" max="11272" width="9.375" style="60" customWidth="1"/>
    <col min="11273" max="11273" width="10.125" style="60" customWidth="1"/>
    <col min="11274" max="11274" width="11.125" style="60" customWidth="1"/>
    <col min="11275" max="11509" width="9" style="60"/>
    <col min="11510" max="11510" width="5.875" style="60" customWidth="1"/>
    <col min="11511" max="11511" width="18" style="60" customWidth="1"/>
    <col min="11512" max="11522" width="0" style="60" hidden="1" customWidth="1"/>
    <col min="11523" max="11523" width="9" style="60"/>
    <col min="11524" max="11524" width="9.875" style="60" customWidth="1"/>
    <col min="11525" max="11525" width="9" style="60" customWidth="1"/>
    <col min="11526" max="11526" width="9.5" style="60" bestFit="1" customWidth="1"/>
    <col min="11527" max="11527" width="9.5" style="60" customWidth="1"/>
    <col min="11528" max="11528" width="9.375" style="60" customWidth="1"/>
    <col min="11529" max="11529" width="10.125" style="60" customWidth="1"/>
    <col min="11530" max="11530" width="11.125" style="60" customWidth="1"/>
    <col min="11531" max="11765" width="9" style="60"/>
    <col min="11766" max="11766" width="5.875" style="60" customWidth="1"/>
    <col min="11767" max="11767" width="18" style="60" customWidth="1"/>
    <col min="11768" max="11778" width="0" style="60" hidden="1" customWidth="1"/>
    <col min="11779" max="11779" width="9" style="60"/>
    <col min="11780" max="11780" width="9.875" style="60" customWidth="1"/>
    <col min="11781" max="11781" width="9" style="60" customWidth="1"/>
    <col min="11782" max="11782" width="9.5" style="60" bestFit="1" customWidth="1"/>
    <col min="11783" max="11783" width="9.5" style="60" customWidth="1"/>
    <col min="11784" max="11784" width="9.375" style="60" customWidth="1"/>
    <col min="11785" max="11785" width="10.125" style="60" customWidth="1"/>
    <col min="11786" max="11786" width="11.125" style="60" customWidth="1"/>
    <col min="11787" max="12021" width="9" style="60"/>
    <col min="12022" max="12022" width="5.875" style="60" customWidth="1"/>
    <col min="12023" max="12023" width="18" style="60" customWidth="1"/>
    <col min="12024" max="12034" width="0" style="60" hidden="1" customWidth="1"/>
    <col min="12035" max="12035" width="9" style="60"/>
    <col min="12036" max="12036" width="9.875" style="60" customWidth="1"/>
    <col min="12037" max="12037" width="9" style="60" customWidth="1"/>
    <col min="12038" max="12038" width="9.5" style="60" bestFit="1" customWidth="1"/>
    <col min="12039" max="12039" width="9.5" style="60" customWidth="1"/>
    <col min="12040" max="12040" width="9.375" style="60" customWidth="1"/>
    <col min="12041" max="12041" width="10.125" style="60" customWidth="1"/>
    <col min="12042" max="12042" width="11.125" style="60" customWidth="1"/>
    <col min="12043" max="12277" width="9" style="60"/>
    <col min="12278" max="12278" width="5.875" style="60" customWidth="1"/>
    <col min="12279" max="12279" width="18" style="60" customWidth="1"/>
    <col min="12280" max="12290" width="0" style="60" hidden="1" customWidth="1"/>
    <col min="12291" max="12291" width="9" style="60"/>
    <col min="12292" max="12292" width="9.875" style="60" customWidth="1"/>
    <col min="12293" max="12293" width="9" style="60" customWidth="1"/>
    <col min="12294" max="12294" width="9.5" style="60" bestFit="1" customWidth="1"/>
    <col min="12295" max="12295" width="9.5" style="60" customWidth="1"/>
    <col min="12296" max="12296" width="9.375" style="60" customWidth="1"/>
    <col min="12297" max="12297" width="10.125" style="60" customWidth="1"/>
    <col min="12298" max="12298" width="11.125" style="60" customWidth="1"/>
    <col min="12299" max="12533" width="9" style="60"/>
    <col min="12534" max="12534" width="5.875" style="60" customWidth="1"/>
    <col min="12535" max="12535" width="18" style="60" customWidth="1"/>
    <col min="12536" max="12546" width="0" style="60" hidden="1" customWidth="1"/>
    <col min="12547" max="12547" width="9" style="60"/>
    <col min="12548" max="12548" width="9.875" style="60" customWidth="1"/>
    <col min="12549" max="12549" width="9" style="60" customWidth="1"/>
    <col min="12550" max="12550" width="9.5" style="60" bestFit="1" customWidth="1"/>
    <col min="12551" max="12551" width="9.5" style="60" customWidth="1"/>
    <col min="12552" max="12552" width="9.375" style="60" customWidth="1"/>
    <col min="12553" max="12553" width="10.125" style="60" customWidth="1"/>
    <col min="12554" max="12554" width="11.125" style="60" customWidth="1"/>
    <col min="12555" max="12789" width="9" style="60"/>
    <col min="12790" max="12790" width="5.875" style="60" customWidth="1"/>
    <col min="12791" max="12791" width="18" style="60" customWidth="1"/>
    <col min="12792" max="12802" width="0" style="60" hidden="1" customWidth="1"/>
    <col min="12803" max="12803" width="9" style="60"/>
    <col min="12804" max="12804" width="9.875" style="60" customWidth="1"/>
    <col min="12805" max="12805" width="9" style="60" customWidth="1"/>
    <col min="12806" max="12806" width="9.5" style="60" bestFit="1" customWidth="1"/>
    <col min="12807" max="12807" width="9.5" style="60" customWidth="1"/>
    <col min="12808" max="12808" width="9.375" style="60" customWidth="1"/>
    <col min="12809" max="12809" width="10.125" style="60" customWidth="1"/>
    <col min="12810" max="12810" width="11.125" style="60" customWidth="1"/>
    <col min="12811" max="13045" width="9" style="60"/>
    <col min="13046" max="13046" width="5.875" style="60" customWidth="1"/>
    <col min="13047" max="13047" width="18" style="60" customWidth="1"/>
    <col min="13048" max="13058" width="0" style="60" hidden="1" customWidth="1"/>
    <col min="13059" max="13059" width="9" style="60"/>
    <col min="13060" max="13060" width="9.875" style="60" customWidth="1"/>
    <col min="13061" max="13061" width="9" style="60" customWidth="1"/>
    <col min="13062" max="13062" width="9.5" style="60" bestFit="1" customWidth="1"/>
    <col min="13063" max="13063" width="9.5" style="60" customWidth="1"/>
    <col min="13064" max="13064" width="9.375" style="60" customWidth="1"/>
    <col min="13065" max="13065" width="10.125" style="60" customWidth="1"/>
    <col min="13066" max="13066" width="11.125" style="60" customWidth="1"/>
    <col min="13067" max="13301" width="9" style="60"/>
    <col min="13302" max="13302" width="5.875" style="60" customWidth="1"/>
    <col min="13303" max="13303" width="18" style="60" customWidth="1"/>
    <col min="13304" max="13314" width="0" style="60" hidden="1" customWidth="1"/>
    <col min="13315" max="13315" width="9" style="60"/>
    <col min="13316" max="13316" width="9.875" style="60" customWidth="1"/>
    <col min="13317" max="13317" width="9" style="60" customWidth="1"/>
    <col min="13318" max="13318" width="9.5" style="60" bestFit="1" customWidth="1"/>
    <col min="13319" max="13319" width="9.5" style="60" customWidth="1"/>
    <col min="13320" max="13320" width="9.375" style="60" customWidth="1"/>
    <col min="13321" max="13321" width="10.125" style="60" customWidth="1"/>
    <col min="13322" max="13322" width="11.125" style="60" customWidth="1"/>
    <col min="13323" max="13557" width="9" style="60"/>
    <col min="13558" max="13558" width="5.875" style="60" customWidth="1"/>
    <col min="13559" max="13559" width="18" style="60" customWidth="1"/>
    <col min="13560" max="13570" width="0" style="60" hidden="1" customWidth="1"/>
    <col min="13571" max="13571" width="9" style="60"/>
    <col min="13572" max="13572" width="9.875" style="60" customWidth="1"/>
    <col min="13573" max="13573" width="9" style="60" customWidth="1"/>
    <col min="13574" max="13574" width="9.5" style="60" bestFit="1" customWidth="1"/>
    <col min="13575" max="13575" width="9.5" style="60" customWidth="1"/>
    <col min="13576" max="13576" width="9.375" style="60" customWidth="1"/>
    <col min="13577" max="13577" width="10.125" style="60" customWidth="1"/>
    <col min="13578" max="13578" width="11.125" style="60" customWidth="1"/>
    <col min="13579" max="13813" width="9" style="60"/>
    <col min="13814" max="13814" width="5.875" style="60" customWidth="1"/>
    <col min="13815" max="13815" width="18" style="60" customWidth="1"/>
    <col min="13816" max="13826" width="0" style="60" hidden="1" customWidth="1"/>
    <col min="13827" max="13827" width="9" style="60"/>
    <col min="13828" max="13828" width="9.875" style="60" customWidth="1"/>
    <col min="13829" max="13829" width="9" style="60" customWidth="1"/>
    <col min="13830" max="13830" width="9.5" style="60" bestFit="1" customWidth="1"/>
    <col min="13831" max="13831" width="9.5" style="60" customWidth="1"/>
    <col min="13832" max="13832" width="9.375" style="60" customWidth="1"/>
    <col min="13833" max="13833" width="10.125" style="60" customWidth="1"/>
    <col min="13834" max="13834" width="11.125" style="60" customWidth="1"/>
    <col min="13835" max="14069" width="9" style="60"/>
    <col min="14070" max="14070" width="5.875" style="60" customWidth="1"/>
    <col min="14071" max="14071" width="18" style="60" customWidth="1"/>
    <col min="14072" max="14082" width="0" style="60" hidden="1" customWidth="1"/>
    <col min="14083" max="14083" width="9" style="60"/>
    <col min="14084" max="14084" width="9.875" style="60" customWidth="1"/>
    <col min="14085" max="14085" width="9" style="60" customWidth="1"/>
    <col min="14086" max="14086" width="9.5" style="60" bestFit="1" customWidth="1"/>
    <col min="14087" max="14087" width="9.5" style="60" customWidth="1"/>
    <col min="14088" max="14088" width="9.375" style="60" customWidth="1"/>
    <col min="14089" max="14089" width="10.125" style="60" customWidth="1"/>
    <col min="14090" max="14090" width="11.125" style="60" customWidth="1"/>
    <col min="14091" max="14325" width="9" style="60"/>
    <col min="14326" max="14326" width="5.875" style="60" customWidth="1"/>
    <col min="14327" max="14327" width="18" style="60" customWidth="1"/>
    <col min="14328" max="14338" width="0" style="60" hidden="1" customWidth="1"/>
    <col min="14339" max="14339" width="9" style="60"/>
    <col min="14340" max="14340" width="9.875" style="60" customWidth="1"/>
    <col min="14341" max="14341" width="9" style="60" customWidth="1"/>
    <col min="14342" max="14342" width="9.5" style="60" bestFit="1" customWidth="1"/>
    <col min="14343" max="14343" width="9.5" style="60" customWidth="1"/>
    <col min="14344" max="14344" width="9.375" style="60" customWidth="1"/>
    <col min="14345" max="14345" width="10.125" style="60" customWidth="1"/>
    <col min="14346" max="14346" width="11.125" style="60" customWidth="1"/>
    <col min="14347" max="14581" width="9" style="60"/>
    <col min="14582" max="14582" width="5.875" style="60" customWidth="1"/>
    <col min="14583" max="14583" width="18" style="60" customWidth="1"/>
    <col min="14584" max="14594" width="0" style="60" hidden="1" customWidth="1"/>
    <col min="14595" max="14595" width="9" style="60"/>
    <col min="14596" max="14596" width="9.875" style="60" customWidth="1"/>
    <col min="14597" max="14597" width="9" style="60" customWidth="1"/>
    <col min="14598" max="14598" width="9.5" style="60" bestFit="1" customWidth="1"/>
    <col min="14599" max="14599" width="9.5" style="60" customWidth="1"/>
    <col min="14600" max="14600" width="9.375" style="60" customWidth="1"/>
    <col min="14601" max="14601" width="10.125" style="60" customWidth="1"/>
    <col min="14602" max="14602" width="11.125" style="60" customWidth="1"/>
    <col min="14603" max="14837" width="9" style="60"/>
    <col min="14838" max="14838" width="5.875" style="60" customWidth="1"/>
    <col min="14839" max="14839" width="18" style="60" customWidth="1"/>
    <col min="14840" max="14850" width="0" style="60" hidden="1" customWidth="1"/>
    <col min="14851" max="14851" width="9" style="60"/>
    <col min="14852" max="14852" width="9.875" style="60" customWidth="1"/>
    <col min="14853" max="14853" width="9" style="60" customWidth="1"/>
    <col min="14854" max="14854" width="9.5" style="60" bestFit="1" customWidth="1"/>
    <col min="14855" max="14855" width="9.5" style="60" customWidth="1"/>
    <col min="14856" max="14856" width="9.375" style="60" customWidth="1"/>
    <col min="14857" max="14857" width="10.125" style="60" customWidth="1"/>
    <col min="14858" max="14858" width="11.125" style="60" customWidth="1"/>
    <col min="14859" max="15093" width="9" style="60"/>
    <col min="15094" max="15094" width="5.875" style="60" customWidth="1"/>
    <col min="15095" max="15095" width="18" style="60" customWidth="1"/>
    <col min="15096" max="15106" width="0" style="60" hidden="1" customWidth="1"/>
    <col min="15107" max="15107" width="9" style="60"/>
    <col min="15108" max="15108" width="9.875" style="60" customWidth="1"/>
    <col min="15109" max="15109" width="9" style="60" customWidth="1"/>
    <col min="15110" max="15110" width="9.5" style="60" bestFit="1" customWidth="1"/>
    <col min="15111" max="15111" width="9.5" style="60" customWidth="1"/>
    <col min="15112" max="15112" width="9.375" style="60" customWidth="1"/>
    <col min="15113" max="15113" width="10.125" style="60" customWidth="1"/>
    <col min="15114" max="15114" width="11.125" style="60" customWidth="1"/>
    <col min="15115" max="15349" width="9" style="60"/>
    <col min="15350" max="15350" width="5.875" style="60" customWidth="1"/>
    <col min="15351" max="15351" width="18" style="60" customWidth="1"/>
    <col min="15352" max="15362" width="0" style="60" hidden="1" customWidth="1"/>
    <col min="15363" max="15363" width="9" style="60"/>
    <col min="15364" max="15364" width="9.875" style="60" customWidth="1"/>
    <col min="15365" max="15365" width="9" style="60" customWidth="1"/>
    <col min="15366" max="15366" width="9.5" style="60" bestFit="1" customWidth="1"/>
    <col min="15367" max="15367" width="9.5" style="60" customWidth="1"/>
    <col min="15368" max="15368" width="9.375" style="60" customWidth="1"/>
    <col min="15369" max="15369" width="10.125" style="60" customWidth="1"/>
    <col min="15370" max="15370" width="11.125" style="60" customWidth="1"/>
    <col min="15371" max="15605" width="9" style="60"/>
    <col min="15606" max="15606" width="5.875" style="60" customWidth="1"/>
    <col min="15607" max="15607" width="18" style="60" customWidth="1"/>
    <col min="15608" max="15618" width="0" style="60" hidden="1" customWidth="1"/>
    <col min="15619" max="15619" width="9" style="60"/>
    <col min="15620" max="15620" width="9.875" style="60" customWidth="1"/>
    <col min="15621" max="15621" width="9" style="60" customWidth="1"/>
    <col min="15622" max="15622" width="9.5" style="60" bestFit="1" customWidth="1"/>
    <col min="15623" max="15623" width="9.5" style="60" customWidth="1"/>
    <col min="15624" max="15624" width="9.375" style="60" customWidth="1"/>
    <col min="15625" max="15625" width="10.125" style="60" customWidth="1"/>
    <col min="15626" max="15626" width="11.125" style="60" customWidth="1"/>
    <col min="15627" max="15861" width="9" style="60"/>
    <col min="15862" max="15862" width="5.875" style="60" customWidth="1"/>
    <col min="15863" max="15863" width="18" style="60" customWidth="1"/>
    <col min="15864" max="15874" width="0" style="60" hidden="1" customWidth="1"/>
    <col min="15875" max="15875" width="9" style="60"/>
    <col min="15876" max="15876" width="9.875" style="60" customWidth="1"/>
    <col min="15877" max="15877" width="9" style="60" customWidth="1"/>
    <col min="15878" max="15878" width="9.5" style="60" bestFit="1" customWidth="1"/>
    <col min="15879" max="15879" width="9.5" style="60" customWidth="1"/>
    <col min="15880" max="15880" width="9.375" style="60" customWidth="1"/>
    <col min="15881" max="15881" width="10.125" style="60" customWidth="1"/>
    <col min="15882" max="15882" width="11.125" style="60" customWidth="1"/>
    <col min="15883" max="16117" width="9" style="60"/>
    <col min="16118" max="16118" width="5.875" style="60" customWidth="1"/>
    <col min="16119" max="16119" width="18" style="60" customWidth="1"/>
    <col min="16120" max="16130" width="0" style="60" hidden="1" customWidth="1"/>
    <col min="16131" max="16131" width="9" style="60"/>
    <col min="16132" max="16132" width="9.875" style="60" customWidth="1"/>
    <col min="16133" max="16133" width="9" style="60" customWidth="1"/>
    <col min="16134" max="16134" width="9.5" style="60" bestFit="1" customWidth="1"/>
    <col min="16135" max="16135" width="9.5" style="60" customWidth="1"/>
    <col min="16136" max="16136" width="9.375" style="60" customWidth="1"/>
    <col min="16137" max="16137" width="10.125" style="60" customWidth="1"/>
    <col min="16138" max="16138" width="11.125" style="60" customWidth="1"/>
    <col min="16139" max="16384" width="9" style="60"/>
  </cols>
  <sheetData>
    <row r="1" spans="1:15" ht="21.75" customHeight="1">
      <c r="A1" s="243" t="s">
        <v>199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s="62" customFormat="1" ht="20.100000000000001" customHeight="1">
      <c r="A2" s="245" t="s">
        <v>0</v>
      </c>
      <c r="B2" s="245" t="s">
        <v>100</v>
      </c>
      <c r="C2" s="245" t="s">
        <v>189</v>
      </c>
      <c r="D2" s="245"/>
      <c r="E2" s="245" t="s">
        <v>190</v>
      </c>
      <c r="F2" s="245"/>
      <c r="G2" s="245" t="s">
        <v>191</v>
      </c>
      <c r="H2" s="245"/>
      <c r="I2" s="245" t="s">
        <v>192</v>
      </c>
      <c r="J2" s="245"/>
      <c r="K2" s="245" t="s">
        <v>193</v>
      </c>
      <c r="L2" s="245"/>
      <c r="M2" s="61" t="s">
        <v>194</v>
      </c>
      <c r="N2" s="246" t="s">
        <v>195</v>
      </c>
      <c r="O2" s="246" t="s">
        <v>196</v>
      </c>
    </row>
    <row r="3" spans="1:15" s="62" customFormat="1" ht="20.100000000000001" customHeight="1">
      <c r="A3" s="245"/>
      <c r="B3" s="245" t="s">
        <v>100</v>
      </c>
      <c r="C3" s="61" t="s">
        <v>197</v>
      </c>
      <c r="D3" s="61" t="s">
        <v>198</v>
      </c>
      <c r="E3" s="61" t="s">
        <v>197</v>
      </c>
      <c r="F3" s="61" t="s">
        <v>198</v>
      </c>
      <c r="G3" s="61" t="s">
        <v>197</v>
      </c>
      <c r="H3" s="61" t="s">
        <v>198</v>
      </c>
      <c r="I3" s="61" t="s">
        <v>197</v>
      </c>
      <c r="J3" s="61" t="s">
        <v>198</v>
      </c>
      <c r="K3" s="61" t="s">
        <v>197</v>
      </c>
      <c r="L3" s="61" t="s">
        <v>198</v>
      </c>
      <c r="M3" s="61" t="s">
        <v>197</v>
      </c>
      <c r="N3" s="246"/>
      <c r="O3" s="246"/>
    </row>
    <row r="4" spans="1:15" s="62" customFormat="1" ht="20.100000000000001" customHeight="1">
      <c r="A4" s="63" t="s">
        <v>24</v>
      </c>
      <c r="B4" s="64" t="s">
        <v>179</v>
      </c>
      <c r="C4" s="64">
        <v>5</v>
      </c>
      <c r="D4" s="64">
        <v>226</v>
      </c>
      <c r="E4" s="64">
        <v>4</v>
      </c>
      <c r="F4" s="64">
        <v>192</v>
      </c>
      <c r="G4" s="64">
        <v>5</v>
      </c>
      <c r="H4" s="64">
        <v>272</v>
      </c>
      <c r="I4" s="64">
        <v>5</v>
      </c>
      <c r="J4" s="64">
        <v>226</v>
      </c>
      <c r="K4" s="64">
        <v>5</v>
      </c>
      <c r="L4" s="64">
        <v>176</v>
      </c>
      <c r="M4" s="64">
        <f>C4+E4+G4+I4+K4</f>
        <v>24</v>
      </c>
      <c r="N4" s="65">
        <v>778</v>
      </c>
      <c r="O4" s="65">
        <f>N4*350</f>
        <v>272300</v>
      </c>
    </row>
    <row r="5" spans="1:15" s="62" customFormat="1" ht="20.100000000000001" customHeight="1">
      <c r="A5" s="63" t="s">
        <v>24</v>
      </c>
      <c r="B5" s="64" t="s">
        <v>134</v>
      </c>
      <c r="C5" s="64">
        <v>5</v>
      </c>
      <c r="D5" s="64">
        <v>237</v>
      </c>
      <c r="E5" s="64">
        <v>6</v>
      </c>
      <c r="F5" s="64">
        <v>328</v>
      </c>
      <c r="G5" s="64">
        <v>6</v>
      </c>
      <c r="H5" s="64">
        <v>291</v>
      </c>
      <c r="I5" s="64">
        <v>6</v>
      </c>
      <c r="J5" s="64">
        <v>272</v>
      </c>
      <c r="K5" s="64">
        <v>4</v>
      </c>
      <c r="L5" s="64">
        <v>159</v>
      </c>
      <c r="M5" s="64">
        <f>C5+E5+G5+I5+K5</f>
        <v>27</v>
      </c>
      <c r="N5" s="65">
        <v>978</v>
      </c>
      <c r="O5" s="65">
        <f t="shared" ref="O5" si="0">N5*350</f>
        <v>342300</v>
      </c>
    </row>
    <row r="6" spans="1:15" s="62" customFormat="1" ht="20.100000000000001" customHeight="1">
      <c r="A6" s="54"/>
      <c r="B6" s="54" t="s">
        <v>39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>
        <f t="shared" ref="N6:O6" si="1">SUM(N4:N5)</f>
        <v>1756</v>
      </c>
      <c r="O6" s="54">
        <f t="shared" si="1"/>
        <v>614600</v>
      </c>
    </row>
    <row r="7" spans="1:15" s="62" customFormat="1" ht="11.25"/>
    <row r="8" spans="1:15" s="62" customFormat="1" ht="11.25"/>
    <row r="9" spans="1:15" s="62" customFormat="1" ht="11.25"/>
    <row r="10" spans="1:15" s="62" customFormat="1" ht="11.25"/>
    <row r="11" spans="1:15" s="62" customFormat="1" ht="11.25"/>
    <row r="12" spans="1:15" s="62" customFormat="1" ht="11.25"/>
    <row r="13" spans="1:15" s="62" customFormat="1" ht="11.25"/>
    <row r="14" spans="1:15" s="62" customFormat="1" ht="11.25"/>
    <row r="15" spans="1:15" s="62" customFormat="1" ht="11.25"/>
    <row r="16" spans="1:15" s="62" customFormat="1" ht="11.25"/>
    <row r="17" s="62" customFormat="1" ht="11.25"/>
    <row r="18" s="62" customFormat="1" ht="11.25"/>
    <row r="19" s="62" customFormat="1" ht="11.25"/>
    <row r="20" s="62" customFormat="1" ht="11.25"/>
    <row r="21" s="62" customFormat="1" ht="11.25"/>
    <row r="22" s="62" customFormat="1" ht="11.25"/>
    <row r="23" s="62" customFormat="1" ht="11.25"/>
    <row r="24" s="62" customFormat="1" ht="11.25"/>
    <row r="25" s="62" customFormat="1" ht="11.25"/>
    <row r="26" s="62" customFormat="1" ht="11.25"/>
    <row r="27" s="62" customFormat="1" ht="11.25"/>
    <row r="28" s="62" customFormat="1" ht="11.25"/>
    <row r="29" s="62" customFormat="1" ht="11.25"/>
    <row r="30" s="62" customFormat="1" ht="11.25"/>
    <row r="31" s="62" customFormat="1" ht="11.25"/>
    <row r="32" s="62" customFormat="1" ht="11.25"/>
    <row r="33" s="62" customFormat="1" ht="11.25"/>
    <row r="34" s="62" customFormat="1" ht="11.25"/>
    <row r="35" s="62" customFormat="1" ht="11.25"/>
    <row r="36" s="62" customFormat="1" ht="11.25"/>
    <row r="37" s="62" customFormat="1" ht="11.25"/>
    <row r="38" s="62" customFormat="1" ht="11.25"/>
    <row r="39" s="62" customFormat="1" ht="11.25"/>
    <row r="40" s="62" customFormat="1" ht="11.25"/>
    <row r="41" s="62" customFormat="1" ht="11.25"/>
    <row r="42" s="62" customFormat="1" ht="11.25"/>
    <row r="43" s="62" customFormat="1" ht="11.25"/>
    <row r="44" s="62" customFormat="1" ht="11.25"/>
    <row r="45" s="62" customFormat="1" ht="11.25"/>
    <row r="46" s="62" customFormat="1" ht="11.25"/>
    <row r="47" s="62" customFormat="1" ht="11.25"/>
    <row r="48" s="62" customFormat="1" ht="11.25"/>
    <row r="49" s="62" customFormat="1" ht="11.25"/>
    <row r="50" s="62" customFormat="1" ht="11.25"/>
    <row r="51" s="62" customFormat="1" ht="11.25"/>
    <row r="52" s="62" customFormat="1" ht="11.25"/>
    <row r="53" s="62" customFormat="1" ht="11.25"/>
    <row r="54" s="62" customFormat="1" ht="11.25"/>
    <row r="55" s="62" customFormat="1" ht="11.25"/>
    <row r="56" s="62" customFormat="1" ht="11.25"/>
    <row r="57" s="62" customFormat="1" ht="11.25"/>
    <row r="58" s="62" customFormat="1" ht="11.25"/>
    <row r="59" s="62" customFormat="1" ht="11.25"/>
    <row r="60" s="62" customFormat="1" ht="11.25"/>
    <row r="61" s="62" customFormat="1" ht="11.25"/>
    <row r="62" s="62" customFormat="1" ht="11.25"/>
    <row r="63" s="62" customFormat="1" ht="11.25"/>
    <row r="64" s="62" customFormat="1" ht="11.25"/>
    <row r="65" s="62" customFormat="1" ht="11.25"/>
    <row r="66" s="62" customFormat="1" ht="11.25"/>
    <row r="67" s="62" customFormat="1" ht="11.25"/>
    <row r="68" s="62" customFormat="1" ht="11.25"/>
    <row r="69" s="62" customFormat="1" ht="11.25"/>
    <row r="70" s="62" customFormat="1" ht="11.25"/>
    <row r="71" s="62" customFormat="1" ht="11.25"/>
    <row r="72" s="62" customFormat="1" ht="11.25"/>
    <row r="73" s="62" customFormat="1" ht="11.25"/>
    <row r="74" s="62" customFormat="1" ht="11.25"/>
    <row r="75" s="62" customFormat="1" ht="11.25"/>
    <row r="76" s="62" customFormat="1" ht="11.25"/>
    <row r="77" s="62" customFormat="1" ht="11.25"/>
    <row r="78" s="62" customFormat="1" ht="11.25"/>
    <row r="79" s="62" customFormat="1" ht="11.25"/>
    <row r="80" s="62" customFormat="1" ht="11.25"/>
    <row r="81" s="62" customFormat="1" ht="11.25"/>
    <row r="82" s="62" customFormat="1" ht="11.25"/>
    <row r="83" s="62" customFormat="1" ht="11.25"/>
    <row r="84" s="62" customFormat="1" ht="11.25"/>
    <row r="85" s="62" customFormat="1" ht="11.25"/>
    <row r="86" s="62" customFormat="1" ht="11.25"/>
    <row r="87" s="62" customFormat="1" ht="11.25"/>
    <row r="88" s="62" customFormat="1" ht="11.25"/>
    <row r="89" s="62" customFormat="1" ht="11.25"/>
    <row r="90" s="62" customFormat="1" ht="11.25"/>
    <row r="91" s="62" customFormat="1" ht="11.25"/>
    <row r="92" s="62" customFormat="1" ht="11.25"/>
    <row r="93" s="62" customFormat="1" ht="11.25"/>
    <row r="94" s="62" customFormat="1" ht="11.25"/>
    <row r="95" s="62" customFormat="1" ht="11.25"/>
    <row r="96" s="62" customFormat="1" ht="11.25"/>
    <row r="97" s="62" customFormat="1" ht="11.25"/>
    <row r="98" s="62" customFormat="1" ht="11.25"/>
    <row r="99" s="62" customFormat="1" ht="11.25"/>
    <row r="100" s="62" customFormat="1" ht="11.25"/>
    <row r="101" s="62" customFormat="1" ht="11.25"/>
    <row r="102" s="62" customFormat="1" ht="11.25"/>
    <row r="103" s="62" customFormat="1" ht="11.25"/>
    <row r="104" s="62" customFormat="1" ht="11.25"/>
    <row r="105" s="62" customFormat="1" ht="11.25"/>
    <row r="106" s="62" customFormat="1" ht="11.25"/>
    <row r="107" s="62" customFormat="1" ht="11.25"/>
    <row r="108" s="62" customFormat="1" ht="11.25"/>
    <row r="109" s="62" customFormat="1" ht="11.25"/>
    <row r="110" s="62" customFormat="1" ht="11.25"/>
    <row r="111" s="62" customFormat="1" ht="11.25"/>
    <row r="112" s="62" customFormat="1" ht="11.25"/>
    <row r="113" s="62" customFormat="1" ht="11.25"/>
    <row r="114" s="62" customFormat="1" ht="11.25"/>
    <row r="115" s="62" customFormat="1" ht="11.25"/>
    <row r="116" s="62" customFormat="1" ht="11.25"/>
    <row r="117" s="62" customFormat="1" ht="11.25"/>
    <row r="118" s="62" customFormat="1" ht="11.25"/>
    <row r="119" s="62" customFormat="1" ht="11.25"/>
    <row r="120" s="62" customFormat="1" ht="11.25"/>
    <row r="121" s="62" customFormat="1" ht="11.25"/>
    <row r="122" s="62" customFormat="1" ht="11.25"/>
    <row r="123" s="62" customFormat="1" ht="11.25"/>
    <row r="124" s="62" customFormat="1" ht="11.25"/>
    <row r="125" s="62" customFormat="1" ht="11.25"/>
    <row r="126" s="62" customFormat="1" ht="11.25"/>
    <row r="127" s="62" customFormat="1" ht="11.25"/>
    <row r="128" s="62" customFormat="1" ht="11.25"/>
  </sheetData>
  <mergeCells count="10">
    <mergeCell ref="A1:O1"/>
    <mergeCell ref="A2:A3"/>
    <mergeCell ref="B2:B3"/>
    <mergeCell ref="C2:D2"/>
    <mergeCell ref="E2:F2"/>
    <mergeCell ref="G2:H2"/>
    <mergeCell ref="I2:J2"/>
    <mergeCell ref="K2:L2"/>
    <mergeCell ref="N2:N3"/>
    <mergeCell ref="O2:O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E6" sqref="A6:XFD13"/>
    </sheetView>
  </sheetViews>
  <sheetFormatPr defaultColWidth="27.25" defaultRowHeight="13.5"/>
  <cols>
    <col min="1" max="1" width="9" style="67" customWidth="1"/>
    <col min="2" max="2" width="27.25" style="67" bestFit="1" customWidth="1"/>
    <col min="3" max="3" width="9" style="67" bestFit="1" customWidth="1"/>
    <col min="4" max="9" width="9.625" style="67" customWidth="1"/>
    <col min="10" max="10" width="10.5" style="67" bestFit="1" customWidth="1"/>
    <col min="11" max="11" width="11" style="67" customWidth="1"/>
    <col min="12" max="246" width="9" style="67" customWidth="1"/>
    <col min="247" max="254" width="27.25" style="67"/>
    <col min="255" max="257" width="9" style="67" customWidth="1"/>
    <col min="258" max="258" width="27.25" style="67" bestFit="1" customWidth="1"/>
    <col min="259" max="259" width="9" style="67" bestFit="1" customWidth="1"/>
    <col min="260" max="265" width="9.625" style="67" customWidth="1"/>
    <col min="266" max="266" width="10.5" style="67" bestFit="1" customWidth="1"/>
    <col min="267" max="502" width="9" style="67" customWidth="1"/>
    <col min="503" max="510" width="27.25" style="67"/>
    <col min="511" max="513" width="9" style="67" customWidth="1"/>
    <col min="514" max="514" width="27.25" style="67" bestFit="1" customWidth="1"/>
    <col min="515" max="515" width="9" style="67" bestFit="1" customWidth="1"/>
    <col min="516" max="521" width="9.625" style="67" customWidth="1"/>
    <col min="522" max="522" width="10.5" style="67" bestFit="1" customWidth="1"/>
    <col min="523" max="758" width="9" style="67" customWidth="1"/>
    <col min="759" max="766" width="27.25" style="67"/>
    <col min="767" max="769" width="9" style="67" customWidth="1"/>
    <col min="770" max="770" width="27.25" style="67" bestFit="1" customWidth="1"/>
    <col min="771" max="771" width="9" style="67" bestFit="1" customWidth="1"/>
    <col min="772" max="777" width="9.625" style="67" customWidth="1"/>
    <col min="778" max="778" width="10.5" style="67" bestFit="1" customWidth="1"/>
    <col min="779" max="1014" width="9" style="67" customWidth="1"/>
    <col min="1015" max="1022" width="27.25" style="67"/>
    <col min="1023" max="1025" width="9" style="67" customWidth="1"/>
    <col min="1026" max="1026" width="27.25" style="67" bestFit="1" customWidth="1"/>
    <col min="1027" max="1027" width="9" style="67" bestFit="1" customWidth="1"/>
    <col min="1028" max="1033" width="9.625" style="67" customWidth="1"/>
    <col min="1034" max="1034" width="10.5" style="67" bestFit="1" customWidth="1"/>
    <col min="1035" max="1270" width="9" style="67" customWidth="1"/>
    <col min="1271" max="1278" width="27.25" style="67"/>
    <col min="1279" max="1281" width="9" style="67" customWidth="1"/>
    <col min="1282" max="1282" width="27.25" style="67" bestFit="1" customWidth="1"/>
    <col min="1283" max="1283" width="9" style="67" bestFit="1" customWidth="1"/>
    <col min="1284" max="1289" width="9.625" style="67" customWidth="1"/>
    <col min="1290" max="1290" width="10.5" style="67" bestFit="1" customWidth="1"/>
    <col min="1291" max="1526" width="9" style="67" customWidth="1"/>
    <col min="1527" max="1534" width="27.25" style="67"/>
    <col min="1535" max="1537" width="9" style="67" customWidth="1"/>
    <col min="1538" max="1538" width="27.25" style="67" bestFit="1" customWidth="1"/>
    <col min="1539" max="1539" width="9" style="67" bestFit="1" customWidth="1"/>
    <col min="1540" max="1545" width="9.625" style="67" customWidth="1"/>
    <col min="1546" max="1546" width="10.5" style="67" bestFit="1" customWidth="1"/>
    <col min="1547" max="1782" width="9" style="67" customWidth="1"/>
    <col min="1783" max="1790" width="27.25" style="67"/>
    <col min="1791" max="1793" width="9" style="67" customWidth="1"/>
    <col min="1794" max="1794" width="27.25" style="67" bestFit="1" customWidth="1"/>
    <col min="1795" max="1795" width="9" style="67" bestFit="1" customWidth="1"/>
    <col min="1796" max="1801" width="9.625" style="67" customWidth="1"/>
    <col min="1802" max="1802" width="10.5" style="67" bestFit="1" customWidth="1"/>
    <col min="1803" max="2038" width="9" style="67" customWidth="1"/>
    <col min="2039" max="2046" width="27.25" style="67"/>
    <col min="2047" max="2049" width="9" style="67" customWidth="1"/>
    <col min="2050" max="2050" width="27.25" style="67" bestFit="1" customWidth="1"/>
    <col min="2051" max="2051" width="9" style="67" bestFit="1" customWidth="1"/>
    <col min="2052" max="2057" width="9.625" style="67" customWidth="1"/>
    <col min="2058" max="2058" width="10.5" style="67" bestFit="1" customWidth="1"/>
    <col min="2059" max="2294" width="9" style="67" customWidth="1"/>
    <col min="2295" max="2302" width="27.25" style="67"/>
    <col min="2303" max="2305" width="9" style="67" customWidth="1"/>
    <col min="2306" max="2306" width="27.25" style="67" bestFit="1" customWidth="1"/>
    <col min="2307" max="2307" width="9" style="67" bestFit="1" customWidth="1"/>
    <col min="2308" max="2313" width="9.625" style="67" customWidth="1"/>
    <col min="2314" max="2314" width="10.5" style="67" bestFit="1" customWidth="1"/>
    <col min="2315" max="2550" width="9" style="67" customWidth="1"/>
    <col min="2551" max="2558" width="27.25" style="67"/>
    <col min="2559" max="2561" width="9" style="67" customWidth="1"/>
    <col min="2562" max="2562" width="27.25" style="67" bestFit="1" customWidth="1"/>
    <col min="2563" max="2563" width="9" style="67" bestFit="1" customWidth="1"/>
    <col min="2564" max="2569" width="9.625" style="67" customWidth="1"/>
    <col min="2570" max="2570" width="10.5" style="67" bestFit="1" customWidth="1"/>
    <col min="2571" max="2806" width="9" style="67" customWidth="1"/>
    <col min="2807" max="2814" width="27.25" style="67"/>
    <col min="2815" max="2817" width="9" style="67" customWidth="1"/>
    <col min="2818" max="2818" width="27.25" style="67" bestFit="1" customWidth="1"/>
    <col min="2819" max="2819" width="9" style="67" bestFit="1" customWidth="1"/>
    <col min="2820" max="2825" width="9.625" style="67" customWidth="1"/>
    <col min="2826" max="2826" width="10.5" style="67" bestFit="1" customWidth="1"/>
    <col min="2827" max="3062" width="9" style="67" customWidth="1"/>
    <col min="3063" max="3070" width="27.25" style="67"/>
    <col min="3071" max="3073" width="9" style="67" customWidth="1"/>
    <col min="3074" max="3074" width="27.25" style="67" bestFit="1" customWidth="1"/>
    <col min="3075" max="3075" width="9" style="67" bestFit="1" customWidth="1"/>
    <col min="3076" max="3081" width="9.625" style="67" customWidth="1"/>
    <col min="3082" max="3082" width="10.5" style="67" bestFit="1" customWidth="1"/>
    <col min="3083" max="3318" width="9" style="67" customWidth="1"/>
    <col min="3319" max="3326" width="27.25" style="67"/>
    <col min="3327" max="3329" width="9" style="67" customWidth="1"/>
    <col min="3330" max="3330" width="27.25" style="67" bestFit="1" customWidth="1"/>
    <col min="3331" max="3331" width="9" style="67" bestFit="1" customWidth="1"/>
    <col min="3332" max="3337" width="9.625" style="67" customWidth="1"/>
    <col min="3338" max="3338" width="10.5" style="67" bestFit="1" customWidth="1"/>
    <col min="3339" max="3574" width="9" style="67" customWidth="1"/>
    <col min="3575" max="3582" width="27.25" style="67"/>
    <col min="3583" max="3585" width="9" style="67" customWidth="1"/>
    <col min="3586" max="3586" width="27.25" style="67" bestFit="1" customWidth="1"/>
    <col min="3587" max="3587" width="9" style="67" bestFit="1" customWidth="1"/>
    <col min="3588" max="3593" width="9.625" style="67" customWidth="1"/>
    <col min="3594" max="3594" width="10.5" style="67" bestFit="1" customWidth="1"/>
    <col min="3595" max="3830" width="9" style="67" customWidth="1"/>
    <col min="3831" max="3838" width="27.25" style="67"/>
    <col min="3839" max="3841" width="9" style="67" customWidth="1"/>
    <col min="3842" max="3842" width="27.25" style="67" bestFit="1" customWidth="1"/>
    <col min="3843" max="3843" width="9" style="67" bestFit="1" customWidth="1"/>
    <col min="3844" max="3849" width="9.625" style="67" customWidth="1"/>
    <col min="3850" max="3850" width="10.5" style="67" bestFit="1" customWidth="1"/>
    <col min="3851" max="4086" width="9" style="67" customWidth="1"/>
    <col min="4087" max="4094" width="27.25" style="67"/>
    <col min="4095" max="4097" width="9" style="67" customWidth="1"/>
    <col min="4098" max="4098" width="27.25" style="67" bestFit="1" customWidth="1"/>
    <col min="4099" max="4099" width="9" style="67" bestFit="1" customWidth="1"/>
    <col min="4100" max="4105" width="9.625" style="67" customWidth="1"/>
    <col min="4106" max="4106" width="10.5" style="67" bestFit="1" customWidth="1"/>
    <col min="4107" max="4342" width="9" style="67" customWidth="1"/>
    <col min="4343" max="4350" width="27.25" style="67"/>
    <col min="4351" max="4353" width="9" style="67" customWidth="1"/>
    <col min="4354" max="4354" width="27.25" style="67" bestFit="1" customWidth="1"/>
    <col min="4355" max="4355" width="9" style="67" bestFit="1" customWidth="1"/>
    <col min="4356" max="4361" width="9.625" style="67" customWidth="1"/>
    <col min="4362" max="4362" width="10.5" style="67" bestFit="1" customWidth="1"/>
    <col min="4363" max="4598" width="9" style="67" customWidth="1"/>
    <col min="4599" max="4606" width="27.25" style="67"/>
    <col min="4607" max="4609" width="9" style="67" customWidth="1"/>
    <col min="4610" max="4610" width="27.25" style="67" bestFit="1" customWidth="1"/>
    <col min="4611" max="4611" width="9" style="67" bestFit="1" customWidth="1"/>
    <col min="4612" max="4617" width="9.625" style="67" customWidth="1"/>
    <col min="4618" max="4618" width="10.5" style="67" bestFit="1" customWidth="1"/>
    <col min="4619" max="4854" width="9" style="67" customWidth="1"/>
    <col min="4855" max="4862" width="27.25" style="67"/>
    <col min="4863" max="4865" width="9" style="67" customWidth="1"/>
    <col min="4866" max="4866" width="27.25" style="67" bestFit="1" customWidth="1"/>
    <col min="4867" max="4867" width="9" style="67" bestFit="1" customWidth="1"/>
    <col min="4868" max="4873" width="9.625" style="67" customWidth="1"/>
    <col min="4874" max="4874" width="10.5" style="67" bestFit="1" customWidth="1"/>
    <col min="4875" max="5110" width="9" style="67" customWidth="1"/>
    <col min="5111" max="5118" width="27.25" style="67"/>
    <col min="5119" max="5121" width="9" style="67" customWidth="1"/>
    <col min="5122" max="5122" width="27.25" style="67" bestFit="1" customWidth="1"/>
    <col min="5123" max="5123" width="9" style="67" bestFit="1" customWidth="1"/>
    <col min="5124" max="5129" width="9.625" style="67" customWidth="1"/>
    <col min="5130" max="5130" width="10.5" style="67" bestFit="1" customWidth="1"/>
    <col min="5131" max="5366" width="9" style="67" customWidth="1"/>
    <col min="5367" max="5374" width="27.25" style="67"/>
    <col min="5375" max="5377" width="9" style="67" customWidth="1"/>
    <col min="5378" max="5378" width="27.25" style="67" bestFit="1" customWidth="1"/>
    <col min="5379" max="5379" width="9" style="67" bestFit="1" customWidth="1"/>
    <col min="5380" max="5385" width="9.625" style="67" customWidth="1"/>
    <col min="5386" max="5386" width="10.5" style="67" bestFit="1" customWidth="1"/>
    <col min="5387" max="5622" width="9" style="67" customWidth="1"/>
    <col min="5623" max="5630" width="27.25" style="67"/>
    <col min="5631" max="5633" width="9" style="67" customWidth="1"/>
    <col min="5634" max="5634" width="27.25" style="67" bestFit="1" customWidth="1"/>
    <col min="5635" max="5635" width="9" style="67" bestFit="1" customWidth="1"/>
    <col min="5636" max="5641" width="9.625" style="67" customWidth="1"/>
    <col min="5642" max="5642" width="10.5" style="67" bestFit="1" customWidth="1"/>
    <col min="5643" max="5878" width="9" style="67" customWidth="1"/>
    <col min="5879" max="5886" width="27.25" style="67"/>
    <col min="5887" max="5889" width="9" style="67" customWidth="1"/>
    <col min="5890" max="5890" width="27.25" style="67" bestFit="1" customWidth="1"/>
    <col min="5891" max="5891" width="9" style="67" bestFit="1" customWidth="1"/>
    <col min="5892" max="5897" width="9.625" style="67" customWidth="1"/>
    <col min="5898" max="5898" width="10.5" style="67" bestFit="1" customWidth="1"/>
    <col min="5899" max="6134" width="9" style="67" customWidth="1"/>
    <col min="6135" max="6142" width="27.25" style="67"/>
    <col min="6143" max="6145" width="9" style="67" customWidth="1"/>
    <col min="6146" max="6146" width="27.25" style="67" bestFit="1" customWidth="1"/>
    <col min="6147" max="6147" width="9" style="67" bestFit="1" customWidth="1"/>
    <col min="6148" max="6153" width="9.625" style="67" customWidth="1"/>
    <col min="6154" max="6154" width="10.5" style="67" bestFit="1" customWidth="1"/>
    <col min="6155" max="6390" width="9" style="67" customWidth="1"/>
    <col min="6391" max="6398" width="27.25" style="67"/>
    <col min="6399" max="6401" width="9" style="67" customWidth="1"/>
    <col min="6402" max="6402" width="27.25" style="67" bestFit="1" customWidth="1"/>
    <col min="6403" max="6403" width="9" style="67" bestFit="1" customWidth="1"/>
    <col min="6404" max="6409" width="9.625" style="67" customWidth="1"/>
    <col min="6410" max="6410" width="10.5" style="67" bestFit="1" customWidth="1"/>
    <col min="6411" max="6646" width="9" style="67" customWidth="1"/>
    <col min="6647" max="6654" width="27.25" style="67"/>
    <col min="6655" max="6657" width="9" style="67" customWidth="1"/>
    <col min="6658" max="6658" width="27.25" style="67" bestFit="1" customWidth="1"/>
    <col min="6659" max="6659" width="9" style="67" bestFit="1" customWidth="1"/>
    <col min="6660" max="6665" width="9.625" style="67" customWidth="1"/>
    <col min="6666" max="6666" width="10.5" style="67" bestFit="1" customWidth="1"/>
    <col min="6667" max="6902" width="9" style="67" customWidth="1"/>
    <col min="6903" max="6910" width="27.25" style="67"/>
    <col min="6911" max="6913" width="9" style="67" customWidth="1"/>
    <col min="6914" max="6914" width="27.25" style="67" bestFit="1" customWidth="1"/>
    <col min="6915" max="6915" width="9" style="67" bestFit="1" customWidth="1"/>
    <col min="6916" max="6921" width="9.625" style="67" customWidth="1"/>
    <col min="6922" max="6922" width="10.5" style="67" bestFit="1" customWidth="1"/>
    <col min="6923" max="7158" width="9" style="67" customWidth="1"/>
    <col min="7159" max="7166" width="27.25" style="67"/>
    <col min="7167" max="7169" width="9" style="67" customWidth="1"/>
    <col min="7170" max="7170" width="27.25" style="67" bestFit="1" customWidth="1"/>
    <col min="7171" max="7171" width="9" style="67" bestFit="1" customWidth="1"/>
    <col min="7172" max="7177" width="9.625" style="67" customWidth="1"/>
    <col min="7178" max="7178" width="10.5" style="67" bestFit="1" customWidth="1"/>
    <col min="7179" max="7414" width="9" style="67" customWidth="1"/>
    <col min="7415" max="7422" width="27.25" style="67"/>
    <col min="7423" max="7425" width="9" style="67" customWidth="1"/>
    <col min="7426" max="7426" width="27.25" style="67" bestFit="1" customWidth="1"/>
    <col min="7427" max="7427" width="9" style="67" bestFit="1" customWidth="1"/>
    <col min="7428" max="7433" width="9.625" style="67" customWidth="1"/>
    <col min="7434" max="7434" width="10.5" style="67" bestFit="1" customWidth="1"/>
    <col min="7435" max="7670" width="9" style="67" customWidth="1"/>
    <col min="7671" max="7678" width="27.25" style="67"/>
    <col min="7679" max="7681" width="9" style="67" customWidth="1"/>
    <col min="7682" max="7682" width="27.25" style="67" bestFit="1" customWidth="1"/>
    <col min="7683" max="7683" width="9" style="67" bestFit="1" customWidth="1"/>
    <col min="7684" max="7689" width="9.625" style="67" customWidth="1"/>
    <col min="7690" max="7690" width="10.5" style="67" bestFit="1" customWidth="1"/>
    <col min="7691" max="7926" width="9" style="67" customWidth="1"/>
    <col min="7927" max="7934" width="27.25" style="67"/>
    <col min="7935" max="7937" width="9" style="67" customWidth="1"/>
    <col min="7938" max="7938" width="27.25" style="67" bestFit="1" customWidth="1"/>
    <col min="7939" max="7939" width="9" style="67" bestFit="1" customWidth="1"/>
    <col min="7940" max="7945" width="9.625" style="67" customWidth="1"/>
    <col min="7946" max="7946" width="10.5" style="67" bestFit="1" customWidth="1"/>
    <col min="7947" max="8182" width="9" style="67" customWidth="1"/>
    <col min="8183" max="8190" width="27.25" style="67"/>
    <col min="8191" max="8193" width="9" style="67" customWidth="1"/>
    <col min="8194" max="8194" width="27.25" style="67" bestFit="1" customWidth="1"/>
    <col min="8195" max="8195" width="9" style="67" bestFit="1" customWidth="1"/>
    <col min="8196" max="8201" width="9.625" style="67" customWidth="1"/>
    <col min="8202" max="8202" width="10.5" style="67" bestFit="1" customWidth="1"/>
    <col min="8203" max="8438" width="9" style="67" customWidth="1"/>
    <col min="8439" max="8446" width="27.25" style="67"/>
    <col min="8447" max="8449" width="9" style="67" customWidth="1"/>
    <col min="8450" max="8450" width="27.25" style="67" bestFit="1" customWidth="1"/>
    <col min="8451" max="8451" width="9" style="67" bestFit="1" customWidth="1"/>
    <col min="8452" max="8457" width="9.625" style="67" customWidth="1"/>
    <col min="8458" max="8458" width="10.5" style="67" bestFit="1" customWidth="1"/>
    <col min="8459" max="8694" width="9" style="67" customWidth="1"/>
    <col min="8695" max="8702" width="27.25" style="67"/>
    <col min="8703" max="8705" width="9" style="67" customWidth="1"/>
    <col min="8706" max="8706" width="27.25" style="67" bestFit="1" customWidth="1"/>
    <col min="8707" max="8707" width="9" style="67" bestFit="1" customWidth="1"/>
    <col min="8708" max="8713" width="9.625" style="67" customWidth="1"/>
    <col min="8714" max="8714" width="10.5" style="67" bestFit="1" customWidth="1"/>
    <col min="8715" max="8950" width="9" style="67" customWidth="1"/>
    <col min="8951" max="8958" width="27.25" style="67"/>
    <col min="8959" max="8961" width="9" style="67" customWidth="1"/>
    <col min="8962" max="8962" width="27.25" style="67" bestFit="1" customWidth="1"/>
    <col min="8963" max="8963" width="9" style="67" bestFit="1" customWidth="1"/>
    <col min="8964" max="8969" width="9.625" style="67" customWidth="1"/>
    <col min="8970" max="8970" width="10.5" style="67" bestFit="1" customWidth="1"/>
    <col min="8971" max="9206" width="9" style="67" customWidth="1"/>
    <col min="9207" max="9214" width="27.25" style="67"/>
    <col min="9215" max="9217" width="9" style="67" customWidth="1"/>
    <col min="9218" max="9218" width="27.25" style="67" bestFit="1" customWidth="1"/>
    <col min="9219" max="9219" width="9" style="67" bestFit="1" customWidth="1"/>
    <col min="9220" max="9225" width="9.625" style="67" customWidth="1"/>
    <col min="9226" max="9226" width="10.5" style="67" bestFit="1" customWidth="1"/>
    <col min="9227" max="9462" width="9" style="67" customWidth="1"/>
    <col min="9463" max="9470" width="27.25" style="67"/>
    <col min="9471" max="9473" width="9" style="67" customWidth="1"/>
    <col min="9474" max="9474" width="27.25" style="67" bestFit="1" customWidth="1"/>
    <col min="9475" max="9475" width="9" style="67" bestFit="1" customWidth="1"/>
    <col min="9476" max="9481" width="9.625" style="67" customWidth="1"/>
    <col min="9482" max="9482" width="10.5" style="67" bestFit="1" customWidth="1"/>
    <col min="9483" max="9718" width="9" style="67" customWidth="1"/>
    <col min="9719" max="9726" width="27.25" style="67"/>
    <col min="9727" max="9729" width="9" style="67" customWidth="1"/>
    <col min="9730" max="9730" width="27.25" style="67" bestFit="1" customWidth="1"/>
    <col min="9731" max="9731" width="9" style="67" bestFit="1" customWidth="1"/>
    <col min="9732" max="9737" width="9.625" style="67" customWidth="1"/>
    <col min="9738" max="9738" width="10.5" style="67" bestFit="1" customWidth="1"/>
    <col min="9739" max="9974" width="9" style="67" customWidth="1"/>
    <col min="9975" max="9982" width="27.25" style="67"/>
    <col min="9983" max="9985" width="9" style="67" customWidth="1"/>
    <col min="9986" max="9986" width="27.25" style="67" bestFit="1" customWidth="1"/>
    <col min="9987" max="9987" width="9" style="67" bestFit="1" customWidth="1"/>
    <col min="9988" max="9993" width="9.625" style="67" customWidth="1"/>
    <col min="9994" max="9994" width="10.5" style="67" bestFit="1" customWidth="1"/>
    <col min="9995" max="10230" width="9" style="67" customWidth="1"/>
    <col min="10231" max="10238" width="27.25" style="67"/>
    <col min="10239" max="10241" width="9" style="67" customWidth="1"/>
    <col min="10242" max="10242" width="27.25" style="67" bestFit="1" customWidth="1"/>
    <col min="10243" max="10243" width="9" style="67" bestFit="1" customWidth="1"/>
    <col min="10244" max="10249" width="9.625" style="67" customWidth="1"/>
    <col min="10250" max="10250" width="10.5" style="67" bestFit="1" customWidth="1"/>
    <col min="10251" max="10486" width="9" style="67" customWidth="1"/>
    <col min="10487" max="10494" width="27.25" style="67"/>
    <col min="10495" max="10497" width="9" style="67" customWidth="1"/>
    <col min="10498" max="10498" width="27.25" style="67" bestFit="1" customWidth="1"/>
    <col min="10499" max="10499" width="9" style="67" bestFit="1" customWidth="1"/>
    <col min="10500" max="10505" width="9.625" style="67" customWidth="1"/>
    <col min="10506" max="10506" width="10.5" style="67" bestFit="1" customWidth="1"/>
    <col min="10507" max="10742" width="9" style="67" customWidth="1"/>
    <col min="10743" max="10750" width="27.25" style="67"/>
    <col min="10751" max="10753" width="9" style="67" customWidth="1"/>
    <col min="10754" max="10754" width="27.25" style="67" bestFit="1" customWidth="1"/>
    <col min="10755" max="10755" width="9" style="67" bestFit="1" customWidth="1"/>
    <col min="10756" max="10761" width="9.625" style="67" customWidth="1"/>
    <col min="10762" max="10762" width="10.5" style="67" bestFit="1" customWidth="1"/>
    <col min="10763" max="10998" width="9" style="67" customWidth="1"/>
    <col min="10999" max="11006" width="27.25" style="67"/>
    <col min="11007" max="11009" width="9" style="67" customWidth="1"/>
    <col min="11010" max="11010" width="27.25" style="67" bestFit="1" customWidth="1"/>
    <col min="11011" max="11011" width="9" style="67" bestFit="1" customWidth="1"/>
    <col min="11012" max="11017" width="9.625" style="67" customWidth="1"/>
    <col min="11018" max="11018" width="10.5" style="67" bestFit="1" customWidth="1"/>
    <col min="11019" max="11254" width="9" style="67" customWidth="1"/>
    <col min="11255" max="11262" width="27.25" style="67"/>
    <col min="11263" max="11265" width="9" style="67" customWidth="1"/>
    <col min="11266" max="11266" width="27.25" style="67" bestFit="1" customWidth="1"/>
    <col min="11267" max="11267" width="9" style="67" bestFit="1" customWidth="1"/>
    <col min="11268" max="11273" width="9.625" style="67" customWidth="1"/>
    <col min="11274" max="11274" width="10.5" style="67" bestFit="1" customWidth="1"/>
    <col min="11275" max="11510" width="9" style="67" customWidth="1"/>
    <col min="11511" max="11518" width="27.25" style="67"/>
    <col min="11519" max="11521" width="9" style="67" customWidth="1"/>
    <col min="11522" max="11522" width="27.25" style="67" bestFit="1" customWidth="1"/>
    <col min="11523" max="11523" width="9" style="67" bestFit="1" customWidth="1"/>
    <col min="11524" max="11529" width="9.625" style="67" customWidth="1"/>
    <col min="11530" max="11530" width="10.5" style="67" bestFit="1" customWidth="1"/>
    <col min="11531" max="11766" width="9" style="67" customWidth="1"/>
    <col min="11767" max="11774" width="27.25" style="67"/>
    <col min="11775" max="11777" width="9" style="67" customWidth="1"/>
    <col min="11778" max="11778" width="27.25" style="67" bestFit="1" customWidth="1"/>
    <col min="11779" max="11779" width="9" style="67" bestFit="1" customWidth="1"/>
    <col min="11780" max="11785" width="9.625" style="67" customWidth="1"/>
    <col min="11786" max="11786" width="10.5" style="67" bestFit="1" customWidth="1"/>
    <col min="11787" max="12022" width="9" style="67" customWidth="1"/>
    <col min="12023" max="12030" width="27.25" style="67"/>
    <col min="12031" max="12033" width="9" style="67" customWidth="1"/>
    <col min="12034" max="12034" width="27.25" style="67" bestFit="1" customWidth="1"/>
    <col min="12035" max="12035" width="9" style="67" bestFit="1" customWidth="1"/>
    <col min="12036" max="12041" width="9.625" style="67" customWidth="1"/>
    <col min="12042" max="12042" width="10.5" style="67" bestFit="1" customWidth="1"/>
    <col min="12043" max="12278" width="9" style="67" customWidth="1"/>
    <col min="12279" max="12286" width="27.25" style="67"/>
    <col min="12287" max="12289" width="9" style="67" customWidth="1"/>
    <col min="12290" max="12290" width="27.25" style="67" bestFit="1" customWidth="1"/>
    <col min="12291" max="12291" width="9" style="67" bestFit="1" customWidth="1"/>
    <col min="12292" max="12297" width="9.625" style="67" customWidth="1"/>
    <col min="12298" max="12298" width="10.5" style="67" bestFit="1" customWidth="1"/>
    <col min="12299" max="12534" width="9" style="67" customWidth="1"/>
    <col min="12535" max="12542" width="27.25" style="67"/>
    <col min="12543" max="12545" width="9" style="67" customWidth="1"/>
    <col min="12546" max="12546" width="27.25" style="67" bestFit="1" customWidth="1"/>
    <col min="12547" max="12547" width="9" style="67" bestFit="1" customWidth="1"/>
    <col min="12548" max="12553" width="9.625" style="67" customWidth="1"/>
    <col min="12554" max="12554" width="10.5" style="67" bestFit="1" customWidth="1"/>
    <col min="12555" max="12790" width="9" style="67" customWidth="1"/>
    <col min="12791" max="12798" width="27.25" style="67"/>
    <col min="12799" max="12801" width="9" style="67" customWidth="1"/>
    <col min="12802" max="12802" width="27.25" style="67" bestFit="1" customWidth="1"/>
    <col min="12803" max="12803" width="9" style="67" bestFit="1" customWidth="1"/>
    <col min="12804" max="12809" width="9.625" style="67" customWidth="1"/>
    <col min="12810" max="12810" width="10.5" style="67" bestFit="1" customWidth="1"/>
    <col min="12811" max="13046" width="9" style="67" customWidth="1"/>
    <col min="13047" max="13054" width="27.25" style="67"/>
    <col min="13055" max="13057" width="9" style="67" customWidth="1"/>
    <col min="13058" max="13058" width="27.25" style="67" bestFit="1" customWidth="1"/>
    <col min="13059" max="13059" width="9" style="67" bestFit="1" customWidth="1"/>
    <col min="13060" max="13065" width="9.625" style="67" customWidth="1"/>
    <col min="13066" max="13066" width="10.5" style="67" bestFit="1" customWidth="1"/>
    <col min="13067" max="13302" width="9" style="67" customWidth="1"/>
    <col min="13303" max="13310" width="27.25" style="67"/>
    <col min="13311" max="13313" width="9" style="67" customWidth="1"/>
    <col min="13314" max="13314" width="27.25" style="67" bestFit="1" customWidth="1"/>
    <col min="13315" max="13315" width="9" style="67" bestFit="1" customWidth="1"/>
    <col min="13316" max="13321" width="9.625" style="67" customWidth="1"/>
    <col min="13322" max="13322" width="10.5" style="67" bestFit="1" customWidth="1"/>
    <col min="13323" max="13558" width="9" style="67" customWidth="1"/>
    <col min="13559" max="13566" width="27.25" style="67"/>
    <col min="13567" max="13569" width="9" style="67" customWidth="1"/>
    <col min="13570" max="13570" width="27.25" style="67" bestFit="1" customWidth="1"/>
    <col min="13571" max="13571" width="9" style="67" bestFit="1" customWidth="1"/>
    <col min="13572" max="13577" width="9.625" style="67" customWidth="1"/>
    <col min="13578" max="13578" width="10.5" style="67" bestFit="1" customWidth="1"/>
    <col min="13579" max="13814" width="9" style="67" customWidth="1"/>
    <col min="13815" max="13822" width="27.25" style="67"/>
    <col min="13823" max="13825" width="9" style="67" customWidth="1"/>
    <col min="13826" max="13826" width="27.25" style="67" bestFit="1" customWidth="1"/>
    <col min="13827" max="13827" width="9" style="67" bestFit="1" customWidth="1"/>
    <col min="13828" max="13833" width="9.625" style="67" customWidth="1"/>
    <col min="13834" max="13834" width="10.5" style="67" bestFit="1" customWidth="1"/>
    <col min="13835" max="14070" width="9" style="67" customWidth="1"/>
    <col min="14071" max="14078" width="27.25" style="67"/>
    <col min="14079" max="14081" width="9" style="67" customWidth="1"/>
    <col min="14082" max="14082" width="27.25" style="67" bestFit="1" customWidth="1"/>
    <col min="14083" max="14083" width="9" style="67" bestFit="1" customWidth="1"/>
    <col min="14084" max="14089" width="9.625" style="67" customWidth="1"/>
    <col min="14090" max="14090" width="10.5" style="67" bestFit="1" customWidth="1"/>
    <col min="14091" max="14326" width="9" style="67" customWidth="1"/>
    <col min="14327" max="14334" width="27.25" style="67"/>
    <col min="14335" max="14337" width="9" style="67" customWidth="1"/>
    <col min="14338" max="14338" width="27.25" style="67" bestFit="1" customWidth="1"/>
    <col min="14339" max="14339" width="9" style="67" bestFit="1" customWidth="1"/>
    <col min="14340" max="14345" width="9.625" style="67" customWidth="1"/>
    <col min="14346" max="14346" width="10.5" style="67" bestFit="1" customWidth="1"/>
    <col min="14347" max="14582" width="9" style="67" customWidth="1"/>
    <col min="14583" max="14590" width="27.25" style="67"/>
    <col min="14591" max="14593" width="9" style="67" customWidth="1"/>
    <col min="14594" max="14594" width="27.25" style="67" bestFit="1" customWidth="1"/>
    <col min="14595" max="14595" width="9" style="67" bestFit="1" customWidth="1"/>
    <col min="14596" max="14601" width="9.625" style="67" customWidth="1"/>
    <col min="14602" max="14602" width="10.5" style="67" bestFit="1" customWidth="1"/>
    <col min="14603" max="14838" width="9" style="67" customWidth="1"/>
    <col min="14839" max="14846" width="27.25" style="67"/>
    <col min="14847" max="14849" width="9" style="67" customWidth="1"/>
    <col min="14850" max="14850" width="27.25" style="67" bestFit="1" customWidth="1"/>
    <col min="14851" max="14851" width="9" style="67" bestFit="1" customWidth="1"/>
    <col min="14852" max="14857" width="9.625" style="67" customWidth="1"/>
    <col min="14858" max="14858" width="10.5" style="67" bestFit="1" customWidth="1"/>
    <col min="14859" max="15094" width="9" style="67" customWidth="1"/>
    <col min="15095" max="15102" width="27.25" style="67"/>
    <col min="15103" max="15105" width="9" style="67" customWidth="1"/>
    <col min="15106" max="15106" width="27.25" style="67" bestFit="1" customWidth="1"/>
    <col min="15107" max="15107" width="9" style="67" bestFit="1" customWidth="1"/>
    <col min="15108" max="15113" width="9.625" style="67" customWidth="1"/>
    <col min="15114" max="15114" width="10.5" style="67" bestFit="1" customWidth="1"/>
    <col min="15115" max="15350" width="9" style="67" customWidth="1"/>
    <col min="15351" max="15358" width="27.25" style="67"/>
    <col min="15359" max="15361" width="9" style="67" customWidth="1"/>
    <col min="15362" max="15362" width="27.25" style="67" bestFit="1" customWidth="1"/>
    <col min="15363" max="15363" width="9" style="67" bestFit="1" customWidth="1"/>
    <col min="15364" max="15369" width="9.625" style="67" customWidth="1"/>
    <col min="15370" max="15370" width="10.5" style="67" bestFit="1" customWidth="1"/>
    <col min="15371" max="15606" width="9" style="67" customWidth="1"/>
    <col min="15607" max="15614" width="27.25" style="67"/>
    <col min="15615" max="15617" width="9" style="67" customWidth="1"/>
    <col min="15618" max="15618" width="27.25" style="67" bestFit="1" customWidth="1"/>
    <col min="15619" max="15619" width="9" style="67" bestFit="1" customWidth="1"/>
    <col min="15620" max="15625" width="9.625" style="67" customWidth="1"/>
    <col min="15626" max="15626" width="10.5" style="67" bestFit="1" customWidth="1"/>
    <col min="15627" max="15862" width="9" style="67" customWidth="1"/>
    <col min="15863" max="15870" width="27.25" style="67"/>
    <col min="15871" max="15873" width="9" style="67" customWidth="1"/>
    <col min="15874" max="15874" width="27.25" style="67" bestFit="1" customWidth="1"/>
    <col min="15875" max="15875" width="9" style="67" bestFit="1" customWidth="1"/>
    <col min="15876" max="15881" width="9.625" style="67" customWidth="1"/>
    <col min="15882" max="15882" width="10.5" style="67" bestFit="1" customWidth="1"/>
    <col min="15883" max="16118" width="9" style="67" customWidth="1"/>
    <col min="16119" max="16126" width="27.25" style="67"/>
    <col min="16127" max="16129" width="9" style="67" customWidth="1"/>
    <col min="16130" max="16130" width="27.25" style="67" bestFit="1" customWidth="1"/>
    <col min="16131" max="16131" width="9" style="67" bestFit="1" customWidth="1"/>
    <col min="16132" max="16137" width="9.625" style="67" customWidth="1"/>
    <col min="16138" max="16138" width="10.5" style="67" bestFit="1" customWidth="1"/>
    <col min="16139" max="16374" width="9" style="67" customWidth="1"/>
    <col min="16375" max="16384" width="27.25" style="67"/>
  </cols>
  <sheetData>
    <row r="1" spans="1:11" ht="20.25">
      <c r="A1" s="251" t="s">
        <v>221</v>
      </c>
      <c r="B1" s="251"/>
      <c r="C1" s="251"/>
      <c r="D1" s="251"/>
      <c r="E1" s="251"/>
      <c r="F1" s="251"/>
      <c r="G1" s="251"/>
      <c r="H1" s="251"/>
      <c r="I1" s="251"/>
      <c r="J1" s="251"/>
      <c r="K1" s="203"/>
    </row>
    <row r="2" spans="1:11" ht="20.25" customHeight="1">
      <c r="A2" s="252" t="s">
        <v>218</v>
      </c>
      <c r="B2" s="252" t="s">
        <v>219</v>
      </c>
      <c r="C2" s="248" t="s">
        <v>213</v>
      </c>
      <c r="D2" s="249"/>
      <c r="E2" s="249"/>
      <c r="F2" s="250"/>
      <c r="G2" s="253">
        <v>44927</v>
      </c>
      <c r="H2" s="255" t="s">
        <v>214</v>
      </c>
      <c r="I2" s="255" t="s">
        <v>215</v>
      </c>
      <c r="J2" s="247" t="s">
        <v>216</v>
      </c>
      <c r="K2" s="247" t="s">
        <v>220</v>
      </c>
    </row>
    <row r="3" spans="1:11" ht="29.25" customHeight="1">
      <c r="A3" s="252"/>
      <c r="B3" s="252"/>
      <c r="C3" s="70"/>
      <c r="D3" s="71" t="s">
        <v>217</v>
      </c>
      <c r="E3" s="71" t="s">
        <v>200</v>
      </c>
      <c r="F3" s="71" t="s">
        <v>201</v>
      </c>
      <c r="G3" s="254"/>
      <c r="H3" s="255"/>
      <c r="I3" s="255"/>
      <c r="J3" s="247"/>
      <c r="K3" s="247"/>
    </row>
    <row r="4" spans="1:11" s="69" customFormat="1" ht="20.25" customHeight="1">
      <c r="A4" s="74" t="s">
        <v>117</v>
      </c>
      <c r="B4" s="82" t="s">
        <v>202</v>
      </c>
      <c r="C4" s="83" t="s">
        <v>212</v>
      </c>
      <c r="D4" s="75">
        <v>296</v>
      </c>
      <c r="E4" s="76">
        <v>3500</v>
      </c>
      <c r="F4" s="84">
        <f t="shared" ref="F4:F12" si="0">D4*E4</f>
        <v>1036000</v>
      </c>
      <c r="G4" s="84">
        <f t="shared" ref="G4:G13" si="1">F4*0.2</f>
        <v>207200</v>
      </c>
      <c r="H4" s="80">
        <f t="shared" ref="H4:H13" si="2">F4</f>
        <v>1036000</v>
      </c>
      <c r="I4" s="80">
        <f t="shared" ref="I4:I13" si="3">F4*0.8</f>
        <v>828800</v>
      </c>
      <c r="J4" s="85">
        <f t="shared" ref="J4:J12" si="4">SUM(G4:I4)</f>
        <v>2072000</v>
      </c>
      <c r="K4" s="86">
        <f t="shared" ref="K4:K12" si="5">ROUND(J4*0.7,0)</f>
        <v>1450400</v>
      </c>
    </row>
    <row r="5" spans="1:11" s="69" customFormat="1" ht="20.25" customHeight="1">
      <c r="A5" s="74" t="s">
        <v>117</v>
      </c>
      <c r="B5" s="82" t="s">
        <v>203</v>
      </c>
      <c r="C5" s="83" t="s">
        <v>212</v>
      </c>
      <c r="D5" s="75">
        <v>240</v>
      </c>
      <c r="E5" s="76">
        <v>5500</v>
      </c>
      <c r="F5" s="84">
        <f t="shared" si="0"/>
        <v>1320000</v>
      </c>
      <c r="G5" s="84">
        <f t="shared" si="1"/>
        <v>264000</v>
      </c>
      <c r="H5" s="80">
        <f t="shared" si="2"/>
        <v>1320000</v>
      </c>
      <c r="I5" s="80">
        <f t="shared" si="3"/>
        <v>1056000</v>
      </c>
      <c r="J5" s="85">
        <f t="shared" si="4"/>
        <v>2640000</v>
      </c>
      <c r="K5" s="86">
        <f t="shared" si="5"/>
        <v>1848000</v>
      </c>
    </row>
    <row r="6" spans="1:11" s="69" customFormat="1" ht="20.25" customHeight="1">
      <c r="A6" s="74" t="s">
        <v>117</v>
      </c>
      <c r="B6" s="82" t="s">
        <v>204</v>
      </c>
      <c r="C6" s="83" t="s">
        <v>212</v>
      </c>
      <c r="D6" s="75">
        <v>156</v>
      </c>
      <c r="E6" s="76">
        <v>5500</v>
      </c>
      <c r="F6" s="84">
        <f t="shared" si="0"/>
        <v>858000</v>
      </c>
      <c r="G6" s="84">
        <f t="shared" si="1"/>
        <v>171600</v>
      </c>
      <c r="H6" s="80">
        <f t="shared" si="2"/>
        <v>858000</v>
      </c>
      <c r="I6" s="80">
        <f t="shared" si="3"/>
        <v>686400</v>
      </c>
      <c r="J6" s="85">
        <f t="shared" si="4"/>
        <v>1716000</v>
      </c>
      <c r="K6" s="86">
        <f t="shared" si="5"/>
        <v>1201200</v>
      </c>
    </row>
    <row r="7" spans="1:11" s="69" customFormat="1" ht="20.25" customHeight="1">
      <c r="A7" s="74" t="s">
        <v>117</v>
      </c>
      <c r="B7" s="82" t="s">
        <v>205</v>
      </c>
      <c r="C7" s="83" t="s">
        <v>212</v>
      </c>
      <c r="D7" s="75">
        <v>254</v>
      </c>
      <c r="E7" s="76">
        <v>3500</v>
      </c>
      <c r="F7" s="84">
        <f t="shared" si="0"/>
        <v>889000</v>
      </c>
      <c r="G7" s="84">
        <f t="shared" si="1"/>
        <v>177800</v>
      </c>
      <c r="H7" s="80">
        <f t="shared" si="2"/>
        <v>889000</v>
      </c>
      <c r="I7" s="80">
        <f t="shared" si="3"/>
        <v>711200</v>
      </c>
      <c r="J7" s="85">
        <f t="shared" si="4"/>
        <v>1778000</v>
      </c>
      <c r="K7" s="86">
        <f t="shared" si="5"/>
        <v>1244600</v>
      </c>
    </row>
    <row r="8" spans="1:11" s="69" customFormat="1" ht="20.25" customHeight="1">
      <c r="A8" s="74" t="s">
        <v>117</v>
      </c>
      <c r="B8" s="82" t="s">
        <v>206</v>
      </c>
      <c r="C8" s="83" t="s">
        <v>212</v>
      </c>
      <c r="D8" s="75">
        <v>100</v>
      </c>
      <c r="E8" s="76">
        <v>4000</v>
      </c>
      <c r="F8" s="84">
        <f t="shared" si="0"/>
        <v>400000</v>
      </c>
      <c r="G8" s="84">
        <f t="shared" si="1"/>
        <v>80000</v>
      </c>
      <c r="H8" s="80">
        <f t="shared" si="2"/>
        <v>400000</v>
      </c>
      <c r="I8" s="80">
        <f t="shared" si="3"/>
        <v>320000</v>
      </c>
      <c r="J8" s="85">
        <f t="shared" si="4"/>
        <v>800000</v>
      </c>
      <c r="K8" s="86">
        <f t="shared" si="5"/>
        <v>560000</v>
      </c>
    </row>
    <row r="9" spans="1:11" s="69" customFormat="1" ht="20.25" customHeight="1">
      <c r="A9" s="74" t="s">
        <v>117</v>
      </c>
      <c r="B9" s="82" t="s">
        <v>207</v>
      </c>
      <c r="C9" s="83" t="s">
        <v>212</v>
      </c>
      <c r="D9" s="75">
        <v>22</v>
      </c>
      <c r="E9" s="76">
        <v>2000</v>
      </c>
      <c r="F9" s="84">
        <f t="shared" si="0"/>
        <v>44000</v>
      </c>
      <c r="G9" s="84">
        <f t="shared" si="1"/>
        <v>8800</v>
      </c>
      <c r="H9" s="80">
        <f t="shared" si="2"/>
        <v>44000</v>
      </c>
      <c r="I9" s="80">
        <f t="shared" si="3"/>
        <v>35200</v>
      </c>
      <c r="J9" s="85">
        <f t="shared" si="4"/>
        <v>88000</v>
      </c>
      <c r="K9" s="86">
        <f t="shared" si="5"/>
        <v>61600</v>
      </c>
    </row>
    <row r="10" spans="1:11" s="69" customFormat="1" ht="20.25" customHeight="1">
      <c r="A10" s="74" t="s">
        <v>117</v>
      </c>
      <c r="B10" s="82" t="s">
        <v>208</v>
      </c>
      <c r="C10" s="83" t="s">
        <v>212</v>
      </c>
      <c r="D10" s="75">
        <v>5</v>
      </c>
      <c r="E10" s="76">
        <v>2000</v>
      </c>
      <c r="F10" s="84">
        <f t="shared" si="0"/>
        <v>10000</v>
      </c>
      <c r="G10" s="84">
        <f t="shared" si="1"/>
        <v>2000</v>
      </c>
      <c r="H10" s="80">
        <f t="shared" si="2"/>
        <v>10000</v>
      </c>
      <c r="I10" s="80">
        <f t="shared" si="3"/>
        <v>8000</v>
      </c>
      <c r="J10" s="85">
        <f t="shared" si="4"/>
        <v>20000</v>
      </c>
      <c r="K10" s="86">
        <f t="shared" si="5"/>
        <v>14000</v>
      </c>
    </row>
    <row r="11" spans="1:11" s="69" customFormat="1" ht="20.25" customHeight="1">
      <c r="A11" s="74" t="s">
        <v>117</v>
      </c>
      <c r="B11" s="82" t="s">
        <v>209</v>
      </c>
      <c r="C11" s="83" t="s">
        <v>212</v>
      </c>
      <c r="D11" s="75">
        <v>39</v>
      </c>
      <c r="E11" s="76">
        <v>2000</v>
      </c>
      <c r="F11" s="84">
        <f t="shared" si="0"/>
        <v>78000</v>
      </c>
      <c r="G11" s="84">
        <f t="shared" si="1"/>
        <v>15600</v>
      </c>
      <c r="H11" s="80">
        <f t="shared" si="2"/>
        <v>78000</v>
      </c>
      <c r="I11" s="80">
        <f t="shared" si="3"/>
        <v>62400</v>
      </c>
      <c r="J11" s="85">
        <f t="shared" si="4"/>
        <v>156000</v>
      </c>
      <c r="K11" s="86">
        <f t="shared" si="5"/>
        <v>109200</v>
      </c>
    </row>
    <row r="12" spans="1:11" s="69" customFormat="1" ht="20.25" customHeight="1">
      <c r="A12" s="74" t="s">
        <v>117</v>
      </c>
      <c r="B12" s="88" t="s">
        <v>210</v>
      </c>
      <c r="C12" s="83" t="s">
        <v>212</v>
      </c>
      <c r="D12" s="75">
        <v>50</v>
      </c>
      <c r="E12" s="76">
        <v>5500</v>
      </c>
      <c r="F12" s="84">
        <f t="shared" si="0"/>
        <v>275000</v>
      </c>
      <c r="G12" s="84">
        <f t="shared" si="1"/>
        <v>55000</v>
      </c>
      <c r="H12" s="80">
        <f t="shared" si="2"/>
        <v>275000</v>
      </c>
      <c r="I12" s="80">
        <f t="shared" si="3"/>
        <v>220000</v>
      </c>
      <c r="J12" s="85">
        <f t="shared" si="4"/>
        <v>550000</v>
      </c>
      <c r="K12" s="86">
        <f t="shared" si="5"/>
        <v>385000</v>
      </c>
    </row>
    <row r="13" spans="1:11" s="69" customFormat="1" ht="20.25" customHeight="1">
      <c r="A13" s="77"/>
      <c r="B13" s="73" t="s">
        <v>211</v>
      </c>
      <c r="C13" s="87"/>
      <c r="D13" s="78"/>
      <c r="E13" s="79"/>
      <c r="F13" s="89">
        <f>SUM(F4:F12)</f>
        <v>4910000</v>
      </c>
      <c r="G13" s="89">
        <f t="shared" si="1"/>
        <v>982000</v>
      </c>
      <c r="H13" s="81">
        <f t="shared" si="2"/>
        <v>4910000</v>
      </c>
      <c r="I13" s="81">
        <f t="shared" si="3"/>
        <v>3928000</v>
      </c>
      <c r="J13" s="81">
        <f>SUM(J4:J12)</f>
        <v>9820000</v>
      </c>
      <c r="K13" s="81">
        <f>SUM(K4:K12)</f>
        <v>6874000</v>
      </c>
    </row>
  </sheetData>
  <mergeCells count="9">
    <mergeCell ref="K2:K3"/>
    <mergeCell ref="C2:F2"/>
    <mergeCell ref="A1:K1"/>
    <mergeCell ref="A2:A3"/>
    <mergeCell ref="B2:B3"/>
    <mergeCell ref="G2:G3"/>
    <mergeCell ref="H2:H3"/>
    <mergeCell ref="I2:I3"/>
    <mergeCell ref="J2:J3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O5"/>
  <sheetViews>
    <sheetView workbookViewId="0">
      <selection activeCell="E6" sqref="A6:XFD13"/>
    </sheetView>
  </sheetViews>
  <sheetFormatPr defaultRowHeight="13.5"/>
  <cols>
    <col min="1" max="1" width="4.5" bestFit="1" customWidth="1"/>
    <col min="2" max="2" width="22.25" bestFit="1" customWidth="1"/>
    <col min="3" max="4" width="8.25" customWidth="1"/>
    <col min="5" max="5" width="10.625" customWidth="1"/>
    <col min="6" max="6" width="7" customWidth="1"/>
    <col min="7" max="7" width="7.5" customWidth="1"/>
    <col min="8" max="8" width="10.625" customWidth="1"/>
    <col min="9" max="9" width="8.125" customWidth="1"/>
    <col min="10" max="10" width="7.875" customWidth="1"/>
    <col min="11" max="11" width="10.625" customWidth="1"/>
    <col min="12" max="12" width="7.125" customWidth="1"/>
    <col min="13" max="13" width="7.75" customWidth="1"/>
    <col min="14" max="15" width="10.625" customWidth="1"/>
    <col min="254" max="255" width="4.5" bestFit="1" customWidth="1"/>
    <col min="256" max="256" width="7.5" bestFit="1" customWidth="1"/>
    <col min="257" max="257" width="22.25" bestFit="1" customWidth="1"/>
    <col min="258" max="258" width="7.5" bestFit="1" customWidth="1"/>
    <col min="259" max="259" width="5.25" bestFit="1" customWidth="1"/>
    <col min="260" max="260" width="9.75" bestFit="1" customWidth="1"/>
    <col min="261" max="261" width="6.75" bestFit="1" customWidth="1"/>
    <col min="262" max="262" width="5.25" bestFit="1" customWidth="1"/>
    <col min="263" max="263" width="9.75" bestFit="1" customWidth="1"/>
    <col min="264" max="264" width="6" bestFit="1" customWidth="1"/>
    <col min="265" max="265" width="4.5" bestFit="1" customWidth="1"/>
    <col min="266" max="266" width="8.25" bestFit="1" customWidth="1"/>
    <col min="267" max="267" width="9.75" bestFit="1" customWidth="1"/>
    <col min="268" max="268" width="6" bestFit="1" customWidth="1"/>
    <col min="269" max="269" width="4.5" bestFit="1" customWidth="1"/>
    <col min="270" max="270" width="8.25" bestFit="1" customWidth="1"/>
    <col min="271" max="271" width="9.75" bestFit="1" customWidth="1"/>
    <col min="510" max="511" width="4.5" bestFit="1" customWidth="1"/>
    <col min="512" max="512" width="7.5" bestFit="1" customWidth="1"/>
    <col min="513" max="513" width="22.25" bestFit="1" customWidth="1"/>
    <col min="514" max="514" width="7.5" bestFit="1" customWidth="1"/>
    <col min="515" max="515" width="5.25" bestFit="1" customWidth="1"/>
    <col min="516" max="516" width="9.75" bestFit="1" customWidth="1"/>
    <col min="517" max="517" width="6.75" bestFit="1" customWidth="1"/>
    <col min="518" max="518" width="5.25" bestFit="1" customWidth="1"/>
    <col min="519" max="519" width="9.75" bestFit="1" customWidth="1"/>
    <col min="520" max="520" width="6" bestFit="1" customWidth="1"/>
    <col min="521" max="521" width="4.5" bestFit="1" customWidth="1"/>
    <col min="522" max="522" width="8.25" bestFit="1" customWidth="1"/>
    <col min="523" max="523" width="9.75" bestFit="1" customWidth="1"/>
    <col min="524" max="524" width="6" bestFit="1" customWidth="1"/>
    <col min="525" max="525" width="4.5" bestFit="1" customWidth="1"/>
    <col min="526" max="526" width="8.25" bestFit="1" customWidth="1"/>
    <col min="527" max="527" width="9.75" bestFit="1" customWidth="1"/>
    <col min="766" max="767" width="4.5" bestFit="1" customWidth="1"/>
    <col min="768" max="768" width="7.5" bestFit="1" customWidth="1"/>
    <col min="769" max="769" width="22.25" bestFit="1" customWidth="1"/>
    <col min="770" max="770" width="7.5" bestFit="1" customWidth="1"/>
    <col min="771" max="771" width="5.25" bestFit="1" customWidth="1"/>
    <col min="772" max="772" width="9.75" bestFit="1" customWidth="1"/>
    <col min="773" max="773" width="6.75" bestFit="1" customWidth="1"/>
    <col min="774" max="774" width="5.25" bestFit="1" customWidth="1"/>
    <col min="775" max="775" width="9.75" bestFit="1" customWidth="1"/>
    <col min="776" max="776" width="6" bestFit="1" customWidth="1"/>
    <col min="777" max="777" width="4.5" bestFit="1" customWidth="1"/>
    <col min="778" max="778" width="8.25" bestFit="1" customWidth="1"/>
    <col min="779" max="779" width="9.75" bestFit="1" customWidth="1"/>
    <col min="780" max="780" width="6" bestFit="1" customWidth="1"/>
    <col min="781" max="781" width="4.5" bestFit="1" customWidth="1"/>
    <col min="782" max="782" width="8.25" bestFit="1" customWidth="1"/>
    <col min="783" max="783" width="9.75" bestFit="1" customWidth="1"/>
    <col min="1022" max="1023" width="4.5" bestFit="1" customWidth="1"/>
    <col min="1024" max="1024" width="7.5" bestFit="1" customWidth="1"/>
    <col min="1025" max="1025" width="22.25" bestFit="1" customWidth="1"/>
    <col min="1026" max="1026" width="7.5" bestFit="1" customWidth="1"/>
    <col min="1027" max="1027" width="5.25" bestFit="1" customWidth="1"/>
    <col min="1028" max="1028" width="9.75" bestFit="1" customWidth="1"/>
    <col min="1029" max="1029" width="6.75" bestFit="1" customWidth="1"/>
    <col min="1030" max="1030" width="5.25" bestFit="1" customWidth="1"/>
    <col min="1031" max="1031" width="9.75" bestFit="1" customWidth="1"/>
    <col min="1032" max="1032" width="6" bestFit="1" customWidth="1"/>
    <col min="1033" max="1033" width="4.5" bestFit="1" customWidth="1"/>
    <col min="1034" max="1034" width="8.25" bestFit="1" customWidth="1"/>
    <col min="1035" max="1035" width="9.75" bestFit="1" customWidth="1"/>
    <col min="1036" max="1036" width="6" bestFit="1" customWidth="1"/>
    <col min="1037" max="1037" width="4.5" bestFit="1" customWidth="1"/>
    <col min="1038" max="1038" width="8.25" bestFit="1" customWidth="1"/>
    <col min="1039" max="1039" width="9.75" bestFit="1" customWidth="1"/>
    <col min="1278" max="1279" width="4.5" bestFit="1" customWidth="1"/>
    <col min="1280" max="1280" width="7.5" bestFit="1" customWidth="1"/>
    <col min="1281" max="1281" width="22.25" bestFit="1" customWidth="1"/>
    <col min="1282" max="1282" width="7.5" bestFit="1" customWidth="1"/>
    <col min="1283" max="1283" width="5.25" bestFit="1" customWidth="1"/>
    <col min="1284" max="1284" width="9.75" bestFit="1" customWidth="1"/>
    <col min="1285" max="1285" width="6.75" bestFit="1" customWidth="1"/>
    <col min="1286" max="1286" width="5.25" bestFit="1" customWidth="1"/>
    <col min="1287" max="1287" width="9.75" bestFit="1" customWidth="1"/>
    <col min="1288" max="1288" width="6" bestFit="1" customWidth="1"/>
    <col min="1289" max="1289" width="4.5" bestFit="1" customWidth="1"/>
    <col min="1290" max="1290" width="8.25" bestFit="1" customWidth="1"/>
    <col min="1291" max="1291" width="9.75" bestFit="1" customWidth="1"/>
    <col min="1292" max="1292" width="6" bestFit="1" customWidth="1"/>
    <col min="1293" max="1293" width="4.5" bestFit="1" customWidth="1"/>
    <col min="1294" max="1294" width="8.25" bestFit="1" customWidth="1"/>
    <col min="1295" max="1295" width="9.75" bestFit="1" customWidth="1"/>
    <col min="1534" max="1535" width="4.5" bestFit="1" customWidth="1"/>
    <col min="1536" max="1536" width="7.5" bestFit="1" customWidth="1"/>
    <col min="1537" max="1537" width="22.25" bestFit="1" customWidth="1"/>
    <col min="1538" max="1538" width="7.5" bestFit="1" customWidth="1"/>
    <col min="1539" max="1539" width="5.25" bestFit="1" customWidth="1"/>
    <col min="1540" max="1540" width="9.75" bestFit="1" customWidth="1"/>
    <col min="1541" max="1541" width="6.75" bestFit="1" customWidth="1"/>
    <col min="1542" max="1542" width="5.25" bestFit="1" customWidth="1"/>
    <col min="1543" max="1543" width="9.75" bestFit="1" customWidth="1"/>
    <col min="1544" max="1544" width="6" bestFit="1" customWidth="1"/>
    <col min="1545" max="1545" width="4.5" bestFit="1" customWidth="1"/>
    <col min="1546" max="1546" width="8.25" bestFit="1" customWidth="1"/>
    <col min="1547" max="1547" width="9.75" bestFit="1" customWidth="1"/>
    <col min="1548" max="1548" width="6" bestFit="1" customWidth="1"/>
    <col min="1549" max="1549" width="4.5" bestFit="1" customWidth="1"/>
    <col min="1550" max="1550" width="8.25" bestFit="1" customWidth="1"/>
    <col min="1551" max="1551" width="9.75" bestFit="1" customWidth="1"/>
    <col min="1790" max="1791" width="4.5" bestFit="1" customWidth="1"/>
    <col min="1792" max="1792" width="7.5" bestFit="1" customWidth="1"/>
    <col min="1793" max="1793" width="22.25" bestFit="1" customWidth="1"/>
    <col min="1794" max="1794" width="7.5" bestFit="1" customWidth="1"/>
    <col min="1795" max="1795" width="5.25" bestFit="1" customWidth="1"/>
    <col min="1796" max="1796" width="9.75" bestFit="1" customWidth="1"/>
    <col min="1797" max="1797" width="6.75" bestFit="1" customWidth="1"/>
    <col min="1798" max="1798" width="5.25" bestFit="1" customWidth="1"/>
    <col min="1799" max="1799" width="9.75" bestFit="1" customWidth="1"/>
    <col min="1800" max="1800" width="6" bestFit="1" customWidth="1"/>
    <col min="1801" max="1801" width="4.5" bestFit="1" customWidth="1"/>
    <col min="1802" max="1802" width="8.25" bestFit="1" customWidth="1"/>
    <col min="1803" max="1803" width="9.75" bestFit="1" customWidth="1"/>
    <col min="1804" max="1804" width="6" bestFit="1" customWidth="1"/>
    <col min="1805" max="1805" width="4.5" bestFit="1" customWidth="1"/>
    <col min="1806" max="1806" width="8.25" bestFit="1" customWidth="1"/>
    <col min="1807" max="1807" width="9.75" bestFit="1" customWidth="1"/>
    <col min="2046" max="2047" width="4.5" bestFit="1" customWidth="1"/>
    <col min="2048" max="2048" width="7.5" bestFit="1" customWidth="1"/>
    <col min="2049" max="2049" width="22.25" bestFit="1" customWidth="1"/>
    <col min="2050" max="2050" width="7.5" bestFit="1" customWidth="1"/>
    <col min="2051" max="2051" width="5.25" bestFit="1" customWidth="1"/>
    <col min="2052" max="2052" width="9.75" bestFit="1" customWidth="1"/>
    <col min="2053" max="2053" width="6.75" bestFit="1" customWidth="1"/>
    <col min="2054" max="2054" width="5.25" bestFit="1" customWidth="1"/>
    <col min="2055" max="2055" width="9.75" bestFit="1" customWidth="1"/>
    <col min="2056" max="2056" width="6" bestFit="1" customWidth="1"/>
    <col min="2057" max="2057" width="4.5" bestFit="1" customWidth="1"/>
    <col min="2058" max="2058" width="8.25" bestFit="1" customWidth="1"/>
    <col min="2059" max="2059" width="9.75" bestFit="1" customWidth="1"/>
    <col min="2060" max="2060" width="6" bestFit="1" customWidth="1"/>
    <col min="2061" max="2061" width="4.5" bestFit="1" customWidth="1"/>
    <col min="2062" max="2062" width="8.25" bestFit="1" customWidth="1"/>
    <col min="2063" max="2063" width="9.75" bestFit="1" customWidth="1"/>
    <col min="2302" max="2303" width="4.5" bestFit="1" customWidth="1"/>
    <col min="2304" max="2304" width="7.5" bestFit="1" customWidth="1"/>
    <col min="2305" max="2305" width="22.25" bestFit="1" customWidth="1"/>
    <col min="2306" max="2306" width="7.5" bestFit="1" customWidth="1"/>
    <col min="2307" max="2307" width="5.25" bestFit="1" customWidth="1"/>
    <col min="2308" max="2308" width="9.75" bestFit="1" customWidth="1"/>
    <col min="2309" max="2309" width="6.75" bestFit="1" customWidth="1"/>
    <col min="2310" max="2310" width="5.25" bestFit="1" customWidth="1"/>
    <col min="2311" max="2311" width="9.75" bestFit="1" customWidth="1"/>
    <col min="2312" max="2312" width="6" bestFit="1" customWidth="1"/>
    <col min="2313" max="2313" width="4.5" bestFit="1" customWidth="1"/>
    <col min="2314" max="2314" width="8.25" bestFit="1" customWidth="1"/>
    <col min="2315" max="2315" width="9.75" bestFit="1" customWidth="1"/>
    <col min="2316" max="2316" width="6" bestFit="1" customWidth="1"/>
    <col min="2317" max="2317" width="4.5" bestFit="1" customWidth="1"/>
    <col min="2318" max="2318" width="8.25" bestFit="1" customWidth="1"/>
    <col min="2319" max="2319" width="9.75" bestFit="1" customWidth="1"/>
    <col min="2558" max="2559" width="4.5" bestFit="1" customWidth="1"/>
    <col min="2560" max="2560" width="7.5" bestFit="1" customWidth="1"/>
    <col min="2561" max="2561" width="22.25" bestFit="1" customWidth="1"/>
    <col min="2562" max="2562" width="7.5" bestFit="1" customWidth="1"/>
    <col min="2563" max="2563" width="5.25" bestFit="1" customWidth="1"/>
    <col min="2564" max="2564" width="9.75" bestFit="1" customWidth="1"/>
    <col min="2565" max="2565" width="6.75" bestFit="1" customWidth="1"/>
    <col min="2566" max="2566" width="5.25" bestFit="1" customWidth="1"/>
    <col min="2567" max="2567" width="9.75" bestFit="1" customWidth="1"/>
    <col min="2568" max="2568" width="6" bestFit="1" customWidth="1"/>
    <col min="2569" max="2569" width="4.5" bestFit="1" customWidth="1"/>
    <col min="2570" max="2570" width="8.25" bestFit="1" customWidth="1"/>
    <col min="2571" max="2571" width="9.75" bestFit="1" customWidth="1"/>
    <col min="2572" max="2572" width="6" bestFit="1" customWidth="1"/>
    <col min="2573" max="2573" width="4.5" bestFit="1" customWidth="1"/>
    <col min="2574" max="2574" width="8.25" bestFit="1" customWidth="1"/>
    <col min="2575" max="2575" width="9.75" bestFit="1" customWidth="1"/>
    <col min="2814" max="2815" width="4.5" bestFit="1" customWidth="1"/>
    <col min="2816" max="2816" width="7.5" bestFit="1" customWidth="1"/>
    <col min="2817" max="2817" width="22.25" bestFit="1" customWidth="1"/>
    <col min="2818" max="2818" width="7.5" bestFit="1" customWidth="1"/>
    <col min="2819" max="2819" width="5.25" bestFit="1" customWidth="1"/>
    <col min="2820" max="2820" width="9.75" bestFit="1" customWidth="1"/>
    <col min="2821" max="2821" width="6.75" bestFit="1" customWidth="1"/>
    <col min="2822" max="2822" width="5.25" bestFit="1" customWidth="1"/>
    <col min="2823" max="2823" width="9.75" bestFit="1" customWidth="1"/>
    <col min="2824" max="2824" width="6" bestFit="1" customWidth="1"/>
    <col min="2825" max="2825" width="4.5" bestFit="1" customWidth="1"/>
    <col min="2826" max="2826" width="8.25" bestFit="1" customWidth="1"/>
    <col min="2827" max="2827" width="9.75" bestFit="1" customWidth="1"/>
    <col min="2828" max="2828" width="6" bestFit="1" customWidth="1"/>
    <col min="2829" max="2829" width="4.5" bestFit="1" customWidth="1"/>
    <col min="2830" max="2830" width="8.25" bestFit="1" customWidth="1"/>
    <col min="2831" max="2831" width="9.75" bestFit="1" customWidth="1"/>
    <col min="3070" max="3071" width="4.5" bestFit="1" customWidth="1"/>
    <col min="3072" max="3072" width="7.5" bestFit="1" customWidth="1"/>
    <col min="3073" max="3073" width="22.25" bestFit="1" customWidth="1"/>
    <col min="3074" max="3074" width="7.5" bestFit="1" customWidth="1"/>
    <col min="3075" max="3075" width="5.25" bestFit="1" customWidth="1"/>
    <col min="3076" max="3076" width="9.75" bestFit="1" customWidth="1"/>
    <col min="3077" max="3077" width="6.75" bestFit="1" customWidth="1"/>
    <col min="3078" max="3078" width="5.25" bestFit="1" customWidth="1"/>
    <col min="3079" max="3079" width="9.75" bestFit="1" customWidth="1"/>
    <col min="3080" max="3080" width="6" bestFit="1" customWidth="1"/>
    <col min="3081" max="3081" width="4.5" bestFit="1" customWidth="1"/>
    <col min="3082" max="3082" width="8.25" bestFit="1" customWidth="1"/>
    <col min="3083" max="3083" width="9.75" bestFit="1" customWidth="1"/>
    <col min="3084" max="3084" width="6" bestFit="1" customWidth="1"/>
    <col min="3085" max="3085" width="4.5" bestFit="1" customWidth="1"/>
    <col min="3086" max="3086" width="8.25" bestFit="1" customWidth="1"/>
    <col min="3087" max="3087" width="9.75" bestFit="1" customWidth="1"/>
    <col min="3326" max="3327" width="4.5" bestFit="1" customWidth="1"/>
    <col min="3328" max="3328" width="7.5" bestFit="1" customWidth="1"/>
    <col min="3329" max="3329" width="22.25" bestFit="1" customWidth="1"/>
    <col min="3330" max="3330" width="7.5" bestFit="1" customWidth="1"/>
    <col min="3331" max="3331" width="5.25" bestFit="1" customWidth="1"/>
    <col min="3332" max="3332" width="9.75" bestFit="1" customWidth="1"/>
    <col min="3333" max="3333" width="6.75" bestFit="1" customWidth="1"/>
    <col min="3334" max="3334" width="5.25" bestFit="1" customWidth="1"/>
    <col min="3335" max="3335" width="9.75" bestFit="1" customWidth="1"/>
    <col min="3336" max="3336" width="6" bestFit="1" customWidth="1"/>
    <col min="3337" max="3337" width="4.5" bestFit="1" customWidth="1"/>
    <col min="3338" max="3338" width="8.25" bestFit="1" customWidth="1"/>
    <col min="3339" max="3339" width="9.75" bestFit="1" customWidth="1"/>
    <col min="3340" max="3340" width="6" bestFit="1" customWidth="1"/>
    <col min="3341" max="3341" width="4.5" bestFit="1" customWidth="1"/>
    <col min="3342" max="3342" width="8.25" bestFit="1" customWidth="1"/>
    <col min="3343" max="3343" width="9.75" bestFit="1" customWidth="1"/>
    <col min="3582" max="3583" width="4.5" bestFit="1" customWidth="1"/>
    <col min="3584" max="3584" width="7.5" bestFit="1" customWidth="1"/>
    <col min="3585" max="3585" width="22.25" bestFit="1" customWidth="1"/>
    <col min="3586" max="3586" width="7.5" bestFit="1" customWidth="1"/>
    <col min="3587" max="3587" width="5.25" bestFit="1" customWidth="1"/>
    <col min="3588" max="3588" width="9.75" bestFit="1" customWidth="1"/>
    <col min="3589" max="3589" width="6.75" bestFit="1" customWidth="1"/>
    <col min="3590" max="3590" width="5.25" bestFit="1" customWidth="1"/>
    <col min="3591" max="3591" width="9.75" bestFit="1" customWidth="1"/>
    <col min="3592" max="3592" width="6" bestFit="1" customWidth="1"/>
    <col min="3593" max="3593" width="4.5" bestFit="1" customWidth="1"/>
    <col min="3594" max="3594" width="8.25" bestFit="1" customWidth="1"/>
    <col min="3595" max="3595" width="9.75" bestFit="1" customWidth="1"/>
    <col min="3596" max="3596" width="6" bestFit="1" customWidth="1"/>
    <col min="3597" max="3597" width="4.5" bestFit="1" customWidth="1"/>
    <col min="3598" max="3598" width="8.25" bestFit="1" customWidth="1"/>
    <col min="3599" max="3599" width="9.75" bestFit="1" customWidth="1"/>
    <col min="3838" max="3839" width="4.5" bestFit="1" customWidth="1"/>
    <col min="3840" max="3840" width="7.5" bestFit="1" customWidth="1"/>
    <col min="3841" max="3841" width="22.25" bestFit="1" customWidth="1"/>
    <col min="3842" max="3842" width="7.5" bestFit="1" customWidth="1"/>
    <col min="3843" max="3843" width="5.25" bestFit="1" customWidth="1"/>
    <col min="3844" max="3844" width="9.75" bestFit="1" customWidth="1"/>
    <col min="3845" max="3845" width="6.75" bestFit="1" customWidth="1"/>
    <col min="3846" max="3846" width="5.25" bestFit="1" customWidth="1"/>
    <col min="3847" max="3847" width="9.75" bestFit="1" customWidth="1"/>
    <col min="3848" max="3848" width="6" bestFit="1" customWidth="1"/>
    <col min="3849" max="3849" width="4.5" bestFit="1" customWidth="1"/>
    <col min="3850" max="3850" width="8.25" bestFit="1" customWidth="1"/>
    <col min="3851" max="3851" width="9.75" bestFit="1" customWidth="1"/>
    <col min="3852" max="3852" width="6" bestFit="1" customWidth="1"/>
    <col min="3853" max="3853" width="4.5" bestFit="1" customWidth="1"/>
    <col min="3854" max="3854" width="8.25" bestFit="1" customWidth="1"/>
    <col min="3855" max="3855" width="9.75" bestFit="1" customWidth="1"/>
    <col min="4094" max="4095" width="4.5" bestFit="1" customWidth="1"/>
    <col min="4096" max="4096" width="7.5" bestFit="1" customWidth="1"/>
    <col min="4097" max="4097" width="22.25" bestFit="1" customWidth="1"/>
    <col min="4098" max="4098" width="7.5" bestFit="1" customWidth="1"/>
    <col min="4099" max="4099" width="5.25" bestFit="1" customWidth="1"/>
    <col min="4100" max="4100" width="9.75" bestFit="1" customWidth="1"/>
    <col min="4101" max="4101" width="6.75" bestFit="1" customWidth="1"/>
    <col min="4102" max="4102" width="5.25" bestFit="1" customWidth="1"/>
    <col min="4103" max="4103" width="9.75" bestFit="1" customWidth="1"/>
    <col min="4104" max="4104" width="6" bestFit="1" customWidth="1"/>
    <col min="4105" max="4105" width="4.5" bestFit="1" customWidth="1"/>
    <col min="4106" max="4106" width="8.25" bestFit="1" customWidth="1"/>
    <col min="4107" max="4107" width="9.75" bestFit="1" customWidth="1"/>
    <col min="4108" max="4108" width="6" bestFit="1" customWidth="1"/>
    <col min="4109" max="4109" width="4.5" bestFit="1" customWidth="1"/>
    <col min="4110" max="4110" width="8.25" bestFit="1" customWidth="1"/>
    <col min="4111" max="4111" width="9.75" bestFit="1" customWidth="1"/>
    <col min="4350" max="4351" width="4.5" bestFit="1" customWidth="1"/>
    <col min="4352" max="4352" width="7.5" bestFit="1" customWidth="1"/>
    <col min="4353" max="4353" width="22.25" bestFit="1" customWidth="1"/>
    <col min="4354" max="4354" width="7.5" bestFit="1" customWidth="1"/>
    <col min="4355" max="4355" width="5.25" bestFit="1" customWidth="1"/>
    <col min="4356" max="4356" width="9.75" bestFit="1" customWidth="1"/>
    <col min="4357" max="4357" width="6.75" bestFit="1" customWidth="1"/>
    <col min="4358" max="4358" width="5.25" bestFit="1" customWidth="1"/>
    <col min="4359" max="4359" width="9.75" bestFit="1" customWidth="1"/>
    <col min="4360" max="4360" width="6" bestFit="1" customWidth="1"/>
    <col min="4361" max="4361" width="4.5" bestFit="1" customWidth="1"/>
    <col min="4362" max="4362" width="8.25" bestFit="1" customWidth="1"/>
    <col min="4363" max="4363" width="9.75" bestFit="1" customWidth="1"/>
    <col min="4364" max="4364" width="6" bestFit="1" customWidth="1"/>
    <col min="4365" max="4365" width="4.5" bestFit="1" customWidth="1"/>
    <col min="4366" max="4366" width="8.25" bestFit="1" customWidth="1"/>
    <col min="4367" max="4367" width="9.75" bestFit="1" customWidth="1"/>
    <col min="4606" max="4607" width="4.5" bestFit="1" customWidth="1"/>
    <col min="4608" max="4608" width="7.5" bestFit="1" customWidth="1"/>
    <col min="4609" max="4609" width="22.25" bestFit="1" customWidth="1"/>
    <col min="4610" max="4610" width="7.5" bestFit="1" customWidth="1"/>
    <col min="4611" max="4611" width="5.25" bestFit="1" customWidth="1"/>
    <col min="4612" max="4612" width="9.75" bestFit="1" customWidth="1"/>
    <col min="4613" max="4613" width="6.75" bestFit="1" customWidth="1"/>
    <col min="4614" max="4614" width="5.25" bestFit="1" customWidth="1"/>
    <col min="4615" max="4615" width="9.75" bestFit="1" customWidth="1"/>
    <col min="4616" max="4616" width="6" bestFit="1" customWidth="1"/>
    <col min="4617" max="4617" width="4.5" bestFit="1" customWidth="1"/>
    <col min="4618" max="4618" width="8.25" bestFit="1" customWidth="1"/>
    <col min="4619" max="4619" width="9.75" bestFit="1" customWidth="1"/>
    <col min="4620" max="4620" width="6" bestFit="1" customWidth="1"/>
    <col min="4621" max="4621" width="4.5" bestFit="1" customWidth="1"/>
    <col min="4622" max="4622" width="8.25" bestFit="1" customWidth="1"/>
    <col min="4623" max="4623" width="9.75" bestFit="1" customWidth="1"/>
    <col min="4862" max="4863" width="4.5" bestFit="1" customWidth="1"/>
    <col min="4864" max="4864" width="7.5" bestFit="1" customWidth="1"/>
    <col min="4865" max="4865" width="22.25" bestFit="1" customWidth="1"/>
    <col min="4866" max="4866" width="7.5" bestFit="1" customWidth="1"/>
    <col min="4867" max="4867" width="5.25" bestFit="1" customWidth="1"/>
    <col min="4868" max="4868" width="9.75" bestFit="1" customWidth="1"/>
    <col min="4869" max="4869" width="6.75" bestFit="1" customWidth="1"/>
    <col min="4870" max="4870" width="5.25" bestFit="1" customWidth="1"/>
    <col min="4871" max="4871" width="9.75" bestFit="1" customWidth="1"/>
    <col min="4872" max="4872" width="6" bestFit="1" customWidth="1"/>
    <col min="4873" max="4873" width="4.5" bestFit="1" customWidth="1"/>
    <col min="4874" max="4874" width="8.25" bestFit="1" customWidth="1"/>
    <col min="4875" max="4875" width="9.75" bestFit="1" customWidth="1"/>
    <col min="4876" max="4876" width="6" bestFit="1" customWidth="1"/>
    <col min="4877" max="4877" width="4.5" bestFit="1" customWidth="1"/>
    <col min="4878" max="4878" width="8.25" bestFit="1" customWidth="1"/>
    <col min="4879" max="4879" width="9.75" bestFit="1" customWidth="1"/>
    <col min="5118" max="5119" width="4.5" bestFit="1" customWidth="1"/>
    <col min="5120" max="5120" width="7.5" bestFit="1" customWidth="1"/>
    <col min="5121" max="5121" width="22.25" bestFit="1" customWidth="1"/>
    <col min="5122" max="5122" width="7.5" bestFit="1" customWidth="1"/>
    <col min="5123" max="5123" width="5.25" bestFit="1" customWidth="1"/>
    <col min="5124" max="5124" width="9.75" bestFit="1" customWidth="1"/>
    <col min="5125" max="5125" width="6.75" bestFit="1" customWidth="1"/>
    <col min="5126" max="5126" width="5.25" bestFit="1" customWidth="1"/>
    <col min="5127" max="5127" width="9.75" bestFit="1" customWidth="1"/>
    <col min="5128" max="5128" width="6" bestFit="1" customWidth="1"/>
    <col min="5129" max="5129" width="4.5" bestFit="1" customWidth="1"/>
    <col min="5130" max="5130" width="8.25" bestFit="1" customWidth="1"/>
    <col min="5131" max="5131" width="9.75" bestFit="1" customWidth="1"/>
    <col min="5132" max="5132" width="6" bestFit="1" customWidth="1"/>
    <col min="5133" max="5133" width="4.5" bestFit="1" customWidth="1"/>
    <col min="5134" max="5134" width="8.25" bestFit="1" customWidth="1"/>
    <col min="5135" max="5135" width="9.75" bestFit="1" customWidth="1"/>
    <col min="5374" max="5375" width="4.5" bestFit="1" customWidth="1"/>
    <col min="5376" max="5376" width="7.5" bestFit="1" customWidth="1"/>
    <col min="5377" max="5377" width="22.25" bestFit="1" customWidth="1"/>
    <col min="5378" max="5378" width="7.5" bestFit="1" customWidth="1"/>
    <col min="5379" max="5379" width="5.25" bestFit="1" customWidth="1"/>
    <col min="5380" max="5380" width="9.75" bestFit="1" customWidth="1"/>
    <col min="5381" max="5381" width="6.75" bestFit="1" customWidth="1"/>
    <col min="5382" max="5382" width="5.25" bestFit="1" customWidth="1"/>
    <col min="5383" max="5383" width="9.75" bestFit="1" customWidth="1"/>
    <col min="5384" max="5384" width="6" bestFit="1" customWidth="1"/>
    <col min="5385" max="5385" width="4.5" bestFit="1" customWidth="1"/>
    <col min="5386" max="5386" width="8.25" bestFit="1" customWidth="1"/>
    <col min="5387" max="5387" width="9.75" bestFit="1" customWidth="1"/>
    <col min="5388" max="5388" width="6" bestFit="1" customWidth="1"/>
    <col min="5389" max="5389" width="4.5" bestFit="1" customWidth="1"/>
    <col min="5390" max="5390" width="8.25" bestFit="1" customWidth="1"/>
    <col min="5391" max="5391" width="9.75" bestFit="1" customWidth="1"/>
    <col min="5630" max="5631" width="4.5" bestFit="1" customWidth="1"/>
    <col min="5632" max="5632" width="7.5" bestFit="1" customWidth="1"/>
    <col min="5633" max="5633" width="22.25" bestFit="1" customWidth="1"/>
    <col min="5634" max="5634" width="7.5" bestFit="1" customWidth="1"/>
    <col min="5635" max="5635" width="5.25" bestFit="1" customWidth="1"/>
    <col min="5636" max="5636" width="9.75" bestFit="1" customWidth="1"/>
    <col min="5637" max="5637" width="6.75" bestFit="1" customWidth="1"/>
    <col min="5638" max="5638" width="5.25" bestFit="1" customWidth="1"/>
    <col min="5639" max="5639" width="9.75" bestFit="1" customWidth="1"/>
    <col min="5640" max="5640" width="6" bestFit="1" customWidth="1"/>
    <col min="5641" max="5641" width="4.5" bestFit="1" customWidth="1"/>
    <col min="5642" max="5642" width="8.25" bestFit="1" customWidth="1"/>
    <col min="5643" max="5643" width="9.75" bestFit="1" customWidth="1"/>
    <col min="5644" max="5644" width="6" bestFit="1" customWidth="1"/>
    <col min="5645" max="5645" width="4.5" bestFit="1" customWidth="1"/>
    <col min="5646" max="5646" width="8.25" bestFit="1" customWidth="1"/>
    <col min="5647" max="5647" width="9.75" bestFit="1" customWidth="1"/>
    <col min="5886" max="5887" width="4.5" bestFit="1" customWidth="1"/>
    <col min="5888" max="5888" width="7.5" bestFit="1" customWidth="1"/>
    <col min="5889" max="5889" width="22.25" bestFit="1" customWidth="1"/>
    <col min="5890" max="5890" width="7.5" bestFit="1" customWidth="1"/>
    <col min="5891" max="5891" width="5.25" bestFit="1" customWidth="1"/>
    <col min="5892" max="5892" width="9.75" bestFit="1" customWidth="1"/>
    <col min="5893" max="5893" width="6.75" bestFit="1" customWidth="1"/>
    <col min="5894" max="5894" width="5.25" bestFit="1" customWidth="1"/>
    <col min="5895" max="5895" width="9.75" bestFit="1" customWidth="1"/>
    <col min="5896" max="5896" width="6" bestFit="1" customWidth="1"/>
    <col min="5897" max="5897" width="4.5" bestFit="1" customWidth="1"/>
    <col min="5898" max="5898" width="8.25" bestFit="1" customWidth="1"/>
    <col min="5899" max="5899" width="9.75" bestFit="1" customWidth="1"/>
    <col min="5900" max="5900" width="6" bestFit="1" customWidth="1"/>
    <col min="5901" max="5901" width="4.5" bestFit="1" customWidth="1"/>
    <col min="5902" max="5902" width="8.25" bestFit="1" customWidth="1"/>
    <col min="5903" max="5903" width="9.75" bestFit="1" customWidth="1"/>
    <col min="6142" max="6143" width="4.5" bestFit="1" customWidth="1"/>
    <col min="6144" max="6144" width="7.5" bestFit="1" customWidth="1"/>
    <col min="6145" max="6145" width="22.25" bestFit="1" customWidth="1"/>
    <col min="6146" max="6146" width="7.5" bestFit="1" customWidth="1"/>
    <col min="6147" max="6147" width="5.25" bestFit="1" customWidth="1"/>
    <col min="6148" max="6148" width="9.75" bestFit="1" customWidth="1"/>
    <col min="6149" max="6149" width="6.75" bestFit="1" customWidth="1"/>
    <col min="6150" max="6150" width="5.25" bestFit="1" customWidth="1"/>
    <col min="6151" max="6151" width="9.75" bestFit="1" customWidth="1"/>
    <col min="6152" max="6152" width="6" bestFit="1" customWidth="1"/>
    <col min="6153" max="6153" width="4.5" bestFit="1" customWidth="1"/>
    <col min="6154" max="6154" width="8.25" bestFit="1" customWidth="1"/>
    <col min="6155" max="6155" width="9.75" bestFit="1" customWidth="1"/>
    <col min="6156" max="6156" width="6" bestFit="1" customWidth="1"/>
    <col min="6157" max="6157" width="4.5" bestFit="1" customWidth="1"/>
    <col min="6158" max="6158" width="8.25" bestFit="1" customWidth="1"/>
    <col min="6159" max="6159" width="9.75" bestFit="1" customWidth="1"/>
    <col min="6398" max="6399" width="4.5" bestFit="1" customWidth="1"/>
    <col min="6400" max="6400" width="7.5" bestFit="1" customWidth="1"/>
    <col min="6401" max="6401" width="22.25" bestFit="1" customWidth="1"/>
    <col min="6402" max="6402" width="7.5" bestFit="1" customWidth="1"/>
    <col min="6403" max="6403" width="5.25" bestFit="1" customWidth="1"/>
    <col min="6404" max="6404" width="9.75" bestFit="1" customWidth="1"/>
    <col min="6405" max="6405" width="6.75" bestFit="1" customWidth="1"/>
    <col min="6406" max="6406" width="5.25" bestFit="1" customWidth="1"/>
    <col min="6407" max="6407" width="9.75" bestFit="1" customWidth="1"/>
    <col min="6408" max="6408" width="6" bestFit="1" customWidth="1"/>
    <col min="6409" max="6409" width="4.5" bestFit="1" customWidth="1"/>
    <col min="6410" max="6410" width="8.25" bestFit="1" customWidth="1"/>
    <col min="6411" max="6411" width="9.75" bestFit="1" customWidth="1"/>
    <col min="6412" max="6412" width="6" bestFit="1" customWidth="1"/>
    <col min="6413" max="6413" width="4.5" bestFit="1" customWidth="1"/>
    <col min="6414" max="6414" width="8.25" bestFit="1" customWidth="1"/>
    <col min="6415" max="6415" width="9.75" bestFit="1" customWidth="1"/>
    <col min="6654" max="6655" width="4.5" bestFit="1" customWidth="1"/>
    <col min="6656" max="6656" width="7.5" bestFit="1" customWidth="1"/>
    <col min="6657" max="6657" width="22.25" bestFit="1" customWidth="1"/>
    <col min="6658" max="6658" width="7.5" bestFit="1" customWidth="1"/>
    <col min="6659" max="6659" width="5.25" bestFit="1" customWidth="1"/>
    <col min="6660" max="6660" width="9.75" bestFit="1" customWidth="1"/>
    <col min="6661" max="6661" width="6.75" bestFit="1" customWidth="1"/>
    <col min="6662" max="6662" width="5.25" bestFit="1" customWidth="1"/>
    <col min="6663" max="6663" width="9.75" bestFit="1" customWidth="1"/>
    <col min="6664" max="6664" width="6" bestFit="1" customWidth="1"/>
    <col min="6665" max="6665" width="4.5" bestFit="1" customWidth="1"/>
    <col min="6666" max="6666" width="8.25" bestFit="1" customWidth="1"/>
    <col min="6667" max="6667" width="9.75" bestFit="1" customWidth="1"/>
    <col min="6668" max="6668" width="6" bestFit="1" customWidth="1"/>
    <col min="6669" max="6669" width="4.5" bestFit="1" customWidth="1"/>
    <col min="6670" max="6670" width="8.25" bestFit="1" customWidth="1"/>
    <col min="6671" max="6671" width="9.75" bestFit="1" customWidth="1"/>
    <col min="6910" max="6911" width="4.5" bestFit="1" customWidth="1"/>
    <col min="6912" max="6912" width="7.5" bestFit="1" customWidth="1"/>
    <col min="6913" max="6913" width="22.25" bestFit="1" customWidth="1"/>
    <col min="6914" max="6914" width="7.5" bestFit="1" customWidth="1"/>
    <col min="6915" max="6915" width="5.25" bestFit="1" customWidth="1"/>
    <col min="6916" max="6916" width="9.75" bestFit="1" customWidth="1"/>
    <col min="6917" max="6917" width="6.75" bestFit="1" customWidth="1"/>
    <col min="6918" max="6918" width="5.25" bestFit="1" customWidth="1"/>
    <col min="6919" max="6919" width="9.75" bestFit="1" customWidth="1"/>
    <col min="6920" max="6920" width="6" bestFit="1" customWidth="1"/>
    <col min="6921" max="6921" width="4.5" bestFit="1" customWidth="1"/>
    <col min="6922" max="6922" width="8.25" bestFit="1" customWidth="1"/>
    <col min="6923" max="6923" width="9.75" bestFit="1" customWidth="1"/>
    <col min="6924" max="6924" width="6" bestFit="1" customWidth="1"/>
    <col min="6925" max="6925" width="4.5" bestFit="1" customWidth="1"/>
    <col min="6926" max="6926" width="8.25" bestFit="1" customWidth="1"/>
    <col min="6927" max="6927" width="9.75" bestFit="1" customWidth="1"/>
    <col min="7166" max="7167" width="4.5" bestFit="1" customWidth="1"/>
    <col min="7168" max="7168" width="7.5" bestFit="1" customWidth="1"/>
    <col min="7169" max="7169" width="22.25" bestFit="1" customWidth="1"/>
    <col min="7170" max="7170" width="7.5" bestFit="1" customWidth="1"/>
    <col min="7171" max="7171" width="5.25" bestFit="1" customWidth="1"/>
    <col min="7172" max="7172" width="9.75" bestFit="1" customWidth="1"/>
    <col min="7173" max="7173" width="6.75" bestFit="1" customWidth="1"/>
    <col min="7174" max="7174" width="5.25" bestFit="1" customWidth="1"/>
    <col min="7175" max="7175" width="9.75" bestFit="1" customWidth="1"/>
    <col min="7176" max="7176" width="6" bestFit="1" customWidth="1"/>
    <col min="7177" max="7177" width="4.5" bestFit="1" customWidth="1"/>
    <col min="7178" max="7178" width="8.25" bestFit="1" customWidth="1"/>
    <col min="7179" max="7179" width="9.75" bestFit="1" customWidth="1"/>
    <col min="7180" max="7180" width="6" bestFit="1" customWidth="1"/>
    <col min="7181" max="7181" width="4.5" bestFit="1" customWidth="1"/>
    <col min="7182" max="7182" width="8.25" bestFit="1" customWidth="1"/>
    <col min="7183" max="7183" width="9.75" bestFit="1" customWidth="1"/>
    <col min="7422" max="7423" width="4.5" bestFit="1" customWidth="1"/>
    <col min="7424" max="7424" width="7.5" bestFit="1" customWidth="1"/>
    <col min="7425" max="7425" width="22.25" bestFit="1" customWidth="1"/>
    <col min="7426" max="7426" width="7.5" bestFit="1" customWidth="1"/>
    <col min="7427" max="7427" width="5.25" bestFit="1" customWidth="1"/>
    <col min="7428" max="7428" width="9.75" bestFit="1" customWidth="1"/>
    <col min="7429" max="7429" width="6.75" bestFit="1" customWidth="1"/>
    <col min="7430" max="7430" width="5.25" bestFit="1" customWidth="1"/>
    <col min="7431" max="7431" width="9.75" bestFit="1" customWidth="1"/>
    <col min="7432" max="7432" width="6" bestFit="1" customWidth="1"/>
    <col min="7433" max="7433" width="4.5" bestFit="1" customWidth="1"/>
    <col min="7434" max="7434" width="8.25" bestFit="1" customWidth="1"/>
    <col min="7435" max="7435" width="9.75" bestFit="1" customWidth="1"/>
    <col min="7436" max="7436" width="6" bestFit="1" customWidth="1"/>
    <col min="7437" max="7437" width="4.5" bestFit="1" customWidth="1"/>
    <col min="7438" max="7438" width="8.25" bestFit="1" customWidth="1"/>
    <col min="7439" max="7439" width="9.75" bestFit="1" customWidth="1"/>
    <col min="7678" max="7679" width="4.5" bestFit="1" customWidth="1"/>
    <col min="7680" max="7680" width="7.5" bestFit="1" customWidth="1"/>
    <col min="7681" max="7681" width="22.25" bestFit="1" customWidth="1"/>
    <col min="7682" max="7682" width="7.5" bestFit="1" customWidth="1"/>
    <col min="7683" max="7683" width="5.25" bestFit="1" customWidth="1"/>
    <col min="7684" max="7684" width="9.75" bestFit="1" customWidth="1"/>
    <col min="7685" max="7685" width="6.75" bestFit="1" customWidth="1"/>
    <col min="7686" max="7686" width="5.25" bestFit="1" customWidth="1"/>
    <col min="7687" max="7687" width="9.75" bestFit="1" customWidth="1"/>
    <col min="7688" max="7688" width="6" bestFit="1" customWidth="1"/>
    <col min="7689" max="7689" width="4.5" bestFit="1" customWidth="1"/>
    <col min="7690" max="7690" width="8.25" bestFit="1" customWidth="1"/>
    <col min="7691" max="7691" width="9.75" bestFit="1" customWidth="1"/>
    <col min="7692" max="7692" width="6" bestFit="1" customWidth="1"/>
    <col min="7693" max="7693" width="4.5" bestFit="1" customWidth="1"/>
    <col min="7694" max="7694" width="8.25" bestFit="1" customWidth="1"/>
    <col min="7695" max="7695" width="9.75" bestFit="1" customWidth="1"/>
    <col min="7934" max="7935" width="4.5" bestFit="1" customWidth="1"/>
    <col min="7936" max="7936" width="7.5" bestFit="1" customWidth="1"/>
    <col min="7937" max="7937" width="22.25" bestFit="1" customWidth="1"/>
    <col min="7938" max="7938" width="7.5" bestFit="1" customWidth="1"/>
    <col min="7939" max="7939" width="5.25" bestFit="1" customWidth="1"/>
    <col min="7940" max="7940" width="9.75" bestFit="1" customWidth="1"/>
    <col min="7941" max="7941" width="6.75" bestFit="1" customWidth="1"/>
    <col min="7942" max="7942" width="5.25" bestFit="1" customWidth="1"/>
    <col min="7943" max="7943" width="9.75" bestFit="1" customWidth="1"/>
    <col min="7944" max="7944" width="6" bestFit="1" customWidth="1"/>
    <col min="7945" max="7945" width="4.5" bestFit="1" customWidth="1"/>
    <col min="7946" max="7946" width="8.25" bestFit="1" customWidth="1"/>
    <col min="7947" max="7947" width="9.75" bestFit="1" customWidth="1"/>
    <col min="7948" max="7948" width="6" bestFit="1" customWidth="1"/>
    <col min="7949" max="7949" width="4.5" bestFit="1" customWidth="1"/>
    <col min="7950" max="7950" width="8.25" bestFit="1" customWidth="1"/>
    <col min="7951" max="7951" width="9.75" bestFit="1" customWidth="1"/>
    <col min="8190" max="8191" width="4.5" bestFit="1" customWidth="1"/>
    <col min="8192" max="8192" width="7.5" bestFit="1" customWidth="1"/>
    <col min="8193" max="8193" width="22.25" bestFit="1" customWidth="1"/>
    <col min="8194" max="8194" width="7.5" bestFit="1" customWidth="1"/>
    <col min="8195" max="8195" width="5.25" bestFit="1" customWidth="1"/>
    <col min="8196" max="8196" width="9.75" bestFit="1" customWidth="1"/>
    <col min="8197" max="8197" width="6.75" bestFit="1" customWidth="1"/>
    <col min="8198" max="8198" width="5.25" bestFit="1" customWidth="1"/>
    <col min="8199" max="8199" width="9.75" bestFit="1" customWidth="1"/>
    <col min="8200" max="8200" width="6" bestFit="1" customWidth="1"/>
    <col min="8201" max="8201" width="4.5" bestFit="1" customWidth="1"/>
    <col min="8202" max="8202" width="8.25" bestFit="1" customWidth="1"/>
    <col min="8203" max="8203" width="9.75" bestFit="1" customWidth="1"/>
    <col min="8204" max="8204" width="6" bestFit="1" customWidth="1"/>
    <col min="8205" max="8205" width="4.5" bestFit="1" customWidth="1"/>
    <col min="8206" max="8206" width="8.25" bestFit="1" customWidth="1"/>
    <col min="8207" max="8207" width="9.75" bestFit="1" customWidth="1"/>
    <col min="8446" max="8447" width="4.5" bestFit="1" customWidth="1"/>
    <col min="8448" max="8448" width="7.5" bestFit="1" customWidth="1"/>
    <col min="8449" max="8449" width="22.25" bestFit="1" customWidth="1"/>
    <col min="8450" max="8450" width="7.5" bestFit="1" customWidth="1"/>
    <col min="8451" max="8451" width="5.25" bestFit="1" customWidth="1"/>
    <col min="8452" max="8452" width="9.75" bestFit="1" customWidth="1"/>
    <col min="8453" max="8453" width="6.75" bestFit="1" customWidth="1"/>
    <col min="8454" max="8454" width="5.25" bestFit="1" customWidth="1"/>
    <col min="8455" max="8455" width="9.75" bestFit="1" customWidth="1"/>
    <col min="8456" max="8456" width="6" bestFit="1" customWidth="1"/>
    <col min="8457" max="8457" width="4.5" bestFit="1" customWidth="1"/>
    <col min="8458" max="8458" width="8.25" bestFit="1" customWidth="1"/>
    <col min="8459" max="8459" width="9.75" bestFit="1" customWidth="1"/>
    <col min="8460" max="8460" width="6" bestFit="1" customWidth="1"/>
    <col min="8461" max="8461" width="4.5" bestFit="1" customWidth="1"/>
    <col min="8462" max="8462" width="8.25" bestFit="1" customWidth="1"/>
    <col min="8463" max="8463" width="9.75" bestFit="1" customWidth="1"/>
    <col min="8702" max="8703" width="4.5" bestFit="1" customWidth="1"/>
    <col min="8704" max="8704" width="7.5" bestFit="1" customWidth="1"/>
    <col min="8705" max="8705" width="22.25" bestFit="1" customWidth="1"/>
    <col min="8706" max="8706" width="7.5" bestFit="1" customWidth="1"/>
    <col min="8707" max="8707" width="5.25" bestFit="1" customWidth="1"/>
    <col min="8708" max="8708" width="9.75" bestFit="1" customWidth="1"/>
    <col min="8709" max="8709" width="6.75" bestFit="1" customWidth="1"/>
    <col min="8710" max="8710" width="5.25" bestFit="1" customWidth="1"/>
    <col min="8711" max="8711" width="9.75" bestFit="1" customWidth="1"/>
    <col min="8712" max="8712" width="6" bestFit="1" customWidth="1"/>
    <col min="8713" max="8713" width="4.5" bestFit="1" customWidth="1"/>
    <col min="8714" max="8714" width="8.25" bestFit="1" customWidth="1"/>
    <col min="8715" max="8715" width="9.75" bestFit="1" customWidth="1"/>
    <col min="8716" max="8716" width="6" bestFit="1" customWidth="1"/>
    <col min="8717" max="8717" width="4.5" bestFit="1" customWidth="1"/>
    <col min="8718" max="8718" width="8.25" bestFit="1" customWidth="1"/>
    <col min="8719" max="8719" width="9.75" bestFit="1" customWidth="1"/>
    <col min="8958" max="8959" width="4.5" bestFit="1" customWidth="1"/>
    <col min="8960" max="8960" width="7.5" bestFit="1" customWidth="1"/>
    <col min="8961" max="8961" width="22.25" bestFit="1" customWidth="1"/>
    <col min="8962" max="8962" width="7.5" bestFit="1" customWidth="1"/>
    <col min="8963" max="8963" width="5.25" bestFit="1" customWidth="1"/>
    <col min="8964" max="8964" width="9.75" bestFit="1" customWidth="1"/>
    <col min="8965" max="8965" width="6.75" bestFit="1" customWidth="1"/>
    <col min="8966" max="8966" width="5.25" bestFit="1" customWidth="1"/>
    <col min="8967" max="8967" width="9.75" bestFit="1" customWidth="1"/>
    <col min="8968" max="8968" width="6" bestFit="1" customWidth="1"/>
    <col min="8969" max="8969" width="4.5" bestFit="1" customWidth="1"/>
    <col min="8970" max="8970" width="8.25" bestFit="1" customWidth="1"/>
    <col min="8971" max="8971" width="9.75" bestFit="1" customWidth="1"/>
    <col min="8972" max="8972" width="6" bestFit="1" customWidth="1"/>
    <col min="8973" max="8973" width="4.5" bestFit="1" customWidth="1"/>
    <col min="8974" max="8974" width="8.25" bestFit="1" customWidth="1"/>
    <col min="8975" max="8975" width="9.75" bestFit="1" customWidth="1"/>
    <col min="9214" max="9215" width="4.5" bestFit="1" customWidth="1"/>
    <col min="9216" max="9216" width="7.5" bestFit="1" customWidth="1"/>
    <col min="9217" max="9217" width="22.25" bestFit="1" customWidth="1"/>
    <col min="9218" max="9218" width="7.5" bestFit="1" customWidth="1"/>
    <col min="9219" max="9219" width="5.25" bestFit="1" customWidth="1"/>
    <col min="9220" max="9220" width="9.75" bestFit="1" customWidth="1"/>
    <col min="9221" max="9221" width="6.75" bestFit="1" customWidth="1"/>
    <col min="9222" max="9222" width="5.25" bestFit="1" customWidth="1"/>
    <col min="9223" max="9223" width="9.75" bestFit="1" customWidth="1"/>
    <col min="9224" max="9224" width="6" bestFit="1" customWidth="1"/>
    <col min="9225" max="9225" width="4.5" bestFit="1" customWidth="1"/>
    <col min="9226" max="9226" width="8.25" bestFit="1" customWidth="1"/>
    <col min="9227" max="9227" width="9.75" bestFit="1" customWidth="1"/>
    <col min="9228" max="9228" width="6" bestFit="1" customWidth="1"/>
    <col min="9229" max="9229" width="4.5" bestFit="1" customWidth="1"/>
    <col min="9230" max="9230" width="8.25" bestFit="1" customWidth="1"/>
    <col min="9231" max="9231" width="9.75" bestFit="1" customWidth="1"/>
    <col min="9470" max="9471" width="4.5" bestFit="1" customWidth="1"/>
    <col min="9472" max="9472" width="7.5" bestFit="1" customWidth="1"/>
    <col min="9473" max="9473" width="22.25" bestFit="1" customWidth="1"/>
    <col min="9474" max="9474" width="7.5" bestFit="1" customWidth="1"/>
    <col min="9475" max="9475" width="5.25" bestFit="1" customWidth="1"/>
    <col min="9476" max="9476" width="9.75" bestFit="1" customWidth="1"/>
    <col min="9477" max="9477" width="6.75" bestFit="1" customWidth="1"/>
    <col min="9478" max="9478" width="5.25" bestFit="1" customWidth="1"/>
    <col min="9479" max="9479" width="9.75" bestFit="1" customWidth="1"/>
    <col min="9480" max="9480" width="6" bestFit="1" customWidth="1"/>
    <col min="9481" max="9481" width="4.5" bestFit="1" customWidth="1"/>
    <col min="9482" max="9482" width="8.25" bestFit="1" customWidth="1"/>
    <col min="9483" max="9483" width="9.75" bestFit="1" customWidth="1"/>
    <col min="9484" max="9484" width="6" bestFit="1" customWidth="1"/>
    <col min="9485" max="9485" width="4.5" bestFit="1" customWidth="1"/>
    <col min="9486" max="9486" width="8.25" bestFit="1" customWidth="1"/>
    <col min="9487" max="9487" width="9.75" bestFit="1" customWidth="1"/>
    <col min="9726" max="9727" width="4.5" bestFit="1" customWidth="1"/>
    <col min="9728" max="9728" width="7.5" bestFit="1" customWidth="1"/>
    <col min="9729" max="9729" width="22.25" bestFit="1" customWidth="1"/>
    <col min="9730" max="9730" width="7.5" bestFit="1" customWidth="1"/>
    <col min="9731" max="9731" width="5.25" bestFit="1" customWidth="1"/>
    <col min="9732" max="9732" width="9.75" bestFit="1" customWidth="1"/>
    <col min="9733" max="9733" width="6.75" bestFit="1" customWidth="1"/>
    <col min="9734" max="9734" width="5.25" bestFit="1" customWidth="1"/>
    <col min="9735" max="9735" width="9.75" bestFit="1" customWidth="1"/>
    <col min="9736" max="9736" width="6" bestFit="1" customWidth="1"/>
    <col min="9737" max="9737" width="4.5" bestFit="1" customWidth="1"/>
    <col min="9738" max="9738" width="8.25" bestFit="1" customWidth="1"/>
    <col min="9739" max="9739" width="9.75" bestFit="1" customWidth="1"/>
    <col min="9740" max="9740" width="6" bestFit="1" customWidth="1"/>
    <col min="9741" max="9741" width="4.5" bestFit="1" customWidth="1"/>
    <col min="9742" max="9742" width="8.25" bestFit="1" customWidth="1"/>
    <col min="9743" max="9743" width="9.75" bestFit="1" customWidth="1"/>
    <col min="9982" max="9983" width="4.5" bestFit="1" customWidth="1"/>
    <col min="9984" max="9984" width="7.5" bestFit="1" customWidth="1"/>
    <col min="9985" max="9985" width="22.25" bestFit="1" customWidth="1"/>
    <col min="9986" max="9986" width="7.5" bestFit="1" customWidth="1"/>
    <col min="9987" max="9987" width="5.25" bestFit="1" customWidth="1"/>
    <col min="9988" max="9988" width="9.75" bestFit="1" customWidth="1"/>
    <col min="9989" max="9989" width="6.75" bestFit="1" customWidth="1"/>
    <col min="9990" max="9990" width="5.25" bestFit="1" customWidth="1"/>
    <col min="9991" max="9991" width="9.75" bestFit="1" customWidth="1"/>
    <col min="9992" max="9992" width="6" bestFit="1" customWidth="1"/>
    <col min="9993" max="9993" width="4.5" bestFit="1" customWidth="1"/>
    <col min="9994" max="9994" width="8.25" bestFit="1" customWidth="1"/>
    <col min="9995" max="9995" width="9.75" bestFit="1" customWidth="1"/>
    <col min="9996" max="9996" width="6" bestFit="1" customWidth="1"/>
    <col min="9997" max="9997" width="4.5" bestFit="1" customWidth="1"/>
    <col min="9998" max="9998" width="8.25" bestFit="1" customWidth="1"/>
    <col min="9999" max="9999" width="9.75" bestFit="1" customWidth="1"/>
    <col min="10238" max="10239" width="4.5" bestFit="1" customWidth="1"/>
    <col min="10240" max="10240" width="7.5" bestFit="1" customWidth="1"/>
    <col min="10241" max="10241" width="22.25" bestFit="1" customWidth="1"/>
    <col min="10242" max="10242" width="7.5" bestFit="1" customWidth="1"/>
    <col min="10243" max="10243" width="5.25" bestFit="1" customWidth="1"/>
    <col min="10244" max="10244" width="9.75" bestFit="1" customWidth="1"/>
    <col min="10245" max="10245" width="6.75" bestFit="1" customWidth="1"/>
    <col min="10246" max="10246" width="5.25" bestFit="1" customWidth="1"/>
    <col min="10247" max="10247" width="9.75" bestFit="1" customWidth="1"/>
    <col min="10248" max="10248" width="6" bestFit="1" customWidth="1"/>
    <col min="10249" max="10249" width="4.5" bestFit="1" customWidth="1"/>
    <col min="10250" max="10250" width="8.25" bestFit="1" customWidth="1"/>
    <col min="10251" max="10251" width="9.75" bestFit="1" customWidth="1"/>
    <col min="10252" max="10252" width="6" bestFit="1" customWidth="1"/>
    <col min="10253" max="10253" width="4.5" bestFit="1" customWidth="1"/>
    <col min="10254" max="10254" width="8.25" bestFit="1" customWidth="1"/>
    <col min="10255" max="10255" width="9.75" bestFit="1" customWidth="1"/>
    <col min="10494" max="10495" width="4.5" bestFit="1" customWidth="1"/>
    <col min="10496" max="10496" width="7.5" bestFit="1" customWidth="1"/>
    <col min="10497" max="10497" width="22.25" bestFit="1" customWidth="1"/>
    <col min="10498" max="10498" width="7.5" bestFit="1" customWidth="1"/>
    <col min="10499" max="10499" width="5.25" bestFit="1" customWidth="1"/>
    <col min="10500" max="10500" width="9.75" bestFit="1" customWidth="1"/>
    <col min="10501" max="10501" width="6.75" bestFit="1" customWidth="1"/>
    <col min="10502" max="10502" width="5.25" bestFit="1" customWidth="1"/>
    <col min="10503" max="10503" width="9.75" bestFit="1" customWidth="1"/>
    <col min="10504" max="10504" width="6" bestFit="1" customWidth="1"/>
    <col min="10505" max="10505" width="4.5" bestFit="1" customWidth="1"/>
    <col min="10506" max="10506" width="8.25" bestFit="1" customWidth="1"/>
    <col min="10507" max="10507" width="9.75" bestFit="1" customWidth="1"/>
    <col min="10508" max="10508" width="6" bestFit="1" customWidth="1"/>
    <col min="10509" max="10509" width="4.5" bestFit="1" customWidth="1"/>
    <col min="10510" max="10510" width="8.25" bestFit="1" customWidth="1"/>
    <col min="10511" max="10511" width="9.75" bestFit="1" customWidth="1"/>
    <col min="10750" max="10751" width="4.5" bestFit="1" customWidth="1"/>
    <col min="10752" max="10752" width="7.5" bestFit="1" customWidth="1"/>
    <col min="10753" max="10753" width="22.25" bestFit="1" customWidth="1"/>
    <col min="10754" max="10754" width="7.5" bestFit="1" customWidth="1"/>
    <col min="10755" max="10755" width="5.25" bestFit="1" customWidth="1"/>
    <col min="10756" max="10756" width="9.75" bestFit="1" customWidth="1"/>
    <col min="10757" max="10757" width="6.75" bestFit="1" customWidth="1"/>
    <col min="10758" max="10758" width="5.25" bestFit="1" customWidth="1"/>
    <col min="10759" max="10759" width="9.75" bestFit="1" customWidth="1"/>
    <col min="10760" max="10760" width="6" bestFit="1" customWidth="1"/>
    <col min="10761" max="10761" width="4.5" bestFit="1" customWidth="1"/>
    <col min="10762" max="10762" width="8.25" bestFit="1" customWidth="1"/>
    <col min="10763" max="10763" width="9.75" bestFit="1" customWidth="1"/>
    <col min="10764" max="10764" width="6" bestFit="1" customWidth="1"/>
    <col min="10765" max="10765" width="4.5" bestFit="1" customWidth="1"/>
    <col min="10766" max="10766" width="8.25" bestFit="1" customWidth="1"/>
    <col min="10767" max="10767" width="9.75" bestFit="1" customWidth="1"/>
    <col min="11006" max="11007" width="4.5" bestFit="1" customWidth="1"/>
    <col min="11008" max="11008" width="7.5" bestFit="1" customWidth="1"/>
    <col min="11009" max="11009" width="22.25" bestFit="1" customWidth="1"/>
    <col min="11010" max="11010" width="7.5" bestFit="1" customWidth="1"/>
    <col min="11011" max="11011" width="5.25" bestFit="1" customWidth="1"/>
    <col min="11012" max="11012" width="9.75" bestFit="1" customWidth="1"/>
    <col min="11013" max="11013" width="6.75" bestFit="1" customWidth="1"/>
    <col min="11014" max="11014" width="5.25" bestFit="1" customWidth="1"/>
    <col min="11015" max="11015" width="9.75" bestFit="1" customWidth="1"/>
    <col min="11016" max="11016" width="6" bestFit="1" customWidth="1"/>
    <col min="11017" max="11017" width="4.5" bestFit="1" customWidth="1"/>
    <col min="11018" max="11018" width="8.25" bestFit="1" customWidth="1"/>
    <col min="11019" max="11019" width="9.75" bestFit="1" customWidth="1"/>
    <col min="11020" max="11020" width="6" bestFit="1" customWidth="1"/>
    <col min="11021" max="11021" width="4.5" bestFit="1" customWidth="1"/>
    <col min="11022" max="11022" width="8.25" bestFit="1" customWidth="1"/>
    <col min="11023" max="11023" width="9.75" bestFit="1" customWidth="1"/>
    <col min="11262" max="11263" width="4.5" bestFit="1" customWidth="1"/>
    <col min="11264" max="11264" width="7.5" bestFit="1" customWidth="1"/>
    <col min="11265" max="11265" width="22.25" bestFit="1" customWidth="1"/>
    <col min="11266" max="11266" width="7.5" bestFit="1" customWidth="1"/>
    <col min="11267" max="11267" width="5.25" bestFit="1" customWidth="1"/>
    <col min="11268" max="11268" width="9.75" bestFit="1" customWidth="1"/>
    <col min="11269" max="11269" width="6.75" bestFit="1" customWidth="1"/>
    <col min="11270" max="11270" width="5.25" bestFit="1" customWidth="1"/>
    <col min="11271" max="11271" width="9.75" bestFit="1" customWidth="1"/>
    <col min="11272" max="11272" width="6" bestFit="1" customWidth="1"/>
    <col min="11273" max="11273" width="4.5" bestFit="1" customWidth="1"/>
    <col min="11274" max="11274" width="8.25" bestFit="1" customWidth="1"/>
    <col min="11275" max="11275" width="9.75" bestFit="1" customWidth="1"/>
    <col min="11276" max="11276" width="6" bestFit="1" customWidth="1"/>
    <col min="11277" max="11277" width="4.5" bestFit="1" customWidth="1"/>
    <col min="11278" max="11278" width="8.25" bestFit="1" customWidth="1"/>
    <col min="11279" max="11279" width="9.75" bestFit="1" customWidth="1"/>
    <col min="11518" max="11519" width="4.5" bestFit="1" customWidth="1"/>
    <col min="11520" max="11520" width="7.5" bestFit="1" customWidth="1"/>
    <col min="11521" max="11521" width="22.25" bestFit="1" customWidth="1"/>
    <col min="11522" max="11522" width="7.5" bestFit="1" customWidth="1"/>
    <col min="11523" max="11523" width="5.25" bestFit="1" customWidth="1"/>
    <col min="11524" max="11524" width="9.75" bestFit="1" customWidth="1"/>
    <col min="11525" max="11525" width="6.75" bestFit="1" customWidth="1"/>
    <col min="11526" max="11526" width="5.25" bestFit="1" customWidth="1"/>
    <col min="11527" max="11527" width="9.75" bestFit="1" customWidth="1"/>
    <col min="11528" max="11528" width="6" bestFit="1" customWidth="1"/>
    <col min="11529" max="11529" width="4.5" bestFit="1" customWidth="1"/>
    <col min="11530" max="11530" width="8.25" bestFit="1" customWidth="1"/>
    <col min="11531" max="11531" width="9.75" bestFit="1" customWidth="1"/>
    <col min="11532" max="11532" width="6" bestFit="1" customWidth="1"/>
    <col min="11533" max="11533" width="4.5" bestFit="1" customWidth="1"/>
    <col min="11534" max="11534" width="8.25" bestFit="1" customWidth="1"/>
    <col min="11535" max="11535" width="9.75" bestFit="1" customWidth="1"/>
    <col min="11774" max="11775" width="4.5" bestFit="1" customWidth="1"/>
    <col min="11776" max="11776" width="7.5" bestFit="1" customWidth="1"/>
    <col min="11777" max="11777" width="22.25" bestFit="1" customWidth="1"/>
    <col min="11778" max="11778" width="7.5" bestFit="1" customWidth="1"/>
    <col min="11779" max="11779" width="5.25" bestFit="1" customWidth="1"/>
    <col min="11780" max="11780" width="9.75" bestFit="1" customWidth="1"/>
    <col min="11781" max="11781" width="6.75" bestFit="1" customWidth="1"/>
    <col min="11782" max="11782" width="5.25" bestFit="1" customWidth="1"/>
    <col min="11783" max="11783" width="9.75" bestFit="1" customWidth="1"/>
    <col min="11784" max="11784" width="6" bestFit="1" customWidth="1"/>
    <col min="11785" max="11785" width="4.5" bestFit="1" customWidth="1"/>
    <col min="11786" max="11786" width="8.25" bestFit="1" customWidth="1"/>
    <col min="11787" max="11787" width="9.75" bestFit="1" customWidth="1"/>
    <col min="11788" max="11788" width="6" bestFit="1" customWidth="1"/>
    <col min="11789" max="11789" width="4.5" bestFit="1" customWidth="1"/>
    <col min="11790" max="11790" width="8.25" bestFit="1" customWidth="1"/>
    <col min="11791" max="11791" width="9.75" bestFit="1" customWidth="1"/>
    <col min="12030" max="12031" width="4.5" bestFit="1" customWidth="1"/>
    <col min="12032" max="12032" width="7.5" bestFit="1" customWidth="1"/>
    <col min="12033" max="12033" width="22.25" bestFit="1" customWidth="1"/>
    <col min="12034" max="12034" width="7.5" bestFit="1" customWidth="1"/>
    <col min="12035" max="12035" width="5.25" bestFit="1" customWidth="1"/>
    <col min="12036" max="12036" width="9.75" bestFit="1" customWidth="1"/>
    <col min="12037" max="12037" width="6.75" bestFit="1" customWidth="1"/>
    <col min="12038" max="12038" width="5.25" bestFit="1" customWidth="1"/>
    <col min="12039" max="12039" width="9.75" bestFit="1" customWidth="1"/>
    <col min="12040" max="12040" width="6" bestFit="1" customWidth="1"/>
    <col min="12041" max="12041" width="4.5" bestFit="1" customWidth="1"/>
    <col min="12042" max="12042" width="8.25" bestFit="1" customWidth="1"/>
    <col min="12043" max="12043" width="9.75" bestFit="1" customWidth="1"/>
    <col min="12044" max="12044" width="6" bestFit="1" customWidth="1"/>
    <col min="12045" max="12045" width="4.5" bestFit="1" customWidth="1"/>
    <col min="12046" max="12046" width="8.25" bestFit="1" customWidth="1"/>
    <col min="12047" max="12047" width="9.75" bestFit="1" customWidth="1"/>
    <col min="12286" max="12287" width="4.5" bestFit="1" customWidth="1"/>
    <col min="12288" max="12288" width="7.5" bestFit="1" customWidth="1"/>
    <col min="12289" max="12289" width="22.25" bestFit="1" customWidth="1"/>
    <col min="12290" max="12290" width="7.5" bestFit="1" customWidth="1"/>
    <col min="12291" max="12291" width="5.25" bestFit="1" customWidth="1"/>
    <col min="12292" max="12292" width="9.75" bestFit="1" customWidth="1"/>
    <col min="12293" max="12293" width="6.75" bestFit="1" customWidth="1"/>
    <col min="12294" max="12294" width="5.25" bestFit="1" customWidth="1"/>
    <col min="12295" max="12295" width="9.75" bestFit="1" customWidth="1"/>
    <col min="12296" max="12296" width="6" bestFit="1" customWidth="1"/>
    <col min="12297" max="12297" width="4.5" bestFit="1" customWidth="1"/>
    <col min="12298" max="12298" width="8.25" bestFit="1" customWidth="1"/>
    <col min="12299" max="12299" width="9.75" bestFit="1" customWidth="1"/>
    <col min="12300" max="12300" width="6" bestFit="1" customWidth="1"/>
    <col min="12301" max="12301" width="4.5" bestFit="1" customWidth="1"/>
    <col min="12302" max="12302" width="8.25" bestFit="1" customWidth="1"/>
    <col min="12303" max="12303" width="9.75" bestFit="1" customWidth="1"/>
    <col min="12542" max="12543" width="4.5" bestFit="1" customWidth="1"/>
    <col min="12544" max="12544" width="7.5" bestFit="1" customWidth="1"/>
    <col min="12545" max="12545" width="22.25" bestFit="1" customWidth="1"/>
    <col min="12546" max="12546" width="7.5" bestFit="1" customWidth="1"/>
    <col min="12547" max="12547" width="5.25" bestFit="1" customWidth="1"/>
    <col min="12548" max="12548" width="9.75" bestFit="1" customWidth="1"/>
    <col min="12549" max="12549" width="6.75" bestFit="1" customWidth="1"/>
    <col min="12550" max="12550" width="5.25" bestFit="1" customWidth="1"/>
    <col min="12551" max="12551" width="9.75" bestFit="1" customWidth="1"/>
    <col min="12552" max="12552" width="6" bestFit="1" customWidth="1"/>
    <col min="12553" max="12553" width="4.5" bestFit="1" customWidth="1"/>
    <col min="12554" max="12554" width="8.25" bestFit="1" customWidth="1"/>
    <col min="12555" max="12555" width="9.75" bestFit="1" customWidth="1"/>
    <col min="12556" max="12556" width="6" bestFit="1" customWidth="1"/>
    <col min="12557" max="12557" width="4.5" bestFit="1" customWidth="1"/>
    <col min="12558" max="12558" width="8.25" bestFit="1" customWidth="1"/>
    <col min="12559" max="12559" width="9.75" bestFit="1" customWidth="1"/>
    <col min="12798" max="12799" width="4.5" bestFit="1" customWidth="1"/>
    <col min="12800" max="12800" width="7.5" bestFit="1" customWidth="1"/>
    <col min="12801" max="12801" width="22.25" bestFit="1" customWidth="1"/>
    <col min="12802" max="12802" width="7.5" bestFit="1" customWidth="1"/>
    <col min="12803" max="12803" width="5.25" bestFit="1" customWidth="1"/>
    <col min="12804" max="12804" width="9.75" bestFit="1" customWidth="1"/>
    <col min="12805" max="12805" width="6.75" bestFit="1" customWidth="1"/>
    <col min="12806" max="12806" width="5.25" bestFit="1" customWidth="1"/>
    <col min="12807" max="12807" width="9.75" bestFit="1" customWidth="1"/>
    <col min="12808" max="12808" width="6" bestFit="1" customWidth="1"/>
    <col min="12809" max="12809" width="4.5" bestFit="1" customWidth="1"/>
    <col min="12810" max="12810" width="8.25" bestFit="1" customWidth="1"/>
    <col min="12811" max="12811" width="9.75" bestFit="1" customWidth="1"/>
    <col min="12812" max="12812" width="6" bestFit="1" customWidth="1"/>
    <col min="12813" max="12813" width="4.5" bestFit="1" customWidth="1"/>
    <col min="12814" max="12814" width="8.25" bestFit="1" customWidth="1"/>
    <col min="12815" max="12815" width="9.75" bestFit="1" customWidth="1"/>
    <col min="13054" max="13055" width="4.5" bestFit="1" customWidth="1"/>
    <col min="13056" max="13056" width="7.5" bestFit="1" customWidth="1"/>
    <col min="13057" max="13057" width="22.25" bestFit="1" customWidth="1"/>
    <col min="13058" max="13058" width="7.5" bestFit="1" customWidth="1"/>
    <col min="13059" max="13059" width="5.25" bestFit="1" customWidth="1"/>
    <col min="13060" max="13060" width="9.75" bestFit="1" customWidth="1"/>
    <col min="13061" max="13061" width="6.75" bestFit="1" customWidth="1"/>
    <col min="13062" max="13062" width="5.25" bestFit="1" customWidth="1"/>
    <col min="13063" max="13063" width="9.75" bestFit="1" customWidth="1"/>
    <col min="13064" max="13064" width="6" bestFit="1" customWidth="1"/>
    <col min="13065" max="13065" width="4.5" bestFit="1" customWidth="1"/>
    <col min="13066" max="13066" width="8.25" bestFit="1" customWidth="1"/>
    <col min="13067" max="13067" width="9.75" bestFit="1" customWidth="1"/>
    <col min="13068" max="13068" width="6" bestFit="1" customWidth="1"/>
    <col min="13069" max="13069" width="4.5" bestFit="1" customWidth="1"/>
    <col min="13070" max="13070" width="8.25" bestFit="1" customWidth="1"/>
    <col min="13071" max="13071" width="9.75" bestFit="1" customWidth="1"/>
    <col min="13310" max="13311" width="4.5" bestFit="1" customWidth="1"/>
    <col min="13312" max="13312" width="7.5" bestFit="1" customWidth="1"/>
    <col min="13313" max="13313" width="22.25" bestFit="1" customWidth="1"/>
    <col min="13314" max="13314" width="7.5" bestFit="1" customWidth="1"/>
    <col min="13315" max="13315" width="5.25" bestFit="1" customWidth="1"/>
    <col min="13316" max="13316" width="9.75" bestFit="1" customWidth="1"/>
    <col min="13317" max="13317" width="6.75" bestFit="1" customWidth="1"/>
    <col min="13318" max="13318" width="5.25" bestFit="1" customWidth="1"/>
    <col min="13319" max="13319" width="9.75" bestFit="1" customWidth="1"/>
    <col min="13320" max="13320" width="6" bestFit="1" customWidth="1"/>
    <col min="13321" max="13321" width="4.5" bestFit="1" customWidth="1"/>
    <col min="13322" max="13322" width="8.25" bestFit="1" customWidth="1"/>
    <col min="13323" max="13323" width="9.75" bestFit="1" customWidth="1"/>
    <col min="13324" max="13324" width="6" bestFit="1" customWidth="1"/>
    <col min="13325" max="13325" width="4.5" bestFit="1" customWidth="1"/>
    <col min="13326" max="13326" width="8.25" bestFit="1" customWidth="1"/>
    <col min="13327" max="13327" width="9.75" bestFit="1" customWidth="1"/>
    <col min="13566" max="13567" width="4.5" bestFit="1" customWidth="1"/>
    <col min="13568" max="13568" width="7.5" bestFit="1" customWidth="1"/>
    <col min="13569" max="13569" width="22.25" bestFit="1" customWidth="1"/>
    <col min="13570" max="13570" width="7.5" bestFit="1" customWidth="1"/>
    <col min="13571" max="13571" width="5.25" bestFit="1" customWidth="1"/>
    <col min="13572" max="13572" width="9.75" bestFit="1" customWidth="1"/>
    <col min="13573" max="13573" width="6.75" bestFit="1" customWidth="1"/>
    <col min="13574" max="13574" width="5.25" bestFit="1" customWidth="1"/>
    <col min="13575" max="13575" width="9.75" bestFit="1" customWidth="1"/>
    <col min="13576" max="13576" width="6" bestFit="1" customWidth="1"/>
    <col min="13577" max="13577" width="4.5" bestFit="1" customWidth="1"/>
    <col min="13578" max="13578" width="8.25" bestFit="1" customWidth="1"/>
    <col min="13579" max="13579" width="9.75" bestFit="1" customWidth="1"/>
    <col min="13580" max="13580" width="6" bestFit="1" customWidth="1"/>
    <col min="13581" max="13581" width="4.5" bestFit="1" customWidth="1"/>
    <col min="13582" max="13582" width="8.25" bestFit="1" customWidth="1"/>
    <col min="13583" max="13583" width="9.75" bestFit="1" customWidth="1"/>
    <col min="13822" max="13823" width="4.5" bestFit="1" customWidth="1"/>
    <col min="13824" max="13824" width="7.5" bestFit="1" customWidth="1"/>
    <col min="13825" max="13825" width="22.25" bestFit="1" customWidth="1"/>
    <col min="13826" max="13826" width="7.5" bestFit="1" customWidth="1"/>
    <col min="13827" max="13827" width="5.25" bestFit="1" customWidth="1"/>
    <col min="13828" max="13828" width="9.75" bestFit="1" customWidth="1"/>
    <col min="13829" max="13829" width="6.75" bestFit="1" customWidth="1"/>
    <col min="13830" max="13830" width="5.25" bestFit="1" customWidth="1"/>
    <col min="13831" max="13831" width="9.75" bestFit="1" customWidth="1"/>
    <col min="13832" max="13832" width="6" bestFit="1" customWidth="1"/>
    <col min="13833" max="13833" width="4.5" bestFit="1" customWidth="1"/>
    <col min="13834" max="13834" width="8.25" bestFit="1" customWidth="1"/>
    <col min="13835" max="13835" width="9.75" bestFit="1" customWidth="1"/>
    <col min="13836" max="13836" width="6" bestFit="1" customWidth="1"/>
    <col min="13837" max="13837" width="4.5" bestFit="1" customWidth="1"/>
    <col min="13838" max="13838" width="8.25" bestFit="1" customWidth="1"/>
    <col min="13839" max="13839" width="9.75" bestFit="1" customWidth="1"/>
    <col min="14078" max="14079" width="4.5" bestFit="1" customWidth="1"/>
    <col min="14080" max="14080" width="7.5" bestFit="1" customWidth="1"/>
    <col min="14081" max="14081" width="22.25" bestFit="1" customWidth="1"/>
    <col min="14082" max="14082" width="7.5" bestFit="1" customWidth="1"/>
    <col min="14083" max="14083" width="5.25" bestFit="1" customWidth="1"/>
    <col min="14084" max="14084" width="9.75" bestFit="1" customWidth="1"/>
    <col min="14085" max="14085" width="6.75" bestFit="1" customWidth="1"/>
    <col min="14086" max="14086" width="5.25" bestFit="1" customWidth="1"/>
    <col min="14087" max="14087" width="9.75" bestFit="1" customWidth="1"/>
    <col min="14088" max="14088" width="6" bestFit="1" customWidth="1"/>
    <col min="14089" max="14089" width="4.5" bestFit="1" customWidth="1"/>
    <col min="14090" max="14090" width="8.25" bestFit="1" customWidth="1"/>
    <col min="14091" max="14091" width="9.75" bestFit="1" customWidth="1"/>
    <col min="14092" max="14092" width="6" bestFit="1" customWidth="1"/>
    <col min="14093" max="14093" width="4.5" bestFit="1" customWidth="1"/>
    <col min="14094" max="14094" width="8.25" bestFit="1" customWidth="1"/>
    <col min="14095" max="14095" width="9.75" bestFit="1" customWidth="1"/>
    <col min="14334" max="14335" width="4.5" bestFit="1" customWidth="1"/>
    <col min="14336" max="14336" width="7.5" bestFit="1" customWidth="1"/>
    <col min="14337" max="14337" width="22.25" bestFit="1" customWidth="1"/>
    <col min="14338" max="14338" width="7.5" bestFit="1" customWidth="1"/>
    <col min="14339" max="14339" width="5.25" bestFit="1" customWidth="1"/>
    <col min="14340" max="14340" width="9.75" bestFit="1" customWidth="1"/>
    <col min="14341" max="14341" width="6.75" bestFit="1" customWidth="1"/>
    <col min="14342" max="14342" width="5.25" bestFit="1" customWidth="1"/>
    <col min="14343" max="14343" width="9.75" bestFit="1" customWidth="1"/>
    <col min="14344" max="14344" width="6" bestFit="1" customWidth="1"/>
    <col min="14345" max="14345" width="4.5" bestFit="1" customWidth="1"/>
    <col min="14346" max="14346" width="8.25" bestFit="1" customWidth="1"/>
    <col min="14347" max="14347" width="9.75" bestFit="1" customWidth="1"/>
    <col min="14348" max="14348" width="6" bestFit="1" customWidth="1"/>
    <col min="14349" max="14349" width="4.5" bestFit="1" customWidth="1"/>
    <col min="14350" max="14350" width="8.25" bestFit="1" customWidth="1"/>
    <col min="14351" max="14351" width="9.75" bestFit="1" customWidth="1"/>
    <col min="14590" max="14591" width="4.5" bestFit="1" customWidth="1"/>
    <col min="14592" max="14592" width="7.5" bestFit="1" customWidth="1"/>
    <col min="14593" max="14593" width="22.25" bestFit="1" customWidth="1"/>
    <col min="14594" max="14594" width="7.5" bestFit="1" customWidth="1"/>
    <col min="14595" max="14595" width="5.25" bestFit="1" customWidth="1"/>
    <col min="14596" max="14596" width="9.75" bestFit="1" customWidth="1"/>
    <col min="14597" max="14597" width="6.75" bestFit="1" customWidth="1"/>
    <col min="14598" max="14598" width="5.25" bestFit="1" customWidth="1"/>
    <col min="14599" max="14599" width="9.75" bestFit="1" customWidth="1"/>
    <col min="14600" max="14600" width="6" bestFit="1" customWidth="1"/>
    <col min="14601" max="14601" width="4.5" bestFit="1" customWidth="1"/>
    <col min="14602" max="14602" width="8.25" bestFit="1" customWidth="1"/>
    <col min="14603" max="14603" width="9.75" bestFit="1" customWidth="1"/>
    <col min="14604" max="14604" width="6" bestFit="1" customWidth="1"/>
    <col min="14605" max="14605" width="4.5" bestFit="1" customWidth="1"/>
    <col min="14606" max="14606" width="8.25" bestFit="1" customWidth="1"/>
    <col min="14607" max="14607" width="9.75" bestFit="1" customWidth="1"/>
    <col min="14846" max="14847" width="4.5" bestFit="1" customWidth="1"/>
    <col min="14848" max="14848" width="7.5" bestFit="1" customWidth="1"/>
    <col min="14849" max="14849" width="22.25" bestFit="1" customWidth="1"/>
    <col min="14850" max="14850" width="7.5" bestFit="1" customWidth="1"/>
    <col min="14851" max="14851" width="5.25" bestFit="1" customWidth="1"/>
    <col min="14852" max="14852" width="9.75" bestFit="1" customWidth="1"/>
    <col min="14853" max="14853" width="6.75" bestFit="1" customWidth="1"/>
    <col min="14854" max="14854" width="5.25" bestFit="1" customWidth="1"/>
    <col min="14855" max="14855" width="9.75" bestFit="1" customWidth="1"/>
    <col min="14856" max="14856" width="6" bestFit="1" customWidth="1"/>
    <col min="14857" max="14857" width="4.5" bestFit="1" customWidth="1"/>
    <col min="14858" max="14858" width="8.25" bestFit="1" customWidth="1"/>
    <col min="14859" max="14859" width="9.75" bestFit="1" customWidth="1"/>
    <col min="14860" max="14860" width="6" bestFit="1" customWidth="1"/>
    <col min="14861" max="14861" width="4.5" bestFit="1" customWidth="1"/>
    <col min="14862" max="14862" width="8.25" bestFit="1" customWidth="1"/>
    <col min="14863" max="14863" width="9.75" bestFit="1" customWidth="1"/>
    <col min="15102" max="15103" width="4.5" bestFit="1" customWidth="1"/>
    <col min="15104" max="15104" width="7.5" bestFit="1" customWidth="1"/>
    <col min="15105" max="15105" width="22.25" bestFit="1" customWidth="1"/>
    <col min="15106" max="15106" width="7.5" bestFit="1" customWidth="1"/>
    <col min="15107" max="15107" width="5.25" bestFit="1" customWidth="1"/>
    <col min="15108" max="15108" width="9.75" bestFit="1" customWidth="1"/>
    <col min="15109" max="15109" width="6.75" bestFit="1" customWidth="1"/>
    <col min="15110" max="15110" width="5.25" bestFit="1" customWidth="1"/>
    <col min="15111" max="15111" width="9.75" bestFit="1" customWidth="1"/>
    <col min="15112" max="15112" width="6" bestFit="1" customWidth="1"/>
    <col min="15113" max="15113" width="4.5" bestFit="1" customWidth="1"/>
    <col min="15114" max="15114" width="8.25" bestFit="1" customWidth="1"/>
    <col min="15115" max="15115" width="9.75" bestFit="1" customWidth="1"/>
    <col min="15116" max="15116" width="6" bestFit="1" customWidth="1"/>
    <col min="15117" max="15117" width="4.5" bestFit="1" customWidth="1"/>
    <col min="15118" max="15118" width="8.25" bestFit="1" customWidth="1"/>
    <col min="15119" max="15119" width="9.75" bestFit="1" customWidth="1"/>
    <col min="15358" max="15359" width="4.5" bestFit="1" customWidth="1"/>
    <col min="15360" max="15360" width="7.5" bestFit="1" customWidth="1"/>
    <col min="15361" max="15361" width="22.25" bestFit="1" customWidth="1"/>
    <col min="15362" max="15362" width="7.5" bestFit="1" customWidth="1"/>
    <col min="15363" max="15363" width="5.25" bestFit="1" customWidth="1"/>
    <col min="15364" max="15364" width="9.75" bestFit="1" customWidth="1"/>
    <col min="15365" max="15365" width="6.75" bestFit="1" customWidth="1"/>
    <col min="15366" max="15366" width="5.25" bestFit="1" customWidth="1"/>
    <col min="15367" max="15367" width="9.75" bestFit="1" customWidth="1"/>
    <col min="15368" max="15368" width="6" bestFit="1" customWidth="1"/>
    <col min="15369" max="15369" width="4.5" bestFit="1" customWidth="1"/>
    <col min="15370" max="15370" width="8.25" bestFit="1" customWidth="1"/>
    <col min="15371" max="15371" width="9.75" bestFit="1" customWidth="1"/>
    <col min="15372" max="15372" width="6" bestFit="1" customWidth="1"/>
    <col min="15373" max="15373" width="4.5" bestFit="1" customWidth="1"/>
    <col min="15374" max="15374" width="8.25" bestFit="1" customWidth="1"/>
    <col min="15375" max="15375" width="9.75" bestFit="1" customWidth="1"/>
    <col min="15614" max="15615" width="4.5" bestFit="1" customWidth="1"/>
    <col min="15616" max="15616" width="7.5" bestFit="1" customWidth="1"/>
    <col min="15617" max="15617" width="22.25" bestFit="1" customWidth="1"/>
    <col min="15618" max="15618" width="7.5" bestFit="1" customWidth="1"/>
    <col min="15619" max="15619" width="5.25" bestFit="1" customWidth="1"/>
    <col min="15620" max="15620" width="9.75" bestFit="1" customWidth="1"/>
    <col min="15621" max="15621" width="6.75" bestFit="1" customWidth="1"/>
    <col min="15622" max="15622" width="5.25" bestFit="1" customWidth="1"/>
    <col min="15623" max="15623" width="9.75" bestFit="1" customWidth="1"/>
    <col min="15624" max="15624" width="6" bestFit="1" customWidth="1"/>
    <col min="15625" max="15625" width="4.5" bestFit="1" customWidth="1"/>
    <col min="15626" max="15626" width="8.25" bestFit="1" customWidth="1"/>
    <col min="15627" max="15627" width="9.75" bestFit="1" customWidth="1"/>
    <col min="15628" max="15628" width="6" bestFit="1" customWidth="1"/>
    <col min="15629" max="15629" width="4.5" bestFit="1" customWidth="1"/>
    <col min="15630" max="15630" width="8.25" bestFit="1" customWidth="1"/>
    <col min="15631" max="15631" width="9.75" bestFit="1" customWidth="1"/>
    <col min="15870" max="15871" width="4.5" bestFit="1" customWidth="1"/>
    <col min="15872" max="15872" width="7.5" bestFit="1" customWidth="1"/>
    <col min="15873" max="15873" width="22.25" bestFit="1" customWidth="1"/>
    <col min="15874" max="15874" width="7.5" bestFit="1" customWidth="1"/>
    <col min="15875" max="15875" width="5.25" bestFit="1" customWidth="1"/>
    <col min="15876" max="15876" width="9.75" bestFit="1" customWidth="1"/>
    <col min="15877" max="15877" width="6.75" bestFit="1" customWidth="1"/>
    <col min="15878" max="15878" width="5.25" bestFit="1" customWidth="1"/>
    <col min="15879" max="15879" width="9.75" bestFit="1" customWidth="1"/>
    <col min="15880" max="15880" width="6" bestFit="1" customWidth="1"/>
    <col min="15881" max="15881" width="4.5" bestFit="1" customWidth="1"/>
    <col min="15882" max="15882" width="8.25" bestFit="1" customWidth="1"/>
    <col min="15883" max="15883" width="9.75" bestFit="1" customWidth="1"/>
    <col min="15884" max="15884" width="6" bestFit="1" customWidth="1"/>
    <col min="15885" max="15885" width="4.5" bestFit="1" customWidth="1"/>
    <col min="15886" max="15886" width="8.25" bestFit="1" customWidth="1"/>
    <col min="15887" max="15887" width="9.75" bestFit="1" customWidth="1"/>
    <col min="16126" max="16127" width="4.5" bestFit="1" customWidth="1"/>
    <col min="16128" max="16128" width="7.5" bestFit="1" customWidth="1"/>
    <col min="16129" max="16129" width="22.25" bestFit="1" customWidth="1"/>
    <col min="16130" max="16130" width="7.5" bestFit="1" customWidth="1"/>
    <col min="16131" max="16131" width="5.25" bestFit="1" customWidth="1"/>
    <col min="16132" max="16132" width="9.75" bestFit="1" customWidth="1"/>
    <col min="16133" max="16133" width="6.75" bestFit="1" customWidth="1"/>
    <col min="16134" max="16134" width="5.25" bestFit="1" customWidth="1"/>
    <col min="16135" max="16135" width="9.75" bestFit="1" customWidth="1"/>
    <col min="16136" max="16136" width="6" bestFit="1" customWidth="1"/>
    <col min="16137" max="16137" width="4.5" bestFit="1" customWidth="1"/>
    <col min="16138" max="16138" width="8.25" bestFit="1" customWidth="1"/>
    <col min="16139" max="16139" width="9.75" bestFit="1" customWidth="1"/>
    <col min="16140" max="16140" width="6" bestFit="1" customWidth="1"/>
    <col min="16141" max="16141" width="4.5" bestFit="1" customWidth="1"/>
    <col min="16142" max="16142" width="8.25" bestFit="1" customWidth="1"/>
    <col min="16143" max="16143" width="9.75" bestFit="1" customWidth="1"/>
  </cols>
  <sheetData>
    <row r="1" spans="1:15" ht="20.25" customHeight="1">
      <c r="A1" s="229" t="s">
        <v>234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</row>
    <row r="2" spans="1:15" ht="20.25" customHeight="1">
      <c r="A2" s="258" t="s">
        <v>222</v>
      </c>
      <c r="B2" s="258" t="s">
        <v>1</v>
      </c>
      <c r="C2" s="259" t="s">
        <v>224</v>
      </c>
      <c r="D2" s="259"/>
      <c r="E2" s="259"/>
      <c r="F2" s="259" t="s">
        <v>225</v>
      </c>
      <c r="G2" s="259"/>
      <c r="H2" s="259"/>
      <c r="I2" s="259" t="s">
        <v>226</v>
      </c>
      <c r="J2" s="259"/>
      <c r="K2" s="259"/>
      <c r="L2" s="260" t="s">
        <v>227</v>
      </c>
      <c r="M2" s="261"/>
      <c r="N2" s="262"/>
      <c r="O2" s="256" t="s">
        <v>178</v>
      </c>
    </row>
    <row r="3" spans="1:15" ht="20.25" customHeight="1">
      <c r="A3" s="258"/>
      <c r="B3" s="258"/>
      <c r="C3" s="93" t="s">
        <v>228</v>
      </c>
      <c r="D3" s="93" t="s">
        <v>229</v>
      </c>
      <c r="E3" s="93" t="s">
        <v>174</v>
      </c>
      <c r="F3" s="93" t="s">
        <v>228</v>
      </c>
      <c r="G3" s="93" t="s">
        <v>229</v>
      </c>
      <c r="H3" s="93" t="s">
        <v>174</v>
      </c>
      <c r="I3" s="93" t="s">
        <v>228</v>
      </c>
      <c r="J3" s="93" t="s">
        <v>229</v>
      </c>
      <c r="K3" s="93" t="s">
        <v>174</v>
      </c>
      <c r="L3" s="93" t="s">
        <v>228</v>
      </c>
      <c r="M3" s="93" t="s">
        <v>229</v>
      </c>
      <c r="N3" s="93" t="s">
        <v>174</v>
      </c>
      <c r="O3" s="257"/>
    </row>
    <row r="4" spans="1:15" s="92" customFormat="1" ht="20.100000000000001" customHeight="1">
      <c r="A4" s="91" t="s">
        <v>24</v>
      </c>
      <c r="B4" s="91" t="s">
        <v>230</v>
      </c>
      <c r="C4" s="96">
        <v>1021</v>
      </c>
      <c r="D4" s="97">
        <v>2250</v>
      </c>
      <c r="E4" s="97">
        <f>C4*D4</f>
        <v>2297250</v>
      </c>
      <c r="F4" s="96">
        <v>582</v>
      </c>
      <c r="G4" s="98">
        <v>2650</v>
      </c>
      <c r="H4" s="97">
        <f>F4*G4</f>
        <v>1542300</v>
      </c>
      <c r="I4" s="68">
        <v>0</v>
      </c>
      <c r="J4" s="90">
        <v>200</v>
      </c>
      <c r="K4" s="90">
        <f>I4*J4</f>
        <v>0</v>
      </c>
      <c r="L4" s="68">
        <v>0</v>
      </c>
      <c r="M4" s="90">
        <v>1300</v>
      </c>
      <c r="N4" s="90">
        <f>L4*M4</f>
        <v>0</v>
      </c>
      <c r="O4" s="99">
        <f t="shared" ref="O4:O5" si="0">E4+H4+K4+N4</f>
        <v>3839550</v>
      </c>
    </row>
    <row r="5" spans="1:15" s="92" customFormat="1" ht="20.100000000000001" customHeight="1">
      <c r="A5" s="72"/>
      <c r="B5" s="73" t="s">
        <v>211</v>
      </c>
      <c r="C5" s="95">
        <f>SUM(C4)</f>
        <v>1021</v>
      </c>
      <c r="D5" s="94"/>
      <c r="E5" s="95">
        <f>SUM(E4)</f>
        <v>2297250</v>
      </c>
      <c r="F5" s="95">
        <f>SUM(F4)</f>
        <v>582</v>
      </c>
      <c r="G5" s="94"/>
      <c r="H5" s="95">
        <f>SUM(H4)</f>
        <v>1542300</v>
      </c>
      <c r="I5" s="95">
        <f>SUM(I4)</f>
        <v>0</v>
      </c>
      <c r="J5" s="93"/>
      <c r="K5" s="95">
        <f>SUM(K4)</f>
        <v>0</v>
      </c>
      <c r="L5" s="95">
        <f>SUM(L4)</f>
        <v>0</v>
      </c>
      <c r="M5" s="93"/>
      <c r="N5" s="95">
        <f>SUM(N4)</f>
        <v>0</v>
      </c>
      <c r="O5" s="100">
        <f t="shared" si="0"/>
        <v>3839550</v>
      </c>
    </row>
  </sheetData>
  <mergeCells count="8">
    <mergeCell ref="O2:O3"/>
    <mergeCell ref="A1:O1"/>
    <mergeCell ref="A2:A3"/>
    <mergeCell ref="B2:B3"/>
    <mergeCell ref="C2:E2"/>
    <mergeCell ref="F2:H2"/>
    <mergeCell ref="I2:K2"/>
    <mergeCell ref="L2:N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activeCell="E6" sqref="A6:XFD13"/>
    </sheetView>
  </sheetViews>
  <sheetFormatPr defaultRowHeight="13.5"/>
  <cols>
    <col min="1" max="1" width="9" style="102"/>
    <col min="2" max="2" width="12.75" style="102" customWidth="1"/>
    <col min="3" max="3" width="37.25" style="102" customWidth="1"/>
    <col min="4" max="4" width="13.375" style="102" customWidth="1"/>
    <col min="5" max="5" width="13.125" style="102" customWidth="1"/>
    <col min="6" max="6" width="15.375" style="102" customWidth="1"/>
    <col min="7" max="237" width="9" style="102"/>
    <col min="238" max="238" width="5.125" style="102" customWidth="1"/>
    <col min="239" max="239" width="25.75" style="102" customWidth="1"/>
    <col min="240" max="250" width="9" style="102" customWidth="1"/>
    <col min="251" max="256" width="9" style="102"/>
    <col min="257" max="257" width="9.5" style="102" bestFit="1" customWidth="1"/>
    <col min="258" max="493" width="9" style="102"/>
    <col min="494" max="494" width="5.125" style="102" customWidth="1"/>
    <col min="495" max="495" width="25.75" style="102" customWidth="1"/>
    <col min="496" max="506" width="9" style="102" customWidth="1"/>
    <col min="507" max="512" width="9" style="102"/>
    <col min="513" max="513" width="9.5" style="102" bestFit="1" customWidth="1"/>
    <col min="514" max="749" width="9" style="102"/>
    <col min="750" max="750" width="5.125" style="102" customWidth="1"/>
    <col min="751" max="751" width="25.75" style="102" customWidth="1"/>
    <col min="752" max="762" width="9" style="102" customWidth="1"/>
    <col min="763" max="768" width="9" style="102"/>
    <col min="769" max="769" width="9.5" style="102" bestFit="1" customWidth="1"/>
    <col min="770" max="1005" width="9" style="102"/>
    <col min="1006" max="1006" width="5.125" style="102" customWidth="1"/>
    <col min="1007" max="1007" width="25.75" style="102" customWidth="1"/>
    <col min="1008" max="1018" width="9" style="102" customWidth="1"/>
    <col min="1019" max="1024" width="9" style="102"/>
    <col min="1025" max="1025" width="9.5" style="102" bestFit="1" customWidth="1"/>
    <col min="1026" max="1261" width="9" style="102"/>
    <col min="1262" max="1262" width="5.125" style="102" customWidth="1"/>
    <col min="1263" max="1263" width="25.75" style="102" customWidth="1"/>
    <col min="1264" max="1274" width="9" style="102" customWidth="1"/>
    <col min="1275" max="1280" width="9" style="102"/>
    <col min="1281" max="1281" width="9.5" style="102" bestFit="1" customWidth="1"/>
    <col min="1282" max="1517" width="9" style="102"/>
    <col min="1518" max="1518" width="5.125" style="102" customWidth="1"/>
    <col min="1519" max="1519" width="25.75" style="102" customWidth="1"/>
    <col min="1520" max="1530" width="9" style="102" customWidth="1"/>
    <col min="1531" max="1536" width="9" style="102"/>
    <col min="1537" max="1537" width="9.5" style="102" bestFit="1" customWidth="1"/>
    <col min="1538" max="1773" width="9" style="102"/>
    <col min="1774" max="1774" width="5.125" style="102" customWidth="1"/>
    <col min="1775" max="1775" width="25.75" style="102" customWidth="1"/>
    <col min="1776" max="1786" width="9" style="102" customWidth="1"/>
    <col min="1787" max="1792" width="9" style="102"/>
    <col min="1793" max="1793" width="9.5" style="102" bestFit="1" customWidth="1"/>
    <col min="1794" max="2029" width="9" style="102"/>
    <col min="2030" max="2030" width="5.125" style="102" customWidth="1"/>
    <col min="2031" max="2031" width="25.75" style="102" customWidth="1"/>
    <col min="2032" max="2042" width="9" style="102" customWidth="1"/>
    <col min="2043" max="2048" width="9" style="102"/>
    <col min="2049" max="2049" width="9.5" style="102" bestFit="1" customWidth="1"/>
    <col min="2050" max="2285" width="9" style="102"/>
    <col min="2286" max="2286" width="5.125" style="102" customWidth="1"/>
    <col min="2287" max="2287" width="25.75" style="102" customWidth="1"/>
    <col min="2288" max="2298" width="9" style="102" customWidth="1"/>
    <col min="2299" max="2304" width="9" style="102"/>
    <col min="2305" max="2305" width="9.5" style="102" bestFit="1" customWidth="1"/>
    <col min="2306" max="2541" width="9" style="102"/>
    <col min="2542" max="2542" width="5.125" style="102" customWidth="1"/>
    <col min="2543" max="2543" width="25.75" style="102" customWidth="1"/>
    <col min="2544" max="2554" width="9" style="102" customWidth="1"/>
    <col min="2555" max="2560" width="9" style="102"/>
    <col min="2561" max="2561" width="9.5" style="102" bestFit="1" customWidth="1"/>
    <col min="2562" max="2797" width="9" style="102"/>
    <col min="2798" max="2798" width="5.125" style="102" customWidth="1"/>
    <col min="2799" max="2799" width="25.75" style="102" customWidth="1"/>
    <col min="2800" max="2810" width="9" style="102" customWidth="1"/>
    <col min="2811" max="2816" width="9" style="102"/>
    <col min="2817" max="2817" width="9.5" style="102" bestFit="1" customWidth="1"/>
    <col min="2818" max="3053" width="9" style="102"/>
    <col min="3054" max="3054" width="5.125" style="102" customWidth="1"/>
    <col min="3055" max="3055" width="25.75" style="102" customWidth="1"/>
    <col min="3056" max="3066" width="9" style="102" customWidth="1"/>
    <col min="3067" max="3072" width="9" style="102"/>
    <col min="3073" max="3073" width="9.5" style="102" bestFit="1" customWidth="1"/>
    <col min="3074" max="3309" width="9" style="102"/>
    <col min="3310" max="3310" width="5.125" style="102" customWidth="1"/>
    <col min="3311" max="3311" width="25.75" style="102" customWidth="1"/>
    <col min="3312" max="3322" width="9" style="102" customWidth="1"/>
    <col min="3323" max="3328" width="9" style="102"/>
    <col min="3329" max="3329" width="9.5" style="102" bestFit="1" customWidth="1"/>
    <col min="3330" max="3565" width="9" style="102"/>
    <col min="3566" max="3566" width="5.125" style="102" customWidth="1"/>
    <col min="3567" max="3567" width="25.75" style="102" customWidth="1"/>
    <col min="3568" max="3578" width="9" style="102" customWidth="1"/>
    <col min="3579" max="3584" width="9" style="102"/>
    <col min="3585" max="3585" width="9.5" style="102" bestFit="1" customWidth="1"/>
    <col min="3586" max="3821" width="9" style="102"/>
    <col min="3822" max="3822" width="5.125" style="102" customWidth="1"/>
    <col min="3823" max="3823" width="25.75" style="102" customWidth="1"/>
    <col min="3824" max="3834" width="9" style="102" customWidth="1"/>
    <col min="3835" max="3840" width="9" style="102"/>
    <col min="3841" max="3841" width="9.5" style="102" bestFit="1" customWidth="1"/>
    <col min="3842" max="4077" width="9" style="102"/>
    <col min="4078" max="4078" width="5.125" style="102" customWidth="1"/>
    <col min="4079" max="4079" width="25.75" style="102" customWidth="1"/>
    <col min="4080" max="4090" width="9" style="102" customWidth="1"/>
    <col min="4091" max="4096" width="9" style="102"/>
    <col min="4097" max="4097" width="9.5" style="102" bestFit="1" customWidth="1"/>
    <col min="4098" max="4333" width="9" style="102"/>
    <col min="4334" max="4334" width="5.125" style="102" customWidth="1"/>
    <col min="4335" max="4335" width="25.75" style="102" customWidth="1"/>
    <col min="4336" max="4346" width="9" style="102" customWidth="1"/>
    <col min="4347" max="4352" width="9" style="102"/>
    <col min="4353" max="4353" width="9.5" style="102" bestFit="1" customWidth="1"/>
    <col min="4354" max="4589" width="9" style="102"/>
    <col min="4590" max="4590" width="5.125" style="102" customWidth="1"/>
    <col min="4591" max="4591" width="25.75" style="102" customWidth="1"/>
    <col min="4592" max="4602" width="9" style="102" customWidth="1"/>
    <col min="4603" max="4608" width="9" style="102"/>
    <col min="4609" max="4609" width="9.5" style="102" bestFit="1" customWidth="1"/>
    <col min="4610" max="4845" width="9" style="102"/>
    <col min="4846" max="4846" width="5.125" style="102" customWidth="1"/>
    <col min="4847" max="4847" width="25.75" style="102" customWidth="1"/>
    <col min="4848" max="4858" width="9" style="102" customWidth="1"/>
    <col min="4859" max="4864" width="9" style="102"/>
    <col min="4865" max="4865" width="9.5" style="102" bestFit="1" customWidth="1"/>
    <col min="4866" max="5101" width="9" style="102"/>
    <col min="5102" max="5102" width="5.125" style="102" customWidth="1"/>
    <col min="5103" max="5103" width="25.75" style="102" customWidth="1"/>
    <col min="5104" max="5114" width="9" style="102" customWidth="1"/>
    <col min="5115" max="5120" width="9" style="102"/>
    <col min="5121" max="5121" width="9.5" style="102" bestFit="1" customWidth="1"/>
    <col min="5122" max="5357" width="9" style="102"/>
    <col min="5358" max="5358" width="5.125" style="102" customWidth="1"/>
    <col min="5359" max="5359" width="25.75" style="102" customWidth="1"/>
    <col min="5360" max="5370" width="9" style="102" customWidth="1"/>
    <col min="5371" max="5376" width="9" style="102"/>
    <col min="5377" max="5377" width="9.5" style="102" bestFit="1" customWidth="1"/>
    <col min="5378" max="5613" width="9" style="102"/>
    <col min="5614" max="5614" width="5.125" style="102" customWidth="1"/>
    <col min="5615" max="5615" width="25.75" style="102" customWidth="1"/>
    <col min="5616" max="5626" width="9" style="102" customWidth="1"/>
    <col min="5627" max="5632" width="9" style="102"/>
    <col min="5633" max="5633" width="9.5" style="102" bestFit="1" customWidth="1"/>
    <col min="5634" max="5869" width="9" style="102"/>
    <col min="5870" max="5870" width="5.125" style="102" customWidth="1"/>
    <col min="5871" max="5871" width="25.75" style="102" customWidth="1"/>
    <col min="5872" max="5882" width="9" style="102" customWidth="1"/>
    <col min="5883" max="5888" width="9" style="102"/>
    <col min="5889" max="5889" width="9.5" style="102" bestFit="1" customWidth="1"/>
    <col min="5890" max="6125" width="9" style="102"/>
    <col min="6126" max="6126" width="5.125" style="102" customWidth="1"/>
    <col min="6127" max="6127" width="25.75" style="102" customWidth="1"/>
    <col min="6128" max="6138" width="9" style="102" customWidth="1"/>
    <col min="6139" max="6144" width="9" style="102"/>
    <col min="6145" max="6145" width="9.5" style="102" bestFit="1" customWidth="1"/>
    <col min="6146" max="6381" width="9" style="102"/>
    <col min="6382" max="6382" width="5.125" style="102" customWidth="1"/>
    <col min="6383" max="6383" width="25.75" style="102" customWidth="1"/>
    <col min="6384" max="6394" width="9" style="102" customWidth="1"/>
    <col min="6395" max="6400" width="9" style="102"/>
    <col min="6401" max="6401" width="9.5" style="102" bestFit="1" customWidth="1"/>
    <col min="6402" max="6637" width="9" style="102"/>
    <col min="6638" max="6638" width="5.125" style="102" customWidth="1"/>
    <col min="6639" max="6639" width="25.75" style="102" customWidth="1"/>
    <col min="6640" max="6650" width="9" style="102" customWidth="1"/>
    <col min="6651" max="6656" width="9" style="102"/>
    <col min="6657" max="6657" width="9.5" style="102" bestFit="1" customWidth="1"/>
    <col min="6658" max="6893" width="9" style="102"/>
    <col min="6894" max="6894" width="5.125" style="102" customWidth="1"/>
    <col min="6895" max="6895" width="25.75" style="102" customWidth="1"/>
    <col min="6896" max="6906" width="9" style="102" customWidth="1"/>
    <col min="6907" max="6912" width="9" style="102"/>
    <col min="6913" max="6913" width="9.5" style="102" bestFit="1" customWidth="1"/>
    <col min="6914" max="7149" width="9" style="102"/>
    <col min="7150" max="7150" width="5.125" style="102" customWidth="1"/>
    <col min="7151" max="7151" width="25.75" style="102" customWidth="1"/>
    <col min="7152" max="7162" width="9" style="102" customWidth="1"/>
    <col min="7163" max="7168" width="9" style="102"/>
    <col min="7169" max="7169" width="9.5" style="102" bestFit="1" customWidth="1"/>
    <col min="7170" max="7405" width="9" style="102"/>
    <col min="7406" max="7406" width="5.125" style="102" customWidth="1"/>
    <col min="7407" max="7407" width="25.75" style="102" customWidth="1"/>
    <col min="7408" max="7418" width="9" style="102" customWidth="1"/>
    <col min="7419" max="7424" width="9" style="102"/>
    <col min="7425" max="7425" width="9.5" style="102" bestFit="1" customWidth="1"/>
    <col min="7426" max="7661" width="9" style="102"/>
    <col min="7662" max="7662" width="5.125" style="102" customWidth="1"/>
    <col min="7663" max="7663" width="25.75" style="102" customWidth="1"/>
    <col min="7664" max="7674" width="9" style="102" customWidth="1"/>
    <col min="7675" max="7680" width="9" style="102"/>
    <col min="7681" max="7681" width="9.5" style="102" bestFit="1" customWidth="1"/>
    <col min="7682" max="7917" width="9" style="102"/>
    <col min="7918" max="7918" width="5.125" style="102" customWidth="1"/>
    <col min="7919" max="7919" width="25.75" style="102" customWidth="1"/>
    <col min="7920" max="7930" width="9" style="102" customWidth="1"/>
    <col min="7931" max="7936" width="9" style="102"/>
    <col min="7937" max="7937" width="9.5" style="102" bestFit="1" customWidth="1"/>
    <col min="7938" max="8173" width="9" style="102"/>
    <col min="8174" max="8174" width="5.125" style="102" customWidth="1"/>
    <col min="8175" max="8175" width="25.75" style="102" customWidth="1"/>
    <col min="8176" max="8186" width="9" style="102" customWidth="1"/>
    <col min="8187" max="8192" width="9" style="102"/>
    <col min="8193" max="8193" width="9.5" style="102" bestFit="1" customWidth="1"/>
    <col min="8194" max="8429" width="9" style="102"/>
    <col min="8430" max="8430" width="5.125" style="102" customWidth="1"/>
    <col min="8431" max="8431" width="25.75" style="102" customWidth="1"/>
    <col min="8432" max="8442" width="9" style="102" customWidth="1"/>
    <col min="8443" max="8448" width="9" style="102"/>
    <col min="8449" max="8449" width="9.5" style="102" bestFit="1" customWidth="1"/>
    <col min="8450" max="8685" width="9" style="102"/>
    <col min="8686" max="8686" width="5.125" style="102" customWidth="1"/>
    <col min="8687" max="8687" width="25.75" style="102" customWidth="1"/>
    <col min="8688" max="8698" width="9" style="102" customWidth="1"/>
    <col min="8699" max="8704" width="9" style="102"/>
    <col min="8705" max="8705" width="9.5" style="102" bestFit="1" customWidth="1"/>
    <col min="8706" max="8941" width="9" style="102"/>
    <col min="8942" max="8942" width="5.125" style="102" customWidth="1"/>
    <col min="8943" max="8943" width="25.75" style="102" customWidth="1"/>
    <col min="8944" max="8954" width="9" style="102" customWidth="1"/>
    <col min="8955" max="8960" width="9" style="102"/>
    <col min="8961" max="8961" width="9.5" style="102" bestFit="1" customWidth="1"/>
    <col min="8962" max="9197" width="9" style="102"/>
    <col min="9198" max="9198" width="5.125" style="102" customWidth="1"/>
    <col min="9199" max="9199" width="25.75" style="102" customWidth="1"/>
    <col min="9200" max="9210" width="9" style="102" customWidth="1"/>
    <col min="9211" max="9216" width="9" style="102"/>
    <col min="9217" max="9217" width="9.5" style="102" bestFit="1" customWidth="1"/>
    <col min="9218" max="9453" width="9" style="102"/>
    <col min="9454" max="9454" width="5.125" style="102" customWidth="1"/>
    <col min="9455" max="9455" width="25.75" style="102" customWidth="1"/>
    <col min="9456" max="9466" width="9" style="102" customWidth="1"/>
    <col min="9467" max="9472" width="9" style="102"/>
    <col min="9473" max="9473" width="9.5" style="102" bestFit="1" customWidth="1"/>
    <col min="9474" max="9709" width="9" style="102"/>
    <col min="9710" max="9710" width="5.125" style="102" customWidth="1"/>
    <col min="9711" max="9711" width="25.75" style="102" customWidth="1"/>
    <col min="9712" max="9722" width="9" style="102" customWidth="1"/>
    <col min="9723" max="9728" width="9" style="102"/>
    <col min="9729" max="9729" width="9.5" style="102" bestFit="1" customWidth="1"/>
    <col min="9730" max="9965" width="9" style="102"/>
    <col min="9966" max="9966" width="5.125" style="102" customWidth="1"/>
    <col min="9967" max="9967" width="25.75" style="102" customWidth="1"/>
    <col min="9968" max="9978" width="9" style="102" customWidth="1"/>
    <col min="9979" max="9984" width="9" style="102"/>
    <col min="9985" max="9985" width="9.5" style="102" bestFit="1" customWidth="1"/>
    <col min="9986" max="10221" width="9" style="102"/>
    <col min="10222" max="10222" width="5.125" style="102" customWidth="1"/>
    <col min="10223" max="10223" width="25.75" style="102" customWidth="1"/>
    <col min="10224" max="10234" width="9" style="102" customWidth="1"/>
    <col min="10235" max="10240" width="9" style="102"/>
    <col min="10241" max="10241" width="9.5" style="102" bestFit="1" customWidth="1"/>
    <col min="10242" max="10477" width="9" style="102"/>
    <col min="10478" max="10478" width="5.125" style="102" customWidth="1"/>
    <col min="10479" max="10479" width="25.75" style="102" customWidth="1"/>
    <col min="10480" max="10490" width="9" style="102" customWidth="1"/>
    <col min="10491" max="10496" width="9" style="102"/>
    <col min="10497" max="10497" width="9.5" style="102" bestFit="1" customWidth="1"/>
    <col min="10498" max="10733" width="9" style="102"/>
    <col min="10734" max="10734" width="5.125" style="102" customWidth="1"/>
    <col min="10735" max="10735" width="25.75" style="102" customWidth="1"/>
    <col min="10736" max="10746" width="9" style="102" customWidth="1"/>
    <col min="10747" max="10752" width="9" style="102"/>
    <col min="10753" max="10753" width="9.5" style="102" bestFit="1" customWidth="1"/>
    <col min="10754" max="10989" width="9" style="102"/>
    <col min="10990" max="10990" width="5.125" style="102" customWidth="1"/>
    <col min="10991" max="10991" width="25.75" style="102" customWidth="1"/>
    <col min="10992" max="11002" width="9" style="102" customWidth="1"/>
    <col min="11003" max="11008" width="9" style="102"/>
    <col min="11009" max="11009" width="9.5" style="102" bestFit="1" customWidth="1"/>
    <col min="11010" max="11245" width="9" style="102"/>
    <col min="11246" max="11246" width="5.125" style="102" customWidth="1"/>
    <col min="11247" max="11247" width="25.75" style="102" customWidth="1"/>
    <col min="11248" max="11258" width="9" style="102" customWidth="1"/>
    <col min="11259" max="11264" width="9" style="102"/>
    <col min="11265" max="11265" width="9.5" style="102" bestFit="1" customWidth="1"/>
    <col min="11266" max="11501" width="9" style="102"/>
    <col min="11502" max="11502" width="5.125" style="102" customWidth="1"/>
    <col min="11503" max="11503" width="25.75" style="102" customWidth="1"/>
    <col min="11504" max="11514" width="9" style="102" customWidth="1"/>
    <col min="11515" max="11520" width="9" style="102"/>
    <col min="11521" max="11521" width="9.5" style="102" bestFit="1" customWidth="1"/>
    <col min="11522" max="11757" width="9" style="102"/>
    <col min="11758" max="11758" width="5.125" style="102" customWidth="1"/>
    <col min="11759" max="11759" width="25.75" style="102" customWidth="1"/>
    <col min="11760" max="11770" width="9" style="102" customWidth="1"/>
    <col min="11771" max="11776" width="9" style="102"/>
    <col min="11777" max="11777" width="9.5" style="102" bestFit="1" customWidth="1"/>
    <col min="11778" max="12013" width="9" style="102"/>
    <col min="12014" max="12014" width="5.125" style="102" customWidth="1"/>
    <col min="12015" max="12015" width="25.75" style="102" customWidth="1"/>
    <col min="12016" max="12026" width="9" style="102" customWidth="1"/>
    <col min="12027" max="12032" width="9" style="102"/>
    <col min="12033" max="12033" width="9.5" style="102" bestFit="1" customWidth="1"/>
    <col min="12034" max="12269" width="9" style="102"/>
    <col min="12270" max="12270" width="5.125" style="102" customWidth="1"/>
    <col min="12271" max="12271" width="25.75" style="102" customWidth="1"/>
    <col min="12272" max="12282" width="9" style="102" customWidth="1"/>
    <col min="12283" max="12288" width="9" style="102"/>
    <col min="12289" max="12289" width="9.5" style="102" bestFit="1" customWidth="1"/>
    <col min="12290" max="12525" width="9" style="102"/>
    <col min="12526" max="12526" width="5.125" style="102" customWidth="1"/>
    <col min="12527" max="12527" width="25.75" style="102" customWidth="1"/>
    <col min="12528" max="12538" width="9" style="102" customWidth="1"/>
    <col min="12539" max="12544" width="9" style="102"/>
    <col min="12545" max="12545" width="9.5" style="102" bestFit="1" customWidth="1"/>
    <col min="12546" max="12781" width="9" style="102"/>
    <col min="12782" max="12782" width="5.125" style="102" customWidth="1"/>
    <col min="12783" max="12783" width="25.75" style="102" customWidth="1"/>
    <col min="12784" max="12794" width="9" style="102" customWidth="1"/>
    <col min="12795" max="12800" width="9" style="102"/>
    <col min="12801" max="12801" width="9.5" style="102" bestFit="1" customWidth="1"/>
    <col min="12802" max="13037" width="9" style="102"/>
    <col min="13038" max="13038" width="5.125" style="102" customWidth="1"/>
    <col min="13039" max="13039" width="25.75" style="102" customWidth="1"/>
    <col min="13040" max="13050" width="9" style="102" customWidth="1"/>
    <col min="13051" max="13056" width="9" style="102"/>
    <col min="13057" max="13057" width="9.5" style="102" bestFit="1" customWidth="1"/>
    <col min="13058" max="13293" width="9" style="102"/>
    <col min="13294" max="13294" width="5.125" style="102" customWidth="1"/>
    <col min="13295" max="13295" width="25.75" style="102" customWidth="1"/>
    <col min="13296" max="13306" width="9" style="102" customWidth="1"/>
    <col min="13307" max="13312" width="9" style="102"/>
    <col min="13313" max="13313" width="9.5" style="102" bestFit="1" customWidth="1"/>
    <col min="13314" max="13549" width="9" style="102"/>
    <col min="13550" max="13550" width="5.125" style="102" customWidth="1"/>
    <col min="13551" max="13551" width="25.75" style="102" customWidth="1"/>
    <col min="13552" max="13562" width="9" style="102" customWidth="1"/>
    <col min="13563" max="13568" width="9" style="102"/>
    <col min="13569" max="13569" width="9.5" style="102" bestFit="1" customWidth="1"/>
    <col min="13570" max="13805" width="9" style="102"/>
    <col min="13806" max="13806" width="5.125" style="102" customWidth="1"/>
    <col min="13807" max="13807" width="25.75" style="102" customWidth="1"/>
    <col min="13808" max="13818" width="9" style="102" customWidth="1"/>
    <col min="13819" max="13824" width="9" style="102"/>
    <col min="13825" max="13825" width="9.5" style="102" bestFit="1" customWidth="1"/>
    <col min="13826" max="14061" width="9" style="102"/>
    <col min="14062" max="14062" width="5.125" style="102" customWidth="1"/>
    <col min="14063" max="14063" width="25.75" style="102" customWidth="1"/>
    <col min="14064" max="14074" width="9" style="102" customWidth="1"/>
    <col min="14075" max="14080" width="9" style="102"/>
    <col min="14081" max="14081" width="9.5" style="102" bestFit="1" customWidth="1"/>
    <col min="14082" max="14317" width="9" style="102"/>
    <col min="14318" max="14318" width="5.125" style="102" customWidth="1"/>
    <col min="14319" max="14319" width="25.75" style="102" customWidth="1"/>
    <col min="14320" max="14330" width="9" style="102" customWidth="1"/>
    <col min="14331" max="14336" width="9" style="102"/>
    <col min="14337" max="14337" width="9.5" style="102" bestFit="1" customWidth="1"/>
    <col min="14338" max="14573" width="9" style="102"/>
    <col min="14574" max="14574" width="5.125" style="102" customWidth="1"/>
    <col min="14575" max="14575" width="25.75" style="102" customWidth="1"/>
    <col min="14576" max="14586" width="9" style="102" customWidth="1"/>
    <col min="14587" max="14592" width="9" style="102"/>
    <col min="14593" max="14593" width="9.5" style="102" bestFit="1" customWidth="1"/>
    <col min="14594" max="14829" width="9" style="102"/>
    <col min="14830" max="14830" width="5.125" style="102" customWidth="1"/>
    <col min="14831" max="14831" width="25.75" style="102" customWidth="1"/>
    <col min="14832" max="14842" width="9" style="102" customWidth="1"/>
    <col min="14843" max="14848" width="9" style="102"/>
    <col min="14849" max="14849" width="9.5" style="102" bestFit="1" customWidth="1"/>
    <col min="14850" max="15085" width="9" style="102"/>
    <col min="15086" max="15086" width="5.125" style="102" customWidth="1"/>
    <col min="15087" max="15087" width="25.75" style="102" customWidth="1"/>
    <col min="15088" max="15098" width="9" style="102" customWidth="1"/>
    <col min="15099" max="15104" width="9" style="102"/>
    <col min="15105" max="15105" width="9.5" style="102" bestFit="1" customWidth="1"/>
    <col min="15106" max="15341" width="9" style="102"/>
    <col min="15342" max="15342" width="5.125" style="102" customWidth="1"/>
    <col min="15343" max="15343" width="25.75" style="102" customWidth="1"/>
    <col min="15344" max="15354" width="9" style="102" customWidth="1"/>
    <col min="15355" max="15360" width="9" style="102"/>
    <col min="15361" max="15361" width="9.5" style="102" bestFit="1" customWidth="1"/>
    <col min="15362" max="15597" width="9" style="102"/>
    <col min="15598" max="15598" width="5.125" style="102" customWidth="1"/>
    <col min="15599" max="15599" width="25.75" style="102" customWidth="1"/>
    <col min="15600" max="15610" width="9" style="102" customWidth="1"/>
    <col min="15611" max="15616" width="9" style="102"/>
    <col min="15617" max="15617" width="9.5" style="102" bestFit="1" customWidth="1"/>
    <col min="15618" max="15853" width="9" style="102"/>
    <col min="15854" max="15854" width="5.125" style="102" customWidth="1"/>
    <col min="15855" max="15855" width="25.75" style="102" customWidth="1"/>
    <col min="15856" max="15866" width="9" style="102" customWidth="1"/>
    <col min="15867" max="15872" width="9" style="102"/>
    <col min="15873" max="15873" width="9.5" style="102" bestFit="1" customWidth="1"/>
    <col min="15874" max="16109" width="9" style="102"/>
    <col min="16110" max="16110" width="5.125" style="102" customWidth="1"/>
    <col min="16111" max="16111" width="25.75" style="102" customWidth="1"/>
    <col min="16112" max="16122" width="9" style="102" customWidth="1"/>
    <col min="16123" max="16128" width="9" style="102"/>
    <col min="16129" max="16129" width="9.5" style="102" bestFit="1" customWidth="1"/>
    <col min="16130" max="16384" width="9" style="102"/>
  </cols>
  <sheetData>
    <row r="1" spans="1:6" ht="20.25" customHeight="1">
      <c r="A1" s="263" t="s">
        <v>235</v>
      </c>
      <c r="B1" s="263"/>
      <c r="C1" s="263"/>
      <c r="D1" s="263"/>
      <c r="E1" s="263"/>
      <c r="F1" s="264"/>
    </row>
    <row r="2" spans="1:6" ht="20.25" customHeight="1">
      <c r="A2" s="114" t="s">
        <v>222</v>
      </c>
      <c r="B2" s="114" t="s">
        <v>223</v>
      </c>
      <c r="C2" s="114" t="s">
        <v>1</v>
      </c>
      <c r="D2" s="114" t="s">
        <v>83</v>
      </c>
      <c r="E2" s="114" t="s">
        <v>84</v>
      </c>
      <c r="F2" s="114" t="s">
        <v>196</v>
      </c>
    </row>
    <row r="3" spans="1:6" s="104" customFormat="1" ht="20.25" customHeight="1">
      <c r="A3" s="103" t="s">
        <v>24</v>
      </c>
      <c r="B3" s="103" t="s">
        <v>112</v>
      </c>
      <c r="C3" s="103" t="s">
        <v>230</v>
      </c>
      <c r="D3" s="153">
        <v>1021</v>
      </c>
      <c r="E3" s="153">
        <v>582</v>
      </c>
      <c r="F3" s="66">
        <f t="shared" ref="F3" si="0">D3*350+E3*430</f>
        <v>607610</v>
      </c>
    </row>
    <row r="4" spans="1:6" s="104" customFormat="1" ht="20.25" customHeight="1">
      <c r="A4" s="106"/>
      <c r="B4" s="106"/>
      <c r="C4" s="106" t="s">
        <v>231</v>
      </c>
      <c r="D4" s="105">
        <f>SUM(D3)</f>
        <v>1021</v>
      </c>
      <c r="E4" s="105">
        <f t="shared" ref="E4:F4" si="1">SUM(E3)</f>
        <v>582</v>
      </c>
      <c r="F4" s="105">
        <f t="shared" si="1"/>
        <v>607610</v>
      </c>
    </row>
  </sheetData>
  <mergeCells count="1">
    <mergeCell ref="A1:F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N60"/>
  <sheetViews>
    <sheetView workbookViewId="0">
      <selection activeCell="E6" sqref="A6:XFD13"/>
    </sheetView>
  </sheetViews>
  <sheetFormatPr defaultColWidth="9.875" defaultRowHeight="14.25"/>
  <cols>
    <col min="1" max="1" width="5.375" style="159" customWidth="1"/>
    <col min="2" max="2" width="7.5" style="159" customWidth="1"/>
    <col min="3" max="3" width="9.375" style="159" customWidth="1"/>
    <col min="4" max="4" width="12.75" style="159" customWidth="1"/>
    <col min="5" max="5" width="15.5" style="159" customWidth="1"/>
    <col min="6" max="7" width="6.125" style="159" hidden="1" customWidth="1"/>
    <col min="8" max="8" width="9.5" style="159" hidden="1" customWidth="1"/>
    <col min="9" max="9" width="13.5" style="171" hidden="1" customWidth="1"/>
    <col min="10" max="11" width="7.875" style="159" customWidth="1"/>
    <col min="12" max="12" width="9.5" style="159" customWidth="1"/>
    <col min="13" max="13" width="13.875" style="171" customWidth="1"/>
    <col min="14" max="239" width="9.875" style="159"/>
    <col min="240" max="240" width="5.375" style="159" customWidth="1"/>
    <col min="241" max="241" width="7.5" style="159" customWidth="1"/>
    <col min="242" max="242" width="6.5" style="159" customWidth="1"/>
    <col min="243" max="243" width="9.375" style="159" customWidth="1"/>
    <col min="244" max="244" width="14.125" style="159" customWidth="1"/>
    <col min="245" max="245" width="24.125" style="159" customWidth="1"/>
    <col min="246" max="246" width="9.75" style="159" customWidth="1"/>
    <col min="247" max="247" width="9.25" style="159" customWidth="1"/>
    <col min="248" max="248" width="14.125" style="159" customWidth="1"/>
    <col min="249" max="249" width="16" style="159" customWidth="1"/>
    <col min="250" max="250" width="12" style="159" customWidth="1"/>
    <col min="251" max="495" width="9.875" style="159"/>
    <col min="496" max="496" width="5.375" style="159" customWidth="1"/>
    <col min="497" max="497" width="7.5" style="159" customWidth="1"/>
    <col min="498" max="498" width="6.5" style="159" customWidth="1"/>
    <col min="499" max="499" width="9.375" style="159" customWidth="1"/>
    <col min="500" max="500" width="14.125" style="159" customWidth="1"/>
    <col min="501" max="501" width="24.125" style="159" customWidth="1"/>
    <col min="502" max="502" width="9.75" style="159" customWidth="1"/>
    <col min="503" max="503" width="9.25" style="159" customWidth="1"/>
    <col min="504" max="504" width="14.125" style="159" customWidth="1"/>
    <col min="505" max="505" width="16" style="159" customWidth="1"/>
    <col min="506" max="506" width="12" style="159" customWidth="1"/>
    <col min="507" max="751" width="9.875" style="159"/>
    <col min="752" max="752" width="5.375" style="159" customWidth="1"/>
    <col min="753" max="753" width="7.5" style="159" customWidth="1"/>
    <col min="754" max="754" width="6.5" style="159" customWidth="1"/>
    <col min="755" max="755" width="9.375" style="159" customWidth="1"/>
    <col min="756" max="756" width="14.125" style="159" customWidth="1"/>
    <col min="757" max="757" width="24.125" style="159" customWidth="1"/>
    <col min="758" max="758" width="9.75" style="159" customWidth="1"/>
    <col min="759" max="759" width="9.25" style="159" customWidth="1"/>
    <col min="760" max="760" width="14.125" style="159" customWidth="1"/>
    <col min="761" max="761" width="16" style="159" customWidth="1"/>
    <col min="762" max="762" width="12" style="159" customWidth="1"/>
    <col min="763" max="1007" width="9.875" style="159"/>
    <col min="1008" max="1008" width="5.375" style="159" customWidth="1"/>
    <col min="1009" max="1009" width="7.5" style="159" customWidth="1"/>
    <col min="1010" max="1010" width="6.5" style="159" customWidth="1"/>
    <col min="1011" max="1011" width="9.375" style="159" customWidth="1"/>
    <col min="1012" max="1012" width="14.125" style="159" customWidth="1"/>
    <col min="1013" max="1013" width="24.125" style="159" customWidth="1"/>
    <col min="1014" max="1014" width="9.75" style="159" customWidth="1"/>
    <col min="1015" max="1015" width="9.25" style="159" customWidth="1"/>
    <col min="1016" max="1016" width="14.125" style="159" customWidth="1"/>
    <col min="1017" max="1017" width="16" style="159" customWidth="1"/>
    <col min="1018" max="1018" width="12" style="159" customWidth="1"/>
    <col min="1019" max="1263" width="9.875" style="159"/>
    <col min="1264" max="1264" width="5.375" style="159" customWidth="1"/>
    <col min="1265" max="1265" width="7.5" style="159" customWidth="1"/>
    <col min="1266" max="1266" width="6.5" style="159" customWidth="1"/>
    <col min="1267" max="1267" width="9.375" style="159" customWidth="1"/>
    <col min="1268" max="1268" width="14.125" style="159" customWidth="1"/>
    <col min="1269" max="1269" width="24.125" style="159" customWidth="1"/>
    <col min="1270" max="1270" width="9.75" style="159" customWidth="1"/>
    <col min="1271" max="1271" width="9.25" style="159" customWidth="1"/>
    <col min="1272" max="1272" width="14.125" style="159" customWidth="1"/>
    <col min="1273" max="1273" width="16" style="159" customWidth="1"/>
    <col min="1274" max="1274" width="12" style="159" customWidth="1"/>
    <col min="1275" max="1519" width="9.875" style="159"/>
    <col min="1520" max="1520" width="5.375" style="159" customWidth="1"/>
    <col min="1521" max="1521" width="7.5" style="159" customWidth="1"/>
    <col min="1522" max="1522" width="6.5" style="159" customWidth="1"/>
    <col min="1523" max="1523" width="9.375" style="159" customWidth="1"/>
    <col min="1524" max="1524" width="14.125" style="159" customWidth="1"/>
    <col min="1525" max="1525" width="24.125" style="159" customWidth="1"/>
    <col min="1526" max="1526" width="9.75" style="159" customWidth="1"/>
    <col min="1527" max="1527" width="9.25" style="159" customWidth="1"/>
    <col min="1528" max="1528" width="14.125" style="159" customWidth="1"/>
    <col min="1529" max="1529" width="16" style="159" customWidth="1"/>
    <col min="1530" max="1530" width="12" style="159" customWidth="1"/>
    <col min="1531" max="1775" width="9.875" style="159"/>
    <col min="1776" max="1776" width="5.375" style="159" customWidth="1"/>
    <col min="1777" max="1777" width="7.5" style="159" customWidth="1"/>
    <col min="1778" max="1778" width="6.5" style="159" customWidth="1"/>
    <col min="1779" max="1779" width="9.375" style="159" customWidth="1"/>
    <col min="1780" max="1780" width="14.125" style="159" customWidth="1"/>
    <col min="1781" max="1781" width="24.125" style="159" customWidth="1"/>
    <col min="1782" max="1782" width="9.75" style="159" customWidth="1"/>
    <col min="1783" max="1783" width="9.25" style="159" customWidth="1"/>
    <col min="1784" max="1784" width="14.125" style="159" customWidth="1"/>
    <col min="1785" max="1785" width="16" style="159" customWidth="1"/>
    <col min="1786" max="1786" width="12" style="159" customWidth="1"/>
    <col min="1787" max="2031" width="9.875" style="159"/>
    <col min="2032" max="2032" width="5.375" style="159" customWidth="1"/>
    <col min="2033" max="2033" width="7.5" style="159" customWidth="1"/>
    <col min="2034" max="2034" width="6.5" style="159" customWidth="1"/>
    <col min="2035" max="2035" width="9.375" style="159" customWidth="1"/>
    <col min="2036" max="2036" width="14.125" style="159" customWidth="1"/>
    <col min="2037" max="2037" width="24.125" style="159" customWidth="1"/>
    <col min="2038" max="2038" width="9.75" style="159" customWidth="1"/>
    <col min="2039" max="2039" width="9.25" style="159" customWidth="1"/>
    <col min="2040" max="2040" width="14.125" style="159" customWidth="1"/>
    <col min="2041" max="2041" width="16" style="159" customWidth="1"/>
    <col min="2042" max="2042" width="12" style="159" customWidth="1"/>
    <col min="2043" max="2287" width="9.875" style="159"/>
    <col min="2288" max="2288" width="5.375" style="159" customWidth="1"/>
    <col min="2289" max="2289" width="7.5" style="159" customWidth="1"/>
    <col min="2290" max="2290" width="6.5" style="159" customWidth="1"/>
    <col min="2291" max="2291" width="9.375" style="159" customWidth="1"/>
    <col min="2292" max="2292" width="14.125" style="159" customWidth="1"/>
    <col min="2293" max="2293" width="24.125" style="159" customWidth="1"/>
    <col min="2294" max="2294" width="9.75" style="159" customWidth="1"/>
    <col min="2295" max="2295" width="9.25" style="159" customWidth="1"/>
    <col min="2296" max="2296" width="14.125" style="159" customWidth="1"/>
    <col min="2297" max="2297" width="16" style="159" customWidth="1"/>
    <col min="2298" max="2298" width="12" style="159" customWidth="1"/>
    <col min="2299" max="2543" width="9.875" style="159"/>
    <col min="2544" max="2544" width="5.375" style="159" customWidth="1"/>
    <col min="2545" max="2545" width="7.5" style="159" customWidth="1"/>
    <col min="2546" max="2546" width="6.5" style="159" customWidth="1"/>
    <col min="2547" max="2547" width="9.375" style="159" customWidth="1"/>
    <col min="2548" max="2548" width="14.125" style="159" customWidth="1"/>
    <col min="2549" max="2549" width="24.125" style="159" customWidth="1"/>
    <col min="2550" max="2550" width="9.75" style="159" customWidth="1"/>
    <col min="2551" max="2551" width="9.25" style="159" customWidth="1"/>
    <col min="2552" max="2552" width="14.125" style="159" customWidth="1"/>
    <col min="2553" max="2553" width="16" style="159" customWidth="1"/>
    <col min="2554" max="2554" width="12" style="159" customWidth="1"/>
    <col min="2555" max="2799" width="9.875" style="159"/>
    <col min="2800" max="2800" width="5.375" style="159" customWidth="1"/>
    <col min="2801" max="2801" width="7.5" style="159" customWidth="1"/>
    <col min="2802" max="2802" width="6.5" style="159" customWidth="1"/>
    <col min="2803" max="2803" width="9.375" style="159" customWidth="1"/>
    <col min="2804" max="2804" width="14.125" style="159" customWidth="1"/>
    <col min="2805" max="2805" width="24.125" style="159" customWidth="1"/>
    <col min="2806" max="2806" width="9.75" style="159" customWidth="1"/>
    <col min="2807" max="2807" width="9.25" style="159" customWidth="1"/>
    <col min="2808" max="2808" width="14.125" style="159" customWidth="1"/>
    <col min="2809" max="2809" width="16" style="159" customWidth="1"/>
    <col min="2810" max="2810" width="12" style="159" customWidth="1"/>
    <col min="2811" max="3055" width="9.875" style="159"/>
    <col min="3056" max="3056" width="5.375" style="159" customWidth="1"/>
    <col min="3057" max="3057" width="7.5" style="159" customWidth="1"/>
    <col min="3058" max="3058" width="6.5" style="159" customWidth="1"/>
    <col min="3059" max="3059" width="9.375" style="159" customWidth="1"/>
    <col min="3060" max="3060" width="14.125" style="159" customWidth="1"/>
    <col min="3061" max="3061" width="24.125" style="159" customWidth="1"/>
    <col min="3062" max="3062" width="9.75" style="159" customWidth="1"/>
    <col min="3063" max="3063" width="9.25" style="159" customWidth="1"/>
    <col min="3064" max="3064" width="14.125" style="159" customWidth="1"/>
    <col min="3065" max="3065" width="16" style="159" customWidth="1"/>
    <col min="3066" max="3066" width="12" style="159" customWidth="1"/>
    <col min="3067" max="3311" width="9.875" style="159"/>
    <col min="3312" max="3312" width="5.375" style="159" customWidth="1"/>
    <col min="3313" max="3313" width="7.5" style="159" customWidth="1"/>
    <col min="3314" max="3314" width="6.5" style="159" customWidth="1"/>
    <col min="3315" max="3315" width="9.375" style="159" customWidth="1"/>
    <col min="3316" max="3316" width="14.125" style="159" customWidth="1"/>
    <col min="3317" max="3317" width="24.125" style="159" customWidth="1"/>
    <col min="3318" max="3318" width="9.75" style="159" customWidth="1"/>
    <col min="3319" max="3319" width="9.25" style="159" customWidth="1"/>
    <col min="3320" max="3320" width="14.125" style="159" customWidth="1"/>
    <col min="3321" max="3321" width="16" style="159" customWidth="1"/>
    <col min="3322" max="3322" width="12" style="159" customWidth="1"/>
    <col min="3323" max="3567" width="9.875" style="159"/>
    <col min="3568" max="3568" width="5.375" style="159" customWidth="1"/>
    <col min="3569" max="3569" width="7.5" style="159" customWidth="1"/>
    <col min="3570" max="3570" width="6.5" style="159" customWidth="1"/>
    <col min="3571" max="3571" width="9.375" style="159" customWidth="1"/>
    <col min="3572" max="3572" width="14.125" style="159" customWidth="1"/>
    <col min="3573" max="3573" width="24.125" style="159" customWidth="1"/>
    <col min="3574" max="3574" width="9.75" style="159" customWidth="1"/>
    <col min="3575" max="3575" width="9.25" style="159" customWidth="1"/>
    <col min="3576" max="3576" width="14.125" style="159" customWidth="1"/>
    <col min="3577" max="3577" width="16" style="159" customWidth="1"/>
    <col min="3578" max="3578" width="12" style="159" customWidth="1"/>
    <col min="3579" max="3823" width="9.875" style="159"/>
    <col min="3824" max="3824" width="5.375" style="159" customWidth="1"/>
    <col min="3825" max="3825" width="7.5" style="159" customWidth="1"/>
    <col min="3826" max="3826" width="6.5" style="159" customWidth="1"/>
    <col min="3827" max="3827" width="9.375" style="159" customWidth="1"/>
    <col min="3828" max="3828" width="14.125" style="159" customWidth="1"/>
    <col min="3829" max="3829" width="24.125" style="159" customWidth="1"/>
    <col min="3830" max="3830" width="9.75" style="159" customWidth="1"/>
    <col min="3831" max="3831" width="9.25" style="159" customWidth="1"/>
    <col min="3832" max="3832" width="14.125" style="159" customWidth="1"/>
    <col min="3833" max="3833" width="16" style="159" customWidth="1"/>
    <col min="3834" max="3834" width="12" style="159" customWidth="1"/>
    <col min="3835" max="4079" width="9.875" style="159"/>
    <col min="4080" max="4080" width="5.375" style="159" customWidth="1"/>
    <col min="4081" max="4081" width="7.5" style="159" customWidth="1"/>
    <col min="4082" max="4082" width="6.5" style="159" customWidth="1"/>
    <col min="4083" max="4083" width="9.375" style="159" customWidth="1"/>
    <col min="4084" max="4084" width="14.125" style="159" customWidth="1"/>
    <col min="4085" max="4085" width="24.125" style="159" customWidth="1"/>
    <col min="4086" max="4086" width="9.75" style="159" customWidth="1"/>
    <col min="4087" max="4087" width="9.25" style="159" customWidth="1"/>
    <col min="4088" max="4088" width="14.125" style="159" customWidth="1"/>
    <col min="4089" max="4089" width="16" style="159" customWidth="1"/>
    <col min="4090" max="4090" width="12" style="159" customWidth="1"/>
    <col min="4091" max="4335" width="9.875" style="159"/>
    <col min="4336" max="4336" width="5.375" style="159" customWidth="1"/>
    <col min="4337" max="4337" width="7.5" style="159" customWidth="1"/>
    <col min="4338" max="4338" width="6.5" style="159" customWidth="1"/>
    <col min="4339" max="4339" width="9.375" style="159" customWidth="1"/>
    <col min="4340" max="4340" width="14.125" style="159" customWidth="1"/>
    <col min="4341" max="4341" width="24.125" style="159" customWidth="1"/>
    <col min="4342" max="4342" width="9.75" style="159" customWidth="1"/>
    <col min="4343" max="4343" width="9.25" style="159" customWidth="1"/>
    <col min="4344" max="4344" width="14.125" style="159" customWidth="1"/>
    <col min="4345" max="4345" width="16" style="159" customWidth="1"/>
    <col min="4346" max="4346" width="12" style="159" customWidth="1"/>
    <col min="4347" max="4591" width="9.875" style="159"/>
    <col min="4592" max="4592" width="5.375" style="159" customWidth="1"/>
    <col min="4593" max="4593" width="7.5" style="159" customWidth="1"/>
    <col min="4594" max="4594" width="6.5" style="159" customWidth="1"/>
    <col min="4595" max="4595" width="9.375" style="159" customWidth="1"/>
    <col min="4596" max="4596" width="14.125" style="159" customWidth="1"/>
    <col min="4597" max="4597" width="24.125" style="159" customWidth="1"/>
    <col min="4598" max="4598" width="9.75" style="159" customWidth="1"/>
    <col min="4599" max="4599" width="9.25" style="159" customWidth="1"/>
    <col min="4600" max="4600" width="14.125" style="159" customWidth="1"/>
    <col min="4601" max="4601" width="16" style="159" customWidth="1"/>
    <col min="4602" max="4602" width="12" style="159" customWidth="1"/>
    <col min="4603" max="4847" width="9.875" style="159"/>
    <col min="4848" max="4848" width="5.375" style="159" customWidth="1"/>
    <col min="4849" max="4849" width="7.5" style="159" customWidth="1"/>
    <col min="4850" max="4850" width="6.5" style="159" customWidth="1"/>
    <col min="4851" max="4851" width="9.375" style="159" customWidth="1"/>
    <col min="4852" max="4852" width="14.125" style="159" customWidth="1"/>
    <col min="4853" max="4853" width="24.125" style="159" customWidth="1"/>
    <col min="4854" max="4854" width="9.75" style="159" customWidth="1"/>
    <col min="4855" max="4855" width="9.25" style="159" customWidth="1"/>
    <col min="4856" max="4856" width="14.125" style="159" customWidth="1"/>
    <col min="4857" max="4857" width="16" style="159" customWidth="1"/>
    <col min="4858" max="4858" width="12" style="159" customWidth="1"/>
    <col min="4859" max="5103" width="9.875" style="159"/>
    <col min="5104" max="5104" width="5.375" style="159" customWidth="1"/>
    <col min="5105" max="5105" width="7.5" style="159" customWidth="1"/>
    <col min="5106" max="5106" width="6.5" style="159" customWidth="1"/>
    <col min="5107" max="5107" width="9.375" style="159" customWidth="1"/>
    <col min="5108" max="5108" width="14.125" style="159" customWidth="1"/>
    <col min="5109" max="5109" width="24.125" style="159" customWidth="1"/>
    <col min="5110" max="5110" width="9.75" style="159" customWidth="1"/>
    <col min="5111" max="5111" width="9.25" style="159" customWidth="1"/>
    <col min="5112" max="5112" width="14.125" style="159" customWidth="1"/>
    <col min="5113" max="5113" width="16" style="159" customWidth="1"/>
    <col min="5114" max="5114" width="12" style="159" customWidth="1"/>
    <col min="5115" max="5359" width="9.875" style="159"/>
    <col min="5360" max="5360" width="5.375" style="159" customWidth="1"/>
    <col min="5361" max="5361" width="7.5" style="159" customWidth="1"/>
    <col min="5362" max="5362" width="6.5" style="159" customWidth="1"/>
    <col min="5363" max="5363" width="9.375" style="159" customWidth="1"/>
    <col min="5364" max="5364" width="14.125" style="159" customWidth="1"/>
    <col min="5365" max="5365" width="24.125" style="159" customWidth="1"/>
    <col min="5366" max="5366" width="9.75" style="159" customWidth="1"/>
    <col min="5367" max="5367" width="9.25" style="159" customWidth="1"/>
    <col min="5368" max="5368" width="14.125" style="159" customWidth="1"/>
    <col min="5369" max="5369" width="16" style="159" customWidth="1"/>
    <col min="5370" max="5370" width="12" style="159" customWidth="1"/>
    <col min="5371" max="5615" width="9.875" style="159"/>
    <col min="5616" max="5616" width="5.375" style="159" customWidth="1"/>
    <col min="5617" max="5617" width="7.5" style="159" customWidth="1"/>
    <col min="5618" max="5618" width="6.5" style="159" customWidth="1"/>
    <col min="5619" max="5619" width="9.375" style="159" customWidth="1"/>
    <col min="5620" max="5620" width="14.125" style="159" customWidth="1"/>
    <col min="5621" max="5621" width="24.125" style="159" customWidth="1"/>
    <col min="5622" max="5622" width="9.75" style="159" customWidth="1"/>
    <col min="5623" max="5623" width="9.25" style="159" customWidth="1"/>
    <col min="5624" max="5624" width="14.125" style="159" customWidth="1"/>
    <col min="5625" max="5625" width="16" style="159" customWidth="1"/>
    <col min="5626" max="5626" width="12" style="159" customWidth="1"/>
    <col min="5627" max="5871" width="9.875" style="159"/>
    <col min="5872" max="5872" width="5.375" style="159" customWidth="1"/>
    <col min="5873" max="5873" width="7.5" style="159" customWidth="1"/>
    <col min="5874" max="5874" width="6.5" style="159" customWidth="1"/>
    <col min="5875" max="5875" width="9.375" style="159" customWidth="1"/>
    <col min="5876" max="5876" width="14.125" style="159" customWidth="1"/>
    <col min="5877" max="5877" width="24.125" style="159" customWidth="1"/>
    <col min="5878" max="5878" width="9.75" style="159" customWidth="1"/>
    <col min="5879" max="5879" width="9.25" style="159" customWidth="1"/>
    <col min="5880" max="5880" width="14.125" style="159" customWidth="1"/>
    <col min="5881" max="5881" width="16" style="159" customWidth="1"/>
    <col min="5882" max="5882" width="12" style="159" customWidth="1"/>
    <col min="5883" max="6127" width="9.875" style="159"/>
    <col min="6128" max="6128" width="5.375" style="159" customWidth="1"/>
    <col min="6129" max="6129" width="7.5" style="159" customWidth="1"/>
    <col min="6130" max="6130" width="6.5" style="159" customWidth="1"/>
    <col min="6131" max="6131" width="9.375" style="159" customWidth="1"/>
    <col min="6132" max="6132" width="14.125" style="159" customWidth="1"/>
    <col min="6133" max="6133" width="24.125" style="159" customWidth="1"/>
    <col min="6134" max="6134" width="9.75" style="159" customWidth="1"/>
    <col min="6135" max="6135" width="9.25" style="159" customWidth="1"/>
    <col min="6136" max="6136" width="14.125" style="159" customWidth="1"/>
    <col min="6137" max="6137" width="16" style="159" customWidth="1"/>
    <col min="6138" max="6138" width="12" style="159" customWidth="1"/>
    <col min="6139" max="6383" width="9.875" style="159"/>
    <col min="6384" max="6384" width="5.375" style="159" customWidth="1"/>
    <col min="6385" max="6385" width="7.5" style="159" customWidth="1"/>
    <col min="6386" max="6386" width="6.5" style="159" customWidth="1"/>
    <col min="6387" max="6387" width="9.375" style="159" customWidth="1"/>
    <col min="6388" max="6388" width="14.125" style="159" customWidth="1"/>
    <col min="6389" max="6389" width="24.125" style="159" customWidth="1"/>
    <col min="6390" max="6390" width="9.75" style="159" customWidth="1"/>
    <col min="6391" max="6391" width="9.25" style="159" customWidth="1"/>
    <col min="6392" max="6392" width="14.125" style="159" customWidth="1"/>
    <col min="6393" max="6393" width="16" style="159" customWidth="1"/>
    <col min="6394" max="6394" width="12" style="159" customWidth="1"/>
    <col min="6395" max="6639" width="9.875" style="159"/>
    <col min="6640" max="6640" width="5.375" style="159" customWidth="1"/>
    <col min="6641" max="6641" width="7.5" style="159" customWidth="1"/>
    <col min="6642" max="6642" width="6.5" style="159" customWidth="1"/>
    <col min="6643" max="6643" width="9.375" style="159" customWidth="1"/>
    <col min="6644" max="6644" width="14.125" style="159" customWidth="1"/>
    <col min="6645" max="6645" width="24.125" style="159" customWidth="1"/>
    <col min="6646" max="6646" width="9.75" style="159" customWidth="1"/>
    <col min="6647" max="6647" width="9.25" style="159" customWidth="1"/>
    <col min="6648" max="6648" width="14.125" style="159" customWidth="1"/>
    <col min="6649" max="6649" width="16" style="159" customWidth="1"/>
    <col min="6650" max="6650" width="12" style="159" customWidth="1"/>
    <col min="6651" max="6895" width="9.875" style="159"/>
    <col min="6896" max="6896" width="5.375" style="159" customWidth="1"/>
    <col min="6897" max="6897" width="7.5" style="159" customWidth="1"/>
    <col min="6898" max="6898" width="6.5" style="159" customWidth="1"/>
    <col min="6899" max="6899" width="9.375" style="159" customWidth="1"/>
    <col min="6900" max="6900" width="14.125" style="159" customWidth="1"/>
    <col min="6901" max="6901" width="24.125" style="159" customWidth="1"/>
    <col min="6902" max="6902" width="9.75" style="159" customWidth="1"/>
    <col min="6903" max="6903" width="9.25" style="159" customWidth="1"/>
    <col min="6904" max="6904" width="14.125" style="159" customWidth="1"/>
    <col min="6905" max="6905" width="16" style="159" customWidth="1"/>
    <col min="6906" max="6906" width="12" style="159" customWidth="1"/>
    <col min="6907" max="7151" width="9.875" style="159"/>
    <col min="7152" max="7152" width="5.375" style="159" customWidth="1"/>
    <col min="7153" max="7153" width="7.5" style="159" customWidth="1"/>
    <col min="7154" max="7154" width="6.5" style="159" customWidth="1"/>
    <col min="7155" max="7155" width="9.375" style="159" customWidth="1"/>
    <col min="7156" max="7156" width="14.125" style="159" customWidth="1"/>
    <col min="7157" max="7157" width="24.125" style="159" customWidth="1"/>
    <col min="7158" max="7158" width="9.75" style="159" customWidth="1"/>
    <col min="7159" max="7159" width="9.25" style="159" customWidth="1"/>
    <col min="7160" max="7160" width="14.125" style="159" customWidth="1"/>
    <col min="7161" max="7161" width="16" style="159" customWidth="1"/>
    <col min="7162" max="7162" width="12" style="159" customWidth="1"/>
    <col min="7163" max="7407" width="9.875" style="159"/>
    <col min="7408" max="7408" width="5.375" style="159" customWidth="1"/>
    <col min="7409" max="7409" width="7.5" style="159" customWidth="1"/>
    <col min="7410" max="7410" width="6.5" style="159" customWidth="1"/>
    <col min="7411" max="7411" width="9.375" style="159" customWidth="1"/>
    <col min="7412" max="7412" width="14.125" style="159" customWidth="1"/>
    <col min="7413" max="7413" width="24.125" style="159" customWidth="1"/>
    <col min="7414" max="7414" width="9.75" style="159" customWidth="1"/>
    <col min="7415" max="7415" width="9.25" style="159" customWidth="1"/>
    <col min="7416" max="7416" width="14.125" style="159" customWidth="1"/>
    <col min="7417" max="7417" width="16" style="159" customWidth="1"/>
    <col min="7418" max="7418" width="12" style="159" customWidth="1"/>
    <col min="7419" max="7663" width="9.875" style="159"/>
    <col min="7664" max="7664" width="5.375" style="159" customWidth="1"/>
    <col min="7665" max="7665" width="7.5" style="159" customWidth="1"/>
    <col min="7666" max="7666" width="6.5" style="159" customWidth="1"/>
    <col min="7667" max="7667" width="9.375" style="159" customWidth="1"/>
    <col min="7668" max="7668" width="14.125" style="159" customWidth="1"/>
    <col min="7669" max="7669" width="24.125" style="159" customWidth="1"/>
    <col min="7670" max="7670" width="9.75" style="159" customWidth="1"/>
    <col min="7671" max="7671" width="9.25" style="159" customWidth="1"/>
    <col min="7672" max="7672" width="14.125" style="159" customWidth="1"/>
    <col min="7673" max="7673" width="16" style="159" customWidth="1"/>
    <col min="7674" max="7674" width="12" style="159" customWidth="1"/>
    <col min="7675" max="7919" width="9.875" style="159"/>
    <col min="7920" max="7920" width="5.375" style="159" customWidth="1"/>
    <col min="7921" max="7921" width="7.5" style="159" customWidth="1"/>
    <col min="7922" max="7922" width="6.5" style="159" customWidth="1"/>
    <col min="7923" max="7923" width="9.375" style="159" customWidth="1"/>
    <col min="7924" max="7924" width="14.125" style="159" customWidth="1"/>
    <col min="7925" max="7925" width="24.125" style="159" customWidth="1"/>
    <col min="7926" max="7926" width="9.75" style="159" customWidth="1"/>
    <col min="7927" max="7927" width="9.25" style="159" customWidth="1"/>
    <col min="7928" max="7928" width="14.125" style="159" customWidth="1"/>
    <col min="7929" max="7929" width="16" style="159" customWidth="1"/>
    <col min="7930" max="7930" width="12" style="159" customWidth="1"/>
    <col min="7931" max="8175" width="9.875" style="159"/>
    <col min="8176" max="8176" width="5.375" style="159" customWidth="1"/>
    <col min="8177" max="8177" width="7.5" style="159" customWidth="1"/>
    <col min="8178" max="8178" width="6.5" style="159" customWidth="1"/>
    <col min="8179" max="8179" width="9.375" style="159" customWidth="1"/>
    <col min="8180" max="8180" width="14.125" style="159" customWidth="1"/>
    <col min="8181" max="8181" width="24.125" style="159" customWidth="1"/>
    <col min="8182" max="8182" width="9.75" style="159" customWidth="1"/>
    <col min="8183" max="8183" width="9.25" style="159" customWidth="1"/>
    <col min="8184" max="8184" width="14.125" style="159" customWidth="1"/>
    <col min="8185" max="8185" width="16" style="159" customWidth="1"/>
    <col min="8186" max="8186" width="12" style="159" customWidth="1"/>
    <col min="8187" max="8431" width="9.875" style="159"/>
    <col min="8432" max="8432" width="5.375" style="159" customWidth="1"/>
    <col min="8433" max="8433" width="7.5" style="159" customWidth="1"/>
    <col min="8434" max="8434" width="6.5" style="159" customWidth="1"/>
    <col min="8435" max="8435" width="9.375" style="159" customWidth="1"/>
    <col min="8436" max="8436" width="14.125" style="159" customWidth="1"/>
    <col min="8437" max="8437" width="24.125" style="159" customWidth="1"/>
    <col min="8438" max="8438" width="9.75" style="159" customWidth="1"/>
    <col min="8439" max="8439" width="9.25" style="159" customWidth="1"/>
    <col min="8440" max="8440" width="14.125" style="159" customWidth="1"/>
    <col min="8441" max="8441" width="16" style="159" customWidth="1"/>
    <col min="8442" max="8442" width="12" style="159" customWidth="1"/>
    <col min="8443" max="8687" width="9.875" style="159"/>
    <col min="8688" max="8688" width="5.375" style="159" customWidth="1"/>
    <col min="8689" max="8689" width="7.5" style="159" customWidth="1"/>
    <col min="8690" max="8690" width="6.5" style="159" customWidth="1"/>
    <col min="8691" max="8691" width="9.375" style="159" customWidth="1"/>
    <col min="8692" max="8692" width="14.125" style="159" customWidth="1"/>
    <col min="8693" max="8693" width="24.125" style="159" customWidth="1"/>
    <col min="8694" max="8694" width="9.75" style="159" customWidth="1"/>
    <col min="8695" max="8695" width="9.25" style="159" customWidth="1"/>
    <col min="8696" max="8696" width="14.125" style="159" customWidth="1"/>
    <col min="8697" max="8697" width="16" style="159" customWidth="1"/>
    <col min="8698" max="8698" width="12" style="159" customWidth="1"/>
    <col min="8699" max="8943" width="9.875" style="159"/>
    <col min="8944" max="8944" width="5.375" style="159" customWidth="1"/>
    <col min="8945" max="8945" width="7.5" style="159" customWidth="1"/>
    <col min="8946" max="8946" width="6.5" style="159" customWidth="1"/>
    <col min="8947" max="8947" width="9.375" style="159" customWidth="1"/>
    <col min="8948" max="8948" width="14.125" style="159" customWidth="1"/>
    <col min="8949" max="8949" width="24.125" style="159" customWidth="1"/>
    <col min="8950" max="8950" width="9.75" style="159" customWidth="1"/>
    <col min="8951" max="8951" width="9.25" style="159" customWidth="1"/>
    <col min="8952" max="8952" width="14.125" style="159" customWidth="1"/>
    <col min="8953" max="8953" width="16" style="159" customWidth="1"/>
    <col min="8954" max="8954" width="12" style="159" customWidth="1"/>
    <col min="8955" max="9199" width="9.875" style="159"/>
    <col min="9200" max="9200" width="5.375" style="159" customWidth="1"/>
    <col min="9201" max="9201" width="7.5" style="159" customWidth="1"/>
    <col min="9202" max="9202" width="6.5" style="159" customWidth="1"/>
    <col min="9203" max="9203" width="9.375" style="159" customWidth="1"/>
    <col min="9204" max="9204" width="14.125" style="159" customWidth="1"/>
    <col min="9205" max="9205" width="24.125" style="159" customWidth="1"/>
    <col min="9206" max="9206" width="9.75" style="159" customWidth="1"/>
    <col min="9207" max="9207" width="9.25" style="159" customWidth="1"/>
    <col min="9208" max="9208" width="14.125" style="159" customWidth="1"/>
    <col min="9209" max="9209" width="16" style="159" customWidth="1"/>
    <col min="9210" max="9210" width="12" style="159" customWidth="1"/>
    <col min="9211" max="9455" width="9.875" style="159"/>
    <col min="9456" max="9456" width="5.375" style="159" customWidth="1"/>
    <col min="9457" max="9457" width="7.5" style="159" customWidth="1"/>
    <col min="9458" max="9458" width="6.5" style="159" customWidth="1"/>
    <col min="9459" max="9459" width="9.375" style="159" customWidth="1"/>
    <col min="9460" max="9460" width="14.125" style="159" customWidth="1"/>
    <col min="9461" max="9461" width="24.125" style="159" customWidth="1"/>
    <col min="9462" max="9462" width="9.75" style="159" customWidth="1"/>
    <col min="9463" max="9463" width="9.25" style="159" customWidth="1"/>
    <col min="9464" max="9464" width="14.125" style="159" customWidth="1"/>
    <col min="9465" max="9465" width="16" style="159" customWidth="1"/>
    <col min="9466" max="9466" width="12" style="159" customWidth="1"/>
    <col min="9467" max="9711" width="9.875" style="159"/>
    <col min="9712" max="9712" width="5.375" style="159" customWidth="1"/>
    <col min="9713" max="9713" width="7.5" style="159" customWidth="1"/>
    <col min="9714" max="9714" width="6.5" style="159" customWidth="1"/>
    <col min="9715" max="9715" width="9.375" style="159" customWidth="1"/>
    <col min="9716" max="9716" width="14.125" style="159" customWidth="1"/>
    <col min="9717" max="9717" width="24.125" style="159" customWidth="1"/>
    <col min="9718" max="9718" width="9.75" style="159" customWidth="1"/>
    <col min="9719" max="9719" width="9.25" style="159" customWidth="1"/>
    <col min="9720" max="9720" width="14.125" style="159" customWidth="1"/>
    <col min="9721" max="9721" width="16" style="159" customWidth="1"/>
    <col min="9722" max="9722" width="12" style="159" customWidth="1"/>
    <col min="9723" max="9967" width="9.875" style="159"/>
    <col min="9968" max="9968" width="5.375" style="159" customWidth="1"/>
    <col min="9969" max="9969" width="7.5" style="159" customWidth="1"/>
    <col min="9970" max="9970" width="6.5" style="159" customWidth="1"/>
    <col min="9971" max="9971" width="9.375" style="159" customWidth="1"/>
    <col min="9972" max="9972" width="14.125" style="159" customWidth="1"/>
    <col min="9973" max="9973" width="24.125" style="159" customWidth="1"/>
    <col min="9974" max="9974" width="9.75" style="159" customWidth="1"/>
    <col min="9975" max="9975" width="9.25" style="159" customWidth="1"/>
    <col min="9976" max="9976" width="14.125" style="159" customWidth="1"/>
    <col min="9977" max="9977" width="16" style="159" customWidth="1"/>
    <col min="9978" max="9978" width="12" style="159" customWidth="1"/>
    <col min="9979" max="10223" width="9.875" style="159"/>
    <col min="10224" max="10224" width="5.375" style="159" customWidth="1"/>
    <col min="10225" max="10225" width="7.5" style="159" customWidth="1"/>
    <col min="10226" max="10226" width="6.5" style="159" customWidth="1"/>
    <col min="10227" max="10227" width="9.375" style="159" customWidth="1"/>
    <col min="10228" max="10228" width="14.125" style="159" customWidth="1"/>
    <col min="10229" max="10229" width="24.125" style="159" customWidth="1"/>
    <col min="10230" max="10230" width="9.75" style="159" customWidth="1"/>
    <col min="10231" max="10231" width="9.25" style="159" customWidth="1"/>
    <col min="10232" max="10232" width="14.125" style="159" customWidth="1"/>
    <col min="10233" max="10233" width="16" style="159" customWidth="1"/>
    <col min="10234" max="10234" width="12" style="159" customWidth="1"/>
    <col min="10235" max="10479" width="9.875" style="159"/>
    <col min="10480" max="10480" width="5.375" style="159" customWidth="1"/>
    <col min="10481" max="10481" width="7.5" style="159" customWidth="1"/>
    <col min="10482" max="10482" width="6.5" style="159" customWidth="1"/>
    <col min="10483" max="10483" width="9.375" style="159" customWidth="1"/>
    <col min="10484" max="10484" width="14.125" style="159" customWidth="1"/>
    <col min="10485" max="10485" width="24.125" style="159" customWidth="1"/>
    <col min="10486" max="10486" width="9.75" style="159" customWidth="1"/>
    <col min="10487" max="10487" width="9.25" style="159" customWidth="1"/>
    <col min="10488" max="10488" width="14.125" style="159" customWidth="1"/>
    <col min="10489" max="10489" width="16" style="159" customWidth="1"/>
    <col min="10490" max="10490" width="12" style="159" customWidth="1"/>
    <col min="10491" max="10735" width="9.875" style="159"/>
    <col min="10736" max="10736" width="5.375" style="159" customWidth="1"/>
    <col min="10737" max="10737" width="7.5" style="159" customWidth="1"/>
    <col min="10738" max="10738" width="6.5" style="159" customWidth="1"/>
    <col min="10739" max="10739" width="9.375" style="159" customWidth="1"/>
    <col min="10740" max="10740" width="14.125" style="159" customWidth="1"/>
    <col min="10741" max="10741" width="24.125" style="159" customWidth="1"/>
    <col min="10742" max="10742" width="9.75" style="159" customWidth="1"/>
    <col min="10743" max="10743" width="9.25" style="159" customWidth="1"/>
    <col min="10744" max="10744" width="14.125" style="159" customWidth="1"/>
    <col min="10745" max="10745" width="16" style="159" customWidth="1"/>
    <col min="10746" max="10746" width="12" style="159" customWidth="1"/>
    <col min="10747" max="10991" width="9.875" style="159"/>
    <col min="10992" max="10992" width="5.375" style="159" customWidth="1"/>
    <col min="10993" max="10993" width="7.5" style="159" customWidth="1"/>
    <col min="10994" max="10994" width="6.5" style="159" customWidth="1"/>
    <col min="10995" max="10995" width="9.375" style="159" customWidth="1"/>
    <col min="10996" max="10996" width="14.125" style="159" customWidth="1"/>
    <col min="10997" max="10997" width="24.125" style="159" customWidth="1"/>
    <col min="10998" max="10998" width="9.75" style="159" customWidth="1"/>
    <col min="10999" max="10999" width="9.25" style="159" customWidth="1"/>
    <col min="11000" max="11000" width="14.125" style="159" customWidth="1"/>
    <col min="11001" max="11001" width="16" style="159" customWidth="1"/>
    <col min="11002" max="11002" width="12" style="159" customWidth="1"/>
    <col min="11003" max="11247" width="9.875" style="159"/>
    <col min="11248" max="11248" width="5.375" style="159" customWidth="1"/>
    <col min="11249" max="11249" width="7.5" style="159" customWidth="1"/>
    <col min="11250" max="11250" width="6.5" style="159" customWidth="1"/>
    <col min="11251" max="11251" width="9.375" style="159" customWidth="1"/>
    <col min="11252" max="11252" width="14.125" style="159" customWidth="1"/>
    <col min="11253" max="11253" width="24.125" style="159" customWidth="1"/>
    <col min="11254" max="11254" width="9.75" style="159" customWidth="1"/>
    <col min="11255" max="11255" width="9.25" style="159" customWidth="1"/>
    <col min="11256" max="11256" width="14.125" style="159" customWidth="1"/>
    <col min="11257" max="11257" width="16" style="159" customWidth="1"/>
    <col min="11258" max="11258" width="12" style="159" customWidth="1"/>
    <col min="11259" max="11503" width="9.875" style="159"/>
    <col min="11504" max="11504" width="5.375" style="159" customWidth="1"/>
    <col min="11505" max="11505" width="7.5" style="159" customWidth="1"/>
    <col min="11506" max="11506" width="6.5" style="159" customWidth="1"/>
    <col min="11507" max="11507" width="9.375" style="159" customWidth="1"/>
    <col min="11508" max="11508" width="14.125" style="159" customWidth="1"/>
    <col min="11509" max="11509" width="24.125" style="159" customWidth="1"/>
    <col min="11510" max="11510" width="9.75" style="159" customWidth="1"/>
    <col min="11511" max="11511" width="9.25" style="159" customWidth="1"/>
    <col min="11512" max="11512" width="14.125" style="159" customWidth="1"/>
    <col min="11513" max="11513" width="16" style="159" customWidth="1"/>
    <col min="11514" max="11514" width="12" style="159" customWidth="1"/>
    <col min="11515" max="11759" width="9.875" style="159"/>
    <col min="11760" max="11760" width="5.375" style="159" customWidth="1"/>
    <col min="11761" max="11761" width="7.5" style="159" customWidth="1"/>
    <col min="11762" max="11762" width="6.5" style="159" customWidth="1"/>
    <col min="11763" max="11763" width="9.375" style="159" customWidth="1"/>
    <col min="11764" max="11764" width="14.125" style="159" customWidth="1"/>
    <col min="11765" max="11765" width="24.125" style="159" customWidth="1"/>
    <col min="11766" max="11766" width="9.75" style="159" customWidth="1"/>
    <col min="11767" max="11767" width="9.25" style="159" customWidth="1"/>
    <col min="11768" max="11768" width="14.125" style="159" customWidth="1"/>
    <col min="11769" max="11769" width="16" style="159" customWidth="1"/>
    <col min="11770" max="11770" width="12" style="159" customWidth="1"/>
    <col min="11771" max="12015" width="9.875" style="159"/>
    <col min="12016" max="12016" width="5.375" style="159" customWidth="1"/>
    <col min="12017" max="12017" width="7.5" style="159" customWidth="1"/>
    <col min="12018" max="12018" width="6.5" style="159" customWidth="1"/>
    <col min="12019" max="12019" width="9.375" style="159" customWidth="1"/>
    <col min="12020" max="12020" width="14.125" style="159" customWidth="1"/>
    <col min="12021" max="12021" width="24.125" style="159" customWidth="1"/>
    <col min="12022" max="12022" width="9.75" style="159" customWidth="1"/>
    <col min="12023" max="12023" width="9.25" style="159" customWidth="1"/>
    <col min="12024" max="12024" width="14.125" style="159" customWidth="1"/>
    <col min="12025" max="12025" width="16" style="159" customWidth="1"/>
    <col min="12026" max="12026" width="12" style="159" customWidth="1"/>
    <col min="12027" max="12271" width="9.875" style="159"/>
    <col min="12272" max="12272" width="5.375" style="159" customWidth="1"/>
    <col min="12273" max="12273" width="7.5" style="159" customWidth="1"/>
    <col min="12274" max="12274" width="6.5" style="159" customWidth="1"/>
    <col min="12275" max="12275" width="9.375" style="159" customWidth="1"/>
    <col min="12276" max="12276" width="14.125" style="159" customWidth="1"/>
    <col min="12277" max="12277" width="24.125" style="159" customWidth="1"/>
    <col min="12278" max="12278" width="9.75" style="159" customWidth="1"/>
    <col min="12279" max="12279" width="9.25" style="159" customWidth="1"/>
    <col min="12280" max="12280" width="14.125" style="159" customWidth="1"/>
    <col min="12281" max="12281" width="16" style="159" customWidth="1"/>
    <col min="12282" max="12282" width="12" style="159" customWidth="1"/>
    <col min="12283" max="12527" width="9.875" style="159"/>
    <col min="12528" max="12528" width="5.375" style="159" customWidth="1"/>
    <col min="12529" max="12529" width="7.5" style="159" customWidth="1"/>
    <col min="12530" max="12530" width="6.5" style="159" customWidth="1"/>
    <col min="12531" max="12531" width="9.375" style="159" customWidth="1"/>
    <col min="12532" max="12532" width="14.125" style="159" customWidth="1"/>
    <col min="12533" max="12533" width="24.125" style="159" customWidth="1"/>
    <col min="12534" max="12534" width="9.75" style="159" customWidth="1"/>
    <col min="12535" max="12535" width="9.25" style="159" customWidth="1"/>
    <col min="12536" max="12536" width="14.125" style="159" customWidth="1"/>
    <col min="12537" max="12537" width="16" style="159" customWidth="1"/>
    <col min="12538" max="12538" width="12" style="159" customWidth="1"/>
    <col min="12539" max="12783" width="9.875" style="159"/>
    <col min="12784" max="12784" width="5.375" style="159" customWidth="1"/>
    <col min="12785" max="12785" width="7.5" style="159" customWidth="1"/>
    <col min="12786" max="12786" width="6.5" style="159" customWidth="1"/>
    <col min="12787" max="12787" width="9.375" style="159" customWidth="1"/>
    <col min="12788" max="12788" width="14.125" style="159" customWidth="1"/>
    <col min="12789" max="12789" width="24.125" style="159" customWidth="1"/>
    <col min="12790" max="12790" width="9.75" style="159" customWidth="1"/>
    <col min="12791" max="12791" width="9.25" style="159" customWidth="1"/>
    <col min="12792" max="12792" width="14.125" style="159" customWidth="1"/>
    <col min="12793" max="12793" width="16" style="159" customWidth="1"/>
    <col min="12794" max="12794" width="12" style="159" customWidth="1"/>
    <col min="12795" max="13039" width="9.875" style="159"/>
    <col min="13040" max="13040" width="5.375" style="159" customWidth="1"/>
    <col min="13041" max="13041" width="7.5" style="159" customWidth="1"/>
    <col min="13042" max="13042" width="6.5" style="159" customWidth="1"/>
    <col min="13043" max="13043" width="9.375" style="159" customWidth="1"/>
    <col min="13044" max="13044" width="14.125" style="159" customWidth="1"/>
    <col min="13045" max="13045" width="24.125" style="159" customWidth="1"/>
    <col min="13046" max="13046" width="9.75" style="159" customWidth="1"/>
    <col min="13047" max="13047" width="9.25" style="159" customWidth="1"/>
    <col min="13048" max="13048" width="14.125" style="159" customWidth="1"/>
    <col min="13049" max="13049" width="16" style="159" customWidth="1"/>
    <col min="13050" max="13050" width="12" style="159" customWidth="1"/>
    <col min="13051" max="13295" width="9.875" style="159"/>
    <col min="13296" max="13296" width="5.375" style="159" customWidth="1"/>
    <col min="13297" max="13297" width="7.5" style="159" customWidth="1"/>
    <col min="13298" max="13298" width="6.5" style="159" customWidth="1"/>
    <col min="13299" max="13299" width="9.375" style="159" customWidth="1"/>
    <col min="13300" max="13300" width="14.125" style="159" customWidth="1"/>
    <col min="13301" max="13301" width="24.125" style="159" customWidth="1"/>
    <col min="13302" max="13302" width="9.75" style="159" customWidth="1"/>
    <col min="13303" max="13303" width="9.25" style="159" customWidth="1"/>
    <col min="13304" max="13304" width="14.125" style="159" customWidth="1"/>
    <col min="13305" max="13305" width="16" style="159" customWidth="1"/>
    <col min="13306" max="13306" width="12" style="159" customWidth="1"/>
    <col min="13307" max="13551" width="9.875" style="159"/>
    <col min="13552" max="13552" width="5.375" style="159" customWidth="1"/>
    <col min="13553" max="13553" width="7.5" style="159" customWidth="1"/>
    <col min="13554" max="13554" width="6.5" style="159" customWidth="1"/>
    <col min="13555" max="13555" width="9.375" style="159" customWidth="1"/>
    <col min="13556" max="13556" width="14.125" style="159" customWidth="1"/>
    <col min="13557" max="13557" width="24.125" style="159" customWidth="1"/>
    <col min="13558" max="13558" width="9.75" style="159" customWidth="1"/>
    <col min="13559" max="13559" width="9.25" style="159" customWidth="1"/>
    <col min="13560" max="13560" width="14.125" style="159" customWidth="1"/>
    <col min="13561" max="13561" width="16" style="159" customWidth="1"/>
    <col min="13562" max="13562" width="12" style="159" customWidth="1"/>
    <col min="13563" max="13807" width="9.875" style="159"/>
    <col min="13808" max="13808" width="5.375" style="159" customWidth="1"/>
    <col min="13809" max="13809" width="7.5" style="159" customWidth="1"/>
    <col min="13810" max="13810" width="6.5" style="159" customWidth="1"/>
    <col min="13811" max="13811" width="9.375" style="159" customWidth="1"/>
    <col min="13812" max="13812" width="14.125" style="159" customWidth="1"/>
    <col min="13813" max="13813" width="24.125" style="159" customWidth="1"/>
    <col min="13814" max="13814" width="9.75" style="159" customWidth="1"/>
    <col min="13815" max="13815" width="9.25" style="159" customWidth="1"/>
    <col min="13816" max="13816" width="14.125" style="159" customWidth="1"/>
    <col min="13817" max="13817" width="16" style="159" customWidth="1"/>
    <col min="13818" max="13818" width="12" style="159" customWidth="1"/>
    <col min="13819" max="14063" width="9.875" style="159"/>
    <col min="14064" max="14064" width="5.375" style="159" customWidth="1"/>
    <col min="14065" max="14065" width="7.5" style="159" customWidth="1"/>
    <col min="14066" max="14066" width="6.5" style="159" customWidth="1"/>
    <col min="14067" max="14067" width="9.375" style="159" customWidth="1"/>
    <col min="14068" max="14068" width="14.125" style="159" customWidth="1"/>
    <col min="14069" max="14069" width="24.125" style="159" customWidth="1"/>
    <col min="14070" max="14070" width="9.75" style="159" customWidth="1"/>
    <col min="14071" max="14071" width="9.25" style="159" customWidth="1"/>
    <col min="14072" max="14072" width="14.125" style="159" customWidth="1"/>
    <col min="14073" max="14073" width="16" style="159" customWidth="1"/>
    <col min="14074" max="14074" width="12" style="159" customWidth="1"/>
    <col min="14075" max="14319" width="9.875" style="159"/>
    <col min="14320" max="14320" width="5.375" style="159" customWidth="1"/>
    <col min="14321" max="14321" width="7.5" style="159" customWidth="1"/>
    <col min="14322" max="14322" width="6.5" style="159" customWidth="1"/>
    <col min="14323" max="14323" width="9.375" style="159" customWidth="1"/>
    <col min="14324" max="14324" width="14.125" style="159" customWidth="1"/>
    <col min="14325" max="14325" width="24.125" style="159" customWidth="1"/>
    <col min="14326" max="14326" width="9.75" style="159" customWidth="1"/>
    <col min="14327" max="14327" width="9.25" style="159" customWidth="1"/>
    <col min="14328" max="14328" width="14.125" style="159" customWidth="1"/>
    <col min="14329" max="14329" width="16" style="159" customWidth="1"/>
    <col min="14330" max="14330" width="12" style="159" customWidth="1"/>
    <col min="14331" max="14575" width="9.875" style="159"/>
    <col min="14576" max="14576" width="5.375" style="159" customWidth="1"/>
    <col min="14577" max="14577" width="7.5" style="159" customWidth="1"/>
    <col min="14578" max="14578" width="6.5" style="159" customWidth="1"/>
    <col min="14579" max="14579" width="9.375" style="159" customWidth="1"/>
    <col min="14580" max="14580" width="14.125" style="159" customWidth="1"/>
    <col min="14581" max="14581" width="24.125" style="159" customWidth="1"/>
    <col min="14582" max="14582" width="9.75" style="159" customWidth="1"/>
    <col min="14583" max="14583" width="9.25" style="159" customWidth="1"/>
    <col min="14584" max="14584" width="14.125" style="159" customWidth="1"/>
    <col min="14585" max="14585" width="16" style="159" customWidth="1"/>
    <col min="14586" max="14586" width="12" style="159" customWidth="1"/>
    <col min="14587" max="14831" width="9.875" style="159"/>
    <col min="14832" max="14832" width="5.375" style="159" customWidth="1"/>
    <col min="14833" max="14833" width="7.5" style="159" customWidth="1"/>
    <col min="14834" max="14834" width="6.5" style="159" customWidth="1"/>
    <col min="14835" max="14835" width="9.375" style="159" customWidth="1"/>
    <col min="14836" max="14836" width="14.125" style="159" customWidth="1"/>
    <col min="14837" max="14837" width="24.125" style="159" customWidth="1"/>
    <col min="14838" max="14838" width="9.75" style="159" customWidth="1"/>
    <col min="14839" max="14839" width="9.25" style="159" customWidth="1"/>
    <col min="14840" max="14840" width="14.125" style="159" customWidth="1"/>
    <col min="14841" max="14841" width="16" style="159" customWidth="1"/>
    <col min="14842" max="14842" width="12" style="159" customWidth="1"/>
    <col min="14843" max="15087" width="9.875" style="159"/>
    <col min="15088" max="15088" width="5.375" style="159" customWidth="1"/>
    <col min="15089" max="15089" width="7.5" style="159" customWidth="1"/>
    <col min="15090" max="15090" width="6.5" style="159" customWidth="1"/>
    <col min="15091" max="15091" width="9.375" style="159" customWidth="1"/>
    <col min="15092" max="15092" width="14.125" style="159" customWidth="1"/>
    <col min="15093" max="15093" width="24.125" style="159" customWidth="1"/>
    <col min="15094" max="15094" width="9.75" style="159" customWidth="1"/>
    <col min="15095" max="15095" width="9.25" style="159" customWidth="1"/>
    <col min="15096" max="15096" width="14.125" style="159" customWidth="1"/>
    <col min="15097" max="15097" width="16" style="159" customWidth="1"/>
    <col min="15098" max="15098" width="12" style="159" customWidth="1"/>
    <col min="15099" max="15343" width="9.875" style="159"/>
    <col min="15344" max="15344" width="5.375" style="159" customWidth="1"/>
    <col min="15345" max="15345" width="7.5" style="159" customWidth="1"/>
    <col min="15346" max="15346" width="6.5" style="159" customWidth="1"/>
    <col min="15347" max="15347" width="9.375" style="159" customWidth="1"/>
    <col min="15348" max="15348" width="14.125" style="159" customWidth="1"/>
    <col min="15349" max="15349" width="24.125" style="159" customWidth="1"/>
    <col min="15350" max="15350" width="9.75" style="159" customWidth="1"/>
    <col min="15351" max="15351" width="9.25" style="159" customWidth="1"/>
    <col min="15352" max="15352" width="14.125" style="159" customWidth="1"/>
    <col min="15353" max="15353" width="16" style="159" customWidth="1"/>
    <col min="15354" max="15354" width="12" style="159" customWidth="1"/>
    <col min="15355" max="15599" width="9.875" style="159"/>
    <col min="15600" max="15600" width="5.375" style="159" customWidth="1"/>
    <col min="15601" max="15601" width="7.5" style="159" customWidth="1"/>
    <col min="15602" max="15602" width="6.5" style="159" customWidth="1"/>
    <col min="15603" max="15603" width="9.375" style="159" customWidth="1"/>
    <col min="15604" max="15604" width="14.125" style="159" customWidth="1"/>
    <col min="15605" max="15605" width="24.125" style="159" customWidth="1"/>
    <col min="15606" max="15606" width="9.75" style="159" customWidth="1"/>
    <col min="15607" max="15607" width="9.25" style="159" customWidth="1"/>
    <col min="15608" max="15608" width="14.125" style="159" customWidth="1"/>
    <col min="15609" max="15609" width="16" style="159" customWidth="1"/>
    <col min="15610" max="15610" width="12" style="159" customWidth="1"/>
    <col min="15611" max="15855" width="9.875" style="159"/>
    <col min="15856" max="15856" width="5.375" style="159" customWidth="1"/>
    <col min="15857" max="15857" width="7.5" style="159" customWidth="1"/>
    <col min="15858" max="15858" width="6.5" style="159" customWidth="1"/>
    <col min="15859" max="15859" width="9.375" style="159" customWidth="1"/>
    <col min="15860" max="15860" width="14.125" style="159" customWidth="1"/>
    <col min="15861" max="15861" width="24.125" style="159" customWidth="1"/>
    <col min="15862" max="15862" width="9.75" style="159" customWidth="1"/>
    <col min="15863" max="15863" width="9.25" style="159" customWidth="1"/>
    <col min="15864" max="15864" width="14.125" style="159" customWidth="1"/>
    <col min="15865" max="15865" width="16" style="159" customWidth="1"/>
    <col min="15866" max="15866" width="12" style="159" customWidth="1"/>
    <col min="15867" max="16111" width="9.875" style="159"/>
    <col min="16112" max="16112" width="5.375" style="159" customWidth="1"/>
    <col min="16113" max="16113" width="7.5" style="159" customWidth="1"/>
    <col min="16114" max="16114" width="6.5" style="159" customWidth="1"/>
    <col min="16115" max="16115" width="9.375" style="159" customWidth="1"/>
    <col min="16116" max="16116" width="14.125" style="159" customWidth="1"/>
    <col min="16117" max="16117" width="24.125" style="159" customWidth="1"/>
    <col min="16118" max="16118" width="9.75" style="159" customWidth="1"/>
    <col min="16119" max="16119" width="9.25" style="159" customWidth="1"/>
    <col min="16120" max="16120" width="14.125" style="159" customWidth="1"/>
    <col min="16121" max="16121" width="16" style="159" customWidth="1"/>
    <col min="16122" max="16122" width="12" style="159" customWidth="1"/>
    <col min="16123" max="16384" width="9.875" style="159"/>
  </cols>
  <sheetData>
    <row r="1" spans="1:14">
      <c r="A1" s="268" t="s">
        <v>291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02"/>
    </row>
    <row r="2" spans="1:14">
      <c r="A2" s="270" t="s">
        <v>265</v>
      </c>
      <c r="B2" s="270" t="s">
        <v>283</v>
      </c>
      <c r="C2" s="270" t="s">
        <v>284</v>
      </c>
      <c r="D2" s="270" t="s">
        <v>285</v>
      </c>
      <c r="E2" s="270" t="s">
        <v>286</v>
      </c>
      <c r="F2" s="271" t="s">
        <v>287</v>
      </c>
      <c r="G2" s="272"/>
      <c r="H2" s="272"/>
      <c r="I2" s="273"/>
      <c r="J2" s="270" t="s">
        <v>323</v>
      </c>
      <c r="K2" s="270"/>
      <c r="L2" s="270"/>
      <c r="M2" s="270"/>
      <c r="N2" s="269" t="s">
        <v>322</v>
      </c>
    </row>
    <row r="3" spans="1:14">
      <c r="A3" s="270"/>
      <c r="B3" s="270"/>
      <c r="C3" s="270"/>
      <c r="D3" s="270"/>
      <c r="E3" s="270"/>
      <c r="F3" s="183" t="s">
        <v>266</v>
      </c>
      <c r="G3" s="183" t="s">
        <v>267</v>
      </c>
      <c r="H3" s="183" t="s">
        <v>288</v>
      </c>
      <c r="I3" s="185" t="s">
        <v>289</v>
      </c>
      <c r="J3" s="183" t="s">
        <v>266</v>
      </c>
      <c r="K3" s="183" t="s">
        <v>267</v>
      </c>
      <c r="L3" s="183" t="s">
        <v>288</v>
      </c>
      <c r="M3" s="185" t="s">
        <v>289</v>
      </c>
      <c r="N3" s="269"/>
    </row>
    <row r="4" spans="1:14">
      <c r="A4" s="160" t="s">
        <v>272</v>
      </c>
      <c r="B4" s="270" t="s">
        <v>117</v>
      </c>
      <c r="C4" s="270"/>
      <c r="D4" s="270"/>
      <c r="E4" s="270"/>
      <c r="F4" s="160"/>
      <c r="G4" s="160"/>
      <c r="H4" s="160"/>
      <c r="I4" s="167" t="e">
        <f>I13+I22+#REF!+I28+I35+I44+#REF!+I52+#REF!+#REF!</f>
        <v>#REF!</v>
      </c>
      <c r="J4" s="160"/>
      <c r="K4" s="160"/>
      <c r="L4" s="160"/>
      <c r="M4" s="168">
        <f>M13+M22+M28+M35+M44+M52</f>
        <v>5458490</v>
      </c>
      <c r="N4" s="184">
        <f>N5+N14+N23+N29+N36+N45</f>
        <v>4366792</v>
      </c>
    </row>
    <row r="5" spans="1:14" s="172" customFormat="1" ht="22.5">
      <c r="A5" s="274">
        <v>1</v>
      </c>
      <c r="B5" s="274" t="s">
        <v>118</v>
      </c>
      <c r="C5" s="275" t="s">
        <v>276</v>
      </c>
      <c r="D5" s="274" t="s">
        <v>292</v>
      </c>
      <c r="E5" s="163" t="s">
        <v>293</v>
      </c>
      <c r="F5" s="163" t="s">
        <v>268</v>
      </c>
      <c r="G5" s="164">
        <v>4000</v>
      </c>
      <c r="H5" s="164">
        <v>300</v>
      </c>
      <c r="I5" s="164">
        <f>G5*H5</f>
        <v>1200000</v>
      </c>
      <c r="J5" s="163" t="s">
        <v>268</v>
      </c>
      <c r="K5" s="161">
        <v>4000</v>
      </c>
      <c r="L5" s="161">
        <v>300</v>
      </c>
      <c r="M5" s="162">
        <f t="shared" ref="M5:M8" si="0">ROUND(K5*L5,0)</f>
        <v>1200000</v>
      </c>
      <c r="N5" s="265">
        <f>ROUND(M13*0.8,0)</f>
        <v>1649222</v>
      </c>
    </row>
    <row r="6" spans="1:14" s="172" customFormat="1" ht="12">
      <c r="A6" s="274"/>
      <c r="B6" s="274"/>
      <c r="C6" s="275"/>
      <c r="D6" s="274"/>
      <c r="E6" s="163" t="s">
        <v>280</v>
      </c>
      <c r="F6" s="163" t="s">
        <v>268</v>
      </c>
      <c r="G6" s="164">
        <v>800</v>
      </c>
      <c r="H6" s="164">
        <v>80</v>
      </c>
      <c r="I6" s="164">
        <f>G6*H6</f>
        <v>64000</v>
      </c>
      <c r="J6" s="163" t="s">
        <v>268</v>
      </c>
      <c r="K6" s="161">
        <v>800</v>
      </c>
      <c r="L6" s="161">
        <v>80</v>
      </c>
      <c r="M6" s="162">
        <f t="shared" si="0"/>
        <v>64000</v>
      </c>
      <c r="N6" s="266"/>
    </row>
    <row r="7" spans="1:14" s="172" customFormat="1" ht="22.5">
      <c r="A7" s="274"/>
      <c r="B7" s="274"/>
      <c r="C7" s="275"/>
      <c r="D7" s="274"/>
      <c r="E7" s="163" t="s">
        <v>294</v>
      </c>
      <c r="F7" s="163" t="s">
        <v>274</v>
      </c>
      <c r="G7" s="164">
        <v>320</v>
      </c>
      <c r="H7" s="164">
        <v>350</v>
      </c>
      <c r="I7" s="164">
        <f>G7*H7</f>
        <v>112000</v>
      </c>
      <c r="J7" s="163" t="s">
        <v>274</v>
      </c>
      <c r="K7" s="161"/>
      <c r="L7" s="161"/>
      <c r="M7" s="162"/>
      <c r="N7" s="266"/>
    </row>
    <row r="8" spans="1:14" s="172" customFormat="1" ht="22.5">
      <c r="A8" s="274"/>
      <c r="B8" s="274"/>
      <c r="C8" s="275"/>
      <c r="D8" s="274" t="s">
        <v>295</v>
      </c>
      <c r="E8" s="163" t="s">
        <v>296</v>
      </c>
      <c r="F8" s="163" t="s">
        <v>268</v>
      </c>
      <c r="G8" s="164">
        <v>1400</v>
      </c>
      <c r="H8" s="164">
        <v>400</v>
      </c>
      <c r="I8" s="164">
        <f>G8*H8</f>
        <v>560000</v>
      </c>
      <c r="J8" s="163" t="s">
        <v>268</v>
      </c>
      <c r="K8" s="276">
        <v>1234</v>
      </c>
      <c r="L8" s="276">
        <v>400</v>
      </c>
      <c r="M8" s="278">
        <f t="shared" si="0"/>
        <v>493600</v>
      </c>
      <c r="N8" s="266"/>
    </row>
    <row r="9" spans="1:14" s="172" customFormat="1" ht="12">
      <c r="A9" s="274"/>
      <c r="B9" s="274"/>
      <c r="C9" s="275"/>
      <c r="D9" s="274"/>
      <c r="E9" s="163" t="s">
        <v>297</v>
      </c>
      <c r="F9" s="163" t="s">
        <v>275</v>
      </c>
      <c r="G9" s="164">
        <v>1</v>
      </c>
      <c r="H9" s="164">
        <v>30000</v>
      </c>
      <c r="I9" s="164">
        <f>G9*H9</f>
        <v>30000</v>
      </c>
      <c r="J9" s="163" t="s">
        <v>275</v>
      </c>
      <c r="K9" s="277"/>
      <c r="L9" s="277"/>
      <c r="M9" s="279"/>
      <c r="N9" s="266"/>
    </row>
    <row r="10" spans="1:14" s="172" customFormat="1" ht="12">
      <c r="A10" s="274"/>
      <c r="B10" s="274"/>
      <c r="C10" s="280" t="s">
        <v>269</v>
      </c>
      <c r="D10" s="280"/>
      <c r="E10" s="280"/>
      <c r="F10" s="163"/>
      <c r="G10" s="164"/>
      <c r="H10" s="164"/>
      <c r="I10" s="165">
        <f>SUM(I5:I9)</f>
        <v>1966000</v>
      </c>
      <c r="J10" s="163"/>
      <c r="K10" s="161"/>
      <c r="L10" s="161"/>
      <c r="M10" s="168">
        <f>SUM(M5:M9)</f>
        <v>1757600</v>
      </c>
      <c r="N10" s="266"/>
    </row>
    <row r="11" spans="1:14" s="172" customFormat="1" ht="12">
      <c r="A11" s="274"/>
      <c r="B11" s="274"/>
      <c r="C11" s="274" t="s">
        <v>290</v>
      </c>
      <c r="D11" s="274"/>
      <c r="E11" s="274"/>
      <c r="F11" s="163"/>
      <c r="G11" s="164"/>
      <c r="H11" s="164"/>
      <c r="I11" s="164">
        <f>I10*0.1+40000</f>
        <v>236600</v>
      </c>
      <c r="J11" s="163"/>
      <c r="K11" s="161">
        <f>M10</f>
        <v>1757600</v>
      </c>
      <c r="L11" s="166">
        <v>0.1</v>
      </c>
      <c r="M11" s="162">
        <f>ROUND(M10*10%,0)+30000</f>
        <v>205760</v>
      </c>
      <c r="N11" s="266"/>
    </row>
    <row r="12" spans="1:14" s="172" customFormat="1" ht="12">
      <c r="A12" s="274"/>
      <c r="B12" s="274"/>
      <c r="C12" s="274" t="s">
        <v>271</v>
      </c>
      <c r="D12" s="274"/>
      <c r="E12" s="274"/>
      <c r="F12" s="163"/>
      <c r="G12" s="164"/>
      <c r="H12" s="164"/>
      <c r="I12" s="164">
        <f>(I10+I11)*0.05</f>
        <v>110130</v>
      </c>
      <c r="J12" s="163"/>
      <c r="K12" s="161">
        <f>M11+M10</f>
        <v>1963360</v>
      </c>
      <c r="L12" s="166">
        <v>0.05</v>
      </c>
      <c r="M12" s="162">
        <f t="shared" ref="M12" si="1">ROUND(K12*L12,0)</f>
        <v>98168</v>
      </c>
      <c r="N12" s="266"/>
    </row>
    <row r="13" spans="1:14" s="172" customFormat="1" ht="12">
      <c r="A13" s="274"/>
      <c r="B13" s="274"/>
      <c r="C13" s="270" t="s">
        <v>13</v>
      </c>
      <c r="D13" s="270"/>
      <c r="E13" s="270"/>
      <c r="F13" s="163"/>
      <c r="G13" s="164"/>
      <c r="H13" s="164"/>
      <c r="I13" s="165">
        <f>SUM(I10:I12)</f>
        <v>2312730</v>
      </c>
      <c r="J13" s="163"/>
      <c r="K13" s="161"/>
      <c r="L13" s="161"/>
      <c r="M13" s="168">
        <f>SUM(M10:M12)</f>
        <v>2061528</v>
      </c>
      <c r="N13" s="267"/>
    </row>
    <row r="14" spans="1:14" s="172" customFormat="1" ht="12">
      <c r="A14" s="274">
        <v>2</v>
      </c>
      <c r="B14" s="274" t="s">
        <v>298</v>
      </c>
      <c r="C14" s="275" t="s">
        <v>270</v>
      </c>
      <c r="D14" s="274" t="s">
        <v>273</v>
      </c>
      <c r="E14" s="163" t="s">
        <v>299</v>
      </c>
      <c r="F14" s="163" t="s">
        <v>268</v>
      </c>
      <c r="G14" s="164">
        <v>98</v>
      </c>
      <c r="H14" s="164">
        <v>1200</v>
      </c>
      <c r="I14" s="164">
        <f>G14*H14</f>
        <v>117600</v>
      </c>
      <c r="J14" s="163" t="s">
        <v>268</v>
      </c>
      <c r="K14" s="161">
        <v>98</v>
      </c>
      <c r="L14" s="164">
        <v>1200</v>
      </c>
      <c r="M14" s="162">
        <f t="shared" ref="M14:M51" si="2">ROUND(K14*L14,0)</f>
        <v>117600</v>
      </c>
      <c r="N14" s="265">
        <f>ROUND(M22*0.8,0)</f>
        <v>734673</v>
      </c>
    </row>
    <row r="15" spans="1:14" s="172" customFormat="1" ht="12">
      <c r="A15" s="274"/>
      <c r="B15" s="274"/>
      <c r="C15" s="275"/>
      <c r="D15" s="274"/>
      <c r="E15" s="281" t="s">
        <v>300</v>
      </c>
      <c r="F15" s="281" t="s">
        <v>268</v>
      </c>
      <c r="G15" s="284">
        <v>360</v>
      </c>
      <c r="H15" s="284">
        <v>2500</v>
      </c>
      <c r="I15" s="284">
        <f>G15*H15</f>
        <v>900000</v>
      </c>
      <c r="J15" s="163" t="s">
        <v>268</v>
      </c>
      <c r="K15" s="161">
        <f>20*9</f>
        <v>180</v>
      </c>
      <c r="L15" s="161">
        <v>2500</v>
      </c>
      <c r="M15" s="162">
        <f t="shared" si="2"/>
        <v>450000</v>
      </c>
      <c r="N15" s="266"/>
    </row>
    <row r="16" spans="1:14" s="172" customFormat="1" ht="12">
      <c r="A16" s="274"/>
      <c r="B16" s="274"/>
      <c r="C16" s="275"/>
      <c r="D16" s="274"/>
      <c r="E16" s="282"/>
      <c r="F16" s="282"/>
      <c r="G16" s="285"/>
      <c r="H16" s="285"/>
      <c r="I16" s="285"/>
      <c r="J16" s="163" t="s">
        <v>268</v>
      </c>
      <c r="K16" s="161">
        <f>20*5</f>
        <v>100</v>
      </c>
      <c r="L16" s="161">
        <v>1000</v>
      </c>
      <c r="M16" s="162">
        <f t="shared" si="2"/>
        <v>100000</v>
      </c>
      <c r="N16" s="266"/>
    </row>
    <row r="17" spans="1:14" s="172" customFormat="1" ht="12">
      <c r="A17" s="274"/>
      <c r="B17" s="274"/>
      <c r="C17" s="275"/>
      <c r="D17" s="274"/>
      <c r="E17" s="283"/>
      <c r="F17" s="283"/>
      <c r="G17" s="286"/>
      <c r="H17" s="286"/>
      <c r="I17" s="286"/>
      <c r="J17" s="163" t="s">
        <v>268</v>
      </c>
      <c r="K17" s="161">
        <f>20*8</f>
        <v>160</v>
      </c>
      <c r="L17" s="161">
        <v>0</v>
      </c>
      <c r="M17" s="162">
        <f t="shared" si="2"/>
        <v>0</v>
      </c>
      <c r="N17" s="266"/>
    </row>
    <row r="18" spans="1:14" s="172" customFormat="1" ht="22.5">
      <c r="A18" s="274"/>
      <c r="B18" s="274"/>
      <c r="C18" s="275"/>
      <c r="D18" s="274"/>
      <c r="E18" s="163" t="s">
        <v>301</v>
      </c>
      <c r="F18" s="163" t="s">
        <v>268</v>
      </c>
      <c r="G18" s="164">
        <v>85</v>
      </c>
      <c r="H18" s="164">
        <v>1500</v>
      </c>
      <c r="I18" s="164">
        <f>G18*H18</f>
        <v>127500</v>
      </c>
      <c r="J18" s="163" t="s">
        <v>268</v>
      </c>
      <c r="K18" s="161">
        <v>85</v>
      </c>
      <c r="L18" s="164">
        <f>H18</f>
        <v>1500</v>
      </c>
      <c r="M18" s="162">
        <f t="shared" si="2"/>
        <v>127500</v>
      </c>
      <c r="N18" s="266"/>
    </row>
    <row r="19" spans="1:14" s="172" customFormat="1" ht="12">
      <c r="A19" s="274"/>
      <c r="B19" s="274"/>
      <c r="C19" s="280" t="s">
        <v>269</v>
      </c>
      <c r="D19" s="280"/>
      <c r="E19" s="280"/>
      <c r="F19" s="163"/>
      <c r="G19" s="164"/>
      <c r="H19" s="164"/>
      <c r="I19" s="165">
        <f>SUM(I14:I18)</f>
        <v>1145100</v>
      </c>
      <c r="J19" s="163"/>
      <c r="K19" s="161"/>
      <c r="L19" s="161"/>
      <c r="M19" s="168">
        <f>SUM(M14:M18)</f>
        <v>795100</v>
      </c>
      <c r="N19" s="266"/>
    </row>
    <row r="20" spans="1:14" s="172" customFormat="1" ht="12">
      <c r="A20" s="274"/>
      <c r="B20" s="274"/>
      <c r="C20" s="274" t="s">
        <v>290</v>
      </c>
      <c r="D20" s="274"/>
      <c r="E20" s="274"/>
      <c r="F20" s="163"/>
      <c r="G20" s="164"/>
      <c r="H20" s="164"/>
      <c r="I20" s="164">
        <f>I19*0.1+5*1200+5*1600</f>
        <v>128510</v>
      </c>
      <c r="J20" s="163"/>
      <c r="K20" s="161">
        <f>M19</f>
        <v>795100</v>
      </c>
      <c r="L20" s="166">
        <v>0.1</v>
      </c>
      <c r="M20" s="162">
        <f>ROUND(M19*10%,0)</f>
        <v>79510</v>
      </c>
      <c r="N20" s="266"/>
    </row>
    <row r="21" spans="1:14" s="172" customFormat="1" ht="12">
      <c r="A21" s="274"/>
      <c r="B21" s="274"/>
      <c r="C21" s="274" t="s">
        <v>271</v>
      </c>
      <c r="D21" s="274"/>
      <c r="E21" s="274"/>
      <c r="F21" s="163"/>
      <c r="G21" s="164"/>
      <c r="H21" s="164"/>
      <c r="I21" s="164">
        <f>(I19+I20)*0.05</f>
        <v>63680.5</v>
      </c>
      <c r="J21" s="163"/>
      <c r="K21" s="161">
        <f>M19+M20</f>
        <v>874610</v>
      </c>
      <c r="L21" s="166">
        <v>0.05</v>
      </c>
      <c r="M21" s="162">
        <f t="shared" si="2"/>
        <v>43731</v>
      </c>
      <c r="N21" s="266"/>
    </row>
    <row r="22" spans="1:14" s="172" customFormat="1" ht="12">
      <c r="A22" s="274"/>
      <c r="B22" s="274"/>
      <c r="C22" s="270" t="s">
        <v>13</v>
      </c>
      <c r="D22" s="270"/>
      <c r="E22" s="270"/>
      <c r="F22" s="163"/>
      <c r="G22" s="164"/>
      <c r="H22" s="164"/>
      <c r="I22" s="165">
        <f>SUM(I19:I21)</f>
        <v>1337290.5</v>
      </c>
      <c r="J22" s="163"/>
      <c r="K22" s="161"/>
      <c r="L22" s="161"/>
      <c r="M22" s="168">
        <f>SUM(M19:M21)</f>
        <v>918341</v>
      </c>
      <c r="N22" s="267"/>
    </row>
    <row r="23" spans="1:14" s="172" customFormat="1" ht="12">
      <c r="A23" s="274">
        <v>3</v>
      </c>
      <c r="B23" s="274" t="s">
        <v>302</v>
      </c>
      <c r="C23" s="275" t="s">
        <v>276</v>
      </c>
      <c r="D23" s="274" t="s">
        <v>273</v>
      </c>
      <c r="E23" s="163" t="s">
        <v>303</v>
      </c>
      <c r="F23" s="163" t="s">
        <v>268</v>
      </c>
      <c r="G23" s="164">
        <v>130</v>
      </c>
      <c r="H23" s="164">
        <v>2500</v>
      </c>
      <c r="I23" s="164">
        <f>G23*H23</f>
        <v>325000</v>
      </c>
      <c r="J23" s="163" t="s">
        <v>268</v>
      </c>
      <c r="K23" s="161">
        <v>130</v>
      </c>
      <c r="L23" s="164">
        <v>2500</v>
      </c>
      <c r="M23" s="162">
        <f t="shared" si="2"/>
        <v>325000</v>
      </c>
      <c r="N23" s="265">
        <f>ROUND(M28*0.8,0)</f>
        <v>348348</v>
      </c>
    </row>
    <row r="24" spans="1:14" s="172" customFormat="1" ht="12">
      <c r="A24" s="274"/>
      <c r="B24" s="274"/>
      <c r="C24" s="275"/>
      <c r="D24" s="274"/>
      <c r="E24" s="163" t="s">
        <v>304</v>
      </c>
      <c r="F24" s="163" t="s">
        <v>268</v>
      </c>
      <c r="G24" s="164">
        <v>260</v>
      </c>
      <c r="H24" s="164">
        <v>200</v>
      </c>
      <c r="I24" s="164">
        <f>G24*H24</f>
        <v>52000</v>
      </c>
      <c r="J24" s="163" t="s">
        <v>268</v>
      </c>
      <c r="K24" s="161">
        <v>260</v>
      </c>
      <c r="L24" s="161">
        <v>200</v>
      </c>
      <c r="M24" s="162">
        <f t="shared" si="2"/>
        <v>52000</v>
      </c>
      <c r="N24" s="266"/>
    </row>
    <row r="25" spans="1:14" s="172" customFormat="1" ht="12">
      <c r="A25" s="274"/>
      <c r="B25" s="274"/>
      <c r="C25" s="280" t="s">
        <v>269</v>
      </c>
      <c r="D25" s="280"/>
      <c r="E25" s="280"/>
      <c r="F25" s="163"/>
      <c r="G25" s="164"/>
      <c r="H25" s="164"/>
      <c r="I25" s="165">
        <f>SUM(I23:I24)</f>
        <v>377000</v>
      </c>
      <c r="J25" s="163"/>
      <c r="K25" s="161"/>
      <c r="L25" s="161"/>
      <c r="M25" s="168">
        <f>SUM(M23:M24)</f>
        <v>377000</v>
      </c>
      <c r="N25" s="266"/>
    </row>
    <row r="26" spans="1:14" s="172" customFormat="1" ht="12">
      <c r="A26" s="274"/>
      <c r="B26" s="274"/>
      <c r="C26" s="274" t="s">
        <v>290</v>
      </c>
      <c r="D26" s="274"/>
      <c r="E26" s="274"/>
      <c r="F26" s="163"/>
      <c r="G26" s="164"/>
      <c r="H26" s="164"/>
      <c r="I26" s="164">
        <f>I25*0.1+4*1500*2</f>
        <v>49700</v>
      </c>
      <c r="J26" s="163"/>
      <c r="K26" s="161">
        <f>M25</f>
        <v>377000</v>
      </c>
      <c r="L26" s="166">
        <v>0.1</v>
      </c>
      <c r="M26" s="162">
        <f>ROUND(M25*10%,0)</f>
        <v>37700</v>
      </c>
      <c r="N26" s="266"/>
    </row>
    <row r="27" spans="1:14" s="172" customFormat="1" ht="12">
      <c r="A27" s="274"/>
      <c r="B27" s="274"/>
      <c r="C27" s="274" t="s">
        <v>271</v>
      </c>
      <c r="D27" s="274"/>
      <c r="E27" s="274"/>
      <c r="F27" s="163"/>
      <c r="G27" s="164"/>
      <c r="H27" s="164"/>
      <c r="I27" s="164">
        <f>(I25+I26)*0.05</f>
        <v>21335</v>
      </c>
      <c r="J27" s="163"/>
      <c r="K27" s="161">
        <f>M25+M26</f>
        <v>414700</v>
      </c>
      <c r="L27" s="166">
        <v>0.05</v>
      </c>
      <c r="M27" s="162">
        <f t="shared" si="2"/>
        <v>20735</v>
      </c>
      <c r="N27" s="266"/>
    </row>
    <row r="28" spans="1:14" s="172" customFormat="1" ht="12">
      <c r="A28" s="274"/>
      <c r="B28" s="274"/>
      <c r="C28" s="270" t="s">
        <v>13</v>
      </c>
      <c r="D28" s="270"/>
      <c r="E28" s="270"/>
      <c r="F28" s="163"/>
      <c r="G28" s="164"/>
      <c r="H28" s="164"/>
      <c r="I28" s="165">
        <f>SUM(I25:I27)</f>
        <v>448035</v>
      </c>
      <c r="J28" s="163"/>
      <c r="K28" s="161"/>
      <c r="L28" s="161"/>
      <c r="M28" s="168">
        <f>SUM(M25:M27)</f>
        <v>435435</v>
      </c>
      <c r="N28" s="267"/>
    </row>
    <row r="29" spans="1:14" s="172" customFormat="1" ht="12">
      <c r="A29" s="274">
        <v>4</v>
      </c>
      <c r="B29" s="274" t="s">
        <v>305</v>
      </c>
      <c r="C29" s="287" t="s">
        <v>270</v>
      </c>
      <c r="D29" s="281" t="s">
        <v>273</v>
      </c>
      <c r="E29" s="163" t="s">
        <v>303</v>
      </c>
      <c r="F29" s="163" t="s">
        <v>268</v>
      </c>
      <c r="G29" s="164">
        <v>90</v>
      </c>
      <c r="H29" s="164">
        <v>2500</v>
      </c>
      <c r="I29" s="164">
        <f>G29*H29</f>
        <v>225000</v>
      </c>
      <c r="J29" s="163" t="s">
        <v>268</v>
      </c>
      <c r="K29" s="161">
        <v>90</v>
      </c>
      <c r="L29" s="161">
        <v>2500</v>
      </c>
      <c r="M29" s="162">
        <f t="shared" si="2"/>
        <v>225000</v>
      </c>
      <c r="N29" s="265">
        <f>ROUND(M35*0.8,0)</f>
        <v>294155</v>
      </c>
    </row>
    <row r="30" spans="1:14" s="172" customFormat="1" ht="22.5">
      <c r="A30" s="274"/>
      <c r="B30" s="274"/>
      <c r="C30" s="288"/>
      <c r="D30" s="282"/>
      <c r="E30" s="163" t="s">
        <v>306</v>
      </c>
      <c r="F30" s="163" t="s">
        <v>268</v>
      </c>
      <c r="G30" s="164">
        <v>40</v>
      </c>
      <c r="H30" s="164">
        <v>2619</v>
      </c>
      <c r="I30" s="164">
        <f>G30*H30</f>
        <v>104760</v>
      </c>
      <c r="J30" s="163" t="s">
        <v>268</v>
      </c>
      <c r="K30" s="161">
        <v>35</v>
      </c>
      <c r="L30" s="161">
        <f>L29</f>
        <v>2500</v>
      </c>
      <c r="M30" s="162">
        <f t="shared" si="2"/>
        <v>87500</v>
      </c>
      <c r="N30" s="266"/>
    </row>
    <row r="31" spans="1:14" s="172" customFormat="1" ht="22.5">
      <c r="A31" s="274"/>
      <c r="B31" s="274"/>
      <c r="C31" s="289"/>
      <c r="D31" s="283"/>
      <c r="E31" s="163" t="s">
        <v>307</v>
      </c>
      <c r="F31" s="163" t="s">
        <v>274</v>
      </c>
      <c r="G31" s="164">
        <v>10</v>
      </c>
      <c r="H31" s="164">
        <v>1250</v>
      </c>
      <c r="I31" s="164">
        <f>G31*H31</f>
        <v>12500</v>
      </c>
      <c r="J31" s="163" t="s">
        <v>274</v>
      </c>
      <c r="K31" s="161">
        <v>9</v>
      </c>
      <c r="L31" s="161">
        <v>650</v>
      </c>
      <c r="M31" s="162">
        <f t="shared" si="2"/>
        <v>5850</v>
      </c>
      <c r="N31" s="266"/>
    </row>
    <row r="32" spans="1:14" s="172" customFormat="1" ht="12">
      <c r="A32" s="274"/>
      <c r="B32" s="274"/>
      <c r="C32" s="280" t="s">
        <v>269</v>
      </c>
      <c r="D32" s="280"/>
      <c r="E32" s="280"/>
      <c r="F32" s="163"/>
      <c r="G32" s="164"/>
      <c r="H32" s="164"/>
      <c r="I32" s="165">
        <f>SUM(I29:I31)</f>
        <v>342260</v>
      </c>
      <c r="J32" s="163"/>
      <c r="K32" s="161"/>
      <c r="L32" s="161"/>
      <c r="M32" s="168">
        <f>SUM(M29:M31)</f>
        <v>318350</v>
      </c>
      <c r="N32" s="266"/>
    </row>
    <row r="33" spans="1:14" s="172" customFormat="1" ht="12">
      <c r="A33" s="274"/>
      <c r="B33" s="274"/>
      <c r="C33" s="274" t="s">
        <v>290</v>
      </c>
      <c r="D33" s="274"/>
      <c r="E33" s="274"/>
      <c r="F33" s="163"/>
      <c r="G33" s="164"/>
      <c r="H33" s="164"/>
      <c r="I33" s="164">
        <f>225000*0.1+3*1200+3*1600</f>
        <v>30900</v>
      </c>
      <c r="J33" s="163"/>
      <c r="K33" s="161">
        <f>M32</f>
        <v>318350</v>
      </c>
      <c r="L33" s="166">
        <v>0.1</v>
      </c>
      <c r="M33" s="162">
        <f>ROUND(M32*10%,0)</f>
        <v>31835</v>
      </c>
      <c r="N33" s="266"/>
    </row>
    <row r="34" spans="1:14" s="172" customFormat="1" ht="12">
      <c r="A34" s="274"/>
      <c r="B34" s="274"/>
      <c r="C34" s="274" t="s">
        <v>271</v>
      </c>
      <c r="D34" s="274"/>
      <c r="E34" s="274"/>
      <c r="F34" s="163"/>
      <c r="G34" s="164"/>
      <c r="H34" s="164"/>
      <c r="I34" s="164">
        <f>(I29+I33)*0.05</f>
        <v>12795</v>
      </c>
      <c r="J34" s="163"/>
      <c r="K34" s="161">
        <f>M32+M33</f>
        <v>350185</v>
      </c>
      <c r="L34" s="166">
        <v>0.05</v>
      </c>
      <c r="M34" s="162">
        <f t="shared" si="2"/>
        <v>17509</v>
      </c>
      <c r="N34" s="266"/>
    </row>
    <row r="35" spans="1:14" s="172" customFormat="1" ht="12">
      <c r="A35" s="274"/>
      <c r="B35" s="274"/>
      <c r="C35" s="270" t="s">
        <v>13</v>
      </c>
      <c r="D35" s="270"/>
      <c r="E35" s="270"/>
      <c r="F35" s="163"/>
      <c r="G35" s="164"/>
      <c r="H35" s="164"/>
      <c r="I35" s="165">
        <f>SUM(I32:I34)</f>
        <v>385955</v>
      </c>
      <c r="J35" s="163"/>
      <c r="K35" s="161"/>
      <c r="L35" s="161"/>
      <c r="M35" s="168">
        <f>SUM(M32:M34)</f>
        <v>367694</v>
      </c>
      <c r="N35" s="267"/>
    </row>
    <row r="36" spans="1:14" s="172" customFormat="1" ht="12">
      <c r="A36" s="274">
        <v>5</v>
      </c>
      <c r="B36" s="274" t="s">
        <v>116</v>
      </c>
      <c r="C36" s="275" t="s">
        <v>276</v>
      </c>
      <c r="D36" s="274" t="s">
        <v>277</v>
      </c>
      <c r="E36" s="163" t="s">
        <v>278</v>
      </c>
      <c r="F36" s="163" t="s">
        <v>268</v>
      </c>
      <c r="G36" s="164">
        <v>150</v>
      </c>
      <c r="H36" s="164">
        <v>80</v>
      </c>
      <c r="I36" s="164">
        <f>G36*H36</f>
        <v>12000</v>
      </c>
      <c r="J36" s="163" t="s">
        <v>268</v>
      </c>
      <c r="K36" s="161">
        <v>150</v>
      </c>
      <c r="L36" s="161">
        <v>80</v>
      </c>
      <c r="M36" s="162">
        <f t="shared" si="2"/>
        <v>12000</v>
      </c>
      <c r="N36" s="265">
        <f>ROUND(M44*0.8,0)</f>
        <v>1096368</v>
      </c>
    </row>
    <row r="37" spans="1:14" s="172" customFormat="1" ht="12">
      <c r="A37" s="274"/>
      <c r="B37" s="274"/>
      <c r="C37" s="275"/>
      <c r="D37" s="274"/>
      <c r="E37" s="163" t="s">
        <v>279</v>
      </c>
      <c r="F37" s="163" t="s">
        <v>268</v>
      </c>
      <c r="G37" s="164">
        <v>1000</v>
      </c>
      <c r="H37" s="164">
        <v>300</v>
      </c>
      <c r="I37" s="164">
        <f>G37*H37</f>
        <v>300000</v>
      </c>
      <c r="J37" s="163" t="s">
        <v>268</v>
      </c>
      <c r="K37" s="161">
        <v>1000</v>
      </c>
      <c r="L37" s="161">
        <v>300</v>
      </c>
      <c r="M37" s="162">
        <f t="shared" si="2"/>
        <v>300000</v>
      </c>
      <c r="N37" s="266"/>
    </row>
    <row r="38" spans="1:14" s="172" customFormat="1" ht="12">
      <c r="A38" s="274"/>
      <c r="B38" s="274"/>
      <c r="C38" s="275"/>
      <c r="D38" s="274"/>
      <c r="E38" s="163" t="s">
        <v>280</v>
      </c>
      <c r="F38" s="163" t="s">
        <v>268</v>
      </c>
      <c r="G38" s="164">
        <v>500</v>
      </c>
      <c r="H38" s="164">
        <v>80</v>
      </c>
      <c r="I38" s="164">
        <f>G38*H38</f>
        <v>40000</v>
      </c>
      <c r="J38" s="163" t="s">
        <v>268</v>
      </c>
      <c r="K38" s="161">
        <v>500</v>
      </c>
      <c r="L38" s="161">
        <v>80</v>
      </c>
      <c r="M38" s="162">
        <f t="shared" si="2"/>
        <v>40000</v>
      </c>
      <c r="N38" s="266"/>
    </row>
    <row r="39" spans="1:14" s="172" customFormat="1" ht="22.5">
      <c r="A39" s="274"/>
      <c r="B39" s="274"/>
      <c r="C39" s="275"/>
      <c r="D39" s="274"/>
      <c r="E39" s="163" t="s">
        <v>281</v>
      </c>
      <c r="F39" s="163" t="s">
        <v>268</v>
      </c>
      <c r="G39" s="164">
        <v>2600</v>
      </c>
      <c r="H39" s="164">
        <v>300</v>
      </c>
      <c r="I39" s="164">
        <f>G39*H39</f>
        <v>780000</v>
      </c>
      <c r="J39" s="281" t="s">
        <v>268</v>
      </c>
      <c r="K39" s="281">
        <v>2600</v>
      </c>
      <c r="L39" s="281">
        <v>300</v>
      </c>
      <c r="M39" s="281">
        <f t="shared" si="2"/>
        <v>780000</v>
      </c>
      <c r="N39" s="266"/>
    </row>
    <row r="40" spans="1:14" s="172" customFormat="1" ht="22.5">
      <c r="A40" s="274"/>
      <c r="B40" s="274"/>
      <c r="C40" s="275"/>
      <c r="D40" s="274"/>
      <c r="E40" s="163" t="s">
        <v>282</v>
      </c>
      <c r="F40" s="163" t="s">
        <v>274</v>
      </c>
      <c r="G40" s="164">
        <v>200</v>
      </c>
      <c r="H40" s="164">
        <v>350</v>
      </c>
      <c r="I40" s="164">
        <f>G40*H40</f>
        <v>70000</v>
      </c>
      <c r="J40" s="283"/>
      <c r="K40" s="283"/>
      <c r="L40" s="283"/>
      <c r="M40" s="283"/>
      <c r="N40" s="266"/>
    </row>
    <row r="41" spans="1:14" s="172" customFormat="1" ht="12">
      <c r="A41" s="274"/>
      <c r="B41" s="274"/>
      <c r="C41" s="280" t="s">
        <v>269</v>
      </c>
      <c r="D41" s="280"/>
      <c r="E41" s="280"/>
      <c r="F41" s="163"/>
      <c r="G41" s="164"/>
      <c r="H41" s="164"/>
      <c r="I41" s="165">
        <f>SUM(I36:I40)</f>
        <v>1202000</v>
      </c>
      <c r="J41" s="163"/>
      <c r="K41" s="161"/>
      <c r="L41" s="161"/>
      <c r="M41" s="168">
        <f>SUM(M36:M40)</f>
        <v>1132000</v>
      </c>
      <c r="N41" s="266"/>
    </row>
    <row r="42" spans="1:14" s="172" customFormat="1" ht="12">
      <c r="A42" s="274"/>
      <c r="B42" s="274"/>
      <c r="C42" s="274" t="s">
        <v>290</v>
      </c>
      <c r="D42" s="274"/>
      <c r="E42" s="274"/>
      <c r="F42" s="163"/>
      <c r="G42" s="164"/>
      <c r="H42" s="164"/>
      <c r="I42" s="164">
        <f>I41*0.1+2*40000</f>
        <v>200200</v>
      </c>
      <c r="J42" s="163"/>
      <c r="K42" s="161">
        <f>M41</f>
        <v>1132000</v>
      </c>
      <c r="L42" s="166">
        <v>0.1</v>
      </c>
      <c r="M42" s="162">
        <f>ROUND(M41*10%,0)+2*30000</f>
        <v>173200</v>
      </c>
      <c r="N42" s="266"/>
    </row>
    <row r="43" spans="1:14" s="172" customFormat="1" ht="12">
      <c r="A43" s="274"/>
      <c r="B43" s="274"/>
      <c r="C43" s="274" t="s">
        <v>271</v>
      </c>
      <c r="D43" s="274"/>
      <c r="E43" s="274"/>
      <c r="F43" s="163"/>
      <c r="G43" s="164"/>
      <c r="H43" s="164"/>
      <c r="I43" s="164">
        <f>(I41+I42)*0.05</f>
        <v>70110</v>
      </c>
      <c r="J43" s="163"/>
      <c r="K43" s="161">
        <f>M41+M42</f>
        <v>1305200</v>
      </c>
      <c r="L43" s="166">
        <v>0.05</v>
      </c>
      <c r="M43" s="162">
        <f t="shared" si="2"/>
        <v>65260</v>
      </c>
      <c r="N43" s="266"/>
    </row>
    <row r="44" spans="1:14" s="172" customFormat="1" ht="12">
      <c r="A44" s="274"/>
      <c r="B44" s="274"/>
      <c r="C44" s="270" t="s">
        <v>13</v>
      </c>
      <c r="D44" s="270"/>
      <c r="E44" s="270"/>
      <c r="F44" s="163"/>
      <c r="G44" s="164"/>
      <c r="H44" s="164"/>
      <c r="I44" s="165">
        <f>SUM(I41:I43)</f>
        <v>1472310</v>
      </c>
      <c r="J44" s="163"/>
      <c r="K44" s="161"/>
      <c r="L44" s="161"/>
      <c r="M44" s="168">
        <f>SUM(M41:M43)</f>
        <v>1370460</v>
      </c>
      <c r="N44" s="267"/>
    </row>
    <row r="45" spans="1:14" s="172" customFormat="1" ht="22.5">
      <c r="A45" s="274">
        <v>6</v>
      </c>
      <c r="B45" s="274" t="s">
        <v>308</v>
      </c>
      <c r="C45" s="275" t="s">
        <v>276</v>
      </c>
      <c r="D45" s="274" t="s">
        <v>277</v>
      </c>
      <c r="E45" s="163" t="s">
        <v>309</v>
      </c>
      <c r="F45" s="163" t="s">
        <v>268</v>
      </c>
      <c r="G45" s="164">
        <v>1600</v>
      </c>
      <c r="H45" s="164">
        <v>15</v>
      </c>
      <c r="I45" s="164">
        <f>G45*H45</f>
        <v>24000</v>
      </c>
      <c r="J45" s="163" t="s">
        <v>268</v>
      </c>
      <c r="K45" s="161">
        <v>1454</v>
      </c>
      <c r="L45" s="161">
        <v>15</v>
      </c>
      <c r="M45" s="162">
        <f t="shared" si="2"/>
        <v>21810</v>
      </c>
      <c r="N45" s="265">
        <f>ROUND(M52*0.8,0)</f>
        <v>244026</v>
      </c>
    </row>
    <row r="46" spans="1:14" s="172" customFormat="1" ht="12">
      <c r="A46" s="274"/>
      <c r="B46" s="274"/>
      <c r="C46" s="275"/>
      <c r="D46" s="274"/>
      <c r="E46" s="163" t="s">
        <v>310</v>
      </c>
      <c r="F46" s="163" t="s">
        <v>268</v>
      </c>
      <c r="G46" s="164">
        <v>200</v>
      </c>
      <c r="H46" s="164">
        <v>80</v>
      </c>
      <c r="I46" s="164">
        <f>G46*H46</f>
        <v>16000</v>
      </c>
      <c r="J46" s="163" t="s">
        <v>268</v>
      </c>
      <c r="K46" s="161">
        <v>200</v>
      </c>
      <c r="L46" s="161">
        <v>80</v>
      </c>
      <c r="M46" s="162">
        <f t="shared" si="2"/>
        <v>16000</v>
      </c>
      <c r="N46" s="266"/>
    </row>
    <row r="47" spans="1:14" s="172" customFormat="1" ht="12">
      <c r="A47" s="274"/>
      <c r="B47" s="274"/>
      <c r="C47" s="275"/>
      <c r="D47" s="274"/>
      <c r="E47" s="163" t="s">
        <v>311</v>
      </c>
      <c r="F47" s="163" t="s">
        <v>268</v>
      </c>
      <c r="G47" s="164">
        <v>1600</v>
      </c>
      <c r="H47" s="164">
        <v>120</v>
      </c>
      <c r="I47" s="164">
        <f>G47*H47</f>
        <v>192000</v>
      </c>
      <c r="J47" s="163" t="s">
        <v>268</v>
      </c>
      <c r="K47" s="161">
        <v>1454</v>
      </c>
      <c r="L47" s="161">
        <v>120</v>
      </c>
      <c r="M47" s="162">
        <f t="shared" si="2"/>
        <v>174480</v>
      </c>
      <c r="N47" s="266"/>
    </row>
    <row r="48" spans="1:14" s="172" customFormat="1" ht="12">
      <c r="A48" s="274"/>
      <c r="B48" s="274"/>
      <c r="C48" s="275"/>
      <c r="D48" s="274"/>
      <c r="E48" s="163" t="s">
        <v>312</v>
      </c>
      <c r="F48" s="163" t="s">
        <v>268</v>
      </c>
      <c r="G48" s="164">
        <v>1600</v>
      </c>
      <c r="H48" s="164">
        <v>20</v>
      </c>
      <c r="I48" s="164">
        <f>G48*H48</f>
        <v>32000</v>
      </c>
      <c r="J48" s="163" t="s">
        <v>268</v>
      </c>
      <c r="K48" s="161">
        <v>1454</v>
      </c>
      <c r="L48" s="161">
        <v>20</v>
      </c>
      <c r="M48" s="162">
        <f t="shared" si="2"/>
        <v>29080</v>
      </c>
      <c r="N48" s="266"/>
    </row>
    <row r="49" spans="1:14" s="172" customFormat="1" ht="12">
      <c r="A49" s="274"/>
      <c r="B49" s="274"/>
      <c r="C49" s="280" t="s">
        <v>269</v>
      </c>
      <c r="D49" s="280"/>
      <c r="E49" s="280"/>
      <c r="F49" s="163"/>
      <c r="G49" s="164"/>
      <c r="H49" s="164"/>
      <c r="I49" s="165">
        <f>SUM(I45:I48)</f>
        <v>264000</v>
      </c>
      <c r="J49" s="163"/>
      <c r="K49" s="161"/>
      <c r="L49" s="161"/>
      <c r="M49" s="168">
        <f>SUM(M45:M48)</f>
        <v>241370</v>
      </c>
      <c r="N49" s="266"/>
    </row>
    <row r="50" spans="1:14" s="172" customFormat="1" ht="12">
      <c r="A50" s="274"/>
      <c r="B50" s="274"/>
      <c r="C50" s="274" t="s">
        <v>290</v>
      </c>
      <c r="D50" s="274"/>
      <c r="E50" s="274"/>
      <c r="F50" s="163"/>
      <c r="G50" s="164"/>
      <c r="H50" s="164"/>
      <c r="I50" s="164">
        <f>I49*0.1+25000</f>
        <v>51400</v>
      </c>
      <c r="J50" s="163"/>
      <c r="K50" s="161">
        <f>M49</f>
        <v>241370</v>
      </c>
      <c r="L50" s="166">
        <v>0.1</v>
      </c>
      <c r="M50" s="162">
        <f>ROUND(M49*10%,0)+25000</f>
        <v>49137</v>
      </c>
      <c r="N50" s="266"/>
    </row>
    <row r="51" spans="1:14" s="172" customFormat="1" ht="12">
      <c r="A51" s="274"/>
      <c r="B51" s="274"/>
      <c r="C51" s="274" t="s">
        <v>271</v>
      </c>
      <c r="D51" s="274"/>
      <c r="E51" s="274"/>
      <c r="F51" s="163"/>
      <c r="G51" s="164"/>
      <c r="H51" s="164"/>
      <c r="I51" s="164">
        <f>(I49+I50)*0.05</f>
        <v>15770</v>
      </c>
      <c r="J51" s="163"/>
      <c r="K51" s="161">
        <f>M49+M50</f>
        <v>290507</v>
      </c>
      <c r="L51" s="166">
        <v>0.05</v>
      </c>
      <c r="M51" s="162">
        <f t="shared" si="2"/>
        <v>14525</v>
      </c>
      <c r="N51" s="266"/>
    </row>
    <row r="52" spans="1:14" s="172" customFormat="1" ht="12">
      <c r="A52" s="274"/>
      <c r="B52" s="274"/>
      <c r="C52" s="270" t="s">
        <v>13</v>
      </c>
      <c r="D52" s="270"/>
      <c r="E52" s="270"/>
      <c r="F52" s="163"/>
      <c r="G52" s="164"/>
      <c r="H52" s="164"/>
      <c r="I52" s="165">
        <f>SUM(I49:I51)</f>
        <v>331170</v>
      </c>
      <c r="J52" s="163"/>
      <c r="K52" s="161"/>
      <c r="L52" s="161"/>
      <c r="M52" s="168">
        <f>SUM(M49:M51)</f>
        <v>305032</v>
      </c>
      <c r="N52" s="267"/>
    </row>
    <row r="53" spans="1:14">
      <c r="A53" s="169"/>
      <c r="D53" s="170"/>
    </row>
    <row r="56" spans="1:14">
      <c r="J56" s="171"/>
      <c r="K56" s="171"/>
      <c r="L56" s="171"/>
    </row>
    <row r="57" spans="1:14">
      <c r="J57" s="171"/>
      <c r="K57" s="171"/>
      <c r="L57" s="171"/>
    </row>
    <row r="58" spans="1:14">
      <c r="J58" s="171"/>
      <c r="K58" s="171"/>
      <c r="L58" s="171"/>
    </row>
    <row r="59" spans="1:14">
      <c r="J59" s="171"/>
      <c r="K59" s="171"/>
      <c r="L59" s="171"/>
    </row>
    <row r="60" spans="1:14">
      <c r="J60" s="171"/>
      <c r="K60" s="171"/>
      <c r="L60" s="171"/>
    </row>
  </sheetData>
  <mergeCells count="77">
    <mergeCell ref="A45:A52"/>
    <mergeCell ref="B45:B52"/>
    <mergeCell ref="C45:C48"/>
    <mergeCell ref="D45:D48"/>
    <mergeCell ref="C49:E49"/>
    <mergeCell ref="C50:E50"/>
    <mergeCell ref="C51:E51"/>
    <mergeCell ref="C52:E52"/>
    <mergeCell ref="L39:L40"/>
    <mergeCell ref="M39:M40"/>
    <mergeCell ref="C41:E41"/>
    <mergeCell ref="C42:E42"/>
    <mergeCell ref="C43:E43"/>
    <mergeCell ref="J39:J40"/>
    <mergeCell ref="K39:K40"/>
    <mergeCell ref="C44:E44"/>
    <mergeCell ref="A36:A44"/>
    <mergeCell ref="B36:B44"/>
    <mergeCell ref="C36:C40"/>
    <mergeCell ref="D36:D40"/>
    <mergeCell ref="A29:A35"/>
    <mergeCell ref="B29:B35"/>
    <mergeCell ref="C29:C31"/>
    <mergeCell ref="D29:D31"/>
    <mergeCell ref="C32:E32"/>
    <mergeCell ref="C33:E33"/>
    <mergeCell ref="C34:E34"/>
    <mergeCell ref="C35:E35"/>
    <mergeCell ref="A23:A28"/>
    <mergeCell ref="B23:B28"/>
    <mergeCell ref="C23:C24"/>
    <mergeCell ref="D23:D24"/>
    <mergeCell ref="C25:E25"/>
    <mergeCell ref="C26:E26"/>
    <mergeCell ref="C27:E27"/>
    <mergeCell ref="C28:E28"/>
    <mergeCell ref="G15:G17"/>
    <mergeCell ref="H15:H17"/>
    <mergeCell ref="I15:I17"/>
    <mergeCell ref="C19:E19"/>
    <mergeCell ref="C20:E20"/>
    <mergeCell ref="F15:F17"/>
    <mergeCell ref="C21:E21"/>
    <mergeCell ref="A14:A22"/>
    <mergeCell ref="B14:B22"/>
    <mergeCell ref="C14:C18"/>
    <mergeCell ref="D14:D18"/>
    <mergeCell ref="E15:E17"/>
    <mergeCell ref="C22:E22"/>
    <mergeCell ref="K8:K9"/>
    <mergeCell ref="L8:L9"/>
    <mergeCell ref="M8:M9"/>
    <mergeCell ref="C10:E10"/>
    <mergeCell ref="C11:E11"/>
    <mergeCell ref="B4:E4"/>
    <mergeCell ref="A5:A13"/>
    <mergeCell ref="B5:B13"/>
    <mergeCell ref="C5:C9"/>
    <mergeCell ref="D5:D7"/>
    <mergeCell ref="D8:D9"/>
    <mergeCell ref="C13:E13"/>
    <mergeCell ref="N36:N44"/>
    <mergeCell ref="N45:N52"/>
    <mergeCell ref="A1:N1"/>
    <mergeCell ref="N2:N3"/>
    <mergeCell ref="N5:N13"/>
    <mergeCell ref="N14:N22"/>
    <mergeCell ref="N23:N28"/>
    <mergeCell ref="N29:N35"/>
    <mergeCell ref="A2:A3"/>
    <mergeCell ref="B2:B3"/>
    <mergeCell ref="C2:C3"/>
    <mergeCell ref="D2:D3"/>
    <mergeCell ref="E2:E3"/>
    <mergeCell ref="F2:I2"/>
    <mergeCell ref="J2:M2"/>
    <mergeCell ref="C12:E1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P18"/>
  <sheetViews>
    <sheetView workbookViewId="0">
      <pane xSplit="3" ySplit="3" topLeftCell="D4" activePane="bottomRight" state="frozen"/>
      <selection activeCell="A19" sqref="A19:XFD19"/>
      <selection pane="topRight" activeCell="A19" sqref="A19:XFD19"/>
      <selection pane="bottomLeft" activeCell="A19" sqref="A19:XFD19"/>
      <selection pane="bottomRight" activeCell="A19" sqref="A19:XFD19"/>
    </sheetView>
  </sheetViews>
  <sheetFormatPr defaultColWidth="9" defaultRowHeight="11.25"/>
  <cols>
    <col min="1" max="1" width="8.125" style="1" customWidth="1"/>
    <col min="2" max="2" width="21.875" style="1" customWidth="1"/>
    <col min="3" max="3" width="7.625" style="1" customWidth="1"/>
    <col min="4" max="4" width="9.75" style="1" hidden="1" customWidth="1"/>
    <col min="5" max="24" width="9" style="1" hidden="1" customWidth="1"/>
    <col min="25" max="25" width="8.375" style="1" hidden="1" customWidth="1"/>
    <col min="26" max="26" width="9.625" style="1" hidden="1" customWidth="1"/>
    <col min="27" max="27" width="9.375" style="1" hidden="1" customWidth="1"/>
    <col min="28" max="28" width="12.5" style="1" hidden="1" customWidth="1"/>
    <col min="29" max="29" width="9.875" style="1" hidden="1" customWidth="1"/>
    <col min="30" max="30" width="11.625" style="1" customWidth="1"/>
    <col min="31" max="31" width="10.5" style="1" customWidth="1"/>
    <col min="32" max="32" width="10.875" style="1" customWidth="1"/>
    <col min="33" max="33" width="11.375" style="1" customWidth="1"/>
    <col min="34" max="34" width="11.625" style="1" customWidth="1"/>
    <col min="35" max="35" width="11.375" style="1" customWidth="1"/>
    <col min="36" max="36" width="9.125" style="1" bestFit="1" customWidth="1"/>
    <col min="37" max="37" width="11" style="1" customWidth="1"/>
    <col min="38" max="38" width="12.125" style="1" customWidth="1"/>
    <col min="39" max="39" width="12.5" style="1" customWidth="1"/>
    <col min="40" max="40" width="11.625" style="1" customWidth="1"/>
    <col min="41" max="41" width="9.75" style="1" customWidth="1"/>
    <col min="42" max="42" width="13.875" style="1" customWidth="1"/>
    <col min="43" max="16384" width="9" style="1"/>
  </cols>
  <sheetData>
    <row r="1" spans="1:42" ht="18.75">
      <c r="A1" s="201" t="s">
        <v>140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3"/>
      <c r="AP1" s="203"/>
    </row>
    <row r="2" spans="1:42">
      <c r="A2" s="205" t="s">
        <v>0</v>
      </c>
      <c r="B2" s="205" t="s">
        <v>1</v>
      </c>
      <c r="C2" s="205" t="s">
        <v>2</v>
      </c>
      <c r="D2" s="205" t="s">
        <v>3</v>
      </c>
      <c r="E2" s="205" t="s">
        <v>4</v>
      </c>
      <c r="F2" s="205"/>
      <c r="G2" s="205"/>
      <c r="H2" s="205"/>
      <c r="I2" s="205"/>
      <c r="J2" s="205" t="s">
        <v>5</v>
      </c>
      <c r="K2" s="205"/>
      <c r="L2" s="205"/>
      <c r="M2" s="205"/>
      <c r="N2" s="205"/>
      <c r="O2" s="206" t="s">
        <v>6</v>
      </c>
      <c r="P2" s="206"/>
      <c r="Q2" s="206"/>
      <c r="R2" s="206"/>
      <c r="S2" s="206"/>
      <c r="T2" s="206" t="s">
        <v>7</v>
      </c>
      <c r="U2" s="206"/>
      <c r="V2" s="206"/>
      <c r="W2" s="206"/>
      <c r="X2" s="206"/>
      <c r="Y2" s="206" t="s">
        <v>8</v>
      </c>
      <c r="Z2" s="206"/>
      <c r="AA2" s="206"/>
      <c r="AB2" s="206"/>
      <c r="AC2" s="206"/>
      <c r="AD2" s="205" t="s">
        <v>40</v>
      </c>
      <c r="AE2" s="205"/>
      <c r="AF2" s="205"/>
      <c r="AG2" s="205"/>
      <c r="AH2" s="205"/>
      <c r="AI2" s="205"/>
      <c r="AJ2" s="205"/>
      <c r="AK2" s="205"/>
      <c r="AL2" s="205"/>
      <c r="AM2" s="205"/>
      <c r="AN2" s="204">
        <v>0.6</v>
      </c>
      <c r="AO2" s="199" t="s">
        <v>320</v>
      </c>
      <c r="AP2" s="199" t="s">
        <v>321</v>
      </c>
    </row>
    <row r="3" spans="1:42" ht="33.75">
      <c r="A3" s="205"/>
      <c r="B3" s="205"/>
      <c r="C3" s="205"/>
      <c r="D3" s="205"/>
      <c r="E3" s="2" t="s">
        <v>9</v>
      </c>
      <c r="F3" s="2" t="s">
        <v>10</v>
      </c>
      <c r="G3" s="2" t="s">
        <v>11</v>
      </c>
      <c r="H3" s="2" t="s">
        <v>12</v>
      </c>
      <c r="I3" s="3" t="s">
        <v>13</v>
      </c>
      <c r="J3" s="2" t="s">
        <v>9</v>
      </c>
      <c r="K3" s="2" t="s">
        <v>10</v>
      </c>
      <c r="L3" s="2" t="s">
        <v>11</v>
      </c>
      <c r="M3" s="2" t="s">
        <v>12</v>
      </c>
      <c r="N3" s="3" t="s">
        <v>13</v>
      </c>
      <c r="O3" s="2" t="s">
        <v>9</v>
      </c>
      <c r="P3" s="2" t="s">
        <v>10</v>
      </c>
      <c r="Q3" s="2" t="s">
        <v>11</v>
      </c>
      <c r="R3" s="2" t="s">
        <v>12</v>
      </c>
      <c r="S3" s="3" t="s">
        <v>13</v>
      </c>
      <c r="T3" s="2" t="s">
        <v>9</v>
      </c>
      <c r="U3" s="2" t="s">
        <v>10</v>
      </c>
      <c r="V3" s="2" t="s">
        <v>11</v>
      </c>
      <c r="W3" s="2" t="s">
        <v>12</v>
      </c>
      <c r="X3" s="3" t="s">
        <v>13</v>
      </c>
      <c r="Y3" s="2" t="s">
        <v>9</v>
      </c>
      <c r="Z3" s="2" t="s">
        <v>10</v>
      </c>
      <c r="AA3" s="2" t="s">
        <v>11</v>
      </c>
      <c r="AB3" s="2" t="s">
        <v>12</v>
      </c>
      <c r="AC3" s="3" t="s">
        <v>13</v>
      </c>
      <c r="AD3" s="2" t="s">
        <v>14</v>
      </c>
      <c r="AE3" s="2" t="s">
        <v>15</v>
      </c>
      <c r="AF3" s="2" t="s">
        <v>16</v>
      </c>
      <c r="AG3" s="2" t="s">
        <v>17</v>
      </c>
      <c r="AH3" s="2" t="s">
        <v>18</v>
      </c>
      <c r="AI3" s="2" t="s">
        <v>19</v>
      </c>
      <c r="AJ3" s="2" t="s">
        <v>20</v>
      </c>
      <c r="AK3" s="2" t="s">
        <v>41</v>
      </c>
      <c r="AL3" s="2" t="s">
        <v>239</v>
      </c>
      <c r="AM3" s="3" t="s">
        <v>21</v>
      </c>
      <c r="AN3" s="200"/>
      <c r="AO3" s="200"/>
      <c r="AP3" s="200"/>
    </row>
    <row r="4" spans="1:42" ht="15" customHeight="1">
      <c r="A4" s="5" t="s">
        <v>24</v>
      </c>
      <c r="B4" s="6" t="s">
        <v>25</v>
      </c>
      <c r="C4" s="6" t="s">
        <v>22</v>
      </c>
      <c r="D4" s="7">
        <v>2</v>
      </c>
      <c r="E4" s="11">
        <v>3</v>
      </c>
      <c r="F4" s="11">
        <v>3</v>
      </c>
      <c r="G4" s="11">
        <v>27</v>
      </c>
      <c r="H4" s="11">
        <v>3</v>
      </c>
      <c r="I4" s="8">
        <f t="shared" ref="I4:I17" si="0">SUM(E4:H4)</f>
        <v>36</v>
      </c>
      <c r="J4" s="7">
        <v>2</v>
      </c>
      <c r="K4" s="7">
        <v>0</v>
      </c>
      <c r="L4" s="7">
        <v>0</v>
      </c>
      <c r="M4" s="7">
        <v>0</v>
      </c>
      <c r="N4" s="8">
        <f t="shared" ref="N4:N17" si="1">SUM(J4:M4)</f>
        <v>2</v>
      </c>
      <c r="O4" s="8">
        <f>E4+J4</f>
        <v>5</v>
      </c>
      <c r="P4" s="8">
        <f t="shared" ref="P4:R17" si="2">F4+K4</f>
        <v>3</v>
      </c>
      <c r="Q4" s="8">
        <f t="shared" si="2"/>
        <v>27</v>
      </c>
      <c r="R4" s="8">
        <f t="shared" si="2"/>
        <v>3</v>
      </c>
      <c r="S4" s="8">
        <f t="shared" ref="S4:S17" si="3">SUM(O4:R4)</f>
        <v>38</v>
      </c>
      <c r="T4" s="12">
        <v>6</v>
      </c>
      <c r="U4" s="12">
        <v>3</v>
      </c>
      <c r="V4" s="12">
        <v>25.583333333333332</v>
      </c>
      <c r="W4" s="12">
        <v>2.6666666666666665</v>
      </c>
      <c r="X4" s="8">
        <f t="shared" ref="X4:X17" si="4">SUM(T4:W4)</f>
        <v>37.249999999999993</v>
      </c>
      <c r="Y4" s="7">
        <v>6</v>
      </c>
      <c r="Z4" s="7">
        <v>3</v>
      </c>
      <c r="AA4" s="7">
        <v>25.583333333333332</v>
      </c>
      <c r="AB4" s="7">
        <v>2.6666666666666665</v>
      </c>
      <c r="AC4" s="8">
        <f t="shared" ref="AC4:AC17" si="5">SUM(Y4:AB4)</f>
        <v>37.249999999999993</v>
      </c>
      <c r="AD4" s="8">
        <f t="shared" ref="AD4:AD17" si="6">(Y4*6017+Z4*5250+AA4*5194+AB4*4250)*12</f>
        <v>2352782</v>
      </c>
      <c r="AE4" s="8">
        <f t="shared" ref="AE4:AE17" si="7">AC4*4320</f>
        <v>160919.99999999997</v>
      </c>
      <c r="AF4" s="8">
        <f t="shared" ref="AF4:AF17" si="8">AC4*6000</f>
        <v>223499.99999999997</v>
      </c>
      <c r="AG4" s="8">
        <f t="shared" ref="AG4:AG17" si="9">AC4*2400</f>
        <v>89399.999999999985</v>
      </c>
      <c r="AH4" s="8">
        <f t="shared" ref="AH4:AH17" si="10">AC4*8800</f>
        <v>327799.99999999994</v>
      </c>
      <c r="AI4" s="8">
        <f t="shared" ref="AI4:AI17" si="11">AC4*800</f>
        <v>29799.999999999993</v>
      </c>
      <c r="AJ4" s="8">
        <f t="shared" ref="AJ4:AJ17" si="12">D4*50*200</f>
        <v>20000</v>
      </c>
      <c r="AK4" s="8">
        <f t="shared" ref="AK4:AK17" si="13">AC4*960</f>
        <v>35759.999999999993</v>
      </c>
      <c r="AL4" s="8">
        <f t="shared" ref="AL4:AL17" si="14">ROUND((AD4+AH4+AI4+AJ4)*0.35756,2)</f>
        <v>976275.39</v>
      </c>
      <c r="AM4" s="8">
        <f t="shared" ref="AM4:AM17" si="15">SUM(AD4:AL4)</f>
        <v>4216237.3899999997</v>
      </c>
      <c r="AN4" s="9">
        <f t="shared" ref="AN4:AN17" si="16">ROUND(AM4*0.6,0)</f>
        <v>2529742</v>
      </c>
      <c r="AO4" s="173"/>
      <c r="AP4" s="173">
        <f t="shared" ref="AP4:AP17" si="17">AN4+AO4</f>
        <v>2529742</v>
      </c>
    </row>
    <row r="5" spans="1:42" ht="15" customHeight="1">
      <c r="A5" s="5" t="s">
        <v>24</v>
      </c>
      <c r="B5" s="6" t="s">
        <v>26</v>
      </c>
      <c r="C5" s="6" t="s">
        <v>22</v>
      </c>
      <c r="D5" s="7">
        <v>2</v>
      </c>
      <c r="E5" s="11">
        <v>4</v>
      </c>
      <c r="F5" s="11">
        <v>3</v>
      </c>
      <c r="G5" s="11">
        <v>28</v>
      </c>
      <c r="H5" s="11">
        <v>3</v>
      </c>
      <c r="I5" s="8">
        <f t="shared" si="0"/>
        <v>38</v>
      </c>
      <c r="J5" s="7">
        <v>12</v>
      </c>
      <c r="K5" s="7">
        <v>0</v>
      </c>
      <c r="L5" s="7">
        <v>0</v>
      </c>
      <c r="M5" s="7">
        <v>0</v>
      </c>
      <c r="N5" s="8">
        <f t="shared" si="1"/>
        <v>12</v>
      </c>
      <c r="O5" s="8">
        <f t="shared" ref="O5:O17" si="18">E5+J5</f>
        <v>16</v>
      </c>
      <c r="P5" s="8">
        <f t="shared" si="2"/>
        <v>3</v>
      </c>
      <c r="Q5" s="8">
        <f t="shared" si="2"/>
        <v>28</v>
      </c>
      <c r="R5" s="8">
        <f t="shared" si="2"/>
        <v>3</v>
      </c>
      <c r="S5" s="8">
        <f t="shared" si="3"/>
        <v>50</v>
      </c>
      <c r="T5" s="7">
        <v>11.333333333333334</v>
      </c>
      <c r="U5" s="7">
        <v>3</v>
      </c>
      <c r="V5" s="7">
        <v>27</v>
      </c>
      <c r="W5" s="7">
        <v>3</v>
      </c>
      <c r="X5" s="8">
        <f t="shared" si="4"/>
        <v>44.333333333333336</v>
      </c>
      <c r="Y5" s="8">
        <v>11.333333333333334</v>
      </c>
      <c r="Z5" s="8">
        <v>3</v>
      </c>
      <c r="AA5" s="8">
        <v>27</v>
      </c>
      <c r="AB5" s="8">
        <v>3</v>
      </c>
      <c r="AC5" s="8">
        <f t="shared" si="5"/>
        <v>44.333333333333336</v>
      </c>
      <c r="AD5" s="8">
        <f t="shared" si="6"/>
        <v>2843168</v>
      </c>
      <c r="AE5" s="8">
        <f t="shared" si="7"/>
        <v>191520</v>
      </c>
      <c r="AF5" s="8">
        <f t="shared" si="8"/>
        <v>266000</v>
      </c>
      <c r="AG5" s="8">
        <f t="shared" si="9"/>
        <v>106400</v>
      </c>
      <c r="AH5" s="8">
        <f t="shared" si="10"/>
        <v>390133.33333333337</v>
      </c>
      <c r="AI5" s="8">
        <f t="shared" si="11"/>
        <v>35466.666666666672</v>
      </c>
      <c r="AJ5" s="8">
        <f t="shared" si="12"/>
        <v>20000</v>
      </c>
      <c r="AK5" s="8">
        <f t="shared" si="13"/>
        <v>42560</v>
      </c>
      <c r="AL5" s="8">
        <f t="shared" si="14"/>
        <v>1175931.8899999999</v>
      </c>
      <c r="AM5" s="8">
        <f t="shared" si="15"/>
        <v>5071179.8899999997</v>
      </c>
      <c r="AN5" s="9">
        <f t="shared" si="16"/>
        <v>3042708</v>
      </c>
      <c r="AO5" s="173"/>
      <c r="AP5" s="173">
        <f t="shared" si="17"/>
        <v>3042708</v>
      </c>
    </row>
    <row r="6" spans="1:42" ht="15" customHeight="1">
      <c r="A6" s="5" t="s">
        <v>24</v>
      </c>
      <c r="B6" s="6" t="s">
        <v>27</v>
      </c>
      <c r="C6" s="6" t="s">
        <v>22</v>
      </c>
      <c r="D6" s="7">
        <v>2</v>
      </c>
      <c r="E6" s="11">
        <v>5</v>
      </c>
      <c r="F6" s="11">
        <v>3</v>
      </c>
      <c r="G6" s="11">
        <v>37</v>
      </c>
      <c r="H6" s="11">
        <v>4</v>
      </c>
      <c r="I6" s="8">
        <f t="shared" si="0"/>
        <v>49</v>
      </c>
      <c r="J6" s="7">
        <v>5</v>
      </c>
      <c r="K6" s="7">
        <v>1</v>
      </c>
      <c r="L6" s="7">
        <v>0.91666666666666663</v>
      </c>
      <c r="M6" s="7">
        <v>2.9166666666666665</v>
      </c>
      <c r="N6" s="8">
        <f t="shared" si="1"/>
        <v>9.8333333333333339</v>
      </c>
      <c r="O6" s="8">
        <f t="shared" si="18"/>
        <v>10</v>
      </c>
      <c r="P6" s="8">
        <f t="shared" si="2"/>
        <v>4</v>
      </c>
      <c r="Q6" s="8">
        <f t="shared" si="2"/>
        <v>37.916666666666664</v>
      </c>
      <c r="R6" s="8">
        <f t="shared" si="2"/>
        <v>6.9166666666666661</v>
      </c>
      <c r="S6" s="8">
        <f t="shared" si="3"/>
        <v>58.833333333333329</v>
      </c>
      <c r="T6" s="7">
        <v>9.6666666666666661</v>
      </c>
      <c r="U6" s="7">
        <v>5.5</v>
      </c>
      <c r="V6" s="7">
        <v>36.5</v>
      </c>
      <c r="W6" s="7">
        <v>4.833333333333333</v>
      </c>
      <c r="X6" s="8">
        <f t="shared" si="4"/>
        <v>56.5</v>
      </c>
      <c r="Y6" s="8">
        <v>9.6666666666666661</v>
      </c>
      <c r="Z6" s="8">
        <v>5.5</v>
      </c>
      <c r="AA6" s="8">
        <v>36.5</v>
      </c>
      <c r="AB6" s="8">
        <v>4.833333333333333</v>
      </c>
      <c r="AC6" s="8">
        <f t="shared" si="5"/>
        <v>56.5</v>
      </c>
      <c r="AD6" s="8">
        <f t="shared" si="6"/>
        <v>3565944</v>
      </c>
      <c r="AE6" s="8">
        <f t="shared" si="7"/>
        <v>244080</v>
      </c>
      <c r="AF6" s="8">
        <f t="shared" si="8"/>
        <v>339000</v>
      </c>
      <c r="AG6" s="8">
        <f t="shared" si="9"/>
        <v>135600</v>
      </c>
      <c r="AH6" s="8">
        <f t="shared" si="10"/>
        <v>497200</v>
      </c>
      <c r="AI6" s="8">
        <f t="shared" si="11"/>
        <v>45200</v>
      </c>
      <c r="AJ6" s="8">
        <f t="shared" si="12"/>
        <v>20000</v>
      </c>
      <c r="AK6" s="8">
        <f t="shared" si="13"/>
        <v>54240</v>
      </c>
      <c r="AL6" s="8">
        <f t="shared" si="14"/>
        <v>1476130.68</v>
      </c>
      <c r="AM6" s="8">
        <f t="shared" si="15"/>
        <v>6377394.6799999997</v>
      </c>
      <c r="AN6" s="9">
        <f t="shared" si="16"/>
        <v>3826437</v>
      </c>
      <c r="AO6" s="173"/>
      <c r="AP6" s="173">
        <f t="shared" si="17"/>
        <v>3826437</v>
      </c>
    </row>
    <row r="7" spans="1:42" ht="15" customHeight="1">
      <c r="A7" s="5" t="s">
        <v>24</v>
      </c>
      <c r="B7" s="6" t="s">
        <v>28</v>
      </c>
      <c r="C7" s="6" t="s">
        <v>22</v>
      </c>
      <c r="D7" s="7">
        <v>3</v>
      </c>
      <c r="E7" s="11">
        <v>3</v>
      </c>
      <c r="F7" s="11">
        <v>3</v>
      </c>
      <c r="G7" s="11">
        <v>25</v>
      </c>
      <c r="H7" s="11">
        <v>3</v>
      </c>
      <c r="I7" s="8">
        <f t="shared" si="0"/>
        <v>34</v>
      </c>
      <c r="J7" s="7">
        <v>3</v>
      </c>
      <c r="K7" s="7">
        <v>0</v>
      </c>
      <c r="L7" s="7">
        <v>0</v>
      </c>
      <c r="M7" s="7">
        <v>0</v>
      </c>
      <c r="N7" s="8">
        <f t="shared" si="1"/>
        <v>3</v>
      </c>
      <c r="O7" s="8">
        <f t="shared" si="18"/>
        <v>6</v>
      </c>
      <c r="P7" s="8">
        <f t="shared" si="2"/>
        <v>3</v>
      </c>
      <c r="Q7" s="8">
        <f t="shared" si="2"/>
        <v>25</v>
      </c>
      <c r="R7" s="8">
        <f t="shared" si="2"/>
        <v>3</v>
      </c>
      <c r="S7" s="8">
        <f t="shared" si="3"/>
        <v>37</v>
      </c>
      <c r="T7" s="7">
        <v>1</v>
      </c>
      <c r="U7" s="7">
        <v>4</v>
      </c>
      <c r="V7" s="7">
        <v>25.333333333333332</v>
      </c>
      <c r="W7" s="7">
        <v>2.6666666666666665</v>
      </c>
      <c r="X7" s="8">
        <f t="shared" si="4"/>
        <v>33</v>
      </c>
      <c r="Y7" s="8">
        <v>1</v>
      </c>
      <c r="Z7" s="8">
        <v>4</v>
      </c>
      <c r="AA7" s="8">
        <v>25.333333333333332</v>
      </c>
      <c r="AB7" s="8">
        <v>2.6666666666666665</v>
      </c>
      <c r="AC7" s="8">
        <f t="shared" si="5"/>
        <v>33</v>
      </c>
      <c r="AD7" s="8">
        <f t="shared" si="6"/>
        <v>2039180</v>
      </c>
      <c r="AE7" s="8">
        <f t="shared" si="7"/>
        <v>142560</v>
      </c>
      <c r="AF7" s="8">
        <f t="shared" si="8"/>
        <v>198000</v>
      </c>
      <c r="AG7" s="8">
        <f t="shared" si="9"/>
        <v>79200</v>
      </c>
      <c r="AH7" s="8">
        <f t="shared" si="10"/>
        <v>290400</v>
      </c>
      <c r="AI7" s="8">
        <f t="shared" si="11"/>
        <v>26400</v>
      </c>
      <c r="AJ7" s="8">
        <f t="shared" si="12"/>
        <v>30000</v>
      </c>
      <c r="AK7" s="8">
        <f t="shared" si="13"/>
        <v>31680</v>
      </c>
      <c r="AL7" s="8">
        <f t="shared" si="14"/>
        <v>853131.01</v>
      </c>
      <c r="AM7" s="8">
        <f t="shared" si="15"/>
        <v>3690551.01</v>
      </c>
      <c r="AN7" s="9">
        <f t="shared" si="16"/>
        <v>2214331</v>
      </c>
      <c r="AO7" s="173"/>
      <c r="AP7" s="173">
        <f t="shared" si="17"/>
        <v>2214331</v>
      </c>
    </row>
    <row r="8" spans="1:42" ht="15" customHeight="1">
      <c r="A8" s="5" t="s">
        <v>24</v>
      </c>
      <c r="B8" s="6" t="s">
        <v>29</v>
      </c>
      <c r="C8" s="6" t="s">
        <v>23</v>
      </c>
      <c r="D8" s="7"/>
      <c r="E8" s="11">
        <v>0</v>
      </c>
      <c r="F8" s="11">
        <v>4</v>
      </c>
      <c r="G8" s="11">
        <v>0</v>
      </c>
      <c r="H8" s="11">
        <v>5</v>
      </c>
      <c r="I8" s="8">
        <f t="shared" si="0"/>
        <v>9</v>
      </c>
      <c r="J8" s="7">
        <v>0</v>
      </c>
      <c r="K8" s="7">
        <v>0</v>
      </c>
      <c r="L8" s="7">
        <v>0</v>
      </c>
      <c r="M8" s="7">
        <v>3</v>
      </c>
      <c r="N8" s="8">
        <f t="shared" si="1"/>
        <v>3</v>
      </c>
      <c r="O8" s="8">
        <f t="shared" si="18"/>
        <v>0</v>
      </c>
      <c r="P8" s="8">
        <f t="shared" si="2"/>
        <v>4</v>
      </c>
      <c r="Q8" s="8">
        <f t="shared" si="2"/>
        <v>0</v>
      </c>
      <c r="R8" s="8">
        <f t="shared" si="2"/>
        <v>8</v>
      </c>
      <c r="S8" s="8">
        <f t="shared" si="3"/>
        <v>12</v>
      </c>
      <c r="T8" s="7">
        <v>1</v>
      </c>
      <c r="U8" s="7">
        <v>3</v>
      </c>
      <c r="V8" s="7">
        <v>0</v>
      </c>
      <c r="W8" s="7">
        <v>8</v>
      </c>
      <c r="X8" s="8">
        <f t="shared" si="4"/>
        <v>12</v>
      </c>
      <c r="Y8" s="8">
        <v>1</v>
      </c>
      <c r="Z8" s="8">
        <v>3</v>
      </c>
      <c r="AA8" s="8">
        <v>0</v>
      </c>
      <c r="AB8" s="8">
        <v>8</v>
      </c>
      <c r="AC8" s="8">
        <f t="shared" si="5"/>
        <v>12</v>
      </c>
      <c r="AD8" s="8">
        <f t="shared" si="6"/>
        <v>669204</v>
      </c>
      <c r="AE8" s="8">
        <f t="shared" si="7"/>
        <v>51840</v>
      </c>
      <c r="AF8" s="8">
        <f t="shared" si="8"/>
        <v>72000</v>
      </c>
      <c r="AG8" s="8">
        <f t="shared" si="9"/>
        <v>28800</v>
      </c>
      <c r="AH8" s="8">
        <f t="shared" si="10"/>
        <v>105600</v>
      </c>
      <c r="AI8" s="8">
        <f t="shared" si="11"/>
        <v>9600</v>
      </c>
      <c r="AJ8" s="8">
        <f t="shared" si="12"/>
        <v>0</v>
      </c>
      <c r="AK8" s="8">
        <f t="shared" si="13"/>
        <v>11520</v>
      </c>
      <c r="AL8" s="8">
        <f t="shared" si="14"/>
        <v>280471.49</v>
      </c>
      <c r="AM8" s="8">
        <f t="shared" si="15"/>
        <v>1229035.49</v>
      </c>
      <c r="AN8" s="9">
        <f t="shared" si="16"/>
        <v>737421</v>
      </c>
      <c r="AO8" s="173"/>
      <c r="AP8" s="173">
        <f t="shared" si="17"/>
        <v>737421</v>
      </c>
    </row>
    <row r="9" spans="1:42" ht="15" customHeight="1">
      <c r="A9" s="5" t="s">
        <v>24</v>
      </c>
      <c r="B9" s="6" t="s">
        <v>30</v>
      </c>
      <c r="C9" s="6" t="s">
        <v>23</v>
      </c>
      <c r="D9" s="7"/>
      <c r="E9" s="11">
        <v>10</v>
      </c>
      <c r="F9" s="11">
        <v>12</v>
      </c>
      <c r="G9" s="11">
        <v>0</v>
      </c>
      <c r="H9" s="11">
        <v>14</v>
      </c>
      <c r="I9" s="8">
        <f t="shared" si="0"/>
        <v>36</v>
      </c>
      <c r="J9" s="7">
        <v>0</v>
      </c>
      <c r="K9" s="7">
        <v>0</v>
      </c>
      <c r="L9" s="7">
        <v>0</v>
      </c>
      <c r="M9" s="7">
        <v>0</v>
      </c>
      <c r="N9" s="8">
        <f t="shared" si="1"/>
        <v>0</v>
      </c>
      <c r="O9" s="8">
        <f t="shared" si="18"/>
        <v>10</v>
      </c>
      <c r="P9" s="8">
        <f t="shared" si="2"/>
        <v>12</v>
      </c>
      <c r="Q9" s="8">
        <f t="shared" si="2"/>
        <v>0</v>
      </c>
      <c r="R9" s="8">
        <f t="shared" si="2"/>
        <v>14</v>
      </c>
      <c r="S9" s="8">
        <f t="shared" si="3"/>
        <v>36</v>
      </c>
      <c r="T9" s="7">
        <v>16.833333333333332</v>
      </c>
      <c r="U9" s="7">
        <v>11.583333333333334</v>
      </c>
      <c r="V9" s="7">
        <v>0</v>
      </c>
      <c r="W9" s="7">
        <v>6.666666666666667</v>
      </c>
      <c r="X9" s="8">
        <f t="shared" si="4"/>
        <v>35.083333333333329</v>
      </c>
      <c r="Y9" s="8">
        <v>16.833333333333332</v>
      </c>
      <c r="Z9" s="8">
        <v>11.583333333333334</v>
      </c>
      <c r="AA9" s="8">
        <v>0</v>
      </c>
      <c r="AB9" s="8">
        <v>6.666666666666667</v>
      </c>
      <c r="AC9" s="8">
        <f t="shared" si="5"/>
        <v>35.083333333333329</v>
      </c>
      <c r="AD9" s="8">
        <f t="shared" si="6"/>
        <v>2285184</v>
      </c>
      <c r="AE9" s="8">
        <f t="shared" si="7"/>
        <v>151559.99999999997</v>
      </c>
      <c r="AF9" s="8">
        <f t="shared" si="8"/>
        <v>210499.99999999997</v>
      </c>
      <c r="AG9" s="8">
        <f t="shared" si="9"/>
        <v>84199.999999999985</v>
      </c>
      <c r="AH9" s="8">
        <f t="shared" si="10"/>
        <v>308733.33333333331</v>
      </c>
      <c r="AI9" s="8">
        <f t="shared" si="11"/>
        <v>28066.666666666664</v>
      </c>
      <c r="AJ9" s="8">
        <f t="shared" si="12"/>
        <v>0</v>
      </c>
      <c r="AK9" s="8">
        <f t="shared" si="13"/>
        <v>33679.999999999993</v>
      </c>
      <c r="AL9" s="8">
        <f t="shared" si="14"/>
        <v>937516.6</v>
      </c>
      <c r="AM9" s="8">
        <f t="shared" si="15"/>
        <v>4039440.6</v>
      </c>
      <c r="AN9" s="9">
        <f t="shared" si="16"/>
        <v>2423664</v>
      </c>
      <c r="AO9" s="173"/>
      <c r="AP9" s="173">
        <f t="shared" si="17"/>
        <v>2423664</v>
      </c>
    </row>
    <row r="10" spans="1:42" ht="15" customHeight="1">
      <c r="A10" s="5" t="s">
        <v>24</v>
      </c>
      <c r="B10" s="6" t="s">
        <v>31</v>
      </c>
      <c r="C10" s="6" t="s">
        <v>23</v>
      </c>
      <c r="D10" s="7"/>
      <c r="E10" s="11">
        <v>0</v>
      </c>
      <c r="F10" s="11">
        <v>4</v>
      </c>
      <c r="G10" s="11">
        <v>0</v>
      </c>
      <c r="H10" s="11">
        <v>4</v>
      </c>
      <c r="I10" s="8">
        <f t="shared" si="0"/>
        <v>8</v>
      </c>
      <c r="J10" s="7">
        <v>4</v>
      </c>
      <c r="K10" s="7">
        <v>2</v>
      </c>
      <c r="L10" s="7">
        <v>0</v>
      </c>
      <c r="M10" s="7">
        <v>0</v>
      </c>
      <c r="N10" s="8">
        <f t="shared" si="1"/>
        <v>6</v>
      </c>
      <c r="O10" s="8">
        <f t="shared" si="18"/>
        <v>4</v>
      </c>
      <c r="P10" s="8">
        <f t="shared" si="2"/>
        <v>6</v>
      </c>
      <c r="Q10" s="8">
        <f t="shared" si="2"/>
        <v>0</v>
      </c>
      <c r="R10" s="8">
        <f t="shared" si="2"/>
        <v>4</v>
      </c>
      <c r="S10" s="8">
        <f t="shared" si="3"/>
        <v>14</v>
      </c>
      <c r="T10" s="7">
        <v>3.0833333333333335</v>
      </c>
      <c r="U10" s="7">
        <v>2.8333333333333335</v>
      </c>
      <c r="V10" s="7">
        <v>0</v>
      </c>
      <c r="W10" s="7">
        <v>3</v>
      </c>
      <c r="X10" s="8">
        <f t="shared" si="4"/>
        <v>8.9166666666666679</v>
      </c>
      <c r="Y10" s="8">
        <v>3.0833333333333335</v>
      </c>
      <c r="Z10" s="8">
        <v>2.8333333333333335</v>
      </c>
      <c r="AA10" s="8">
        <v>0</v>
      </c>
      <c r="AB10" s="8">
        <v>3</v>
      </c>
      <c r="AC10" s="8">
        <f t="shared" si="5"/>
        <v>8.9166666666666679</v>
      </c>
      <c r="AD10" s="8">
        <f t="shared" si="6"/>
        <v>554129</v>
      </c>
      <c r="AE10" s="8">
        <f t="shared" si="7"/>
        <v>38520.000000000007</v>
      </c>
      <c r="AF10" s="8">
        <f t="shared" si="8"/>
        <v>53500.000000000007</v>
      </c>
      <c r="AG10" s="8">
        <f t="shared" si="9"/>
        <v>21400.000000000004</v>
      </c>
      <c r="AH10" s="8">
        <f t="shared" si="10"/>
        <v>78466.666666666672</v>
      </c>
      <c r="AI10" s="8">
        <f t="shared" si="11"/>
        <v>7133.3333333333339</v>
      </c>
      <c r="AJ10" s="8">
        <f t="shared" si="12"/>
        <v>0</v>
      </c>
      <c r="AK10" s="8">
        <f t="shared" si="13"/>
        <v>8560.0000000000018</v>
      </c>
      <c r="AL10" s="8">
        <f t="shared" si="14"/>
        <v>228741.5</v>
      </c>
      <c r="AM10" s="8">
        <f t="shared" si="15"/>
        <v>990450.5</v>
      </c>
      <c r="AN10" s="9">
        <f t="shared" si="16"/>
        <v>594270</v>
      </c>
      <c r="AO10" s="173"/>
      <c r="AP10" s="173">
        <f t="shared" si="17"/>
        <v>594270</v>
      </c>
    </row>
    <row r="11" spans="1:42" ht="15" customHeight="1">
      <c r="A11" s="5" t="s">
        <v>24</v>
      </c>
      <c r="B11" s="6" t="s">
        <v>32</v>
      </c>
      <c r="C11" s="6" t="s">
        <v>23</v>
      </c>
      <c r="D11" s="7"/>
      <c r="E11" s="11">
        <v>0</v>
      </c>
      <c r="F11" s="11">
        <v>4</v>
      </c>
      <c r="G11" s="11">
        <v>0</v>
      </c>
      <c r="H11" s="11">
        <v>5.5</v>
      </c>
      <c r="I11" s="8">
        <f t="shared" si="0"/>
        <v>9.5</v>
      </c>
      <c r="J11" s="7">
        <v>0</v>
      </c>
      <c r="K11" s="7">
        <v>0</v>
      </c>
      <c r="L11" s="7">
        <v>0</v>
      </c>
      <c r="M11" s="7">
        <v>1</v>
      </c>
      <c r="N11" s="8">
        <f t="shared" si="1"/>
        <v>1</v>
      </c>
      <c r="O11" s="8">
        <f t="shared" si="18"/>
        <v>0</v>
      </c>
      <c r="P11" s="8">
        <f t="shared" si="2"/>
        <v>4</v>
      </c>
      <c r="Q11" s="8">
        <f t="shared" si="2"/>
        <v>0</v>
      </c>
      <c r="R11" s="8">
        <f t="shared" si="2"/>
        <v>6.5</v>
      </c>
      <c r="S11" s="8">
        <f t="shared" si="3"/>
        <v>10.5</v>
      </c>
      <c r="T11" s="7">
        <v>0</v>
      </c>
      <c r="U11" s="7">
        <v>2</v>
      </c>
      <c r="V11" s="7">
        <v>0</v>
      </c>
      <c r="W11" s="7">
        <v>6</v>
      </c>
      <c r="X11" s="8">
        <f t="shared" si="4"/>
        <v>8</v>
      </c>
      <c r="Y11" s="8">
        <v>0</v>
      </c>
      <c r="Z11" s="8">
        <v>2</v>
      </c>
      <c r="AA11" s="8">
        <v>0</v>
      </c>
      <c r="AB11" s="8">
        <v>6</v>
      </c>
      <c r="AC11" s="8">
        <f t="shared" si="5"/>
        <v>8</v>
      </c>
      <c r="AD11" s="8">
        <f t="shared" si="6"/>
        <v>432000</v>
      </c>
      <c r="AE11" s="8">
        <f t="shared" si="7"/>
        <v>34560</v>
      </c>
      <c r="AF11" s="8">
        <f t="shared" si="8"/>
        <v>48000</v>
      </c>
      <c r="AG11" s="8">
        <f t="shared" si="9"/>
        <v>19200</v>
      </c>
      <c r="AH11" s="8">
        <f t="shared" si="10"/>
        <v>70400</v>
      </c>
      <c r="AI11" s="8">
        <f t="shared" si="11"/>
        <v>6400</v>
      </c>
      <c r="AJ11" s="8">
        <f t="shared" si="12"/>
        <v>0</v>
      </c>
      <c r="AK11" s="8">
        <f t="shared" si="13"/>
        <v>7680</v>
      </c>
      <c r="AL11" s="8">
        <f t="shared" si="14"/>
        <v>181926.53</v>
      </c>
      <c r="AM11" s="8">
        <f t="shared" si="15"/>
        <v>800166.53</v>
      </c>
      <c r="AN11" s="9">
        <f t="shared" si="16"/>
        <v>480100</v>
      </c>
      <c r="AO11" s="173"/>
      <c r="AP11" s="173">
        <f t="shared" si="17"/>
        <v>480100</v>
      </c>
    </row>
    <row r="12" spans="1:42" ht="15" customHeight="1">
      <c r="A12" s="5" t="s">
        <v>24</v>
      </c>
      <c r="B12" s="6" t="s">
        <v>33</v>
      </c>
      <c r="C12" s="6" t="s">
        <v>23</v>
      </c>
      <c r="D12" s="7"/>
      <c r="E12" s="11">
        <v>0</v>
      </c>
      <c r="F12" s="11">
        <v>4</v>
      </c>
      <c r="G12" s="11">
        <v>0</v>
      </c>
      <c r="H12" s="11">
        <v>6</v>
      </c>
      <c r="I12" s="8">
        <f t="shared" si="0"/>
        <v>10</v>
      </c>
      <c r="J12" s="7">
        <v>1.9166666666666667</v>
      </c>
      <c r="K12" s="7">
        <v>1</v>
      </c>
      <c r="L12" s="7">
        <v>0</v>
      </c>
      <c r="M12" s="7">
        <v>0.91666666666666663</v>
      </c>
      <c r="N12" s="8">
        <f t="shared" si="1"/>
        <v>3.8333333333333335</v>
      </c>
      <c r="O12" s="8">
        <f t="shared" si="18"/>
        <v>1.9166666666666667</v>
      </c>
      <c r="P12" s="8">
        <f t="shared" si="2"/>
        <v>5</v>
      </c>
      <c r="Q12" s="8">
        <f t="shared" si="2"/>
        <v>0</v>
      </c>
      <c r="R12" s="8">
        <f t="shared" si="2"/>
        <v>6.916666666666667</v>
      </c>
      <c r="S12" s="8">
        <f t="shared" si="3"/>
        <v>13.833333333333334</v>
      </c>
      <c r="T12" s="7">
        <v>1.75</v>
      </c>
      <c r="U12" s="7">
        <v>1.5833333333333333</v>
      </c>
      <c r="V12" s="7">
        <v>0.41666666666666669</v>
      </c>
      <c r="W12" s="7">
        <v>5.416666666666667</v>
      </c>
      <c r="X12" s="8">
        <f t="shared" si="4"/>
        <v>9.1666666666666661</v>
      </c>
      <c r="Y12" s="8">
        <v>1.75</v>
      </c>
      <c r="Z12" s="8">
        <v>1.5833333333333333</v>
      </c>
      <c r="AA12" s="8">
        <v>0.41666666666666669</v>
      </c>
      <c r="AB12" s="8">
        <v>5.416666666666667</v>
      </c>
      <c r="AC12" s="8">
        <f t="shared" si="5"/>
        <v>9.1666666666666661</v>
      </c>
      <c r="AD12" s="8">
        <f t="shared" si="6"/>
        <v>528327</v>
      </c>
      <c r="AE12" s="8">
        <f t="shared" si="7"/>
        <v>39600</v>
      </c>
      <c r="AF12" s="8">
        <f t="shared" si="8"/>
        <v>55000</v>
      </c>
      <c r="AG12" s="8">
        <f t="shared" si="9"/>
        <v>22000</v>
      </c>
      <c r="AH12" s="8">
        <f t="shared" si="10"/>
        <v>80666.666666666657</v>
      </c>
      <c r="AI12" s="8">
        <f t="shared" si="11"/>
        <v>7333.333333333333</v>
      </c>
      <c r="AJ12" s="8">
        <f t="shared" si="12"/>
        <v>0</v>
      </c>
      <c r="AK12" s="8">
        <f t="shared" si="13"/>
        <v>8800</v>
      </c>
      <c r="AL12" s="8">
        <f t="shared" si="14"/>
        <v>220373.88</v>
      </c>
      <c r="AM12" s="8">
        <f t="shared" si="15"/>
        <v>962100.88</v>
      </c>
      <c r="AN12" s="9">
        <f t="shared" si="16"/>
        <v>577261</v>
      </c>
      <c r="AO12" s="173"/>
      <c r="AP12" s="173">
        <f t="shared" si="17"/>
        <v>577261</v>
      </c>
    </row>
    <row r="13" spans="1:42" ht="15" customHeight="1">
      <c r="A13" s="5" t="s">
        <v>24</v>
      </c>
      <c r="B13" s="6" t="s">
        <v>34</v>
      </c>
      <c r="C13" s="6" t="s">
        <v>23</v>
      </c>
      <c r="D13" s="7"/>
      <c r="E13" s="11">
        <v>0</v>
      </c>
      <c r="F13" s="11">
        <v>5</v>
      </c>
      <c r="G13" s="11">
        <v>0</v>
      </c>
      <c r="H13" s="11">
        <v>6</v>
      </c>
      <c r="I13" s="8">
        <f t="shared" si="0"/>
        <v>11</v>
      </c>
      <c r="J13" s="7">
        <v>2</v>
      </c>
      <c r="K13" s="7">
        <v>2</v>
      </c>
      <c r="L13" s="7">
        <v>0</v>
      </c>
      <c r="M13" s="7">
        <v>0</v>
      </c>
      <c r="N13" s="8">
        <f t="shared" si="1"/>
        <v>4</v>
      </c>
      <c r="O13" s="8">
        <f t="shared" si="18"/>
        <v>2</v>
      </c>
      <c r="P13" s="8">
        <f t="shared" si="2"/>
        <v>7</v>
      </c>
      <c r="Q13" s="8">
        <f t="shared" si="2"/>
        <v>0</v>
      </c>
      <c r="R13" s="8">
        <f t="shared" si="2"/>
        <v>6</v>
      </c>
      <c r="S13" s="8">
        <f t="shared" si="3"/>
        <v>15</v>
      </c>
      <c r="T13" s="7">
        <v>2</v>
      </c>
      <c r="U13" s="7">
        <v>7</v>
      </c>
      <c r="V13" s="7">
        <v>0</v>
      </c>
      <c r="W13" s="7">
        <v>6</v>
      </c>
      <c r="X13" s="8">
        <f t="shared" si="4"/>
        <v>15</v>
      </c>
      <c r="Y13" s="8">
        <v>2</v>
      </c>
      <c r="Z13" s="8">
        <v>7</v>
      </c>
      <c r="AA13" s="8">
        <v>0</v>
      </c>
      <c r="AB13" s="8">
        <v>6</v>
      </c>
      <c r="AC13" s="8">
        <f t="shared" si="5"/>
        <v>15</v>
      </c>
      <c r="AD13" s="8">
        <f t="shared" si="6"/>
        <v>891408</v>
      </c>
      <c r="AE13" s="8">
        <f t="shared" si="7"/>
        <v>64800</v>
      </c>
      <c r="AF13" s="8">
        <f t="shared" si="8"/>
        <v>90000</v>
      </c>
      <c r="AG13" s="8">
        <f t="shared" si="9"/>
        <v>36000</v>
      </c>
      <c r="AH13" s="8">
        <f t="shared" si="10"/>
        <v>132000</v>
      </c>
      <c r="AI13" s="8">
        <f t="shared" si="11"/>
        <v>12000</v>
      </c>
      <c r="AJ13" s="8">
        <f t="shared" si="12"/>
        <v>0</v>
      </c>
      <c r="AK13" s="8">
        <f t="shared" si="13"/>
        <v>14400</v>
      </c>
      <c r="AL13" s="8">
        <f t="shared" si="14"/>
        <v>370220.48</v>
      </c>
      <c r="AM13" s="8">
        <f t="shared" si="15"/>
        <v>1610828.48</v>
      </c>
      <c r="AN13" s="9">
        <f t="shared" si="16"/>
        <v>966497</v>
      </c>
      <c r="AO13" s="173"/>
      <c r="AP13" s="173">
        <f t="shared" si="17"/>
        <v>966497</v>
      </c>
    </row>
    <row r="14" spans="1:42" ht="15" customHeight="1">
      <c r="A14" s="5" t="s">
        <v>24</v>
      </c>
      <c r="B14" s="6" t="s">
        <v>35</v>
      </c>
      <c r="C14" s="6" t="s">
        <v>23</v>
      </c>
      <c r="D14" s="7"/>
      <c r="E14" s="11">
        <v>0</v>
      </c>
      <c r="F14" s="11">
        <v>6</v>
      </c>
      <c r="G14" s="11">
        <v>0</v>
      </c>
      <c r="H14" s="11">
        <v>6</v>
      </c>
      <c r="I14" s="8">
        <f t="shared" si="0"/>
        <v>12</v>
      </c>
      <c r="J14" s="7">
        <v>2</v>
      </c>
      <c r="K14" s="7">
        <v>5</v>
      </c>
      <c r="L14" s="7">
        <v>0</v>
      </c>
      <c r="M14" s="7">
        <v>1</v>
      </c>
      <c r="N14" s="8">
        <f t="shared" si="1"/>
        <v>8</v>
      </c>
      <c r="O14" s="8">
        <f t="shared" si="18"/>
        <v>2</v>
      </c>
      <c r="P14" s="8">
        <f t="shared" si="2"/>
        <v>11</v>
      </c>
      <c r="Q14" s="8">
        <f t="shared" si="2"/>
        <v>0</v>
      </c>
      <c r="R14" s="8">
        <f t="shared" si="2"/>
        <v>7</v>
      </c>
      <c r="S14" s="8">
        <f t="shared" si="3"/>
        <v>20</v>
      </c>
      <c r="T14" s="7">
        <v>2.8333333333333335</v>
      </c>
      <c r="U14" s="7">
        <v>10.166666666666666</v>
      </c>
      <c r="V14" s="7">
        <v>0</v>
      </c>
      <c r="W14" s="7">
        <v>6.083333333333333</v>
      </c>
      <c r="X14" s="8">
        <f t="shared" si="4"/>
        <v>19.083333333333332</v>
      </c>
      <c r="Y14" s="8">
        <v>2.8333333333333335</v>
      </c>
      <c r="Z14" s="8">
        <v>10.166666666666666</v>
      </c>
      <c r="AA14" s="8">
        <v>0</v>
      </c>
      <c r="AB14" s="8">
        <v>6.083333333333333</v>
      </c>
      <c r="AC14" s="8">
        <f t="shared" si="5"/>
        <v>19.083333333333332</v>
      </c>
      <c r="AD14" s="8">
        <f t="shared" si="6"/>
        <v>1155328</v>
      </c>
      <c r="AE14" s="8">
        <f t="shared" si="7"/>
        <v>82440</v>
      </c>
      <c r="AF14" s="8">
        <f t="shared" si="8"/>
        <v>114500</v>
      </c>
      <c r="AG14" s="8">
        <f t="shared" si="9"/>
        <v>45800</v>
      </c>
      <c r="AH14" s="8">
        <f t="shared" si="10"/>
        <v>167933.33333333331</v>
      </c>
      <c r="AI14" s="8">
        <f t="shared" si="11"/>
        <v>15266.666666666666</v>
      </c>
      <c r="AJ14" s="8">
        <f t="shared" si="12"/>
        <v>0</v>
      </c>
      <c r="AK14" s="8">
        <f t="shared" si="13"/>
        <v>18320</v>
      </c>
      <c r="AL14" s="8">
        <f t="shared" si="14"/>
        <v>478604.07</v>
      </c>
      <c r="AM14" s="8">
        <f t="shared" si="15"/>
        <v>2078192.07</v>
      </c>
      <c r="AN14" s="9">
        <f t="shared" si="16"/>
        <v>1246915</v>
      </c>
      <c r="AO14" s="173"/>
      <c r="AP14" s="173">
        <f t="shared" si="17"/>
        <v>1246915</v>
      </c>
    </row>
    <row r="15" spans="1:42" ht="15" customHeight="1">
      <c r="A15" s="5" t="s">
        <v>24</v>
      </c>
      <c r="B15" s="6" t="s">
        <v>36</v>
      </c>
      <c r="C15" s="6" t="s">
        <v>23</v>
      </c>
      <c r="D15" s="7"/>
      <c r="E15" s="11">
        <v>0</v>
      </c>
      <c r="F15" s="11">
        <v>4</v>
      </c>
      <c r="G15" s="11">
        <v>0</v>
      </c>
      <c r="H15" s="11">
        <v>6</v>
      </c>
      <c r="I15" s="8">
        <f t="shared" si="0"/>
        <v>10</v>
      </c>
      <c r="J15" s="7">
        <v>0</v>
      </c>
      <c r="K15" s="7">
        <v>0</v>
      </c>
      <c r="L15" s="7">
        <v>0</v>
      </c>
      <c r="M15" s="7">
        <v>2</v>
      </c>
      <c r="N15" s="8">
        <f t="shared" si="1"/>
        <v>2</v>
      </c>
      <c r="O15" s="8">
        <f t="shared" si="18"/>
        <v>0</v>
      </c>
      <c r="P15" s="8">
        <f t="shared" si="2"/>
        <v>4</v>
      </c>
      <c r="Q15" s="8">
        <f t="shared" si="2"/>
        <v>0</v>
      </c>
      <c r="R15" s="8">
        <f t="shared" si="2"/>
        <v>8</v>
      </c>
      <c r="S15" s="8">
        <f t="shared" si="3"/>
        <v>12</v>
      </c>
      <c r="T15" s="7">
        <v>2.5833333333333335</v>
      </c>
      <c r="U15" s="7">
        <v>2.75</v>
      </c>
      <c r="V15" s="7">
        <v>0</v>
      </c>
      <c r="W15" s="7">
        <v>4.833333333333333</v>
      </c>
      <c r="X15" s="8">
        <f t="shared" si="4"/>
        <v>10.166666666666668</v>
      </c>
      <c r="Y15" s="8">
        <v>2.5833333333333335</v>
      </c>
      <c r="Z15" s="8">
        <v>2.75</v>
      </c>
      <c r="AA15" s="8">
        <v>0</v>
      </c>
      <c r="AB15" s="8">
        <v>4.833333333333333</v>
      </c>
      <c r="AC15" s="8">
        <f t="shared" si="5"/>
        <v>10.166666666666668</v>
      </c>
      <c r="AD15" s="8">
        <f t="shared" si="6"/>
        <v>606277</v>
      </c>
      <c r="AE15" s="8">
        <f t="shared" si="7"/>
        <v>43920.000000000007</v>
      </c>
      <c r="AF15" s="8">
        <f t="shared" si="8"/>
        <v>61000.000000000007</v>
      </c>
      <c r="AG15" s="8">
        <f t="shared" si="9"/>
        <v>24400.000000000004</v>
      </c>
      <c r="AH15" s="8">
        <f t="shared" si="10"/>
        <v>89466.666666666672</v>
      </c>
      <c r="AI15" s="8">
        <f t="shared" si="11"/>
        <v>8133.3333333333339</v>
      </c>
      <c r="AJ15" s="8">
        <f t="shared" si="12"/>
        <v>0</v>
      </c>
      <c r="AK15" s="8">
        <f t="shared" si="13"/>
        <v>9760.0000000000018</v>
      </c>
      <c r="AL15" s="8">
        <f t="shared" si="14"/>
        <v>251678.26</v>
      </c>
      <c r="AM15" s="8">
        <f t="shared" si="15"/>
        <v>1094635.26</v>
      </c>
      <c r="AN15" s="9">
        <f t="shared" si="16"/>
        <v>656781</v>
      </c>
      <c r="AO15" s="173"/>
      <c r="AP15" s="173">
        <f t="shared" si="17"/>
        <v>656781</v>
      </c>
    </row>
    <row r="16" spans="1:42" ht="15" customHeight="1">
      <c r="A16" s="5" t="s">
        <v>24</v>
      </c>
      <c r="B16" s="6" t="s">
        <v>37</v>
      </c>
      <c r="C16" s="6" t="s">
        <v>22</v>
      </c>
      <c r="D16" s="7">
        <v>2</v>
      </c>
      <c r="E16" s="11">
        <v>3</v>
      </c>
      <c r="F16" s="11">
        <v>3</v>
      </c>
      <c r="G16" s="11">
        <v>22</v>
      </c>
      <c r="H16" s="11">
        <v>3</v>
      </c>
      <c r="I16" s="8">
        <f t="shared" si="0"/>
        <v>31</v>
      </c>
      <c r="J16" s="7">
        <v>6.416666666666667</v>
      </c>
      <c r="K16" s="7">
        <v>2.4166666666666665</v>
      </c>
      <c r="L16" s="7">
        <v>3</v>
      </c>
      <c r="M16" s="7">
        <v>0</v>
      </c>
      <c r="N16" s="8">
        <f t="shared" si="1"/>
        <v>11.833333333333334</v>
      </c>
      <c r="O16" s="8">
        <f t="shared" si="18"/>
        <v>9.4166666666666679</v>
      </c>
      <c r="P16" s="8">
        <f t="shared" si="2"/>
        <v>5.4166666666666661</v>
      </c>
      <c r="Q16" s="8">
        <f t="shared" si="2"/>
        <v>25</v>
      </c>
      <c r="R16" s="8">
        <f t="shared" si="2"/>
        <v>3</v>
      </c>
      <c r="S16" s="8">
        <f t="shared" si="3"/>
        <v>42.833333333333336</v>
      </c>
      <c r="T16" s="7">
        <v>12.25</v>
      </c>
      <c r="U16" s="7">
        <v>4.666666666666667</v>
      </c>
      <c r="V16" s="7">
        <v>22.166666666666668</v>
      </c>
      <c r="W16" s="7">
        <v>1.8333333333333333</v>
      </c>
      <c r="X16" s="8">
        <f t="shared" si="4"/>
        <v>40.916666666666671</v>
      </c>
      <c r="Y16" s="8">
        <v>12.25</v>
      </c>
      <c r="Z16" s="8">
        <v>4.666666666666667</v>
      </c>
      <c r="AA16" s="8">
        <v>22.166666666666668</v>
      </c>
      <c r="AB16" s="8">
        <v>1.8333333333333333</v>
      </c>
      <c r="AC16" s="8">
        <f t="shared" si="5"/>
        <v>40.916666666666671</v>
      </c>
      <c r="AD16" s="8">
        <f t="shared" si="6"/>
        <v>2653603</v>
      </c>
      <c r="AE16" s="8">
        <f t="shared" si="7"/>
        <v>176760.00000000003</v>
      </c>
      <c r="AF16" s="8">
        <f t="shared" si="8"/>
        <v>245500.00000000003</v>
      </c>
      <c r="AG16" s="8">
        <f t="shared" si="9"/>
        <v>98200.000000000015</v>
      </c>
      <c r="AH16" s="8">
        <f t="shared" si="10"/>
        <v>360066.66666666669</v>
      </c>
      <c r="AI16" s="8">
        <f t="shared" si="11"/>
        <v>32733.333333333336</v>
      </c>
      <c r="AJ16" s="8">
        <f t="shared" si="12"/>
        <v>20000</v>
      </c>
      <c r="AK16" s="8">
        <f t="shared" si="13"/>
        <v>39280.000000000007</v>
      </c>
      <c r="AL16" s="8">
        <f t="shared" si="14"/>
        <v>1096423.06</v>
      </c>
      <c r="AM16" s="8">
        <f t="shared" si="15"/>
        <v>4722566.0600000005</v>
      </c>
      <c r="AN16" s="9">
        <f t="shared" si="16"/>
        <v>2833540</v>
      </c>
      <c r="AO16" s="173"/>
      <c r="AP16" s="173">
        <f t="shared" si="17"/>
        <v>2833540</v>
      </c>
    </row>
    <row r="17" spans="1:42" ht="15" customHeight="1">
      <c r="A17" s="5" t="s">
        <v>24</v>
      </c>
      <c r="B17" s="6" t="s">
        <v>38</v>
      </c>
      <c r="C17" s="6" t="s">
        <v>22</v>
      </c>
      <c r="D17" s="7">
        <v>1</v>
      </c>
      <c r="E17" s="11">
        <v>1</v>
      </c>
      <c r="F17" s="11">
        <v>1</v>
      </c>
      <c r="G17" s="11">
        <v>9</v>
      </c>
      <c r="H17" s="11">
        <v>1</v>
      </c>
      <c r="I17" s="8">
        <f t="shared" si="0"/>
        <v>12</v>
      </c>
      <c r="J17" s="7">
        <v>2</v>
      </c>
      <c r="K17" s="7">
        <v>2</v>
      </c>
      <c r="L17" s="7">
        <v>4</v>
      </c>
      <c r="M17" s="7">
        <v>1</v>
      </c>
      <c r="N17" s="8">
        <f t="shared" si="1"/>
        <v>9</v>
      </c>
      <c r="O17" s="8">
        <f t="shared" si="18"/>
        <v>3</v>
      </c>
      <c r="P17" s="8">
        <f t="shared" si="2"/>
        <v>3</v>
      </c>
      <c r="Q17" s="8">
        <f t="shared" si="2"/>
        <v>13</v>
      </c>
      <c r="R17" s="8">
        <f t="shared" si="2"/>
        <v>2</v>
      </c>
      <c r="S17" s="8">
        <f t="shared" si="3"/>
        <v>21</v>
      </c>
      <c r="T17" s="7">
        <v>2.3333333333333335</v>
      </c>
      <c r="U17" s="7">
        <v>2</v>
      </c>
      <c r="V17" s="7">
        <v>5.666666666666667</v>
      </c>
      <c r="W17" s="7">
        <v>1</v>
      </c>
      <c r="X17" s="8">
        <f t="shared" si="4"/>
        <v>11</v>
      </c>
      <c r="Y17" s="8">
        <v>2.3333333333333335</v>
      </c>
      <c r="Z17" s="8">
        <v>2</v>
      </c>
      <c r="AA17" s="8">
        <v>5.666666666666667</v>
      </c>
      <c r="AB17" s="8">
        <v>1</v>
      </c>
      <c r="AC17" s="8">
        <f t="shared" si="5"/>
        <v>11</v>
      </c>
      <c r="AD17" s="8">
        <f t="shared" si="6"/>
        <v>698668</v>
      </c>
      <c r="AE17" s="8">
        <f t="shared" si="7"/>
        <v>47520</v>
      </c>
      <c r="AF17" s="8">
        <f t="shared" si="8"/>
        <v>66000</v>
      </c>
      <c r="AG17" s="8">
        <f t="shared" si="9"/>
        <v>26400</v>
      </c>
      <c r="AH17" s="8">
        <f t="shared" si="10"/>
        <v>96800</v>
      </c>
      <c r="AI17" s="8">
        <f t="shared" si="11"/>
        <v>8800</v>
      </c>
      <c r="AJ17" s="8">
        <f t="shared" si="12"/>
        <v>10000</v>
      </c>
      <c r="AK17" s="8">
        <f t="shared" si="13"/>
        <v>10560</v>
      </c>
      <c r="AL17" s="8">
        <f t="shared" si="14"/>
        <v>291149.67</v>
      </c>
      <c r="AM17" s="8">
        <f t="shared" si="15"/>
        <v>1255897.67</v>
      </c>
      <c r="AN17" s="9">
        <f t="shared" si="16"/>
        <v>753539</v>
      </c>
      <c r="AO17" s="173"/>
      <c r="AP17" s="173">
        <f t="shared" si="17"/>
        <v>753539</v>
      </c>
    </row>
    <row r="18" spans="1:42" ht="15" customHeight="1">
      <c r="A18" s="4"/>
      <c r="B18" s="4" t="s">
        <v>39</v>
      </c>
      <c r="C18" s="4"/>
      <c r="D18" s="10">
        <f>SUM(D4:D17)</f>
        <v>12</v>
      </c>
      <c r="E18" s="10">
        <f t="shared" ref="E18:AP18" si="19">SUM(E4:E17)</f>
        <v>29</v>
      </c>
      <c r="F18" s="10">
        <f t="shared" si="19"/>
        <v>59</v>
      </c>
      <c r="G18" s="10">
        <f t="shared" si="19"/>
        <v>148</v>
      </c>
      <c r="H18" s="10">
        <f t="shared" si="19"/>
        <v>69.5</v>
      </c>
      <c r="I18" s="10">
        <f t="shared" si="19"/>
        <v>305.5</v>
      </c>
      <c r="J18" s="10">
        <f t="shared" si="19"/>
        <v>40.333333333333336</v>
      </c>
      <c r="K18" s="10">
        <f t="shared" si="19"/>
        <v>15.416666666666666</v>
      </c>
      <c r="L18" s="10">
        <f t="shared" si="19"/>
        <v>7.9166666666666661</v>
      </c>
      <c r="M18" s="10">
        <f t="shared" si="19"/>
        <v>11.833333333333332</v>
      </c>
      <c r="N18" s="10">
        <f t="shared" si="19"/>
        <v>75.5</v>
      </c>
      <c r="O18" s="10">
        <f t="shared" si="19"/>
        <v>69.333333333333329</v>
      </c>
      <c r="P18" s="10">
        <f t="shared" si="19"/>
        <v>74.416666666666671</v>
      </c>
      <c r="Q18" s="10">
        <f t="shared" si="19"/>
        <v>155.91666666666666</v>
      </c>
      <c r="R18" s="10">
        <f t="shared" si="19"/>
        <v>81.333333333333329</v>
      </c>
      <c r="S18" s="10">
        <f t="shared" si="19"/>
        <v>380.99999999999994</v>
      </c>
      <c r="T18" s="10">
        <f t="shared" si="19"/>
        <v>72.666666666666671</v>
      </c>
      <c r="U18" s="10">
        <f t="shared" si="19"/>
        <v>63.083333333333336</v>
      </c>
      <c r="V18" s="10">
        <f t="shared" si="19"/>
        <v>142.66666666666666</v>
      </c>
      <c r="W18" s="10">
        <f t="shared" si="19"/>
        <v>62</v>
      </c>
      <c r="X18" s="10">
        <f t="shared" si="19"/>
        <v>340.41666666666663</v>
      </c>
      <c r="Y18" s="10">
        <f t="shared" si="19"/>
        <v>72.666666666666671</v>
      </c>
      <c r="Z18" s="10">
        <f t="shared" si="19"/>
        <v>63.083333333333336</v>
      </c>
      <c r="AA18" s="10">
        <f t="shared" si="19"/>
        <v>142.66666666666666</v>
      </c>
      <c r="AB18" s="10">
        <f t="shared" si="19"/>
        <v>62</v>
      </c>
      <c r="AC18" s="10">
        <f t="shared" si="19"/>
        <v>340.41666666666663</v>
      </c>
      <c r="AD18" s="10">
        <f t="shared" si="19"/>
        <v>21275202</v>
      </c>
      <c r="AE18" s="10">
        <f t="shared" si="19"/>
        <v>1470600</v>
      </c>
      <c r="AF18" s="10">
        <f t="shared" si="19"/>
        <v>2042500</v>
      </c>
      <c r="AG18" s="10">
        <f t="shared" si="19"/>
        <v>817000</v>
      </c>
      <c r="AH18" s="10">
        <f t="shared" si="19"/>
        <v>2995666.6666666665</v>
      </c>
      <c r="AI18" s="10">
        <f t="shared" si="19"/>
        <v>272333.33333333331</v>
      </c>
      <c r="AJ18" s="10">
        <f t="shared" si="19"/>
        <v>120000</v>
      </c>
      <c r="AK18" s="10">
        <f t="shared" si="19"/>
        <v>326800</v>
      </c>
      <c r="AL18" s="10">
        <f t="shared" si="19"/>
        <v>8818574.5099999998</v>
      </c>
      <c r="AM18" s="10">
        <f t="shared" si="19"/>
        <v>38138676.510000005</v>
      </c>
      <c r="AN18" s="10">
        <f t="shared" si="19"/>
        <v>22883206</v>
      </c>
      <c r="AO18" s="10">
        <f t="shared" si="19"/>
        <v>0</v>
      </c>
      <c r="AP18" s="10">
        <f t="shared" si="19"/>
        <v>22883206</v>
      </c>
    </row>
  </sheetData>
  <mergeCells count="14">
    <mergeCell ref="AO2:AO3"/>
    <mergeCell ref="AP2:AP3"/>
    <mergeCell ref="A1:AP1"/>
    <mergeCell ref="AN2:AN3"/>
    <mergeCell ref="J2:N2"/>
    <mergeCell ref="A2:A3"/>
    <mergeCell ref="B2:B3"/>
    <mergeCell ref="C2:C3"/>
    <mergeCell ref="D2:D3"/>
    <mergeCell ref="E2:I2"/>
    <mergeCell ref="O2:S2"/>
    <mergeCell ref="T2:X2"/>
    <mergeCell ref="Y2:AC2"/>
    <mergeCell ref="AD2:AM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A19" sqref="A19:XFD19"/>
    </sheetView>
  </sheetViews>
  <sheetFormatPr defaultRowHeight="13.5" outlineLevelRow="2"/>
  <cols>
    <col min="1" max="1" width="9" style="92"/>
    <col min="2" max="2" width="28" style="92" customWidth="1"/>
    <col min="3" max="3" width="13.375" style="108" customWidth="1"/>
    <col min="4" max="4" width="19.625" style="92" customWidth="1"/>
    <col min="5" max="5" width="16" style="92" customWidth="1"/>
    <col min="6" max="16384" width="9" style="92"/>
  </cols>
  <sheetData>
    <row r="1" spans="1:5" ht="35.25" customHeight="1">
      <c r="A1" s="207" t="s">
        <v>319</v>
      </c>
      <c r="B1" s="207"/>
      <c r="C1" s="207"/>
      <c r="D1" s="208"/>
      <c r="E1" s="208"/>
    </row>
    <row r="2" spans="1:5" ht="20.100000000000001" customHeight="1">
      <c r="A2" s="174" t="s">
        <v>314</v>
      </c>
      <c r="B2" s="175" t="s">
        <v>100</v>
      </c>
      <c r="C2" s="176" t="s">
        <v>317</v>
      </c>
      <c r="D2" s="177" t="s">
        <v>316</v>
      </c>
      <c r="E2" s="177" t="s">
        <v>318</v>
      </c>
    </row>
    <row r="3" spans="1:5" ht="20.100000000000001" customHeight="1" outlineLevel="2">
      <c r="A3" s="178" t="s">
        <v>315</v>
      </c>
      <c r="B3" s="179" t="s">
        <v>120</v>
      </c>
      <c r="C3" s="180">
        <v>106229.5</v>
      </c>
      <c r="D3" s="178">
        <v>76504</v>
      </c>
      <c r="E3" s="181">
        <f t="shared" ref="E3:E10" si="0">C3-D3</f>
        <v>29725.5</v>
      </c>
    </row>
    <row r="4" spans="1:5" ht="20.100000000000001" customHeight="1" outlineLevel="2">
      <c r="A4" s="178" t="s">
        <v>315</v>
      </c>
      <c r="B4" s="179" t="s">
        <v>32</v>
      </c>
      <c r="C4" s="180">
        <v>383</v>
      </c>
      <c r="D4" s="178"/>
      <c r="E4" s="181">
        <f t="shared" si="0"/>
        <v>383</v>
      </c>
    </row>
    <row r="5" spans="1:5" ht="20.100000000000001" customHeight="1" outlineLevel="2">
      <c r="A5" s="178" t="s">
        <v>315</v>
      </c>
      <c r="B5" s="179" t="s">
        <v>313</v>
      </c>
      <c r="C5" s="180">
        <v>10902</v>
      </c>
      <c r="D5" s="178">
        <v>2040</v>
      </c>
      <c r="E5" s="181">
        <f t="shared" si="0"/>
        <v>8862</v>
      </c>
    </row>
    <row r="6" spans="1:5" ht="20.100000000000001" customHeight="1" outlineLevel="2">
      <c r="A6" s="178" t="s">
        <v>315</v>
      </c>
      <c r="B6" s="179" t="s">
        <v>118</v>
      </c>
      <c r="C6" s="180">
        <v>24489.5</v>
      </c>
      <c r="D6" s="178">
        <v>31632</v>
      </c>
      <c r="E6" s="181">
        <f t="shared" si="0"/>
        <v>-7142.5</v>
      </c>
    </row>
    <row r="7" spans="1:5" ht="20.100000000000001" customHeight="1" outlineLevel="2">
      <c r="A7" s="178" t="s">
        <v>315</v>
      </c>
      <c r="B7" s="179" t="s">
        <v>116</v>
      </c>
      <c r="C7" s="180">
        <v>50872.5</v>
      </c>
      <c r="D7" s="178">
        <v>6120</v>
      </c>
      <c r="E7" s="181">
        <f t="shared" si="0"/>
        <v>44752.5</v>
      </c>
    </row>
    <row r="8" spans="1:5" ht="20.100000000000001" customHeight="1" outlineLevel="2">
      <c r="A8" s="178" t="s">
        <v>315</v>
      </c>
      <c r="B8" s="179" t="s">
        <v>119</v>
      </c>
      <c r="C8" s="180">
        <v>27739</v>
      </c>
      <c r="D8" s="178">
        <v>11224</v>
      </c>
      <c r="E8" s="181">
        <f t="shared" si="0"/>
        <v>16515</v>
      </c>
    </row>
    <row r="9" spans="1:5" ht="20.100000000000001" customHeight="1" outlineLevel="2">
      <c r="A9" s="178" t="s">
        <v>315</v>
      </c>
      <c r="B9" s="179" t="s">
        <v>131</v>
      </c>
      <c r="C9" s="180">
        <v>155431.5</v>
      </c>
      <c r="D9" s="178">
        <v>83712</v>
      </c>
      <c r="E9" s="181">
        <f t="shared" si="0"/>
        <v>71719.5</v>
      </c>
    </row>
    <row r="10" spans="1:5" ht="20.100000000000001" customHeight="1" outlineLevel="2">
      <c r="A10" s="178" t="s">
        <v>315</v>
      </c>
      <c r="B10" s="179" t="s">
        <v>29</v>
      </c>
      <c r="C10" s="180">
        <v>2677.5</v>
      </c>
      <c r="D10" s="178"/>
      <c r="E10" s="181">
        <f t="shared" si="0"/>
        <v>2677.5</v>
      </c>
    </row>
    <row r="11" spans="1:5" ht="20.100000000000001" customHeight="1" outlineLevel="1">
      <c r="A11" s="182" t="s">
        <v>151</v>
      </c>
      <c r="B11" s="179"/>
      <c r="C11" s="180">
        <f>SUBTOTAL(9,C3:C10)</f>
        <v>378724.5</v>
      </c>
      <c r="D11" s="180">
        <f t="shared" ref="D11:E11" si="1">SUBTOTAL(9,D3:D10)</f>
        <v>211232</v>
      </c>
      <c r="E11" s="180">
        <f t="shared" si="1"/>
        <v>167492.5</v>
      </c>
    </row>
  </sheetData>
  <mergeCells count="1">
    <mergeCell ref="A1:E1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41"/>
  <sheetViews>
    <sheetView topLeftCell="A7" workbookViewId="0">
      <selection activeCell="A19" sqref="A19:XFD19"/>
    </sheetView>
  </sheetViews>
  <sheetFormatPr defaultRowHeight="14.25"/>
  <cols>
    <col min="1" max="1" width="6.375" style="13" customWidth="1"/>
    <col min="2" max="2" width="9.375" style="13" customWidth="1"/>
    <col min="3" max="3" width="17.375" style="13" customWidth="1"/>
    <col min="4" max="4" width="10.125" style="13" customWidth="1"/>
    <col min="5" max="5" width="10.75" style="13" customWidth="1"/>
    <col min="6" max="6" width="11" style="13" customWidth="1"/>
    <col min="7" max="7" width="12" style="13" customWidth="1"/>
    <col min="8" max="8" width="15.625" style="23" customWidth="1"/>
    <col min="9" max="9" width="17.5" style="24" customWidth="1"/>
    <col min="10" max="10" width="6.25" style="13" hidden="1" customWidth="1"/>
    <col min="11" max="11" width="25.875" style="13" hidden="1" customWidth="1"/>
    <col min="12" max="12" width="15.25" style="25" customWidth="1"/>
    <col min="13" max="16384" width="9" style="13"/>
  </cols>
  <sheetData>
    <row r="1" spans="1:12" ht="26.25" customHeight="1">
      <c r="A1" s="209" t="s">
        <v>232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</row>
    <row r="2" spans="1:12" ht="18" customHeight="1">
      <c r="A2" s="115" t="s">
        <v>79</v>
      </c>
      <c r="B2" s="115" t="s">
        <v>77</v>
      </c>
      <c r="C2" s="210" t="s">
        <v>240</v>
      </c>
      <c r="D2" s="211"/>
      <c r="E2" s="116" t="s">
        <v>241</v>
      </c>
      <c r="F2" s="117" t="s">
        <v>242</v>
      </c>
      <c r="G2" s="118" t="s">
        <v>243</v>
      </c>
      <c r="H2" s="119" t="s">
        <v>42</v>
      </c>
      <c r="I2" s="120" t="s">
        <v>43</v>
      </c>
      <c r="J2" s="117" t="s">
        <v>44</v>
      </c>
      <c r="K2" s="121" t="s">
        <v>45</v>
      </c>
      <c r="L2" s="122" t="s">
        <v>220</v>
      </c>
    </row>
    <row r="3" spans="1:12" s="15" customFormat="1" ht="12.95" customHeight="1">
      <c r="A3" s="109" t="s">
        <v>80</v>
      </c>
      <c r="B3" s="109" t="s">
        <v>84</v>
      </c>
      <c r="C3" s="222" t="s">
        <v>48</v>
      </c>
      <c r="D3" s="223"/>
      <c r="E3" s="16" t="s">
        <v>49</v>
      </c>
      <c r="F3" s="14">
        <v>2</v>
      </c>
      <c r="G3" s="14">
        <v>10</v>
      </c>
      <c r="H3" s="17">
        <v>95250</v>
      </c>
      <c r="I3" s="17">
        <f t="shared" ref="I3:I21" si="0">ROUND(H3*G3,2)</f>
        <v>952500</v>
      </c>
      <c r="J3" s="18" t="s">
        <v>46</v>
      </c>
      <c r="K3" s="19" t="s">
        <v>50</v>
      </c>
      <c r="L3" s="30">
        <f t="shared" ref="L3:L40" si="1">ROUND(I3*0.7,0)</f>
        <v>666750</v>
      </c>
    </row>
    <row r="4" spans="1:12" s="15" customFormat="1" ht="12.95" customHeight="1">
      <c r="A4" s="109" t="s">
        <v>80</v>
      </c>
      <c r="B4" s="109" t="s">
        <v>84</v>
      </c>
      <c r="C4" s="222" t="s">
        <v>51</v>
      </c>
      <c r="D4" s="223"/>
      <c r="E4" s="16" t="s">
        <v>49</v>
      </c>
      <c r="F4" s="14">
        <v>2</v>
      </c>
      <c r="G4" s="14">
        <v>8</v>
      </c>
      <c r="H4" s="17">
        <v>95250</v>
      </c>
      <c r="I4" s="17">
        <f t="shared" si="0"/>
        <v>762000</v>
      </c>
      <c r="J4" s="18" t="s">
        <v>46</v>
      </c>
      <c r="K4" s="19"/>
      <c r="L4" s="30">
        <f t="shared" si="1"/>
        <v>533400</v>
      </c>
    </row>
    <row r="5" spans="1:12" s="15" customFormat="1" ht="12.95" customHeight="1">
      <c r="A5" s="109" t="s">
        <v>80</v>
      </c>
      <c r="B5" s="109" t="s">
        <v>83</v>
      </c>
      <c r="C5" s="222" t="s">
        <v>52</v>
      </c>
      <c r="D5" s="223"/>
      <c r="E5" s="16" t="s">
        <v>49</v>
      </c>
      <c r="F5" s="14">
        <v>1</v>
      </c>
      <c r="G5" s="14">
        <v>5</v>
      </c>
      <c r="H5" s="17">
        <v>95250</v>
      </c>
      <c r="I5" s="17">
        <f t="shared" si="0"/>
        <v>476250</v>
      </c>
      <c r="J5" s="18" t="s">
        <v>46</v>
      </c>
      <c r="K5" s="19"/>
      <c r="L5" s="30">
        <f t="shared" si="1"/>
        <v>333375</v>
      </c>
    </row>
    <row r="6" spans="1:12" s="15" customFormat="1" ht="12.95" customHeight="1">
      <c r="A6" s="109" t="s">
        <v>80</v>
      </c>
      <c r="B6" s="109" t="s">
        <v>83</v>
      </c>
      <c r="C6" s="222" t="s">
        <v>53</v>
      </c>
      <c r="D6" s="223"/>
      <c r="E6" s="16" t="s">
        <v>49</v>
      </c>
      <c r="F6" s="14">
        <v>1</v>
      </c>
      <c r="G6" s="14">
        <v>5</v>
      </c>
      <c r="H6" s="17">
        <v>95250</v>
      </c>
      <c r="I6" s="17">
        <f t="shared" si="0"/>
        <v>476250</v>
      </c>
      <c r="J6" s="18" t="s">
        <v>46</v>
      </c>
      <c r="K6" s="19"/>
      <c r="L6" s="30">
        <f t="shared" si="1"/>
        <v>333375</v>
      </c>
    </row>
    <row r="7" spans="1:12" s="15" customFormat="1" ht="12.95" customHeight="1">
      <c r="A7" s="109" t="s">
        <v>80</v>
      </c>
      <c r="B7" s="109" t="s">
        <v>83</v>
      </c>
      <c r="C7" s="224" t="s">
        <v>54</v>
      </c>
      <c r="D7" s="223"/>
      <c r="E7" s="16" t="s">
        <v>49</v>
      </c>
      <c r="F7" s="14">
        <v>1</v>
      </c>
      <c r="G7" s="14">
        <v>5</v>
      </c>
      <c r="H7" s="17">
        <v>95250</v>
      </c>
      <c r="I7" s="17">
        <f t="shared" si="0"/>
        <v>476250</v>
      </c>
      <c r="J7" s="18" t="s">
        <v>46</v>
      </c>
      <c r="K7" s="19"/>
      <c r="L7" s="30">
        <f t="shared" si="1"/>
        <v>333375</v>
      </c>
    </row>
    <row r="8" spans="1:12" s="15" customFormat="1" ht="12.95" customHeight="1">
      <c r="A8" s="109" t="s">
        <v>80</v>
      </c>
      <c r="B8" s="109" t="s">
        <v>83</v>
      </c>
      <c r="C8" s="220" t="s">
        <v>55</v>
      </c>
      <c r="D8" s="219"/>
      <c r="E8" s="16" t="s">
        <v>49</v>
      </c>
      <c r="F8" s="20">
        <v>1</v>
      </c>
      <c r="G8" s="20">
        <v>5</v>
      </c>
      <c r="H8" s="17">
        <v>95250</v>
      </c>
      <c r="I8" s="17">
        <f t="shared" si="0"/>
        <v>476250</v>
      </c>
      <c r="J8" s="112" t="s">
        <v>46</v>
      </c>
      <c r="K8" s="19"/>
      <c r="L8" s="30">
        <f t="shared" si="1"/>
        <v>333375</v>
      </c>
    </row>
    <row r="9" spans="1:12" s="15" customFormat="1" ht="12.95" customHeight="1">
      <c r="A9" s="109" t="s">
        <v>80</v>
      </c>
      <c r="B9" s="18" t="s">
        <v>82</v>
      </c>
      <c r="C9" s="14" t="s">
        <v>56</v>
      </c>
      <c r="D9" s="18" t="s">
        <v>57</v>
      </c>
      <c r="E9" s="16" t="s">
        <v>49</v>
      </c>
      <c r="F9" s="14">
        <v>1</v>
      </c>
      <c r="G9" s="14">
        <v>6</v>
      </c>
      <c r="H9" s="17">
        <v>95250</v>
      </c>
      <c r="I9" s="17">
        <f t="shared" si="0"/>
        <v>571500</v>
      </c>
      <c r="J9" s="18" t="s">
        <v>46</v>
      </c>
      <c r="K9" s="22"/>
      <c r="L9" s="30">
        <f t="shared" si="1"/>
        <v>400050</v>
      </c>
    </row>
    <row r="10" spans="1:12" s="15" customFormat="1" ht="12.95" customHeight="1">
      <c r="A10" s="109" t="s">
        <v>80</v>
      </c>
      <c r="B10" s="18" t="s">
        <v>82</v>
      </c>
      <c r="C10" s="21" t="s">
        <v>56</v>
      </c>
      <c r="D10" s="113" t="s">
        <v>58</v>
      </c>
      <c r="E10" s="16" t="s">
        <v>49</v>
      </c>
      <c r="F10" s="14">
        <v>1</v>
      </c>
      <c r="G10" s="14">
        <v>5</v>
      </c>
      <c r="H10" s="17">
        <v>95250</v>
      </c>
      <c r="I10" s="17">
        <f t="shared" si="0"/>
        <v>476250</v>
      </c>
      <c r="J10" s="18" t="s">
        <v>46</v>
      </c>
      <c r="K10" s="22"/>
      <c r="L10" s="30">
        <f t="shared" si="1"/>
        <v>333375</v>
      </c>
    </row>
    <row r="11" spans="1:12" s="15" customFormat="1" ht="12.95" customHeight="1">
      <c r="A11" s="109" t="s">
        <v>80</v>
      </c>
      <c r="B11" s="18" t="s">
        <v>82</v>
      </c>
      <c r="C11" s="14" t="s">
        <v>59</v>
      </c>
      <c r="D11" s="18" t="s">
        <v>60</v>
      </c>
      <c r="E11" s="16" t="s">
        <v>49</v>
      </c>
      <c r="F11" s="14">
        <v>1</v>
      </c>
      <c r="G11" s="14">
        <v>5</v>
      </c>
      <c r="H11" s="17">
        <v>95250</v>
      </c>
      <c r="I11" s="17">
        <f t="shared" si="0"/>
        <v>476250</v>
      </c>
      <c r="J11" s="18" t="s">
        <v>46</v>
      </c>
      <c r="K11" s="19"/>
      <c r="L11" s="30">
        <f t="shared" si="1"/>
        <v>333375</v>
      </c>
    </row>
    <row r="12" spans="1:12" s="15" customFormat="1" ht="12.95" customHeight="1">
      <c r="A12" s="109" t="s">
        <v>80</v>
      </c>
      <c r="B12" s="18" t="s">
        <v>82</v>
      </c>
      <c r="C12" s="14" t="s">
        <v>59</v>
      </c>
      <c r="D12" s="18" t="s">
        <v>61</v>
      </c>
      <c r="E12" s="16" t="s">
        <v>49</v>
      </c>
      <c r="F12" s="14">
        <v>1</v>
      </c>
      <c r="G12" s="14">
        <v>5</v>
      </c>
      <c r="H12" s="17">
        <v>95250</v>
      </c>
      <c r="I12" s="17">
        <f t="shared" si="0"/>
        <v>476250</v>
      </c>
      <c r="J12" s="18" t="s">
        <v>46</v>
      </c>
      <c r="K12" s="19"/>
      <c r="L12" s="30">
        <f t="shared" si="1"/>
        <v>333375</v>
      </c>
    </row>
    <row r="13" spans="1:12" s="15" customFormat="1" ht="12.95" customHeight="1">
      <c r="A13" s="109" t="s">
        <v>80</v>
      </c>
      <c r="B13" s="18" t="s">
        <v>82</v>
      </c>
      <c r="C13" s="14" t="s">
        <v>59</v>
      </c>
      <c r="D13" s="18" t="s">
        <v>62</v>
      </c>
      <c r="E13" s="16" t="s">
        <v>49</v>
      </c>
      <c r="F13" s="14">
        <v>1</v>
      </c>
      <c r="G13" s="14">
        <v>5</v>
      </c>
      <c r="H13" s="17">
        <v>95250</v>
      </c>
      <c r="I13" s="17">
        <f t="shared" si="0"/>
        <v>476250</v>
      </c>
      <c r="J13" s="18" t="s">
        <v>47</v>
      </c>
      <c r="K13" s="19"/>
      <c r="L13" s="30">
        <f t="shared" si="1"/>
        <v>333375</v>
      </c>
    </row>
    <row r="14" spans="1:12" s="15" customFormat="1" ht="12.95" customHeight="1">
      <c r="A14" s="109" t="s">
        <v>80</v>
      </c>
      <c r="B14" s="18" t="s">
        <v>82</v>
      </c>
      <c r="C14" s="224" t="s">
        <v>63</v>
      </c>
      <c r="D14" s="225"/>
      <c r="E14" s="16" t="s">
        <v>49</v>
      </c>
      <c r="F14" s="14">
        <v>2</v>
      </c>
      <c r="G14" s="14">
        <v>6</v>
      </c>
      <c r="H14" s="17">
        <v>95250</v>
      </c>
      <c r="I14" s="17">
        <f t="shared" si="0"/>
        <v>571500</v>
      </c>
      <c r="J14" s="18"/>
      <c r="K14" s="19"/>
      <c r="L14" s="30">
        <f t="shared" si="1"/>
        <v>400050</v>
      </c>
    </row>
    <row r="15" spans="1:12" s="15" customFormat="1" ht="12.95" customHeight="1">
      <c r="A15" s="109" t="s">
        <v>80</v>
      </c>
      <c r="B15" s="18" t="s">
        <v>82</v>
      </c>
      <c r="C15" s="220" t="s">
        <v>64</v>
      </c>
      <c r="D15" s="219"/>
      <c r="E15" s="16" t="s">
        <v>49</v>
      </c>
      <c r="F15" s="14">
        <v>1</v>
      </c>
      <c r="G15" s="14">
        <v>5</v>
      </c>
      <c r="H15" s="17">
        <v>95250</v>
      </c>
      <c r="I15" s="17">
        <f t="shared" si="0"/>
        <v>476250</v>
      </c>
      <c r="J15" s="18" t="s">
        <v>46</v>
      </c>
      <c r="K15" s="19"/>
      <c r="L15" s="30">
        <f t="shared" si="1"/>
        <v>333375</v>
      </c>
    </row>
    <row r="16" spans="1:12" s="15" customFormat="1" ht="12.95" customHeight="1">
      <c r="A16" s="109" t="s">
        <v>80</v>
      </c>
      <c r="B16" s="18" t="s">
        <v>82</v>
      </c>
      <c r="C16" s="218" t="s">
        <v>65</v>
      </c>
      <c r="D16" s="219"/>
      <c r="E16" s="16" t="s">
        <v>49</v>
      </c>
      <c r="F16" s="20">
        <v>1</v>
      </c>
      <c r="G16" s="20">
        <v>5</v>
      </c>
      <c r="H16" s="17">
        <v>95250</v>
      </c>
      <c r="I16" s="17">
        <f t="shared" si="0"/>
        <v>476250</v>
      </c>
      <c r="J16" s="112" t="s">
        <v>66</v>
      </c>
      <c r="K16" s="19"/>
      <c r="L16" s="30">
        <f t="shared" si="1"/>
        <v>333375</v>
      </c>
    </row>
    <row r="17" spans="1:12" s="15" customFormat="1" ht="12.95" customHeight="1">
      <c r="A17" s="109" t="s">
        <v>80</v>
      </c>
      <c r="B17" s="109" t="s">
        <v>78</v>
      </c>
      <c r="C17" s="218" t="s">
        <v>67</v>
      </c>
      <c r="D17" s="219"/>
      <c r="E17" s="16" t="s">
        <v>49</v>
      </c>
      <c r="F17" s="20">
        <v>1</v>
      </c>
      <c r="G17" s="20">
        <v>8</v>
      </c>
      <c r="H17" s="17">
        <v>95250</v>
      </c>
      <c r="I17" s="17">
        <f t="shared" si="0"/>
        <v>762000</v>
      </c>
      <c r="J17" s="112" t="s">
        <v>46</v>
      </c>
      <c r="K17" s="19"/>
      <c r="L17" s="30">
        <f t="shared" si="1"/>
        <v>533400</v>
      </c>
    </row>
    <row r="18" spans="1:12" s="15" customFormat="1" ht="12.95" customHeight="1">
      <c r="A18" s="109" t="s">
        <v>80</v>
      </c>
      <c r="B18" s="109" t="s">
        <v>78</v>
      </c>
      <c r="C18" s="220" t="s">
        <v>86</v>
      </c>
      <c r="D18" s="219"/>
      <c r="E18" s="16" t="s">
        <v>49</v>
      </c>
      <c r="F18" s="20">
        <v>2</v>
      </c>
      <c r="G18" s="20">
        <v>7</v>
      </c>
      <c r="H18" s="17">
        <v>95250</v>
      </c>
      <c r="I18" s="17">
        <f t="shared" si="0"/>
        <v>666750</v>
      </c>
      <c r="J18" s="112" t="s">
        <v>66</v>
      </c>
      <c r="K18" s="19"/>
      <c r="L18" s="30">
        <f t="shared" si="1"/>
        <v>466725</v>
      </c>
    </row>
    <row r="19" spans="1:12" s="15" customFormat="1" ht="12.95" customHeight="1">
      <c r="A19" s="109" t="s">
        <v>80</v>
      </c>
      <c r="B19" s="109" t="s">
        <v>82</v>
      </c>
      <c r="C19" s="218" t="s">
        <v>68</v>
      </c>
      <c r="D19" s="219"/>
      <c r="E19" s="16" t="s">
        <v>49</v>
      </c>
      <c r="F19" s="20">
        <v>1</v>
      </c>
      <c r="G19" s="20">
        <v>5</v>
      </c>
      <c r="H19" s="17">
        <v>95250</v>
      </c>
      <c r="I19" s="17">
        <f t="shared" si="0"/>
        <v>476250</v>
      </c>
      <c r="J19" s="112" t="s">
        <v>46</v>
      </c>
      <c r="K19" s="19"/>
      <c r="L19" s="30">
        <f t="shared" si="1"/>
        <v>333375</v>
      </c>
    </row>
    <row r="20" spans="1:12" s="15" customFormat="1" ht="12.95" customHeight="1">
      <c r="A20" s="109" t="s">
        <v>80</v>
      </c>
      <c r="B20" s="109" t="s">
        <v>82</v>
      </c>
      <c r="C20" s="220" t="s">
        <v>69</v>
      </c>
      <c r="D20" s="219"/>
      <c r="E20" s="16" t="s">
        <v>49</v>
      </c>
      <c r="F20" s="20">
        <v>1</v>
      </c>
      <c r="G20" s="20">
        <v>5</v>
      </c>
      <c r="H20" s="17">
        <v>95250</v>
      </c>
      <c r="I20" s="17">
        <f t="shared" si="0"/>
        <v>476250</v>
      </c>
      <c r="J20" s="112" t="s">
        <v>46</v>
      </c>
      <c r="K20" s="19"/>
      <c r="L20" s="30">
        <f t="shared" si="1"/>
        <v>333375</v>
      </c>
    </row>
    <row r="21" spans="1:12" s="15" customFormat="1" ht="12.95" customHeight="1">
      <c r="A21" s="109" t="s">
        <v>80</v>
      </c>
      <c r="B21" s="109" t="s">
        <v>82</v>
      </c>
      <c r="C21" s="218" t="s">
        <v>70</v>
      </c>
      <c r="D21" s="219"/>
      <c r="E21" s="16" t="s">
        <v>49</v>
      </c>
      <c r="F21" s="14">
        <v>1</v>
      </c>
      <c r="G21" s="14">
        <v>5</v>
      </c>
      <c r="H21" s="17">
        <v>95250</v>
      </c>
      <c r="I21" s="17">
        <f t="shared" si="0"/>
        <v>476250</v>
      </c>
      <c r="J21" s="18" t="s">
        <v>46</v>
      </c>
      <c r="K21" s="109" t="s">
        <v>71</v>
      </c>
      <c r="L21" s="30">
        <f t="shared" si="1"/>
        <v>333375</v>
      </c>
    </row>
    <row r="22" spans="1:12" s="15" customFormat="1" ht="12.95" customHeight="1">
      <c r="A22" s="109" t="s">
        <v>80</v>
      </c>
      <c r="B22" s="109" t="s">
        <v>83</v>
      </c>
      <c r="C22" s="220" t="s">
        <v>72</v>
      </c>
      <c r="D22" s="221"/>
      <c r="E22" s="16" t="s">
        <v>49</v>
      </c>
      <c r="F22" s="14">
        <v>1</v>
      </c>
      <c r="G22" s="14">
        <v>5</v>
      </c>
      <c r="H22" s="17">
        <v>95250</v>
      </c>
      <c r="I22" s="17">
        <f t="shared" ref="I22:I27" si="2">ROUND(H22*G22,2)</f>
        <v>476250</v>
      </c>
      <c r="J22" s="18" t="s">
        <v>46</v>
      </c>
      <c r="K22" s="109" t="s">
        <v>73</v>
      </c>
      <c r="L22" s="30">
        <f t="shared" si="1"/>
        <v>333375</v>
      </c>
    </row>
    <row r="23" spans="1:12" s="15" customFormat="1" ht="12.95" customHeight="1">
      <c r="A23" s="109" t="s">
        <v>80</v>
      </c>
      <c r="B23" s="109" t="s">
        <v>84</v>
      </c>
      <c r="C23" s="220" t="s">
        <v>74</v>
      </c>
      <c r="D23" s="221"/>
      <c r="E23" s="16" t="s">
        <v>49</v>
      </c>
      <c r="F23" s="14">
        <v>1</v>
      </c>
      <c r="G23" s="14">
        <v>5</v>
      </c>
      <c r="H23" s="17">
        <v>95250</v>
      </c>
      <c r="I23" s="17">
        <f t="shared" si="2"/>
        <v>476250</v>
      </c>
      <c r="J23" s="18"/>
      <c r="K23" s="109"/>
      <c r="L23" s="30">
        <f t="shared" si="1"/>
        <v>333375</v>
      </c>
    </row>
    <row r="24" spans="1:12" s="31" customFormat="1" ht="12.95" customHeight="1">
      <c r="A24" s="109" t="s">
        <v>80</v>
      </c>
      <c r="B24" s="29" t="s">
        <v>82</v>
      </c>
      <c r="C24" s="217" t="s">
        <v>75</v>
      </c>
      <c r="D24" s="217"/>
      <c r="E24" s="27" t="s">
        <v>49</v>
      </c>
      <c r="F24" s="26">
        <v>1</v>
      </c>
      <c r="G24" s="26">
        <v>5</v>
      </c>
      <c r="H24" s="28">
        <v>95250</v>
      </c>
      <c r="I24" s="28">
        <f t="shared" si="2"/>
        <v>476250</v>
      </c>
      <c r="J24" s="29"/>
      <c r="K24" s="29"/>
      <c r="L24" s="30">
        <f t="shared" si="1"/>
        <v>333375</v>
      </c>
    </row>
    <row r="25" spans="1:12" s="31" customFormat="1" ht="12.95" customHeight="1">
      <c r="A25" s="110" t="s">
        <v>81</v>
      </c>
      <c r="B25" s="26" t="s">
        <v>85</v>
      </c>
      <c r="C25" s="215" t="s">
        <v>76</v>
      </c>
      <c r="D25" s="216"/>
      <c r="E25" s="27" t="s">
        <v>49</v>
      </c>
      <c r="F25" s="26">
        <v>1</v>
      </c>
      <c r="G25" s="26">
        <v>5</v>
      </c>
      <c r="H25" s="28">
        <v>95250</v>
      </c>
      <c r="I25" s="28">
        <f t="shared" si="2"/>
        <v>476250</v>
      </c>
      <c r="J25" s="29"/>
      <c r="K25" s="111"/>
      <c r="L25" s="30">
        <f t="shared" si="1"/>
        <v>333375</v>
      </c>
    </row>
    <row r="26" spans="1:12" s="31" customFormat="1" ht="12.95" customHeight="1">
      <c r="A26" s="110" t="s">
        <v>81</v>
      </c>
      <c r="B26" s="26" t="s">
        <v>85</v>
      </c>
      <c r="C26" s="215" t="s">
        <v>87</v>
      </c>
      <c r="D26" s="216"/>
      <c r="E26" s="27" t="s">
        <v>49</v>
      </c>
      <c r="F26" s="26">
        <v>1</v>
      </c>
      <c r="G26" s="26">
        <v>5</v>
      </c>
      <c r="H26" s="28">
        <v>95250</v>
      </c>
      <c r="I26" s="28">
        <f t="shared" si="2"/>
        <v>476250</v>
      </c>
      <c r="J26" s="29"/>
      <c r="K26" s="111"/>
      <c r="L26" s="30">
        <f t="shared" si="1"/>
        <v>333375</v>
      </c>
    </row>
    <row r="27" spans="1:12" s="31" customFormat="1" ht="12.95" customHeight="1">
      <c r="A27" s="18" t="s">
        <v>81</v>
      </c>
      <c r="B27" s="29" t="s">
        <v>82</v>
      </c>
      <c r="C27" s="215" t="s">
        <v>88</v>
      </c>
      <c r="D27" s="216"/>
      <c r="E27" s="27" t="s">
        <v>49</v>
      </c>
      <c r="F27" s="26">
        <v>1</v>
      </c>
      <c r="G27" s="26">
        <v>1</v>
      </c>
      <c r="H27" s="28">
        <v>95250</v>
      </c>
      <c r="I27" s="28">
        <f t="shared" si="2"/>
        <v>95250</v>
      </c>
      <c r="J27" s="29"/>
      <c r="K27" s="111"/>
      <c r="L27" s="30">
        <f t="shared" si="1"/>
        <v>66675</v>
      </c>
    </row>
    <row r="28" spans="1:12" s="31" customFormat="1" ht="12.95" customHeight="1">
      <c r="A28" s="18" t="s">
        <v>81</v>
      </c>
      <c r="B28" s="29" t="s">
        <v>82</v>
      </c>
      <c r="C28" s="215" t="s">
        <v>89</v>
      </c>
      <c r="D28" s="216"/>
      <c r="E28" s="27" t="s">
        <v>49</v>
      </c>
      <c r="F28" s="26">
        <v>1</v>
      </c>
      <c r="G28" s="26">
        <v>1</v>
      </c>
      <c r="H28" s="28">
        <v>95250</v>
      </c>
      <c r="I28" s="28">
        <f t="shared" ref="I28:I40" si="3">ROUND(H28*G28,2)</f>
        <v>95250</v>
      </c>
      <c r="J28" s="29"/>
      <c r="K28" s="111"/>
      <c r="L28" s="30">
        <f t="shared" si="1"/>
        <v>66675</v>
      </c>
    </row>
    <row r="29" spans="1:12" s="31" customFormat="1" ht="12.95" customHeight="1">
      <c r="A29" s="18" t="s">
        <v>81</v>
      </c>
      <c r="B29" s="29" t="s">
        <v>82</v>
      </c>
      <c r="C29" s="215" t="s">
        <v>90</v>
      </c>
      <c r="D29" s="216"/>
      <c r="E29" s="27" t="s">
        <v>49</v>
      </c>
      <c r="F29" s="26">
        <v>1</v>
      </c>
      <c r="G29" s="26">
        <v>1</v>
      </c>
      <c r="H29" s="28">
        <v>95250</v>
      </c>
      <c r="I29" s="28">
        <f t="shared" si="3"/>
        <v>95250</v>
      </c>
      <c r="J29" s="29"/>
      <c r="K29" s="111"/>
      <c r="L29" s="30">
        <f t="shared" si="1"/>
        <v>66675</v>
      </c>
    </row>
    <row r="30" spans="1:12" s="31" customFormat="1" ht="12.95" customHeight="1">
      <c r="A30" s="18" t="s">
        <v>81</v>
      </c>
      <c r="B30" s="29" t="s">
        <v>82</v>
      </c>
      <c r="C30" s="215" t="s">
        <v>91</v>
      </c>
      <c r="D30" s="216"/>
      <c r="E30" s="27" t="s">
        <v>49</v>
      </c>
      <c r="F30" s="26">
        <v>1</v>
      </c>
      <c r="G30" s="26">
        <v>1</v>
      </c>
      <c r="H30" s="28">
        <v>95250</v>
      </c>
      <c r="I30" s="28">
        <f t="shared" si="3"/>
        <v>95250</v>
      </c>
      <c r="J30" s="29"/>
      <c r="K30" s="111"/>
      <c r="L30" s="30">
        <f t="shared" si="1"/>
        <v>66675</v>
      </c>
    </row>
    <row r="31" spans="1:12" s="31" customFormat="1" ht="12.95" customHeight="1">
      <c r="A31" s="18" t="s">
        <v>81</v>
      </c>
      <c r="B31" s="29" t="s">
        <v>82</v>
      </c>
      <c r="C31" s="215" t="s">
        <v>92</v>
      </c>
      <c r="D31" s="216"/>
      <c r="E31" s="27" t="s">
        <v>49</v>
      </c>
      <c r="F31" s="26">
        <v>1</v>
      </c>
      <c r="G31" s="26">
        <v>1</v>
      </c>
      <c r="H31" s="28">
        <v>95250</v>
      </c>
      <c r="I31" s="28">
        <f t="shared" si="3"/>
        <v>95250</v>
      </c>
      <c r="J31" s="29"/>
      <c r="K31" s="111"/>
      <c r="L31" s="30">
        <f t="shared" si="1"/>
        <v>66675</v>
      </c>
    </row>
    <row r="32" spans="1:12" s="31" customFormat="1" ht="12.95" customHeight="1">
      <c r="A32" s="18" t="s">
        <v>81</v>
      </c>
      <c r="B32" s="29" t="s">
        <v>82</v>
      </c>
      <c r="C32" s="215" t="s">
        <v>244</v>
      </c>
      <c r="D32" s="216"/>
      <c r="E32" s="27" t="s">
        <v>49</v>
      </c>
      <c r="F32" s="26">
        <v>1</v>
      </c>
      <c r="G32" s="26">
        <v>1</v>
      </c>
      <c r="H32" s="28">
        <v>95250</v>
      </c>
      <c r="I32" s="28">
        <f t="shared" si="3"/>
        <v>95250</v>
      </c>
      <c r="J32" s="29"/>
      <c r="K32" s="111"/>
      <c r="L32" s="30">
        <f t="shared" si="1"/>
        <v>66675</v>
      </c>
    </row>
    <row r="33" spans="1:12" s="31" customFormat="1" ht="12.95" customHeight="1">
      <c r="A33" s="18" t="s">
        <v>81</v>
      </c>
      <c r="B33" s="29" t="s">
        <v>82</v>
      </c>
      <c r="C33" s="215" t="s">
        <v>245</v>
      </c>
      <c r="D33" s="216"/>
      <c r="E33" s="27" t="s">
        <v>49</v>
      </c>
      <c r="F33" s="26">
        <v>1</v>
      </c>
      <c r="G33" s="26">
        <v>1</v>
      </c>
      <c r="H33" s="28">
        <v>95250</v>
      </c>
      <c r="I33" s="28">
        <f t="shared" si="3"/>
        <v>95250</v>
      </c>
      <c r="J33" s="29"/>
      <c r="K33" s="111"/>
      <c r="L33" s="30">
        <f t="shared" si="1"/>
        <v>66675</v>
      </c>
    </row>
    <row r="34" spans="1:12" s="31" customFormat="1" ht="12.95" customHeight="1">
      <c r="A34" s="18" t="s">
        <v>81</v>
      </c>
      <c r="B34" s="29" t="s">
        <v>82</v>
      </c>
      <c r="C34" s="215" t="s">
        <v>246</v>
      </c>
      <c r="D34" s="216"/>
      <c r="E34" s="27" t="s">
        <v>49</v>
      </c>
      <c r="F34" s="26">
        <v>1</v>
      </c>
      <c r="G34" s="26">
        <v>1</v>
      </c>
      <c r="H34" s="28">
        <v>95250</v>
      </c>
      <c r="I34" s="28">
        <f t="shared" si="3"/>
        <v>95250</v>
      </c>
      <c r="J34" s="29"/>
      <c r="K34" s="111"/>
      <c r="L34" s="30">
        <f t="shared" si="1"/>
        <v>66675</v>
      </c>
    </row>
    <row r="35" spans="1:12" s="31" customFormat="1" ht="12.95" customHeight="1">
      <c r="A35" s="18" t="s">
        <v>81</v>
      </c>
      <c r="B35" s="29" t="s">
        <v>82</v>
      </c>
      <c r="C35" s="217" t="s">
        <v>93</v>
      </c>
      <c r="D35" s="217"/>
      <c r="E35" s="32" t="s">
        <v>49</v>
      </c>
      <c r="F35" s="26">
        <v>1</v>
      </c>
      <c r="G35" s="26">
        <v>1</v>
      </c>
      <c r="H35" s="28">
        <v>95250</v>
      </c>
      <c r="I35" s="28">
        <f t="shared" si="3"/>
        <v>95250</v>
      </c>
      <c r="J35" s="29"/>
      <c r="K35" s="111"/>
      <c r="L35" s="30">
        <f t="shared" si="1"/>
        <v>66675</v>
      </c>
    </row>
    <row r="36" spans="1:12" s="31" customFormat="1" ht="12.95" customHeight="1">
      <c r="A36" s="18" t="s">
        <v>81</v>
      </c>
      <c r="B36" s="29" t="s">
        <v>82</v>
      </c>
      <c r="C36" s="217" t="s">
        <v>94</v>
      </c>
      <c r="D36" s="217"/>
      <c r="E36" s="32" t="s">
        <v>49</v>
      </c>
      <c r="F36" s="26">
        <v>1</v>
      </c>
      <c r="G36" s="26">
        <v>2</v>
      </c>
      <c r="H36" s="28">
        <v>95250</v>
      </c>
      <c r="I36" s="28">
        <f t="shared" si="3"/>
        <v>190500</v>
      </c>
      <c r="J36" s="29"/>
      <c r="K36" s="111"/>
      <c r="L36" s="30">
        <f t="shared" si="1"/>
        <v>133350</v>
      </c>
    </row>
    <row r="37" spans="1:12" s="31" customFormat="1" ht="12.95" customHeight="1">
      <c r="A37" s="18" t="s">
        <v>81</v>
      </c>
      <c r="B37" s="29" t="s">
        <v>82</v>
      </c>
      <c r="C37" s="217" t="s">
        <v>95</v>
      </c>
      <c r="D37" s="217"/>
      <c r="E37" s="32" t="s">
        <v>49</v>
      </c>
      <c r="F37" s="26">
        <v>1</v>
      </c>
      <c r="G37" s="26">
        <v>2</v>
      </c>
      <c r="H37" s="28">
        <v>95250</v>
      </c>
      <c r="I37" s="28">
        <f t="shared" si="3"/>
        <v>190500</v>
      </c>
      <c r="J37" s="29"/>
      <c r="K37" s="111"/>
      <c r="L37" s="30">
        <f t="shared" si="1"/>
        <v>133350</v>
      </c>
    </row>
    <row r="38" spans="1:12" s="31" customFormat="1" ht="12.95" customHeight="1">
      <c r="A38" s="18" t="s">
        <v>81</v>
      </c>
      <c r="B38" s="29" t="s">
        <v>82</v>
      </c>
      <c r="C38" s="217" t="s">
        <v>96</v>
      </c>
      <c r="D38" s="217"/>
      <c r="E38" s="32" t="s">
        <v>49</v>
      </c>
      <c r="F38" s="26">
        <v>1</v>
      </c>
      <c r="G38" s="26">
        <v>2</v>
      </c>
      <c r="H38" s="28">
        <v>95250</v>
      </c>
      <c r="I38" s="28">
        <f t="shared" si="3"/>
        <v>190500</v>
      </c>
      <c r="J38" s="29"/>
      <c r="K38" s="111"/>
      <c r="L38" s="30">
        <f t="shared" si="1"/>
        <v>133350</v>
      </c>
    </row>
    <row r="39" spans="1:12" s="31" customFormat="1" ht="12.95" customHeight="1">
      <c r="A39" s="18" t="s">
        <v>81</v>
      </c>
      <c r="B39" s="29" t="s">
        <v>82</v>
      </c>
      <c r="C39" s="217" t="s">
        <v>97</v>
      </c>
      <c r="D39" s="217"/>
      <c r="E39" s="32" t="s">
        <v>49</v>
      </c>
      <c r="F39" s="26">
        <v>1</v>
      </c>
      <c r="G39" s="26">
        <v>2</v>
      </c>
      <c r="H39" s="28">
        <v>95250</v>
      </c>
      <c r="I39" s="28">
        <f t="shared" si="3"/>
        <v>190500</v>
      </c>
      <c r="J39" s="29"/>
      <c r="K39" s="111"/>
      <c r="L39" s="30">
        <f t="shared" si="1"/>
        <v>133350</v>
      </c>
    </row>
    <row r="40" spans="1:12" s="31" customFormat="1" ht="12.95" customHeight="1">
      <c r="A40" s="18" t="s">
        <v>81</v>
      </c>
      <c r="B40" s="33" t="s">
        <v>98</v>
      </c>
      <c r="C40" s="217" t="s">
        <v>99</v>
      </c>
      <c r="D40" s="217"/>
      <c r="E40" s="32" t="s">
        <v>49</v>
      </c>
      <c r="F40" s="26">
        <v>1</v>
      </c>
      <c r="G40" s="26">
        <v>1</v>
      </c>
      <c r="H40" s="28">
        <v>95250</v>
      </c>
      <c r="I40" s="28">
        <f t="shared" si="3"/>
        <v>95250</v>
      </c>
      <c r="J40" s="29"/>
      <c r="K40" s="111"/>
      <c r="L40" s="30">
        <f t="shared" si="1"/>
        <v>66675</v>
      </c>
    </row>
    <row r="41" spans="1:12" s="15" customFormat="1" ht="12.95" customHeight="1">
      <c r="A41" s="212" t="s">
        <v>247</v>
      </c>
      <c r="B41" s="213"/>
      <c r="C41" s="213"/>
      <c r="D41" s="213"/>
      <c r="E41" s="214"/>
      <c r="F41" s="123">
        <f>SUM(F3:F40)</f>
        <v>42</v>
      </c>
      <c r="G41" s="123">
        <f t="shared" ref="G41:L41" si="4">SUM(G3:G40)</f>
        <v>153</v>
      </c>
      <c r="H41" s="123"/>
      <c r="I41" s="123">
        <f t="shared" si="4"/>
        <v>14573250</v>
      </c>
      <c r="J41" s="123">
        <f t="shared" si="4"/>
        <v>0</v>
      </c>
      <c r="K41" s="123">
        <f t="shared" si="4"/>
        <v>0</v>
      </c>
      <c r="L41" s="123">
        <f t="shared" si="4"/>
        <v>10201275</v>
      </c>
    </row>
  </sheetData>
  <autoFilter ref="A2:L41">
    <filterColumn colId="2" showButton="0"/>
  </autoFilter>
  <mergeCells count="36">
    <mergeCell ref="C3:D3"/>
    <mergeCell ref="C4:D4"/>
    <mergeCell ref="C40:D40"/>
    <mergeCell ref="C36:D36"/>
    <mergeCell ref="C37:D37"/>
    <mergeCell ref="C38:D38"/>
    <mergeCell ref="C39:D39"/>
    <mergeCell ref="C5:D5"/>
    <mergeCell ref="C6:D6"/>
    <mergeCell ref="C7:D7"/>
    <mergeCell ref="C8:D8"/>
    <mergeCell ref="C14:D14"/>
    <mergeCell ref="C16:D16"/>
    <mergeCell ref="C17:D17"/>
    <mergeCell ref="C18:D18"/>
    <mergeCell ref="C21:D21"/>
    <mergeCell ref="C22:D22"/>
    <mergeCell ref="C23:D23"/>
    <mergeCell ref="C24:D24"/>
    <mergeCell ref="C15:D15"/>
    <mergeCell ref="A1:L1"/>
    <mergeCell ref="C2:D2"/>
    <mergeCell ref="A41:E41"/>
    <mergeCell ref="C25:D25"/>
    <mergeCell ref="C26:D26"/>
    <mergeCell ref="C28:D28"/>
    <mergeCell ref="C29:D29"/>
    <mergeCell ref="C33:D33"/>
    <mergeCell ref="C34:D34"/>
    <mergeCell ref="C35:D35"/>
    <mergeCell ref="C30:D30"/>
    <mergeCell ref="C31:D31"/>
    <mergeCell ref="C32:D32"/>
    <mergeCell ref="C27:D27"/>
    <mergeCell ref="C19:D19"/>
    <mergeCell ref="C20:D20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A19" sqref="A19:XFD19"/>
    </sheetView>
  </sheetViews>
  <sheetFormatPr defaultColWidth="9" defaultRowHeight="16.5" outlineLevelRow="2"/>
  <cols>
    <col min="1" max="1" width="35.375" style="34" customWidth="1"/>
    <col min="2" max="2" width="11.125" style="34" customWidth="1"/>
    <col min="3" max="3" width="10.375" style="34" customWidth="1"/>
    <col min="4" max="4" width="11.5" style="34" customWidth="1"/>
    <col min="5" max="5" width="13.125" style="34" customWidth="1"/>
    <col min="6" max="6" width="13.625" style="40" customWidth="1"/>
    <col min="7" max="7" width="9.125" style="34" customWidth="1"/>
    <col min="8" max="9" width="12.875" style="34" customWidth="1"/>
    <col min="10" max="10" width="9" style="34"/>
    <col min="11" max="11" width="11.625" style="34" customWidth="1"/>
    <col min="12" max="16384" width="9" style="34"/>
  </cols>
  <sheetData>
    <row r="1" spans="1:11" ht="28.5" customHeight="1">
      <c r="A1" s="226" t="s">
        <v>233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 ht="31.5" customHeight="1">
      <c r="A2" s="124" t="s">
        <v>100</v>
      </c>
      <c r="B2" s="124" t="s">
        <v>101</v>
      </c>
      <c r="C2" s="124" t="s">
        <v>102</v>
      </c>
      <c r="D2" s="124" t="s">
        <v>103</v>
      </c>
      <c r="E2" s="124" t="s">
        <v>104</v>
      </c>
      <c r="F2" s="125" t="s">
        <v>105</v>
      </c>
      <c r="G2" s="124" t="s">
        <v>106</v>
      </c>
      <c r="H2" s="124" t="s">
        <v>107</v>
      </c>
      <c r="I2" s="124" t="s">
        <v>108</v>
      </c>
      <c r="J2" s="124" t="s">
        <v>109</v>
      </c>
      <c r="K2" s="124" t="s">
        <v>110</v>
      </c>
    </row>
    <row r="3" spans="1:11" outlineLevel="2">
      <c r="A3" s="36" t="s">
        <v>116</v>
      </c>
      <c r="B3" s="36" t="s">
        <v>113</v>
      </c>
      <c r="C3" s="36" t="s">
        <v>112</v>
      </c>
      <c r="D3" s="37" t="s">
        <v>117</v>
      </c>
      <c r="E3" s="38">
        <v>0</v>
      </c>
      <c r="F3" s="38">
        <v>16</v>
      </c>
      <c r="G3" s="35">
        <v>16</v>
      </c>
      <c r="H3" s="38">
        <v>109</v>
      </c>
      <c r="I3" s="38">
        <v>170</v>
      </c>
      <c r="J3" s="38">
        <v>12</v>
      </c>
      <c r="K3" s="38">
        <f t="shared" ref="K3:K25" si="0">E3*H3*J3+F3*I3*J3</f>
        <v>32640</v>
      </c>
    </row>
    <row r="4" spans="1:11" outlineLevel="2">
      <c r="A4" s="37" t="s">
        <v>118</v>
      </c>
      <c r="B4" s="36" t="s">
        <v>114</v>
      </c>
      <c r="C4" s="36" t="s">
        <v>112</v>
      </c>
      <c r="D4" s="37" t="s">
        <v>117</v>
      </c>
      <c r="E4" s="38">
        <v>0</v>
      </c>
      <c r="F4" s="38">
        <v>16</v>
      </c>
      <c r="G4" s="35">
        <v>16</v>
      </c>
      <c r="H4" s="38">
        <v>109</v>
      </c>
      <c r="I4" s="38">
        <v>170</v>
      </c>
      <c r="J4" s="38">
        <v>12</v>
      </c>
      <c r="K4" s="38">
        <f t="shared" si="0"/>
        <v>32640</v>
      </c>
    </row>
    <row r="5" spans="1:11" outlineLevel="2">
      <c r="A5" s="36" t="s">
        <v>32</v>
      </c>
      <c r="B5" s="36" t="s">
        <v>111</v>
      </c>
      <c r="C5" s="36" t="s">
        <v>112</v>
      </c>
      <c r="D5" s="37" t="s">
        <v>117</v>
      </c>
      <c r="E5" s="38">
        <v>0</v>
      </c>
      <c r="F5" s="38">
        <v>16</v>
      </c>
      <c r="G5" s="35">
        <v>16</v>
      </c>
      <c r="H5" s="38">
        <v>109</v>
      </c>
      <c r="I5" s="38">
        <v>170</v>
      </c>
      <c r="J5" s="38">
        <v>12</v>
      </c>
      <c r="K5" s="38">
        <f t="shared" si="0"/>
        <v>32640</v>
      </c>
    </row>
    <row r="6" spans="1:11" outlineLevel="2">
      <c r="A6" s="36" t="s">
        <v>119</v>
      </c>
      <c r="B6" s="36" t="s">
        <v>113</v>
      </c>
      <c r="C6" s="36" t="s">
        <v>112</v>
      </c>
      <c r="D6" s="37" t="s">
        <v>117</v>
      </c>
      <c r="E6" s="38">
        <v>0</v>
      </c>
      <c r="F6" s="38">
        <v>16</v>
      </c>
      <c r="G6" s="35">
        <v>16</v>
      </c>
      <c r="H6" s="38">
        <v>109</v>
      </c>
      <c r="I6" s="38">
        <v>170</v>
      </c>
      <c r="J6" s="38">
        <v>12</v>
      </c>
      <c r="K6" s="38">
        <f t="shared" si="0"/>
        <v>32640</v>
      </c>
    </row>
    <row r="7" spans="1:11" outlineLevel="2">
      <c r="A7" s="36" t="s">
        <v>120</v>
      </c>
      <c r="B7" s="36" t="s">
        <v>111</v>
      </c>
      <c r="C7" s="36" t="s">
        <v>112</v>
      </c>
      <c r="D7" s="37" t="s">
        <v>117</v>
      </c>
      <c r="E7" s="38">
        <v>0</v>
      </c>
      <c r="F7" s="38">
        <v>16</v>
      </c>
      <c r="G7" s="35">
        <v>16</v>
      </c>
      <c r="H7" s="38">
        <v>109</v>
      </c>
      <c r="I7" s="38">
        <v>170</v>
      </c>
      <c r="J7" s="38">
        <v>12</v>
      </c>
      <c r="K7" s="38">
        <f t="shared" si="0"/>
        <v>32640</v>
      </c>
    </row>
    <row r="8" spans="1:11" outlineLevel="2">
      <c r="A8" s="36" t="s">
        <v>29</v>
      </c>
      <c r="B8" s="36" t="s">
        <v>111</v>
      </c>
      <c r="C8" s="36" t="s">
        <v>112</v>
      </c>
      <c r="D8" s="37" t="s">
        <v>117</v>
      </c>
      <c r="E8" s="38">
        <v>0</v>
      </c>
      <c r="F8" s="38">
        <v>16</v>
      </c>
      <c r="G8" s="35">
        <v>16</v>
      </c>
      <c r="H8" s="38">
        <v>109</v>
      </c>
      <c r="I8" s="38">
        <v>170</v>
      </c>
      <c r="J8" s="38">
        <v>12</v>
      </c>
      <c r="K8" s="38">
        <f t="shared" si="0"/>
        <v>32640</v>
      </c>
    </row>
    <row r="9" spans="1:11" outlineLevel="2">
      <c r="A9" s="36" t="s">
        <v>121</v>
      </c>
      <c r="B9" s="36" t="s">
        <v>111</v>
      </c>
      <c r="C9" s="36" t="s">
        <v>112</v>
      </c>
      <c r="D9" s="37" t="s">
        <v>117</v>
      </c>
      <c r="E9" s="38">
        <v>0</v>
      </c>
      <c r="F9" s="38">
        <v>16</v>
      </c>
      <c r="G9" s="35">
        <v>16</v>
      </c>
      <c r="H9" s="38">
        <v>109</v>
      </c>
      <c r="I9" s="38">
        <v>170</v>
      </c>
      <c r="J9" s="38">
        <v>12</v>
      </c>
      <c r="K9" s="38">
        <f t="shared" si="0"/>
        <v>32640</v>
      </c>
    </row>
    <row r="10" spans="1:11" outlineLevel="2">
      <c r="A10" s="36" t="s">
        <v>122</v>
      </c>
      <c r="B10" s="36" t="s">
        <v>111</v>
      </c>
      <c r="C10" s="36" t="s">
        <v>112</v>
      </c>
      <c r="D10" s="37" t="s">
        <v>117</v>
      </c>
      <c r="E10" s="38">
        <v>0</v>
      </c>
      <c r="F10" s="38">
        <v>16</v>
      </c>
      <c r="G10" s="38">
        <v>16</v>
      </c>
      <c r="H10" s="38">
        <v>109</v>
      </c>
      <c r="I10" s="38">
        <v>170</v>
      </c>
      <c r="J10" s="38">
        <v>12</v>
      </c>
      <c r="K10" s="38">
        <f t="shared" si="0"/>
        <v>32640</v>
      </c>
    </row>
    <row r="11" spans="1:11" outlineLevel="2">
      <c r="A11" s="35" t="s">
        <v>123</v>
      </c>
      <c r="B11" s="36" t="s">
        <v>115</v>
      </c>
      <c r="C11" s="36" t="s">
        <v>112</v>
      </c>
      <c r="D11" s="37" t="s">
        <v>117</v>
      </c>
      <c r="E11" s="38">
        <v>6</v>
      </c>
      <c r="F11" s="38">
        <v>10</v>
      </c>
      <c r="G11" s="35">
        <v>16</v>
      </c>
      <c r="H11" s="38">
        <v>109</v>
      </c>
      <c r="I11" s="38">
        <v>170</v>
      </c>
      <c r="J11" s="38">
        <v>12</v>
      </c>
      <c r="K11" s="38">
        <f t="shared" si="0"/>
        <v>28248</v>
      </c>
    </row>
    <row r="12" spans="1:11" outlineLevel="2">
      <c r="A12" s="35" t="s">
        <v>124</v>
      </c>
      <c r="B12" s="36" t="s">
        <v>115</v>
      </c>
      <c r="C12" s="36" t="s">
        <v>112</v>
      </c>
      <c r="D12" s="37" t="s">
        <v>117</v>
      </c>
      <c r="E12" s="38">
        <v>7</v>
      </c>
      <c r="F12" s="38">
        <v>9</v>
      </c>
      <c r="G12" s="35">
        <v>16</v>
      </c>
      <c r="H12" s="38">
        <v>109</v>
      </c>
      <c r="I12" s="38">
        <v>170</v>
      </c>
      <c r="J12" s="38">
        <v>12</v>
      </c>
      <c r="K12" s="38">
        <f t="shared" si="0"/>
        <v>27516</v>
      </c>
    </row>
    <row r="13" spans="1:11" outlineLevel="2">
      <c r="A13" s="35" t="s">
        <v>125</v>
      </c>
      <c r="B13" s="36" t="s">
        <v>115</v>
      </c>
      <c r="C13" s="36" t="s">
        <v>112</v>
      </c>
      <c r="D13" s="37" t="s">
        <v>117</v>
      </c>
      <c r="E13" s="38">
        <v>12</v>
      </c>
      <c r="F13" s="38">
        <v>4</v>
      </c>
      <c r="G13" s="35">
        <v>16</v>
      </c>
      <c r="H13" s="38">
        <v>109</v>
      </c>
      <c r="I13" s="38">
        <v>170</v>
      </c>
      <c r="J13" s="38">
        <v>12</v>
      </c>
      <c r="K13" s="38">
        <f t="shared" si="0"/>
        <v>23856</v>
      </c>
    </row>
    <row r="14" spans="1:11" outlineLevel="2">
      <c r="A14" s="35" t="s">
        <v>126</v>
      </c>
      <c r="B14" s="36" t="s">
        <v>115</v>
      </c>
      <c r="C14" s="36" t="s">
        <v>112</v>
      </c>
      <c r="D14" s="37" t="s">
        <v>117</v>
      </c>
      <c r="E14" s="38">
        <v>8</v>
      </c>
      <c r="F14" s="38">
        <v>8</v>
      </c>
      <c r="G14" s="35">
        <v>16</v>
      </c>
      <c r="H14" s="38">
        <v>109</v>
      </c>
      <c r="I14" s="38">
        <v>170</v>
      </c>
      <c r="J14" s="38">
        <v>12</v>
      </c>
      <c r="K14" s="38">
        <f t="shared" si="0"/>
        <v>26784</v>
      </c>
    </row>
    <row r="15" spans="1:11" outlineLevel="2">
      <c r="A15" s="35" t="s">
        <v>127</v>
      </c>
      <c r="B15" s="36" t="s">
        <v>115</v>
      </c>
      <c r="C15" s="36" t="s">
        <v>112</v>
      </c>
      <c r="D15" s="37" t="s">
        <v>117</v>
      </c>
      <c r="E15" s="38">
        <v>11</v>
      </c>
      <c r="F15" s="38">
        <v>5</v>
      </c>
      <c r="G15" s="35">
        <v>16</v>
      </c>
      <c r="H15" s="38">
        <v>109</v>
      </c>
      <c r="I15" s="38">
        <v>170</v>
      </c>
      <c r="J15" s="38">
        <v>12</v>
      </c>
      <c r="K15" s="38">
        <f t="shared" si="0"/>
        <v>24588</v>
      </c>
    </row>
    <row r="16" spans="1:11" outlineLevel="2">
      <c r="A16" s="35" t="s">
        <v>128</v>
      </c>
      <c r="B16" s="36" t="s">
        <v>115</v>
      </c>
      <c r="C16" s="36" t="s">
        <v>112</v>
      </c>
      <c r="D16" s="37" t="s">
        <v>117</v>
      </c>
      <c r="E16" s="38">
        <v>8</v>
      </c>
      <c r="F16" s="38">
        <v>8</v>
      </c>
      <c r="G16" s="35">
        <v>16</v>
      </c>
      <c r="H16" s="38">
        <v>109</v>
      </c>
      <c r="I16" s="38">
        <v>170</v>
      </c>
      <c r="J16" s="38">
        <v>12</v>
      </c>
      <c r="K16" s="38">
        <f t="shared" si="0"/>
        <v>26784</v>
      </c>
    </row>
    <row r="17" spans="1:11" outlineLevel="2">
      <c r="A17" s="35" t="s">
        <v>129</v>
      </c>
      <c r="B17" s="36" t="s">
        <v>115</v>
      </c>
      <c r="C17" s="36" t="s">
        <v>112</v>
      </c>
      <c r="D17" s="37" t="s">
        <v>117</v>
      </c>
      <c r="E17" s="38">
        <v>6</v>
      </c>
      <c r="F17" s="38">
        <v>10</v>
      </c>
      <c r="G17" s="35">
        <v>16</v>
      </c>
      <c r="H17" s="38">
        <v>109</v>
      </c>
      <c r="I17" s="38">
        <v>170</v>
      </c>
      <c r="J17" s="38">
        <v>12</v>
      </c>
      <c r="K17" s="38">
        <f t="shared" si="0"/>
        <v>28248</v>
      </c>
    </row>
    <row r="18" spans="1:11" outlineLevel="2">
      <c r="A18" s="35" t="s">
        <v>25</v>
      </c>
      <c r="B18" s="36" t="s">
        <v>115</v>
      </c>
      <c r="C18" s="36" t="s">
        <v>112</v>
      </c>
      <c r="D18" s="37" t="s">
        <v>117</v>
      </c>
      <c r="E18" s="38">
        <v>4</v>
      </c>
      <c r="F18" s="38">
        <v>12</v>
      </c>
      <c r="G18" s="35">
        <v>16</v>
      </c>
      <c r="H18" s="38">
        <v>109</v>
      </c>
      <c r="I18" s="38">
        <v>170</v>
      </c>
      <c r="J18" s="38">
        <v>12</v>
      </c>
      <c r="K18" s="38">
        <f t="shared" si="0"/>
        <v>29712</v>
      </c>
    </row>
    <row r="19" spans="1:11" outlineLevel="2">
      <c r="A19" s="35" t="s">
        <v>130</v>
      </c>
      <c r="B19" s="36" t="s">
        <v>115</v>
      </c>
      <c r="C19" s="36" t="s">
        <v>112</v>
      </c>
      <c r="D19" s="37" t="s">
        <v>117</v>
      </c>
      <c r="E19" s="38">
        <v>8</v>
      </c>
      <c r="F19" s="38">
        <v>8</v>
      </c>
      <c r="G19" s="35">
        <v>16</v>
      </c>
      <c r="H19" s="38">
        <v>109</v>
      </c>
      <c r="I19" s="38">
        <v>170</v>
      </c>
      <c r="J19" s="38">
        <v>12</v>
      </c>
      <c r="K19" s="38">
        <f t="shared" si="0"/>
        <v>26784</v>
      </c>
    </row>
    <row r="20" spans="1:11" outlineLevel="2">
      <c r="A20" s="35" t="s">
        <v>131</v>
      </c>
      <c r="B20" s="36" t="s">
        <v>113</v>
      </c>
      <c r="C20" s="36" t="s">
        <v>112</v>
      </c>
      <c r="D20" s="37" t="s">
        <v>117</v>
      </c>
      <c r="E20" s="38">
        <v>7</v>
      </c>
      <c r="F20" s="38">
        <v>9</v>
      </c>
      <c r="G20" s="35">
        <v>16</v>
      </c>
      <c r="H20" s="38">
        <v>109</v>
      </c>
      <c r="I20" s="38">
        <v>170</v>
      </c>
      <c r="J20" s="38">
        <v>12</v>
      </c>
      <c r="K20" s="38">
        <f t="shared" si="0"/>
        <v>27516</v>
      </c>
    </row>
    <row r="21" spans="1:11" outlineLevel="2">
      <c r="A21" s="36" t="s">
        <v>31</v>
      </c>
      <c r="B21" s="36" t="s">
        <v>111</v>
      </c>
      <c r="C21" s="36" t="s">
        <v>112</v>
      </c>
      <c r="D21" s="37" t="s">
        <v>117</v>
      </c>
      <c r="E21" s="38">
        <v>16</v>
      </c>
      <c r="F21" s="38">
        <v>0</v>
      </c>
      <c r="G21" s="38">
        <v>16</v>
      </c>
      <c r="H21" s="38">
        <v>109</v>
      </c>
      <c r="I21" s="38">
        <v>170</v>
      </c>
      <c r="J21" s="38">
        <v>12</v>
      </c>
      <c r="K21" s="38">
        <f t="shared" si="0"/>
        <v>20928</v>
      </c>
    </row>
    <row r="22" spans="1:11" outlineLevel="2">
      <c r="A22" s="36" t="s">
        <v>132</v>
      </c>
      <c r="B22" s="36" t="s">
        <v>115</v>
      </c>
      <c r="C22" s="36" t="s">
        <v>112</v>
      </c>
      <c r="D22" s="37" t="s">
        <v>117</v>
      </c>
      <c r="E22" s="38">
        <v>7</v>
      </c>
      <c r="F22" s="38">
        <v>9</v>
      </c>
      <c r="G22" s="38">
        <v>16</v>
      </c>
      <c r="H22" s="38">
        <v>109</v>
      </c>
      <c r="I22" s="38">
        <v>170</v>
      </c>
      <c r="J22" s="38">
        <v>12</v>
      </c>
      <c r="K22" s="38">
        <f t="shared" si="0"/>
        <v>27516</v>
      </c>
    </row>
    <row r="23" spans="1:11" outlineLevel="2">
      <c r="A23" s="36" t="s">
        <v>133</v>
      </c>
      <c r="B23" s="36" t="s">
        <v>115</v>
      </c>
      <c r="C23" s="36" t="s">
        <v>112</v>
      </c>
      <c r="D23" s="37" t="s">
        <v>117</v>
      </c>
      <c r="E23" s="38">
        <v>4</v>
      </c>
      <c r="F23" s="38">
        <v>12</v>
      </c>
      <c r="G23" s="38">
        <v>16</v>
      </c>
      <c r="H23" s="38">
        <v>109</v>
      </c>
      <c r="I23" s="38">
        <v>170</v>
      </c>
      <c r="J23" s="38">
        <v>12</v>
      </c>
      <c r="K23" s="38">
        <f t="shared" si="0"/>
        <v>29712</v>
      </c>
    </row>
    <row r="24" spans="1:11" outlineLevel="2">
      <c r="A24" s="36" t="s">
        <v>134</v>
      </c>
      <c r="B24" s="36" t="s">
        <v>111</v>
      </c>
      <c r="C24" s="36" t="s">
        <v>112</v>
      </c>
      <c r="D24" s="37" t="s">
        <v>117</v>
      </c>
      <c r="E24" s="38">
        <v>6</v>
      </c>
      <c r="F24" s="38">
        <v>10</v>
      </c>
      <c r="G24" s="39">
        <v>16</v>
      </c>
      <c r="H24" s="38">
        <v>109</v>
      </c>
      <c r="I24" s="38">
        <v>170</v>
      </c>
      <c r="J24" s="38">
        <v>12</v>
      </c>
      <c r="K24" s="38">
        <f t="shared" si="0"/>
        <v>28248</v>
      </c>
    </row>
    <row r="25" spans="1:11" outlineLevel="2">
      <c r="A25" s="36" t="s">
        <v>135</v>
      </c>
      <c r="B25" s="36" t="s">
        <v>111</v>
      </c>
      <c r="C25" s="36" t="s">
        <v>112</v>
      </c>
      <c r="D25" s="37" t="s">
        <v>117</v>
      </c>
      <c r="E25" s="38">
        <v>0</v>
      </c>
      <c r="F25" s="38">
        <v>16</v>
      </c>
      <c r="G25" s="39">
        <v>16</v>
      </c>
      <c r="H25" s="38">
        <v>109</v>
      </c>
      <c r="I25" s="38">
        <v>170</v>
      </c>
      <c r="J25" s="38">
        <v>12</v>
      </c>
      <c r="K25" s="38">
        <f t="shared" si="0"/>
        <v>32640</v>
      </c>
    </row>
    <row r="26" spans="1:11" outlineLevel="2">
      <c r="A26" s="38" t="s">
        <v>136</v>
      </c>
      <c r="B26" s="36" t="s">
        <v>115</v>
      </c>
      <c r="C26" s="36" t="s">
        <v>112</v>
      </c>
      <c r="D26" s="38" t="s">
        <v>117</v>
      </c>
      <c r="E26" s="38">
        <v>16</v>
      </c>
      <c r="F26" s="38">
        <v>0</v>
      </c>
      <c r="G26" s="35">
        <v>16</v>
      </c>
      <c r="H26" s="38">
        <v>109</v>
      </c>
      <c r="I26" s="38">
        <v>170</v>
      </c>
      <c r="J26" s="38">
        <v>12</v>
      </c>
      <c r="K26" s="38">
        <f>E26*H26*J26+F26*I26*J26</f>
        <v>20928</v>
      </c>
    </row>
    <row r="27" spans="1:11" outlineLevel="1">
      <c r="A27" s="127"/>
      <c r="B27" s="126"/>
      <c r="C27" s="126"/>
      <c r="D27" s="127" t="s">
        <v>137</v>
      </c>
      <c r="E27" s="127"/>
      <c r="F27" s="127"/>
      <c r="G27" s="124"/>
      <c r="H27" s="127"/>
      <c r="I27" s="127"/>
      <c r="J27" s="127"/>
      <c r="K27" s="127">
        <f>SUBTOTAL(9,K3:K26)</f>
        <v>691128</v>
      </c>
    </row>
  </sheetData>
  <mergeCells count="1">
    <mergeCell ref="A1:K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11"/>
  <sheetViews>
    <sheetView topLeftCell="B1" workbookViewId="0">
      <selection activeCell="A19" sqref="A19:XFD19"/>
    </sheetView>
  </sheetViews>
  <sheetFormatPr defaultColWidth="9" defaultRowHeight="13.5" outlineLevelRow="2"/>
  <cols>
    <col min="1" max="1" width="5.25" style="128" hidden="1" customWidth="1"/>
    <col min="2" max="2" width="10.875" style="128" customWidth="1"/>
    <col min="3" max="3" width="15.625" style="128" customWidth="1"/>
    <col min="4" max="4" width="26.875" style="128" customWidth="1"/>
    <col min="5" max="5" width="8.375" style="128" customWidth="1"/>
    <col min="6" max="6" width="8.625" style="128" customWidth="1"/>
    <col min="7" max="7" width="16.375" style="128" customWidth="1"/>
    <col min="8" max="8" width="17.5" style="128" customWidth="1"/>
    <col min="9" max="9" width="11.375" style="128" customWidth="1"/>
    <col min="10" max="10" width="15.375" style="128" bestFit="1" customWidth="1"/>
    <col min="11" max="16384" width="9" style="128"/>
  </cols>
  <sheetData>
    <row r="1" spans="1:9" ht="27.75" customHeight="1">
      <c r="A1" s="227" t="s">
        <v>163</v>
      </c>
      <c r="B1" s="227"/>
      <c r="C1" s="227"/>
      <c r="D1" s="227"/>
      <c r="E1" s="227"/>
      <c r="F1" s="227"/>
      <c r="G1" s="227"/>
      <c r="H1" s="227"/>
      <c r="I1" s="227"/>
    </row>
    <row r="2" spans="1:9" ht="24">
      <c r="A2" s="41" t="s">
        <v>141</v>
      </c>
      <c r="B2" s="129" t="s">
        <v>0</v>
      </c>
      <c r="C2" s="129" t="s">
        <v>142</v>
      </c>
      <c r="D2" s="129" t="s">
        <v>100</v>
      </c>
      <c r="E2" s="129" t="s">
        <v>111</v>
      </c>
      <c r="F2" s="129" t="s">
        <v>143</v>
      </c>
      <c r="G2" s="130" t="s">
        <v>248</v>
      </c>
      <c r="H2" s="130" t="s">
        <v>249</v>
      </c>
      <c r="I2" s="129" t="s">
        <v>13</v>
      </c>
    </row>
    <row r="3" spans="1:9" outlineLevel="2">
      <c r="A3" s="131" t="s">
        <v>112</v>
      </c>
      <c r="B3" s="132" t="s">
        <v>24</v>
      </c>
      <c r="C3" s="132" t="s">
        <v>111</v>
      </c>
      <c r="D3" s="132" t="s">
        <v>144</v>
      </c>
      <c r="E3" s="132">
        <v>3405</v>
      </c>
      <c r="F3" s="132"/>
      <c r="G3" s="132">
        <f t="shared" ref="G3:G10" si="0">E3*175*2</f>
        <v>1191750</v>
      </c>
      <c r="H3" s="132">
        <f t="shared" ref="H3:H10" si="1">F3*215*2</f>
        <v>0</v>
      </c>
      <c r="I3" s="132">
        <f t="shared" ref="I3:I10" si="2">G3+H3</f>
        <v>1191750</v>
      </c>
    </row>
    <row r="4" spans="1:9" outlineLevel="2">
      <c r="A4" s="131" t="s">
        <v>112</v>
      </c>
      <c r="B4" s="132" t="s">
        <v>24</v>
      </c>
      <c r="C4" s="132" t="s">
        <v>111</v>
      </c>
      <c r="D4" s="132" t="s">
        <v>145</v>
      </c>
      <c r="E4" s="132">
        <v>689</v>
      </c>
      <c r="F4" s="132"/>
      <c r="G4" s="132">
        <f t="shared" si="0"/>
        <v>241150</v>
      </c>
      <c r="H4" s="132">
        <f t="shared" si="1"/>
        <v>0</v>
      </c>
      <c r="I4" s="132">
        <f t="shared" si="2"/>
        <v>241150</v>
      </c>
    </row>
    <row r="5" spans="1:9" outlineLevel="2">
      <c r="A5" s="131" t="s">
        <v>112</v>
      </c>
      <c r="B5" s="132" t="s">
        <v>24</v>
      </c>
      <c r="C5" s="132" t="s">
        <v>111</v>
      </c>
      <c r="D5" s="132" t="s">
        <v>146</v>
      </c>
      <c r="E5" s="132">
        <v>840</v>
      </c>
      <c r="F5" s="132"/>
      <c r="G5" s="132">
        <f t="shared" si="0"/>
        <v>294000</v>
      </c>
      <c r="H5" s="132">
        <f t="shared" si="1"/>
        <v>0</v>
      </c>
      <c r="I5" s="132">
        <f t="shared" si="2"/>
        <v>294000</v>
      </c>
    </row>
    <row r="6" spans="1:9" outlineLevel="2">
      <c r="A6" s="131" t="s">
        <v>112</v>
      </c>
      <c r="B6" s="132" t="s">
        <v>24</v>
      </c>
      <c r="C6" s="132" t="s">
        <v>111</v>
      </c>
      <c r="D6" s="132" t="s">
        <v>147</v>
      </c>
      <c r="E6" s="132">
        <v>954</v>
      </c>
      <c r="F6" s="132"/>
      <c r="G6" s="132">
        <f t="shared" si="0"/>
        <v>333900</v>
      </c>
      <c r="H6" s="132">
        <f t="shared" si="1"/>
        <v>0</v>
      </c>
      <c r="I6" s="132">
        <f t="shared" si="2"/>
        <v>333900</v>
      </c>
    </row>
    <row r="7" spans="1:9" outlineLevel="2">
      <c r="A7" s="131" t="s">
        <v>112</v>
      </c>
      <c r="B7" s="132" t="s">
        <v>24</v>
      </c>
      <c r="C7" s="132" t="s">
        <v>114</v>
      </c>
      <c r="D7" s="132" t="s">
        <v>148</v>
      </c>
      <c r="E7" s="132">
        <v>943</v>
      </c>
      <c r="F7" s="132">
        <v>634</v>
      </c>
      <c r="G7" s="132">
        <f t="shared" si="0"/>
        <v>330050</v>
      </c>
      <c r="H7" s="132">
        <f>F7*215*2</f>
        <v>272620</v>
      </c>
      <c r="I7" s="132">
        <f t="shared" si="2"/>
        <v>602670</v>
      </c>
    </row>
    <row r="8" spans="1:9" outlineLevel="2">
      <c r="A8" s="131" t="s">
        <v>112</v>
      </c>
      <c r="B8" s="132" t="s">
        <v>24</v>
      </c>
      <c r="C8" s="132" t="s">
        <v>143</v>
      </c>
      <c r="D8" s="132" t="s">
        <v>149</v>
      </c>
      <c r="E8" s="132"/>
      <c r="F8" s="132">
        <v>838</v>
      </c>
      <c r="G8" s="132">
        <f t="shared" si="0"/>
        <v>0</v>
      </c>
      <c r="H8" s="132">
        <f t="shared" si="1"/>
        <v>360340</v>
      </c>
      <c r="I8" s="132">
        <f t="shared" si="2"/>
        <v>360340</v>
      </c>
    </row>
    <row r="9" spans="1:9" outlineLevel="2">
      <c r="A9" s="131" t="s">
        <v>112</v>
      </c>
      <c r="B9" s="132" t="s">
        <v>24</v>
      </c>
      <c r="C9" s="132" t="s">
        <v>143</v>
      </c>
      <c r="D9" s="132" t="s">
        <v>250</v>
      </c>
      <c r="E9" s="132"/>
      <c r="F9" s="132">
        <v>984</v>
      </c>
      <c r="G9" s="132"/>
      <c r="H9" s="132">
        <f t="shared" si="1"/>
        <v>423120</v>
      </c>
      <c r="I9" s="132">
        <f t="shared" si="2"/>
        <v>423120</v>
      </c>
    </row>
    <row r="10" spans="1:9" outlineLevel="2">
      <c r="A10" s="131" t="s">
        <v>112</v>
      </c>
      <c r="B10" s="132" t="s">
        <v>24</v>
      </c>
      <c r="C10" s="132" t="s">
        <v>143</v>
      </c>
      <c r="D10" s="132" t="s">
        <v>150</v>
      </c>
      <c r="E10" s="132"/>
      <c r="F10" s="132">
        <v>1184</v>
      </c>
      <c r="G10" s="132">
        <f t="shared" si="0"/>
        <v>0</v>
      </c>
      <c r="H10" s="132">
        <f t="shared" si="1"/>
        <v>509120</v>
      </c>
      <c r="I10" s="132">
        <f t="shared" si="2"/>
        <v>509120</v>
      </c>
    </row>
    <row r="11" spans="1:9" outlineLevel="1">
      <c r="A11" s="131"/>
      <c r="B11" s="133" t="s">
        <v>151</v>
      </c>
      <c r="C11" s="133"/>
      <c r="D11" s="133"/>
      <c r="E11" s="133">
        <f>SUBTOTAL(9,E3:E10)</f>
        <v>6831</v>
      </c>
      <c r="F11" s="133">
        <f>SUBTOTAL(9,F3:F10)</f>
        <v>3640</v>
      </c>
      <c r="G11" s="133">
        <f>SUBTOTAL(9,G3:G10)</f>
        <v>2390850</v>
      </c>
      <c r="H11" s="133">
        <f>SUBTOTAL(9,H3:H10)</f>
        <v>1565200</v>
      </c>
      <c r="I11" s="133">
        <f>SUBTOTAL(9,I3:I10)</f>
        <v>3956050</v>
      </c>
    </row>
  </sheetData>
  <mergeCells count="1">
    <mergeCell ref="A1:I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19" sqref="A19:XFD19"/>
    </sheetView>
  </sheetViews>
  <sheetFormatPr defaultRowHeight="13.5" outlineLevelRow="2"/>
  <cols>
    <col min="1" max="1" width="14.375" style="42" customWidth="1"/>
    <col min="2" max="2" width="31.125" style="42" customWidth="1"/>
    <col min="3" max="3" width="12.375" style="42" customWidth="1"/>
    <col min="4" max="4" width="19.375" style="42" customWidth="1"/>
    <col min="5" max="5" width="20.875" style="42" customWidth="1"/>
    <col min="6" max="16384" width="9" style="42"/>
  </cols>
  <sheetData>
    <row r="1" spans="1:5" ht="23.25" customHeight="1">
      <c r="A1" s="228" t="s">
        <v>164</v>
      </c>
      <c r="B1" s="229"/>
      <c r="C1" s="229"/>
      <c r="D1" s="229"/>
      <c r="E1" s="229"/>
    </row>
    <row r="2" spans="1:5" ht="22.5" customHeight="1">
      <c r="A2" s="139" t="s">
        <v>236</v>
      </c>
      <c r="B2" s="107" t="s">
        <v>152</v>
      </c>
      <c r="C2" s="107" t="s">
        <v>153</v>
      </c>
      <c r="D2" s="140" t="s">
        <v>251</v>
      </c>
      <c r="E2" s="107" t="s">
        <v>21</v>
      </c>
    </row>
    <row r="3" spans="1:5" outlineLevel="2">
      <c r="A3" s="134" t="s">
        <v>254</v>
      </c>
      <c r="B3" s="135" t="s">
        <v>156</v>
      </c>
      <c r="C3" s="135" t="s">
        <v>252</v>
      </c>
      <c r="D3" s="137">
        <v>34200</v>
      </c>
      <c r="E3" s="136">
        <f t="shared" ref="E3:E11" si="0">D3*2</f>
        <v>68400</v>
      </c>
    </row>
    <row r="4" spans="1:5" outlineLevel="2">
      <c r="A4" s="134" t="s">
        <v>254</v>
      </c>
      <c r="B4" s="135" t="s">
        <v>157</v>
      </c>
      <c r="C4" s="135" t="s">
        <v>252</v>
      </c>
      <c r="D4" s="137">
        <v>77265</v>
      </c>
      <c r="E4" s="136">
        <f t="shared" si="0"/>
        <v>154530</v>
      </c>
    </row>
    <row r="5" spans="1:5" outlineLevel="2">
      <c r="A5" s="134" t="s">
        <v>254</v>
      </c>
      <c r="B5" s="135" t="s">
        <v>158</v>
      </c>
      <c r="C5" s="135" t="s">
        <v>83</v>
      </c>
      <c r="D5" s="137">
        <v>86450</v>
      </c>
      <c r="E5" s="136">
        <f t="shared" si="0"/>
        <v>172900</v>
      </c>
    </row>
    <row r="6" spans="1:5" outlineLevel="2">
      <c r="A6" s="134" t="s">
        <v>254</v>
      </c>
      <c r="B6" s="135" t="s">
        <v>159</v>
      </c>
      <c r="C6" s="135" t="s">
        <v>83</v>
      </c>
      <c r="D6" s="137">
        <v>78525</v>
      </c>
      <c r="E6" s="136">
        <f t="shared" si="0"/>
        <v>157050</v>
      </c>
    </row>
    <row r="7" spans="1:5" outlineLevel="2">
      <c r="A7" s="134" t="s">
        <v>254</v>
      </c>
      <c r="B7" s="135" t="s">
        <v>160</v>
      </c>
      <c r="C7" s="135" t="s">
        <v>83</v>
      </c>
      <c r="D7" s="137">
        <v>284040</v>
      </c>
      <c r="E7" s="136">
        <f t="shared" si="0"/>
        <v>568080</v>
      </c>
    </row>
    <row r="8" spans="1:5" outlineLevel="2">
      <c r="A8" s="134" t="s">
        <v>254</v>
      </c>
      <c r="B8" s="135" t="s">
        <v>145</v>
      </c>
      <c r="C8" s="135" t="s">
        <v>83</v>
      </c>
      <c r="D8" s="137">
        <v>41325</v>
      </c>
      <c r="E8" s="136">
        <f t="shared" si="0"/>
        <v>82650</v>
      </c>
    </row>
    <row r="9" spans="1:5" outlineLevel="2">
      <c r="A9" s="134" t="s">
        <v>254</v>
      </c>
      <c r="B9" s="135" t="s">
        <v>161</v>
      </c>
      <c r="C9" s="135" t="s">
        <v>253</v>
      </c>
      <c r="D9" s="137">
        <v>105450</v>
      </c>
      <c r="E9" s="136">
        <f t="shared" si="0"/>
        <v>210900</v>
      </c>
    </row>
    <row r="10" spans="1:5" outlineLevel="2">
      <c r="A10" s="134" t="s">
        <v>254</v>
      </c>
      <c r="B10" s="135" t="s">
        <v>162</v>
      </c>
      <c r="C10" s="135" t="s">
        <v>253</v>
      </c>
      <c r="D10" s="137">
        <v>96900</v>
      </c>
      <c r="E10" s="136">
        <f t="shared" si="0"/>
        <v>193800</v>
      </c>
    </row>
    <row r="11" spans="1:5" outlineLevel="2">
      <c r="A11" s="134" t="s">
        <v>254</v>
      </c>
      <c r="B11" s="135" t="s">
        <v>36</v>
      </c>
      <c r="C11" s="135" t="s">
        <v>253</v>
      </c>
      <c r="D11" s="137">
        <v>79800</v>
      </c>
      <c r="E11" s="136">
        <f t="shared" si="0"/>
        <v>159600</v>
      </c>
    </row>
    <row r="12" spans="1:5" outlineLevel="1">
      <c r="A12" s="139" t="s">
        <v>151</v>
      </c>
      <c r="B12" s="141"/>
      <c r="C12" s="141"/>
      <c r="D12" s="142">
        <f>SUBTOTAL(9,D3:D11)</f>
        <v>883955</v>
      </c>
      <c r="E12" s="140">
        <f>SUBTOTAL(9,E3:E11)</f>
        <v>1767910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A19" sqref="A19:XFD19"/>
    </sheetView>
  </sheetViews>
  <sheetFormatPr defaultRowHeight="13.5" outlineLevelRow="2"/>
  <cols>
    <col min="1" max="1" width="9" style="44"/>
    <col min="2" max="2" width="20.375" style="52" customWidth="1"/>
    <col min="3" max="3" width="8.625" style="52" customWidth="1"/>
    <col min="4" max="12" width="10.625" style="44" customWidth="1"/>
    <col min="13" max="16384" width="9" style="44"/>
  </cols>
  <sheetData>
    <row r="1" spans="1:12" ht="28.5" customHeight="1">
      <c r="A1" s="232" t="s">
        <v>177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12" ht="13.5" customHeight="1">
      <c r="A2" s="230" t="s">
        <v>138</v>
      </c>
      <c r="B2" s="230" t="s">
        <v>152</v>
      </c>
      <c r="C2" s="230" t="s">
        <v>2</v>
      </c>
      <c r="D2" s="233" t="s">
        <v>165</v>
      </c>
      <c r="E2" s="233"/>
      <c r="F2" s="233"/>
      <c r="G2" s="233"/>
      <c r="H2" s="233"/>
      <c r="I2" s="233"/>
      <c r="J2" s="233"/>
      <c r="K2" s="233"/>
      <c r="L2" s="234" t="s">
        <v>166</v>
      </c>
    </row>
    <row r="3" spans="1:12" ht="13.5" customHeight="1" outlineLevel="1">
      <c r="A3" s="230"/>
      <c r="B3" s="230"/>
      <c r="C3" s="230"/>
      <c r="D3" s="45" t="s">
        <v>167</v>
      </c>
      <c r="E3" s="45" t="s">
        <v>171</v>
      </c>
      <c r="F3" s="45" t="s">
        <v>172</v>
      </c>
      <c r="G3" s="45" t="s">
        <v>168</v>
      </c>
      <c r="H3" s="45" t="s">
        <v>173</v>
      </c>
      <c r="I3" s="45" t="s">
        <v>169</v>
      </c>
      <c r="J3" s="45" t="s">
        <v>170</v>
      </c>
      <c r="K3" s="46" t="s">
        <v>154</v>
      </c>
      <c r="L3" s="234"/>
    </row>
    <row r="4" spans="1:12" outlineLevel="1">
      <c r="A4" s="231"/>
      <c r="B4" s="231"/>
      <c r="C4" s="231"/>
      <c r="D4" s="45" t="s">
        <v>174</v>
      </c>
      <c r="E4" s="45" t="s">
        <v>174</v>
      </c>
      <c r="F4" s="45" t="s">
        <v>174</v>
      </c>
      <c r="G4" s="45" t="s">
        <v>174</v>
      </c>
      <c r="H4" s="45" t="s">
        <v>174</v>
      </c>
      <c r="I4" s="45" t="s">
        <v>174</v>
      </c>
      <c r="J4" s="45" t="s">
        <v>174</v>
      </c>
      <c r="K4" s="45" t="s">
        <v>174</v>
      </c>
      <c r="L4" s="234" t="s">
        <v>174</v>
      </c>
    </row>
    <row r="5" spans="1:12" ht="15" customHeight="1" outlineLevel="2">
      <c r="A5" s="53" t="s">
        <v>139</v>
      </c>
      <c r="B5" s="43" t="s">
        <v>175</v>
      </c>
      <c r="C5" s="43" t="s">
        <v>155</v>
      </c>
      <c r="D5" s="51">
        <v>3490</v>
      </c>
      <c r="E5" s="51">
        <v>15080</v>
      </c>
      <c r="F5" s="48"/>
      <c r="G5" s="48"/>
      <c r="H5" s="48">
        <v>2700</v>
      </c>
      <c r="I5" s="48"/>
      <c r="J5" s="49"/>
      <c r="K5" s="47">
        <f t="shared" ref="K5:K13" si="0">D5+E5+F5+G5+H5+I5+J5</f>
        <v>21270</v>
      </c>
      <c r="L5" s="47">
        <f t="shared" ref="L5:L13" si="1">K5*2</f>
        <v>42540</v>
      </c>
    </row>
    <row r="6" spans="1:12" ht="15" customHeight="1" outlineLevel="2">
      <c r="A6" s="53" t="s">
        <v>139</v>
      </c>
      <c r="B6" s="43" t="s">
        <v>176</v>
      </c>
      <c r="C6" s="43" t="s">
        <v>155</v>
      </c>
      <c r="D6" s="48">
        <v>4445</v>
      </c>
      <c r="E6" s="48">
        <v>6190</v>
      </c>
      <c r="F6" s="48"/>
      <c r="G6" s="48"/>
      <c r="H6" s="48"/>
      <c r="I6" s="48"/>
      <c r="J6" s="49"/>
      <c r="K6" s="47">
        <f t="shared" si="0"/>
        <v>10635</v>
      </c>
      <c r="L6" s="47">
        <f t="shared" si="1"/>
        <v>21270</v>
      </c>
    </row>
    <row r="7" spans="1:12" ht="15" customHeight="1" outlineLevel="2">
      <c r="A7" s="53" t="s">
        <v>139</v>
      </c>
      <c r="B7" s="43" t="s">
        <v>158</v>
      </c>
      <c r="C7" s="43" t="s">
        <v>111</v>
      </c>
      <c r="D7" s="48">
        <v>5810</v>
      </c>
      <c r="E7" s="48">
        <v>4140</v>
      </c>
      <c r="F7" s="48"/>
      <c r="G7" s="48"/>
      <c r="H7" s="48"/>
      <c r="I7" s="48"/>
      <c r="J7" s="49"/>
      <c r="K7" s="47">
        <f t="shared" si="0"/>
        <v>9950</v>
      </c>
      <c r="L7" s="47">
        <f t="shared" si="1"/>
        <v>19900</v>
      </c>
    </row>
    <row r="8" spans="1:12" ht="15" customHeight="1" outlineLevel="2">
      <c r="A8" s="53" t="s">
        <v>139</v>
      </c>
      <c r="B8" s="43" t="s">
        <v>159</v>
      </c>
      <c r="C8" s="43" t="s">
        <v>111</v>
      </c>
      <c r="D8" s="48"/>
      <c r="E8" s="48">
        <v>3245</v>
      </c>
      <c r="F8" s="48"/>
      <c r="G8" s="48"/>
      <c r="H8" s="48"/>
      <c r="I8" s="48"/>
      <c r="J8" s="49"/>
      <c r="K8" s="47">
        <f t="shared" si="0"/>
        <v>3245</v>
      </c>
      <c r="L8" s="47">
        <f t="shared" si="1"/>
        <v>6490</v>
      </c>
    </row>
    <row r="9" spans="1:12" ht="15" customHeight="1" outlineLevel="2">
      <c r="A9" s="53" t="s">
        <v>139</v>
      </c>
      <c r="B9" s="43" t="s">
        <v>160</v>
      </c>
      <c r="C9" s="43" t="s">
        <v>111</v>
      </c>
      <c r="D9" s="48"/>
      <c r="E9" s="48">
        <v>8980</v>
      </c>
      <c r="F9" s="48"/>
      <c r="G9" s="48"/>
      <c r="H9" s="48">
        <v>3505</v>
      </c>
      <c r="I9" s="48">
        <v>1605</v>
      </c>
      <c r="J9" s="49"/>
      <c r="K9" s="47">
        <f t="shared" si="0"/>
        <v>14090</v>
      </c>
      <c r="L9" s="47">
        <f t="shared" si="1"/>
        <v>28180</v>
      </c>
    </row>
    <row r="10" spans="1:12" ht="15" customHeight="1" outlineLevel="2">
      <c r="A10" s="53" t="s">
        <v>139</v>
      </c>
      <c r="B10" s="43" t="s">
        <v>145</v>
      </c>
      <c r="C10" s="43" t="s">
        <v>111</v>
      </c>
      <c r="D10" s="48">
        <v>1765</v>
      </c>
      <c r="E10" s="48"/>
      <c r="F10" s="48"/>
      <c r="G10" s="48"/>
      <c r="H10" s="48"/>
      <c r="I10" s="48"/>
      <c r="J10" s="49"/>
      <c r="K10" s="47">
        <f t="shared" si="0"/>
        <v>1765</v>
      </c>
      <c r="L10" s="47">
        <f t="shared" si="1"/>
        <v>3530</v>
      </c>
    </row>
    <row r="11" spans="1:12" ht="15" customHeight="1" outlineLevel="2">
      <c r="A11" s="53" t="s">
        <v>139</v>
      </c>
      <c r="B11" s="43" t="s">
        <v>161</v>
      </c>
      <c r="C11" s="50" t="s">
        <v>143</v>
      </c>
      <c r="D11" s="48">
        <v>5690</v>
      </c>
      <c r="E11" s="48">
        <v>14670</v>
      </c>
      <c r="F11" s="48"/>
      <c r="G11" s="48"/>
      <c r="H11" s="48">
        <v>1645</v>
      </c>
      <c r="I11" s="48"/>
      <c r="J11" s="49"/>
      <c r="K11" s="47">
        <f t="shared" si="0"/>
        <v>22005</v>
      </c>
      <c r="L11" s="47">
        <f t="shared" si="1"/>
        <v>44010</v>
      </c>
    </row>
    <row r="12" spans="1:12" ht="15" customHeight="1" outlineLevel="2">
      <c r="A12" s="53" t="s">
        <v>139</v>
      </c>
      <c r="B12" s="43" t="s">
        <v>162</v>
      </c>
      <c r="C12" s="50" t="s">
        <v>143</v>
      </c>
      <c r="D12" s="48">
        <v>3050</v>
      </c>
      <c r="E12" s="48">
        <v>8060</v>
      </c>
      <c r="F12" s="48"/>
      <c r="G12" s="48"/>
      <c r="H12" s="48">
        <v>2105</v>
      </c>
      <c r="I12" s="48">
        <v>1525</v>
      </c>
      <c r="J12" s="49"/>
      <c r="K12" s="47">
        <f t="shared" si="0"/>
        <v>14740</v>
      </c>
      <c r="L12" s="47">
        <f t="shared" si="1"/>
        <v>29480</v>
      </c>
    </row>
    <row r="13" spans="1:12" ht="15" customHeight="1" outlineLevel="2">
      <c r="A13" s="53" t="s">
        <v>139</v>
      </c>
      <c r="B13" s="43" t="s">
        <v>36</v>
      </c>
      <c r="C13" s="50" t="s">
        <v>143</v>
      </c>
      <c r="D13" s="48"/>
      <c r="E13" s="48">
        <v>9985</v>
      </c>
      <c r="F13" s="48"/>
      <c r="G13" s="48"/>
      <c r="H13" s="48"/>
      <c r="I13" s="48">
        <v>1425</v>
      </c>
      <c r="J13" s="49"/>
      <c r="K13" s="47">
        <f t="shared" si="0"/>
        <v>11410</v>
      </c>
      <c r="L13" s="47">
        <f t="shared" si="1"/>
        <v>22820</v>
      </c>
    </row>
    <row r="14" spans="1:12" ht="15" customHeight="1" outlineLevel="1">
      <c r="A14" s="143" t="s">
        <v>151</v>
      </c>
      <c r="B14" s="101"/>
      <c r="C14" s="145"/>
      <c r="D14" s="144">
        <f t="shared" ref="D14:K14" si="2">SUBTOTAL(9,D5:D13)</f>
        <v>24250</v>
      </c>
      <c r="E14" s="144">
        <f t="shared" si="2"/>
        <v>70350</v>
      </c>
      <c r="F14" s="144">
        <f t="shared" si="2"/>
        <v>0</v>
      </c>
      <c r="G14" s="144">
        <f t="shared" si="2"/>
        <v>0</v>
      </c>
      <c r="H14" s="144">
        <f t="shared" si="2"/>
        <v>9955</v>
      </c>
      <c r="I14" s="144">
        <f t="shared" si="2"/>
        <v>4555</v>
      </c>
      <c r="J14" s="144">
        <f t="shared" si="2"/>
        <v>0</v>
      </c>
      <c r="K14" s="144">
        <f t="shared" si="2"/>
        <v>109110</v>
      </c>
      <c r="L14" s="144">
        <f>SUBTOTAL(9,L5:L13)</f>
        <v>218220</v>
      </c>
    </row>
  </sheetData>
  <mergeCells count="6">
    <mergeCell ref="A2:A4"/>
    <mergeCell ref="A1:L1"/>
    <mergeCell ref="B2:B4"/>
    <mergeCell ref="C2:C4"/>
    <mergeCell ref="D2:K2"/>
    <mergeCell ref="L2:L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E6" sqref="A6:XFD13"/>
    </sheetView>
  </sheetViews>
  <sheetFormatPr defaultRowHeight="13.5" outlineLevelRow="2"/>
  <cols>
    <col min="1" max="1" width="16.625" customWidth="1"/>
    <col min="2" max="2" width="27.625" bestFit="1" customWidth="1"/>
    <col min="3" max="4" width="10.625" customWidth="1"/>
    <col min="5" max="5" width="13" customWidth="1"/>
    <col min="6" max="6" width="13.875" customWidth="1"/>
    <col min="7" max="7" width="14.5" customWidth="1"/>
    <col min="8" max="8" width="19.375" style="59" customWidth="1"/>
    <col min="257" max="257" width="27.625" bestFit="1" customWidth="1"/>
    <col min="258" max="262" width="10.625" customWidth="1"/>
    <col min="263" max="263" width="12" customWidth="1"/>
    <col min="264" max="264" width="14" customWidth="1"/>
    <col min="513" max="513" width="27.625" bestFit="1" customWidth="1"/>
    <col min="514" max="518" width="10.625" customWidth="1"/>
    <col min="519" max="519" width="12" customWidth="1"/>
    <col min="520" max="520" width="14" customWidth="1"/>
    <col min="769" max="769" width="27.625" bestFit="1" customWidth="1"/>
    <col min="770" max="774" width="10.625" customWidth="1"/>
    <col min="775" max="775" width="12" customWidth="1"/>
    <col min="776" max="776" width="14" customWidth="1"/>
    <col min="1025" max="1025" width="27.625" bestFit="1" customWidth="1"/>
    <col min="1026" max="1030" width="10.625" customWidth="1"/>
    <col min="1031" max="1031" width="12" customWidth="1"/>
    <col min="1032" max="1032" width="14" customWidth="1"/>
    <col min="1281" max="1281" width="27.625" bestFit="1" customWidth="1"/>
    <col min="1282" max="1286" width="10.625" customWidth="1"/>
    <col min="1287" max="1287" width="12" customWidth="1"/>
    <col min="1288" max="1288" width="14" customWidth="1"/>
    <col min="1537" max="1537" width="27.625" bestFit="1" customWidth="1"/>
    <col min="1538" max="1542" width="10.625" customWidth="1"/>
    <col min="1543" max="1543" width="12" customWidth="1"/>
    <col min="1544" max="1544" width="14" customWidth="1"/>
    <col min="1793" max="1793" width="27.625" bestFit="1" customWidth="1"/>
    <col min="1794" max="1798" width="10.625" customWidth="1"/>
    <col min="1799" max="1799" width="12" customWidth="1"/>
    <col min="1800" max="1800" width="14" customWidth="1"/>
    <col min="2049" max="2049" width="27.625" bestFit="1" customWidth="1"/>
    <col min="2050" max="2054" width="10.625" customWidth="1"/>
    <col min="2055" max="2055" width="12" customWidth="1"/>
    <col min="2056" max="2056" width="14" customWidth="1"/>
    <col min="2305" max="2305" width="27.625" bestFit="1" customWidth="1"/>
    <col min="2306" max="2310" width="10.625" customWidth="1"/>
    <col min="2311" max="2311" width="12" customWidth="1"/>
    <col min="2312" max="2312" width="14" customWidth="1"/>
    <col min="2561" max="2561" width="27.625" bestFit="1" customWidth="1"/>
    <col min="2562" max="2566" width="10.625" customWidth="1"/>
    <col min="2567" max="2567" width="12" customWidth="1"/>
    <col min="2568" max="2568" width="14" customWidth="1"/>
    <col min="2817" max="2817" width="27.625" bestFit="1" customWidth="1"/>
    <col min="2818" max="2822" width="10.625" customWidth="1"/>
    <col min="2823" max="2823" width="12" customWidth="1"/>
    <col min="2824" max="2824" width="14" customWidth="1"/>
    <col min="3073" max="3073" width="27.625" bestFit="1" customWidth="1"/>
    <col min="3074" max="3078" width="10.625" customWidth="1"/>
    <col min="3079" max="3079" width="12" customWidth="1"/>
    <col min="3080" max="3080" width="14" customWidth="1"/>
    <col min="3329" max="3329" width="27.625" bestFit="1" customWidth="1"/>
    <col min="3330" max="3334" width="10.625" customWidth="1"/>
    <col min="3335" max="3335" width="12" customWidth="1"/>
    <col min="3336" max="3336" width="14" customWidth="1"/>
    <col min="3585" max="3585" width="27.625" bestFit="1" customWidth="1"/>
    <col min="3586" max="3590" width="10.625" customWidth="1"/>
    <col min="3591" max="3591" width="12" customWidth="1"/>
    <col min="3592" max="3592" width="14" customWidth="1"/>
    <col min="3841" max="3841" width="27.625" bestFit="1" customWidth="1"/>
    <col min="3842" max="3846" width="10.625" customWidth="1"/>
    <col min="3847" max="3847" width="12" customWidth="1"/>
    <col min="3848" max="3848" width="14" customWidth="1"/>
    <col min="4097" max="4097" width="27.625" bestFit="1" customWidth="1"/>
    <col min="4098" max="4102" width="10.625" customWidth="1"/>
    <col min="4103" max="4103" width="12" customWidth="1"/>
    <col min="4104" max="4104" width="14" customWidth="1"/>
    <col min="4353" max="4353" width="27.625" bestFit="1" customWidth="1"/>
    <col min="4354" max="4358" width="10.625" customWidth="1"/>
    <col min="4359" max="4359" width="12" customWidth="1"/>
    <col min="4360" max="4360" width="14" customWidth="1"/>
    <col min="4609" max="4609" width="27.625" bestFit="1" customWidth="1"/>
    <col min="4610" max="4614" width="10.625" customWidth="1"/>
    <col min="4615" max="4615" width="12" customWidth="1"/>
    <col min="4616" max="4616" width="14" customWidth="1"/>
    <col min="4865" max="4865" width="27.625" bestFit="1" customWidth="1"/>
    <col min="4866" max="4870" width="10.625" customWidth="1"/>
    <col min="4871" max="4871" width="12" customWidth="1"/>
    <col min="4872" max="4872" width="14" customWidth="1"/>
    <col min="5121" max="5121" width="27.625" bestFit="1" customWidth="1"/>
    <col min="5122" max="5126" width="10.625" customWidth="1"/>
    <col min="5127" max="5127" width="12" customWidth="1"/>
    <col min="5128" max="5128" width="14" customWidth="1"/>
    <col min="5377" max="5377" width="27.625" bestFit="1" customWidth="1"/>
    <col min="5378" max="5382" width="10.625" customWidth="1"/>
    <col min="5383" max="5383" width="12" customWidth="1"/>
    <col min="5384" max="5384" width="14" customWidth="1"/>
    <col min="5633" max="5633" width="27.625" bestFit="1" customWidth="1"/>
    <col min="5634" max="5638" width="10.625" customWidth="1"/>
    <col min="5639" max="5639" width="12" customWidth="1"/>
    <col min="5640" max="5640" width="14" customWidth="1"/>
    <col min="5889" max="5889" width="27.625" bestFit="1" customWidth="1"/>
    <col min="5890" max="5894" width="10.625" customWidth="1"/>
    <col min="5895" max="5895" width="12" customWidth="1"/>
    <col min="5896" max="5896" width="14" customWidth="1"/>
    <col min="6145" max="6145" width="27.625" bestFit="1" customWidth="1"/>
    <col min="6146" max="6150" width="10.625" customWidth="1"/>
    <col min="6151" max="6151" width="12" customWidth="1"/>
    <col min="6152" max="6152" width="14" customWidth="1"/>
    <col min="6401" max="6401" width="27.625" bestFit="1" customWidth="1"/>
    <col min="6402" max="6406" width="10.625" customWidth="1"/>
    <col min="6407" max="6407" width="12" customWidth="1"/>
    <col min="6408" max="6408" width="14" customWidth="1"/>
    <col min="6657" max="6657" width="27.625" bestFit="1" customWidth="1"/>
    <col min="6658" max="6662" width="10.625" customWidth="1"/>
    <col min="6663" max="6663" width="12" customWidth="1"/>
    <col min="6664" max="6664" width="14" customWidth="1"/>
    <col min="6913" max="6913" width="27.625" bestFit="1" customWidth="1"/>
    <col min="6914" max="6918" width="10.625" customWidth="1"/>
    <col min="6919" max="6919" width="12" customWidth="1"/>
    <col min="6920" max="6920" width="14" customWidth="1"/>
    <col min="7169" max="7169" width="27.625" bestFit="1" customWidth="1"/>
    <col min="7170" max="7174" width="10.625" customWidth="1"/>
    <col min="7175" max="7175" width="12" customWidth="1"/>
    <col min="7176" max="7176" width="14" customWidth="1"/>
    <col min="7425" max="7425" width="27.625" bestFit="1" customWidth="1"/>
    <col min="7426" max="7430" width="10.625" customWidth="1"/>
    <col min="7431" max="7431" width="12" customWidth="1"/>
    <col min="7432" max="7432" width="14" customWidth="1"/>
    <col min="7681" max="7681" width="27.625" bestFit="1" customWidth="1"/>
    <col min="7682" max="7686" width="10.625" customWidth="1"/>
    <col min="7687" max="7687" width="12" customWidth="1"/>
    <col min="7688" max="7688" width="14" customWidth="1"/>
    <col min="7937" max="7937" width="27.625" bestFit="1" customWidth="1"/>
    <col min="7938" max="7942" width="10.625" customWidth="1"/>
    <col min="7943" max="7943" width="12" customWidth="1"/>
    <col min="7944" max="7944" width="14" customWidth="1"/>
    <col min="8193" max="8193" width="27.625" bestFit="1" customWidth="1"/>
    <col min="8194" max="8198" width="10.625" customWidth="1"/>
    <col min="8199" max="8199" width="12" customWidth="1"/>
    <col min="8200" max="8200" width="14" customWidth="1"/>
    <col min="8449" max="8449" width="27.625" bestFit="1" customWidth="1"/>
    <col min="8450" max="8454" width="10.625" customWidth="1"/>
    <col min="8455" max="8455" width="12" customWidth="1"/>
    <col min="8456" max="8456" width="14" customWidth="1"/>
    <col min="8705" max="8705" width="27.625" bestFit="1" customWidth="1"/>
    <col min="8706" max="8710" width="10.625" customWidth="1"/>
    <col min="8711" max="8711" width="12" customWidth="1"/>
    <col min="8712" max="8712" width="14" customWidth="1"/>
    <col min="8961" max="8961" width="27.625" bestFit="1" customWidth="1"/>
    <col min="8962" max="8966" width="10.625" customWidth="1"/>
    <col min="8967" max="8967" width="12" customWidth="1"/>
    <col min="8968" max="8968" width="14" customWidth="1"/>
    <col min="9217" max="9217" width="27.625" bestFit="1" customWidth="1"/>
    <col min="9218" max="9222" width="10.625" customWidth="1"/>
    <col min="9223" max="9223" width="12" customWidth="1"/>
    <col min="9224" max="9224" width="14" customWidth="1"/>
    <col min="9473" max="9473" width="27.625" bestFit="1" customWidth="1"/>
    <col min="9474" max="9478" width="10.625" customWidth="1"/>
    <col min="9479" max="9479" width="12" customWidth="1"/>
    <col min="9480" max="9480" width="14" customWidth="1"/>
    <col min="9729" max="9729" width="27.625" bestFit="1" customWidth="1"/>
    <col min="9730" max="9734" width="10.625" customWidth="1"/>
    <col min="9735" max="9735" width="12" customWidth="1"/>
    <col min="9736" max="9736" width="14" customWidth="1"/>
    <col min="9985" max="9985" width="27.625" bestFit="1" customWidth="1"/>
    <col min="9986" max="9990" width="10.625" customWidth="1"/>
    <col min="9991" max="9991" width="12" customWidth="1"/>
    <col min="9992" max="9992" width="14" customWidth="1"/>
    <col min="10241" max="10241" width="27.625" bestFit="1" customWidth="1"/>
    <col min="10242" max="10246" width="10.625" customWidth="1"/>
    <col min="10247" max="10247" width="12" customWidth="1"/>
    <col min="10248" max="10248" width="14" customWidth="1"/>
    <col min="10497" max="10497" width="27.625" bestFit="1" customWidth="1"/>
    <col min="10498" max="10502" width="10.625" customWidth="1"/>
    <col min="10503" max="10503" width="12" customWidth="1"/>
    <col min="10504" max="10504" width="14" customWidth="1"/>
    <col min="10753" max="10753" width="27.625" bestFit="1" customWidth="1"/>
    <col min="10754" max="10758" width="10.625" customWidth="1"/>
    <col min="10759" max="10759" width="12" customWidth="1"/>
    <col min="10760" max="10760" width="14" customWidth="1"/>
    <col min="11009" max="11009" width="27.625" bestFit="1" customWidth="1"/>
    <col min="11010" max="11014" width="10.625" customWidth="1"/>
    <col min="11015" max="11015" width="12" customWidth="1"/>
    <col min="11016" max="11016" width="14" customWidth="1"/>
    <col min="11265" max="11265" width="27.625" bestFit="1" customWidth="1"/>
    <col min="11266" max="11270" width="10.625" customWidth="1"/>
    <col min="11271" max="11271" width="12" customWidth="1"/>
    <col min="11272" max="11272" width="14" customWidth="1"/>
    <col min="11521" max="11521" width="27.625" bestFit="1" customWidth="1"/>
    <col min="11522" max="11526" width="10.625" customWidth="1"/>
    <col min="11527" max="11527" width="12" customWidth="1"/>
    <col min="11528" max="11528" width="14" customWidth="1"/>
    <col min="11777" max="11777" width="27.625" bestFit="1" customWidth="1"/>
    <col min="11778" max="11782" width="10.625" customWidth="1"/>
    <col min="11783" max="11783" width="12" customWidth="1"/>
    <col min="11784" max="11784" width="14" customWidth="1"/>
    <col min="12033" max="12033" width="27.625" bestFit="1" customWidth="1"/>
    <col min="12034" max="12038" width="10.625" customWidth="1"/>
    <col min="12039" max="12039" width="12" customWidth="1"/>
    <col min="12040" max="12040" width="14" customWidth="1"/>
    <col min="12289" max="12289" width="27.625" bestFit="1" customWidth="1"/>
    <col min="12290" max="12294" width="10.625" customWidth="1"/>
    <col min="12295" max="12295" width="12" customWidth="1"/>
    <col min="12296" max="12296" width="14" customWidth="1"/>
    <col min="12545" max="12545" width="27.625" bestFit="1" customWidth="1"/>
    <col min="12546" max="12550" width="10.625" customWidth="1"/>
    <col min="12551" max="12551" width="12" customWidth="1"/>
    <col min="12552" max="12552" width="14" customWidth="1"/>
    <col min="12801" max="12801" width="27.625" bestFit="1" customWidth="1"/>
    <col min="12802" max="12806" width="10.625" customWidth="1"/>
    <col min="12807" max="12807" width="12" customWidth="1"/>
    <col min="12808" max="12808" width="14" customWidth="1"/>
    <col min="13057" max="13057" width="27.625" bestFit="1" customWidth="1"/>
    <col min="13058" max="13062" width="10.625" customWidth="1"/>
    <col min="13063" max="13063" width="12" customWidth="1"/>
    <col min="13064" max="13064" width="14" customWidth="1"/>
    <col min="13313" max="13313" width="27.625" bestFit="1" customWidth="1"/>
    <col min="13314" max="13318" width="10.625" customWidth="1"/>
    <col min="13319" max="13319" width="12" customWidth="1"/>
    <col min="13320" max="13320" width="14" customWidth="1"/>
    <col min="13569" max="13569" width="27.625" bestFit="1" customWidth="1"/>
    <col min="13570" max="13574" width="10.625" customWidth="1"/>
    <col min="13575" max="13575" width="12" customWidth="1"/>
    <col min="13576" max="13576" width="14" customWidth="1"/>
    <col min="13825" max="13825" width="27.625" bestFit="1" customWidth="1"/>
    <col min="13826" max="13830" width="10.625" customWidth="1"/>
    <col min="13831" max="13831" width="12" customWidth="1"/>
    <col min="13832" max="13832" width="14" customWidth="1"/>
    <col min="14081" max="14081" width="27.625" bestFit="1" customWidth="1"/>
    <col min="14082" max="14086" width="10.625" customWidth="1"/>
    <col min="14087" max="14087" width="12" customWidth="1"/>
    <col min="14088" max="14088" width="14" customWidth="1"/>
    <col min="14337" max="14337" width="27.625" bestFit="1" customWidth="1"/>
    <col min="14338" max="14342" width="10.625" customWidth="1"/>
    <col min="14343" max="14343" width="12" customWidth="1"/>
    <col min="14344" max="14344" width="14" customWidth="1"/>
    <col min="14593" max="14593" width="27.625" bestFit="1" customWidth="1"/>
    <col min="14594" max="14598" width="10.625" customWidth="1"/>
    <col min="14599" max="14599" width="12" customWidth="1"/>
    <col min="14600" max="14600" width="14" customWidth="1"/>
    <col min="14849" max="14849" width="27.625" bestFit="1" customWidth="1"/>
    <col min="14850" max="14854" width="10.625" customWidth="1"/>
    <col min="14855" max="14855" width="12" customWidth="1"/>
    <col min="14856" max="14856" width="14" customWidth="1"/>
    <col min="15105" max="15105" width="27.625" bestFit="1" customWidth="1"/>
    <col min="15106" max="15110" width="10.625" customWidth="1"/>
    <col min="15111" max="15111" width="12" customWidth="1"/>
    <col min="15112" max="15112" width="14" customWidth="1"/>
    <col min="15361" max="15361" width="27.625" bestFit="1" customWidth="1"/>
    <col min="15362" max="15366" width="10.625" customWidth="1"/>
    <col min="15367" max="15367" width="12" customWidth="1"/>
    <col min="15368" max="15368" width="14" customWidth="1"/>
    <col min="15617" max="15617" width="27.625" bestFit="1" customWidth="1"/>
    <col min="15618" max="15622" width="10.625" customWidth="1"/>
    <col min="15623" max="15623" width="12" customWidth="1"/>
    <col min="15624" max="15624" width="14" customWidth="1"/>
    <col min="15873" max="15873" width="27.625" bestFit="1" customWidth="1"/>
    <col min="15874" max="15878" width="10.625" customWidth="1"/>
    <col min="15879" max="15879" width="12" customWidth="1"/>
    <col min="15880" max="15880" width="14" customWidth="1"/>
    <col min="16129" max="16129" width="27.625" bestFit="1" customWidth="1"/>
    <col min="16130" max="16134" width="10.625" customWidth="1"/>
    <col min="16135" max="16135" width="12" customWidth="1"/>
    <col min="16136" max="16136" width="14" customWidth="1"/>
  </cols>
  <sheetData>
    <row r="1" spans="1:8" ht="20.25" customHeight="1">
      <c r="A1" s="235" t="s">
        <v>182</v>
      </c>
      <c r="B1" s="235"/>
      <c r="C1" s="235"/>
      <c r="D1" s="235"/>
      <c r="E1" s="235"/>
      <c r="F1" s="235"/>
      <c r="G1" s="235"/>
      <c r="H1" s="235"/>
    </row>
    <row r="2" spans="1:8" ht="20.25" customHeight="1">
      <c r="A2" s="146" t="s">
        <v>0</v>
      </c>
      <c r="B2" s="146" t="s">
        <v>100</v>
      </c>
      <c r="C2" s="146" t="s">
        <v>183</v>
      </c>
      <c r="D2" s="147" t="s">
        <v>184</v>
      </c>
      <c r="E2" s="147" t="s">
        <v>185</v>
      </c>
      <c r="F2" s="147" t="s">
        <v>180</v>
      </c>
      <c r="G2" s="147" t="s">
        <v>181</v>
      </c>
      <c r="H2" s="148" t="s">
        <v>178</v>
      </c>
    </row>
    <row r="3" spans="1:8" ht="20.25" customHeight="1" outlineLevel="2">
      <c r="A3" s="55" t="s">
        <v>24</v>
      </c>
      <c r="B3" s="29" t="s">
        <v>179</v>
      </c>
      <c r="C3" s="56">
        <v>778</v>
      </c>
      <c r="D3" s="56">
        <v>7600</v>
      </c>
      <c r="E3" s="56">
        <f>C3*D3</f>
        <v>5912800</v>
      </c>
      <c r="F3" s="57">
        <f t="shared" ref="F3:F4" si="0">C3*30</f>
        <v>23340</v>
      </c>
      <c r="G3" s="57">
        <f t="shared" ref="G3:G4" si="1">C3*20</f>
        <v>15560</v>
      </c>
      <c r="H3" s="58">
        <f t="shared" ref="H3:H4" si="2">E3+F3+G3</f>
        <v>5951700</v>
      </c>
    </row>
    <row r="4" spans="1:8" ht="20.25" customHeight="1" outlineLevel="2">
      <c r="A4" s="55" t="s">
        <v>24</v>
      </c>
      <c r="B4" s="29" t="s">
        <v>134</v>
      </c>
      <c r="C4" s="56">
        <v>978</v>
      </c>
      <c r="D4" s="56">
        <v>7600</v>
      </c>
      <c r="E4" s="56">
        <f>C4*D4</f>
        <v>7432800</v>
      </c>
      <c r="F4" s="57">
        <f t="shared" si="0"/>
        <v>29340</v>
      </c>
      <c r="G4" s="57">
        <f t="shared" si="1"/>
        <v>19560</v>
      </c>
      <c r="H4" s="58">
        <f t="shared" si="2"/>
        <v>7481700</v>
      </c>
    </row>
    <row r="5" spans="1:8" ht="20.25" customHeight="1" outlineLevel="1">
      <c r="A5" s="152" t="s">
        <v>151</v>
      </c>
      <c r="B5" s="146"/>
      <c r="C5" s="149"/>
      <c r="D5" s="149"/>
      <c r="E5" s="149"/>
      <c r="F5" s="150"/>
      <c r="G5" s="150"/>
      <c r="H5" s="151">
        <f>SUBTOTAL(9,H3:H4)</f>
        <v>13433400</v>
      </c>
    </row>
  </sheetData>
  <mergeCells count="1">
    <mergeCell ref="A1:H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24</vt:i4>
      </vt:variant>
    </vt:vector>
  </HeadingPairs>
  <TitlesOfParts>
    <vt:vector size="39" baseType="lpstr">
      <vt:lpstr>颛桥镇</vt:lpstr>
      <vt:lpstr>补充公用经费</vt:lpstr>
      <vt:lpstr>清算2022补充公用经费（课后延时）</vt:lpstr>
      <vt:lpstr>保安经费</vt:lpstr>
      <vt:lpstr>视频联网</vt:lpstr>
      <vt:lpstr>公办义务教育减免书薄费</vt:lpstr>
      <vt:lpstr>公办义务教育营养午餐</vt:lpstr>
      <vt:lpstr>公办义务教育资助</vt:lpstr>
      <vt:lpstr>农民工学校生均补贴</vt:lpstr>
      <vt:lpstr>农民工学校资助</vt:lpstr>
      <vt:lpstr>农民工学校减免书薄费</vt:lpstr>
      <vt:lpstr>小区生补贴</vt:lpstr>
      <vt:lpstr>民办学校补贴</vt:lpstr>
      <vt:lpstr>民办义务教育减免书薄费</vt:lpstr>
      <vt:lpstr>颛桥校舍维修2022</vt:lpstr>
      <vt:lpstr>保安经费!Print_Area</vt:lpstr>
      <vt:lpstr>补充公用经费!Print_Area</vt:lpstr>
      <vt:lpstr>公办义务教育减免书薄费!Print_Area</vt:lpstr>
      <vt:lpstr>公办义务教育营养午餐!Print_Area</vt:lpstr>
      <vt:lpstr>公办义务教育资助!Print_Area</vt:lpstr>
      <vt:lpstr>民办学校补贴!Print_Area</vt:lpstr>
      <vt:lpstr>民办义务教育减免书薄费!Print_Area</vt:lpstr>
      <vt:lpstr>农民工学校减免书薄费!Print_Area</vt:lpstr>
      <vt:lpstr>农民工学校生均补贴!Print_Area</vt:lpstr>
      <vt:lpstr>农民工学校资助!Print_Area</vt:lpstr>
      <vt:lpstr>'清算2022补充公用经费（课后延时）'!Print_Area</vt:lpstr>
      <vt:lpstr>视频联网!Print_Area</vt:lpstr>
      <vt:lpstr>小区生补贴!Print_Area</vt:lpstr>
      <vt:lpstr>颛桥校舍维修2022!Print_Area</vt:lpstr>
      <vt:lpstr>保安经费!Print_Titles</vt:lpstr>
      <vt:lpstr>补充公用经费!Print_Titles</vt:lpstr>
      <vt:lpstr>公办义务教育减免书薄费!Print_Titles</vt:lpstr>
      <vt:lpstr>公办义务教育营养午餐!Print_Titles</vt:lpstr>
      <vt:lpstr>公办义务教育资助!Print_Titles</vt:lpstr>
      <vt:lpstr>民办学校补贴!Print_Titles</vt:lpstr>
      <vt:lpstr>'清算2022补充公用经费（课后延时）'!Print_Titles</vt:lpstr>
      <vt:lpstr>视频联网!Print_Titles</vt:lpstr>
      <vt:lpstr>小区生补贴!Print_Titles</vt:lpstr>
      <vt:lpstr>颛桥校舍维修2022!Print_Titles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孟爱红</dc:creator>
  <cp:lastModifiedBy>孟爱红</cp:lastModifiedBy>
  <cp:lastPrinted>2023-01-10T02:25:53Z</cp:lastPrinted>
  <dcterms:created xsi:type="dcterms:W3CDTF">2022-11-11T08:39:54Z</dcterms:created>
  <dcterms:modified xsi:type="dcterms:W3CDTF">2023-01-27T09:08:53Z</dcterms:modified>
</cp:coreProperties>
</file>