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浦江镇" sheetId="34" r:id="rId1"/>
    <sheet name="社区教育" sheetId="2" state="hidden" r:id="rId2"/>
    <sheet name="志愿者联盟" sheetId="3" state="hidden" r:id="rId3"/>
    <sheet name="保安经费" sheetId="32" state="hidden" r:id="rId4"/>
    <sheet name="2022年绩效清算" sheetId="35" state="hidden" r:id="rId5"/>
    <sheet name="浦江2023" sheetId="36" state="hidden" r:id="rId6"/>
    <sheet name="残疾就业保障" sheetId="37" state="hidden" r:id="rId7"/>
  </sheets>
  <calcPr calcId="145621"/>
</workbook>
</file>

<file path=xl/calcChain.xml><?xml version="1.0" encoding="utf-8"?>
<calcChain xmlns="http://schemas.openxmlformats.org/spreadsheetml/2006/main">
  <c r="X106" i="36" l="1"/>
  <c r="X105" i="36"/>
  <c r="X104" i="36"/>
  <c r="X103" i="36"/>
  <c r="X102" i="36"/>
  <c r="X101" i="36"/>
  <c r="X100" i="36"/>
  <c r="X99" i="36"/>
  <c r="W98" i="36"/>
  <c r="V98" i="36"/>
  <c r="U98" i="36"/>
  <c r="T98" i="36"/>
  <c r="S98" i="36"/>
  <c r="R98" i="36"/>
  <c r="Q98" i="36"/>
  <c r="P98" i="36"/>
  <c r="O98" i="36"/>
  <c r="N98" i="36"/>
  <c r="M98" i="36"/>
  <c r="L98" i="36"/>
  <c r="K98" i="36"/>
  <c r="J98" i="36"/>
  <c r="I98" i="36"/>
  <c r="H98" i="36"/>
  <c r="G98" i="36"/>
  <c r="F98" i="36"/>
  <c r="E98" i="36"/>
  <c r="X97" i="36"/>
  <c r="X96" i="36"/>
  <c r="X95" i="36"/>
  <c r="X94" i="36"/>
  <c r="W93" i="36"/>
  <c r="W77" i="36" s="1"/>
  <c r="W76" i="36" s="1"/>
  <c r="V93" i="36"/>
  <c r="U93" i="36"/>
  <c r="U69" i="36" s="1"/>
  <c r="U68" i="36" s="1"/>
  <c r="T93" i="36"/>
  <c r="S93" i="36"/>
  <c r="S77" i="36" s="1"/>
  <c r="S76" i="36" s="1"/>
  <c r="R93" i="36"/>
  <c r="Q93" i="36"/>
  <c r="Q69" i="36" s="1"/>
  <c r="Q68" i="36" s="1"/>
  <c r="P93" i="36"/>
  <c r="O93" i="36"/>
  <c r="O77" i="36" s="1"/>
  <c r="O76" i="36" s="1"/>
  <c r="N93" i="36"/>
  <c r="M93" i="36"/>
  <c r="M69" i="36" s="1"/>
  <c r="M68" i="36" s="1"/>
  <c r="L93" i="36"/>
  <c r="K93" i="36"/>
  <c r="K77" i="36" s="1"/>
  <c r="K76" i="36" s="1"/>
  <c r="J93" i="36"/>
  <c r="I93" i="36"/>
  <c r="I69" i="36" s="1"/>
  <c r="I68" i="36" s="1"/>
  <c r="H93" i="36"/>
  <c r="G93" i="36"/>
  <c r="G77" i="36" s="1"/>
  <c r="G76" i="36" s="1"/>
  <c r="F93" i="36"/>
  <c r="E93" i="36"/>
  <c r="X93" i="36" s="1"/>
  <c r="X27" i="36" s="1"/>
  <c r="X92" i="36"/>
  <c r="X91" i="36"/>
  <c r="W90" i="36"/>
  <c r="V90" i="36"/>
  <c r="U90" i="36"/>
  <c r="T90" i="36"/>
  <c r="S90" i="36"/>
  <c r="R90" i="36"/>
  <c r="Q90" i="36"/>
  <c r="P90" i="36"/>
  <c r="O90" i="36"/>
  <c r="N90" i="36"/>
  <c r="M90" i="36"/>
  <c r="L90" i="36"/>
  <c r="K90" i="36"/>
  <c r="J90" i="36"/>
  <c r="I90" i="36"/>
  <c r="H90" i="36"/>
  <c r="G90" i="36"/>
  <c r="F90" i="36"/>
  <c r="E90" i="36"/>
  <c r="X89" i="36"/>
  <c r="W88" i="36"/>
  <c r="V88" i="36"/>
  <c r="V86" i="36" s="1"/>
  <c r="V82" i="36" s="1"/>
  <c r="U88" i="36"/>
  <c r="T88" i="36"/>
  <c r="S88" i="36"/>
  <c r="R88" i="36"/>
  <c r="R86" i="36" s="1"/>
  <c r="Q88" i="36"/>
  <c r="P88" i="36"/>
  <c r="O88" i="36"/>
  <c r="N88" i="36"/>
  <c r="N86" i="36" s="1"/>
  <c r="N82" i="36" s="1"/>
  <c r="M88" i="36"/>
  <c r="L88" i="36"/>
  <c r="K88" i="36"/>
  <c r="J88" i="36"/>
  <c r="J86" i="36" s="1"/>
  <c r="J82" i="36" s="1"/>
  <c r="I88" i="36"/>
  <c r="H88" i="36"/>
  <c r="G88" i="36"/>
  <c r="F88" i="36"/>
  <c r="F86" i="36" s="1"/>
  <c r="F82" i="36" s="1"/>
  <c r="E88" i="36"/>
  <c r="W87" i="36"/>
  <c r="W86" i="36" s="1"/>
  <c r="V87" i="36"/>
  <c r="U87" i="36"/>
  <c r="U86" i="36" s="1"/>
  <c r="U82" i="36" s="1"/>
  <c r="T87" i="36"/>
  <c r="S87" i="36"/>
  <c r="S86" i="36" s="1"/>
  <c r="S82" i="36" s="1"/>
  <c r="R87" i="36"/>
  <c r="Q87" i="36"/>
  <c r="Q86" i="36" s="1"/>
  <c r="Q82" i="36" s="1"/>
  <c r="P87" i="36"/>
  <c r="O87" i="36"/>
  <c r="O86" i="36" s="1"/>
  <c r="N87" i="36"/>
  <c r="M87" i="36"/>
  <c r="M86" i="36" s="1"/>
  <c r="M82" i="36" s="1"/>
  <c r="L87" i="36"/>
  <c r="K87" i="36"/>
  <c r="K86" i="36" s="1"/>
  <c r="K82" i="36" s="1"/>
  <c r="J87" i="36"/>
  <c r="I87" i="36"/>
  <c r="I86" i="36" s="1"/>
  <c r="I82" i="36" s="1"/>
  <c r="H87" i="36"/>
  <c r="G87" i="36"/>
  <c r="G86" i="36" s="1"/>
  <c r="F87" i="36"/>
  <c r="E87" i="36"/>
  <c r="X87" i="36" s="1"/>
  <c r="T86" i="36"/>
  <c r="T82" i="36" s="1"/>
  <c r="P86" i="36"/>
  <c r="P82" i="36" s="1"/>
  <c r="L86" i="36"/>
  <c r="L82" i="36" s="1"/>
  <c r="H86" i="36"/>
  <c r="X85" i="36"/>
  <c r="X84" i="36"/>
  <c r="W83" i="36"/>
  <c r="V83" i="36"/>
  <c r="U83" i="36"/>
  <c r="T83" i="36"/>
  <c r="S83" i="36"/>
  <c r="R83" i="36"/>
  <c r="R82" i="36" s="1"/>
  <c r="Q83" i="36"/>
  <c r="P83" i="36"/>
  <c r="O83" i="36"/>
  <c r="N83" i="36"/>
  <c r="M83" i="36"/>
  <c r="L83" i="36"/>
  <c r="K83" i="36"/>
  <c r="J83" i="36"/>
  <c r="I83" i="36"/>
  <c r="H83" i="36"/>
  <c r="G83" i="36"/>
  <c r="F83" i="36"/>
  <c r="E83" i="36"/>
  <c r="H82" i="36"/>
  <c r="X81" i="36"/>
  <c r="W80" i="36"/>
  <c r="V80" i="36"/>
  <c r="U80" i="36"/>
  <c r="T80" i="36"/>
  <c r="S80" i="36"/>
  <c r="R80" i="36"/>
  <c r="Q80" i="36"/>
  <c r="P80" i="36"/>
  <c r="O80" i="36"/>
  <c r="N80" i="36"/>
  <c r="M80" i="36"/>
  <c r="L80" i="36"/>
  <c r="K80" i="36"/>
  <c r="J80" i="36"/>
  <c r="I80" i="36"/>
  <c r="H80" i="36"/>
  <c r="G80" i="36"/>
  <c r="F80" i="36"/>
  <c r="E80" i="36"/>
  <c r="W79" i="36"/>
  <c r="V79" i="36"/>
  <c r="V78" i="36" s="1"/>
  <c r="T79" i="36"/>
  <c r="Q79" i="36"/>
  <c r="Q78" i="36" s="1"/>
  <c r="P79" i="36"/>
  <c r="O79" i="36"/>
  <c r="O78" i="36" s="1"/>
  <c r="M79" i="36"/>
  <c r="L79" i="36"/>
  <c r="L78" i="36" s="1"/>
  <c r="K79" i="36"/>
  <c r="J79" i="36"/>
  <c r="J78" i="36" s="1"/>
  <c r="I79" i="36"/>
  <c r="H79" i="36"/>
  <c r="H78" i="36" s="1"/>
  <c r="E79" i="36"/>
  <c r="W78" i="36"/>
  <c r="T78" i="36"/>
  <c r="P78" i="36"/>
  <c r="M78" i="36"/>
  <c r="K78" i="36"/>
  <c r="I78" i="36"/>
  <c r="E78" i="36"/>
  <c r="V77" i="36"/>
  <c r="V76" i="36" s="1"/>
  <c r="T77" i="36"/>
  <c r="T76" i="36" s="1"/>
  <c r="R77" i="36"/>
  <c r="R76" i="36" s="1"/>
  <c r="P77" i="36"/>
  <c r="P76" i="36" s="1"/>
  <c r="N77" i="36"/>
  <c r="N76" i="36" s="1"/>
  <c r="L77" i="36"/>
  <c r="L76" i="36" s="1"/>
  <c r="J77" i="36"/>
  <c r="J76" i="36" s="1"/>
  <c r="H77" i="36"/>
  <c r="H76" i="36" s="1"/>
  <c r="F77" i="36"/>
  <c r="F76" i="36" s="1"/>
  <c r="X75" i="36"/>
  <c r="W74" i="36"/>
  <c r="V74" i="36"/>
  <c r="U74" i="36"/>
  <c r="T74" i="36"/>
  <c r="S74" i="36"/>
  <c r="R74" i="36"/>
  <c r="Q74" i="36"/>
  <c r="P74" i="36"/>
  <c r="O74" i="36"/>
  <c r="N74" i="36"/>
  <c r="M74" i="36"/>
  <c r="L74" i="36"/>
  <c r="K74" i="36"/>
  <c r="J74" i="36"/>
  <c r="I74" i="36"/>
  <c r="H74" i="36"/>
  <c r="G74" i="36"/>
  <c r="F74" i="36"/>
  <c r="E74" i="36"/>
  <c r="X74" i="36" s="1"/>
  <c r="W73" i="36"/>
  <c r="V73" i="36"/>
  <c r="V72" i="36" s="1"/>
  <c r="U73" i="36"/>
  <c r="T73" i="36"/>
  <c r="T72" i="36" s="1"/>
  <c r="S73" i="36"/>
  <c r="R73" i="36"/>
  <c r="R72" i="36" s="1"/>
  <c r="Q73" i="36"/>
  <c r="P73" i="36"/>
  <c r="P72" i="36" s="1"/>
  <c r="O73" i="36"/>
  <c r="N73" i="36"/>
  <c r="N72" i="36" s="1"/>
  <c r="M73" i="36"/>
  <c r="L73" i="36"/>
  <c r="L72" i="36" s="1"/>
  <c r="K73" i="36"/>
  <c r="J73" i="36"/>
  <c r="J72" i="36" s="1"/>
  <c r="I73" i="36"/>
  <c r="H73" i="36"/>
  <c r="H72" i="36" s="1"/>
  <c r="G73" i="36"/>
  <c r="F73" i="36"/>
  <c r="F72" i="36" s="1"/>
  <c r="E73" i="36"/>
  <c r="W72" i="36"/>
  <c r="U72" i="36"/>
  <c r="S72" i="36"/>
  <c r="Q72" i="36"/>
  <c r="O72" i="36"/>
  <c r="M72" i="36"/>
  <c r="K72" i="36"/>
  <c r="I72" i="36"/>
  <c r="G72" i="36"/>
  <c r="E72" i="36"/>
  <c r="W71" i="36"/>
  <c r="V71" i="36"/>
  <c r="V70" i="36" s="1"/>
  <c r="U71" i="36"/>
  <c r="T71" i="36"/>
  <c r="T70" i="36" s="1"/>
  <c r="S71" i="36"/>
  <c r="R71" i="36"/>
  <c r="R70" i="36" s="1"/>
  <c r="Q71" i="36"/>
  <c r="P71" i="36"/>
  <c r="P70" i="36" s="1"/>
  <c r="O71" i="36"/>
  <c r="N71" i="36"/>
  <c r="N70" i="36" s="1"/>
  <c r="M71" i="36"/>
  <c r="L71" i="36"/>
  <c r="L70" i="36" s="1"/>
  <c r="K71" i="36"/>
  <c r="J71" i="36"/>
  <c r="J70" i="36" s="1"/>
  <c r="I71" i="36"/>
  <c r="H71" i="36"/>
  <c r="H70" i="36" s="1"/>
  <c r="G71" i="36"/>
  <c r="F71" i="36"/>
  <c r="F70" i="36" s="1"/>
  <c r="E71" i="36"/>
  <c r="W70" i="36"/>
  <c r="U70" i="36"/>
  <c r="S70" i="36"/>
  <c r="Q70" i="36"/>
  <c r="O70" i="36"/>
  <c r="M70" i="36"/>
  <c r="K70" i="36"/>
  <c r="I70" i="36"/>
  <c r="G70" i="36"/>
  <c r="E70" i="36"/>
  <c r="W69" i="36"/>
  <c r="V69" i="36"/>
  <c r="V68" i="36" s="1"/>
  <c r="T69" i="36"/>
  <c r="T68" i="36" s="1"/>
  <c r="T49" i="36" s="1"/>
  <c r="S69" i="36"/>
  <c r="R69" i="36"/>
  <c r="R68" i="36" s="1"/>
  <c r="P69" i="36"/>
  <c r="P68" i="36" s="1"/>
  <c r="O69" i="36"/>
  <c r="N69" i="36"/>
  <c r="N68" i="36" s="1"/>
  <c r="L69" i="36"/>
  <c r="L68" i="36" s="1"/>
  <c r="L49" i="36" s="1"/>
  <c r="K69" i="36"/>
  <c r="J69" i="36"/>
  <c r="J68" i="36" s="1"/>
  <c r="J49" i="36" s="1"/>
  <c r="H69" i="36"/>
  <c r="H68" i="36" s="1"/>
  <c r="G69" i="36"/>
  <c r="F69" i="36"/>
  <c r="F68" i="36" s="1"/>
  <c r="W68" i="36"/>
  <c r="S68" i="36"/>
  <c r="O68" i="36"/>
  <c r="K68" i="36"/>
  <c r="G68" i="36"/>
  <c r="X67" i="36"/>
  <c r="X66" i="36"/>
  <c r="X65" i="36"/>
  <c r="X64" i="36"/>
  <c r="X63" i="36"/>
  <c r="X62" i="36"/>
  <c r="X61" i="36"/>
  <c r="X60" i="36"/>
  <c r="X59" i="36"/>
  <c r="X58" i="36"/>
  <c r="X57" i="36"/>
  <c r="X56" i="36"/>
  <c r="X55" i="36"/>
  <c r="X54" i="36"/>
  <c r="X53" i="36"/>
  <c r="X52" i="36"/>
  <c r="X51" i="36"/>
  <c r="X50" i="36"/>
  <c r="X48" i="36"/>
  <c r="X47" i="36"/>
  <c r="X46" i="36"/>
  <c r="U45" i="36"/>
  <c r="U44" i="36" s="1"/>
  <c r="Q45" i="36"/>
  <c r="Q44" i="36" s="1"/>
  <c r="N45" i="36"/>
  <c r="G45" i="36"/>
  <c r="X45" i="36" s="1"/>
  <c r="W44" i="36"/>
  <c r="V44" i="36"/>
  <c r="T44" i="36"/>
  <c r="S44" i="36"/>
  <c r="R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U43" i="36"/>
  <c r="U42" i="36" s="1"/>
  <c r="S43" i="36"/>
  <c r="S42" i="36" s="1"/>
  <c r="P43" i="36"/>
  <c r="G43" i="36"/>
  <c r="G42" i="36" s="1"/>
  <c r="G30" i="36" s="1"/>
  <c r="F43" i="36"/>
  <c r="E43" i="36"/>
  <c r="X43" i="36" s="1"/>
  <c r="W42" i="36"/>
  <c r="V42" i="36"/>
  <c r="V30" i="36" s="1"/>
  <c r="T42" i="36"/>
  <c r="R42" i="36"/>
  <c r="R30" i="36" s="1"/>
  <c r="Q42" i="36"/>
  <c r="P42" i="36"/>
  <c r="O42" i="36"/>
  <c r="N42" i="36"/>
  <c r="N30" i="36" s="1"/>
  <c r="M42" i="36"/>
  <c r="L42" i="36"/>
  <c r="K42" i="36"/>
  <c r="J42" i="36"/>
  <c r="J30" i="36" s="1"/>
  <c r="I42" i="36"/>
  <c r="H42" i="36"/>
  <c r="F42" i="36"/>
  <c r="F30" i="36" s="1"/>
  <c r="X41" i="36"/>
  <c r="X40" i="36"/>
  <c r="W39" i="36"/>
  <c r="V39" i="36"/>
  <c r="U39" i="36"/>
  <c r="T39" i="36"/>
  <c r="S39" i="36"/>
  <c r="R39" i="36"/>
  <c r="Q39" i="36"/>
  <c r="P39" i="36"/>
  <c r="O39" i="36"/>
  <c r="O30" i="36" s="1"/>
  <c r="N39" i="36"/>
  <c r="M39" i="36"/>
  <c r="L39" i="36"/>
  <c r="K39" i="36"/>
  <c r="J39" i="36"/>
  <c r="I39" i="36"/>
  <c r="H39" i="36"/>
  <c r="G39" i="36"/>
  <c r="F39" i="36"/>
  <c r="E39" i="36"/>
  <c r="X38" i="36"/>
  <c r="X37" i="36"/>
  <c r="X36" i="36"/>
  <c r="X35" i="36"/>
  <c r="X34" i="36"/>
  <c r="X33" i="36"/>
  <c r="X32" i="36"/>
  <c r="W31" i="36"/>
  <c r="W30" i="36" s="1"/>
  <c r="V31" i="36"/>
  <c r="U31" i="36"/>
  <c r="T31" i="36"/>
  <c r="S31" i="36"/>
  <c r="R31" i="36"/>
  <c r="Q31" i="36"/>
  <c r="P31" i="36"/>
  <c r="O31" i="36"/>
  <c r="N31" i="36"/>
  <c r="M31" i="36"/>
  <c r="L31" i="36"/>
  <c r="K31" i="36"/>
  <c r="K30" i="36" s="1"/>
  <c r="J31" i="36"/>
  <c r="I31" i="36"/>
  <c r="H31" i="36"/>
  <c r="G31" i="36"/>
  <c r="F31" i="36"/>
  <c r="E31" i="36"/>
  <c r="X31" i="36" s="1"/>
  <c r="X29" i="36"/>
  <c r="U28" i="36"/>
  <c r="U79" i="36" s="1"/>
  <c r="U78" i="36" s="1"/>
  <c r="S28" i="36"/>
  <c r="S79" i="36" s="1"/>
  <c r="S78" i="36" s="1"/>
  <c r="R28" i="36"/>
  <c r="R79" i="36" s="1"/>
  <c r="R78" i="36" s="1"/>
  <c r="N28" i="36"/>
  <c r="N26" i="36" s="1"/>
  <c r="N25" i="36" s="1"/>
  <c r="G28" i="36"/>
  <c r="G79" i="36" s="1"/>
  <c r="G78" i="36" s="1"/>
  <c r="F28" i="36"/>
  <c r="F79" i="36" s="1"/>
  <c r="F78" i="36" s="1"/>
  <c r="W27" i="36"/>
  <c r="V27" i="36"/>
  <c r="U27" i="36"/>
  <c r="T27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F27" i="36"/>
  <c r="E27" i="36"/>
  <c r="W26" i="36"/>
  <c r="V26" i="36"/>
  <c r="V25" i="36" s="1"/>
  <c r="T26" i="36"/>
  <c r="S26" i="36"/>
  <c r="S25" i="36" s="1"/>
  <c r="Q26" i="36"/>
  <c r="Q25" i="36" s="1"/>
  <c r="P26" i="36"/>
  <c r="O26" i="36"/>
  <c r="O25" i="36" s="1"/>
  <c r="M26" i="36"/>
  <c r="L26" i="36"/>
  <c r="L25" i="36" s="1"/>
  <c r="K26" i="36"/>
  <c r="J26" i="36"/>
  <c r="J25" i="36" s="1"/>
  <c r="I26" i="36"/>
  <c r="H26" i="36"/>
  <c r="H25" i="36" s="1"/>
  <c r="F26" i="36"/>
  <c r="F25" i="36" s="1"/>
  <c r="E26" i="36"/>
  <c r="W25" i="36"/>
  <c r="T25" i="36"/>
  <c r="P25" i="36"/>
  <c r="M25" i="36"/>
  <c r="K25" i="36"/>
  <c r="I25" i="36"/>
  <c r="E25" i="36"/>
  <c r="W24" i="36"/>
  <c r="V24" i="36"/>
  <c r="V23" i="36" s="1"/>
  <c r="T24" i="36"/>
  <c r="S24" i="36"/>
  <c r="S23" i="36" s="1"/>
  <c r="Q24" i="36"/>
  <c r="Q23" i="36" s="1"/>
  <c r="P24" i="36"/>
  <c r="O24" i="36"/>
  <c r="O23" i="36" s="1"/>
  <c r="M24" i="36"/>
  <c r="L24" i="36"/>
  <c r="L23" i="36" s="1"/>
  <c r="K24" i="36"/>
  <c r="J24" i="36"/>
  <c r="J23" i="36" s="1"/>
  <c r="I24" i="36"/>
  <c r="H24" i="36"/>
  <c r="H23" i="36" s="1"/>
  <c r="F24" i="36"/>
  <c r="F23" i="36" s="1"/>
  <c r="E24" i="36"/>
  <c r="W23" i="36"/>
  <c r="T23" i="36"/>
  <c r="P23" i="36"/>
  <c r="M23" i="36"/>
  <c r="K23" i="36"/>
  <c r="I23" i="36"/>
  <c r="E23" i="36"/>
  <c r="W22" i="36"/>
  <c r="V22" i="36"/>
  <c r="T22" i="36"/>
  <c r="S22" i="36"/>
  <c r="R22" i="36"/>
  <c r="Q22" i="36"/>
  <c r="P22" i="36"/>
  <c r="O22" i="36"/>
  <c r="M22" i="36"/>
  <c r="L22" i="36"/>
  <c r="K22" i="36"/>
  <c r="J22" i="36"/>
  <c r="I22" i="36"/>
  <c r="H22" i="36"/>
  <c r="G22" i="36"/>
  <c r="F22" i="36"/>
  <c r="E22" i="36"/>
  <c r="W21" i="36"/>
  <c r="V21" i="36"/>
  <c r="V20" i="36" s="1"/>
  <c r="U21" i="36"/>
  <c r="T21" i="36"/>
  <c r="T20" i="36" s="1"/>
  <c r="S21" i="36"/>
  <c r="R21" i="36"/>
  <c r="R20" i="36" s="1"/>
  <c r="Q21" i="36"/>
  <c r="Q20" i="36" s="1"/>
  <c r="P21" i="36"/>
  <c r="P20" i="36" s="1"/>
  <c r="O21" i="36"/>
  <c r="N21" i="36"/>
  <c r="M21" i="36"/>
  <c r="M20" i="36" s="1"/>
  <c r="L21" i="36"/>
  <c r="L20" i="36" s="1"/>
  <c r="K21" i="36"/>
  <c r="J21" i="36"/>
  <c r="I21" i="36"/>
  <c r="I20" i="36" s="1"/>
  <c r="H21" i="36"/>
  <c r="H20" i="36" s="1"/>
  <c r="F21" i="36"/>
  <c r="E21" i="36"/>
  <c r="E20" i="36" s="1"/>
  <c r="W20" i="36"/>
  <c r="S20" i="36"/>
  <c r="O20" i="36"/>
  <c r="K20" i="36"/>
  <c r="J20" i="36"/>
  <c r="F20" i="36"/>
  <c r="W19" i="36"/>
  <c r="W18" i="36" s="1"/>
  <c r="V19" i="36"/>
  <c r="V18" i="36" s="1"/>
  <c r="U19" i="36"/>
  <c r="U18" i="36" s="1"/>
  <c r="T19" i="36"/>
  <c r="S19" i="36"/>
  <c r="S18" i="36" s="1"/>
  <c r="R19" i="36"/>
  <c r="R18" i="36" s="1"/>
  <c r="Q19" i="36"/>
  <c r="Q18" i="36" s="1"/>
  <c r="P19" i="36"/>
  <c r="O19" i="36"/>
  <c r="O18" i="36" s="1"/>
  <c r="N19" i="36"/>
  <c r="N18" i="36" s="1"/>
  <c r="M19" i="36"/>
  <c r="M18" i="36" s="1"/>
  <c r="L19" i="36"/>
  <c r="K19" i="36"/>
  <c r="K18" i="36" s="1"/>
  <c r="J19" i="36"/>
  <c r="J18" i="36" s="1"/>
  <c r="I19" i="36"/>
  <c r="I18" i="36" s="1"/>
  <c r="H19" i="36"/>
  <c r="G19" i="36"/>
  <c r="G18" i="36" s="1"/>
  <c r="F19" i="36"/>
  <c r="F18" i="36" s="1"/>
  <c r="E19" i="36"/>
  <c r="T18" i="36"/>
  <c r="P18" i="36"/>
  <c r="L18" i="36"/>
  <c r="H18" i="36"/>
  <c r="V17" i="36"/>
  <c r="X17" i="36" s="1"/>
  <c r="W16" i="36"/>
  <c r="U16" i="36"/>
  <c r="T16" i="36"/>
  <c r="S16" i="36"/>
  <c r="R16" i="36"/>
  <c r="Q16" i="36"/>
  <c r="P16" i="36"/>
  <c r="O16" i="36"/>
  <c r="N16" i="36"/>
  <c r="M16" i="36"/>
  <c r="L16" i="36"/>
  <c r="K16" i="36"/>
  <c r="J16" i="36"/>
  <c r="I16" i="36"/>
  <c r="H16" i="36"/>
  <c r="G16" i="36"/>
  <c r="F16" i="36"/>
  <c r="E16" i="36"/>
  <c r="X15" i="36"/>
  <c r="W14" i="36"/>
  <c r="V14" i="36"/>
  <c r="U14" i="36"/>
  <c r="T14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G14" i="36"/>
  <c r="F14" i="36"/>
  <c r="E14" i="36"/>
  <c r="W13" i="36"/>
  <c r="W12" i="36" s="1"/>
  <c r="V13" i="36"/>
  <c r="V12" i="36" s="1"/>
  <c r="U13" i="36"/>
  <c r="T13" i="36"/>
  <c r="S13" i="36"/>
  <c r="S12" i="36" s="1"/>
  <c r="R13" i="36"/>
  <c r="Q13" i="36"/>
  <c r="P13" i="36"/>
  <c r="O13" i="36"/>
  <c r="O12" i="36" s="1"/>
  <c r="N13" i="36"/>
  <c r="N12" i="36" s="1"/>
  <c r="M13" i="36"/>
  <c r="L13" i="36"/>
  <c r="K13" i="36"/>
  <c r="K12" i="36" s="1"/>
  <c r="J13" i="36"/>
  <c r="I13" i="36"/>
  <c r="H13" i="36"/>
  <c r="G13" i="36"/>
  <c r="G12" i="36" s="1"/>
  <c r="F13" i="36"/>
  <c r="F12" i="36" s="1"/>
  <c r="E13" i="36"/>
  <c r="U12" i="36"/>
  <c r="R12" i="36"/>
  <c r="Q12" i="36"/>
  <c r="M12" i="36"/>
  <c r="J12" i="36"/>
  <c r="I12" i="36"/>
  <c r="E12" i="36"/>
  <c r="W11" i="36"/>
  <c r="V11" i="36"/>
  <c r="V10" i="36" s="1"/>
  <c r="V8" i="36" s="1"/>
  <c r="U11" i="36"/>
  <c r="U10" i="36" s="1"/>
  <c r="T11" i="36"/>
  <c r="T10" i="36" s="1"/>
  <c r="T8" i="36" s="1"/>
  <c r="S11" i="36"/>
  <c r="R11" i="36"/>
  <c r="R10" i="36" s="1"/>
  <c r="Q11" i="36"/>
  <c r="Q10" i="36" s="1"/>
  <c r="Q8" i="36" s="1"/>
  <c r="P11" i="36"/>
  <c r="P10" i="36" s="1"/>
  <c r="O11" i="36"/>
  <c r="N11" i="36"/>
  <c r="N10" i="36" s="1"/>
  <c r="N8" i="36" s="1"/>
  <c r="M11" i="36"/>
  <c r="M10" i="36" s="1"/>
  <c r="M8" i="36" s="1"/>
  <c r="L11" i="36"/>
  <c r="L10" i="36" s="1"/>
  <c r="K11" i="36"/>
  <c r="J11" i="36"/>
  <c r="J10" i="36" s="1"/>
  <c r="J8" i="36" s="1"/>
  <c r="J4" i="36" s="1"/>
  <c r="I11" i="36"/>
  <c r="H11" i="36"/>
  <c r="G11" i="36"/>
  <c r="F11" i="36"/>
  <c r="F10" i="36" s="1"/>
  <c r="E11" i="36"/>
  <c r="W10" i="36"/>
  <c r="S10" i="36"/>
  <c r="O10" i="36"/>
  <c r="K10" i="36"/>
  <c r="K8" i="36" s="1"/>
  <c r="K4" i="36" s="1"/>
  <c r="I10" i="36"/>
  <c r="I8" i="36" s="1"/>
  <c r="H10" i="36"/>
  <c r="G10" i="36"/>
  <c r="E10" i="36"/>
  <c r="U9" i="36"/>
  <c r="S9" i="36"/>
  <c r="S8" i="36" s="1"/>
  <c r="R9" i="36"/>
  <c r="P9" i="36"/>
  <c r="N9" i="36"/>
  <c r="L9" i="36"/>
  <c r="G9" i="36"/>
  <c r="F9" i="36"/>
  <c r="E9" i="36"/>
  <c r="W8" i="36"/>
  <c r="O8" i="36"/>
  <c r="O4" i="36" s="1"/>
  <c r="H8" i="36"/>
  <c r="G8" i="36"/>
  <c r="E8" i="36"/>
  <c r="U7" i="36"/>
  <c r="S7" i="36"/>
  <c r="P7" i="36"/>
  <c r="N7" i="36"/>
  <c r="G7" i="36"/>
  <c r="F7" i="36"/>
  <c r="E7" i="36"/>
  <c r="U6" i="36"/>
  <c r="U5" i="36" s="1"/>
  <c r="S6" i="36"/>
  <c r="P6" i="36"/>
  <c r="P5" i="36" s="1"/>
  <c r="N6" i="36"/>
  <c r="G6" i="36"/>
  <c r="G5" i="36" s="1"/>
  <c r="F6" i="36"/>
  <c r="E6" i="36"/>
  <c r="E5" i="36" s="1"/>
  <c r="W5" i="36"/>
  <c r="V5" i="36"/>
  <c r="T5" i="36"/>
  <c r="S5" i="36"/>
  <c r="R5" i="36"/>
  <c r="Q5" i="36"/>
  <c r="O5" i="36"/>
  <c r="M5" i="36"/>
  <c r="L5" i="36"/>
  <c r="K5" i="36"/>
  <c r="J5" i="36"/>
  <c r="I5" i="36"/>
  <c r="H5" i="36"/>
  <c r="F5" i="36"/>
  <c r="W4" i="36"/>
  <c r="W107" i="36" s="1"/>
  <c r="L8" i="36" l="1"/>
  <c r="P8" i="36"/>
  <c r="K107" i="36"/>
  <c r="O107" i="36"/>
  <c r="X7" i="36"/>
  <c r="F8" i="36"/>
  <c r="V4" i="36"/>
  <c r="K49" i="36"/>
  <c r="K3" i="36" s="1"/>
  <c r="X6" i="36"/>
  <c r="H49" i="36"/>
  <c r="S4" i="36"/>
  <c r="X19" i="36"/>
  <c r="E18" i="36"/>
  <c r="X18" i="36" s="1"/>
  <c r="X9" i="36"/>
  <c r="I4" i="36"/>
  <c r="X11" i="36"/>
  <c r="X10" i="36" s="1"/>
  <c r="M4" i="36"/>
  <c r="Q4" i="36"/>
  <c r="U8" i="36"/>
  <c r="H12" i="36"/>
  <c r="X12" i="36" s="1"/>
  <c r="L12" i="36"/>
  <c r="P12" i="36"/>
  <c r="P4" i="36" s="1"/>
  <c r="T12" i="36"/>
  <c r="P49" i="36"/>
  <c r="V49" i="36"/>
  <c r="G82" i="36"/>
  <c r="O82" i="36"/>
  <c r="O49" i="36" s="1"/>
  <c r="O3" i="36" s="1"/>
  <c r="W82" i="36"/>
  <c r="W49" i="36" s="1"/>
  <c r="W3" i="36" s="1"/>
  <c r="T4" i="36"/>
  <c r="R8" i="36"/>
  <c r="X13" i="36"/>
  <c r="G21" i="36"/>
  <c r="G20" i="36" s="1"/>
  <c r="U22" i="36"/>
  <c r="U20" i="36" s="1"/>
  <c r="R24" i="36"/>
  <c r="R23" i="36" s="1"/>
  <c r="G26" i="36"/>
  <c r="G25" i="36" s="1"/>
  <c r="E42" i="36"/>
  <c r="I30" i="36"/>
  <c r="M30" i="36"/>
  <c r="X71" i="36"/>
  <c r="E77" i="36"/>
  <c r="E76" i="36" s="1"/>
  <c r="X76" i="36" s="1"/>
  <c r="I77" i="36"/>
  <c r="I76" i="36" s="1"/>
  <c r="I49" i="36" s="1"/>
  <c r="I3" i="36" s="1"/>
  <c r="M77" i="36"/>
  <c r="M76" i="36" s="1"/>
  <c r="M49" i="36" s="1"/>
  <c r="Q77" i="36"/>
  <c r="Q76" i="36" s="1"/>
  <c r="Q49" i="36" s="1"/>
  <c r="U77" i="36"/>
  <c r="U76" i="36" s="1"/>
  <c r="X83" i="36"/>
  <c r="E86" i="36"/>
  <c r="X86" i="36" s="1"/>
  <c r="R49" i="36"/>
  <c r="S30" i="36"/>
  <c r="X70" i="36"/>
  <c r="X80" i="36"/>
  <c r="X21" i="36"/>
  <c r="G24" i="36"/>
  <c r="G23" i="36" s="1"/>
  <c r="R26" i="36"/>
  <c r="R25" i="36" s="1"/>
  <c r="S49" i="36"/>
  <c r="S3" i="36" s="1"/>
  <c r="X39" i="36"/>
  <c r="L30" i="36"/>
  <c r="P30" i="36"/>
  <c r="T30" i="36"/>
  <c r="T3" i="36" s="1"/>
  <c r="U30" i="36"/>
  <c r="E69" i="36"/>
  <c r="X73" i="36"/>
  <c r="X88" i="36"/>
  <c r="X90" i="36"/>
  <c r="X98" i="36"/>
  <c r="X14" i="36"/>
  <c r="G49" i="36"/>
  <c r="X44" i="36"/>
  <c r="X72" i="36"/>
  <c r="X77" i="36"/>
  <c r="M107" i="36"/>
  <c r="F49" i="36"/>
  <c r="S107" i="36"/>
  <c r="T107" i="36"/>
  <c r="X8" i="36"/>
  <c r="F4" i="36"/>
  <c r="J107" i="36"/>
  <c r="J3" i="36"/>
  <c r="V107" i="36"/>
  <c r="V3" i="36"/>
  <c r="X42" i="36"/>
  <c r="Q30" i="36"/>
  <c r="X79" i="36"/>
  <c r="I107" i="36"/>
  <c r="U49" i="36"/>
  <c r="Q107" i="36"/>
  <c r="N5" i="36"/>
  <c r="U24" i="36"/>
  <c r="U23" i="36" s="1"/>
  <c r="U26" i="36"/>
  <c r="U25" i="36" s="1"/>
  <c r="E30" i="36"/>
  <c r="N79" i="36"/>
  <c r="N78" i="36" s="1"/>
  <c r="N49" i="36" s="1"/>
  <c r="E82" i="36"/>
  <c r="X82" i="36" s="1"/>
  <c r="V16" i="36"/>
  <c r="X16" i="36" s="1"/>
  <c r="H30" i="36"/>
  <c r="X28" i="36"/>
  <c r="N22" i="36"/>
  <c r="N20" i="36" s="1"/>
  <c r="N24" i="36"/>
  <c r="N23" i="36" s="1"/>
  <c r="X23" i="36" s="1"/>
  <c r="M3" i="36" l="1"/>
  <c r="P107" i="36"/>
  <c r="P3" i="36"/>
  <c r="Q3" i="36"/>
  <c r="U4" i="36"/>
  <c r="R4" i="36"/>
  <c r="X78" i="36"/>
  <c r="H4" i="36"/>
  <c r="H107" i="36" s="1"/>
  <c r="X69" i="36"/>
  <c r="E68" i="36"/>
  <c r="X68" i="36" s="1"/>
  <c r="G4" i="36"/>
  <c r="G107" i="36" s="1"/>
  <c r="H3" i="36"/>
  <c r="X20" i="36"/>
  <c r="E4" i="36"/>
  <c r="E107" i="36" s="1"/>
  <c r="L4" i="36"/>
  <c r="L107" i="36" s="1"/>
  <c r="U107" i="36"/>
  <c r="U3" i="36"/>
  <c r="F107" i="36"/>
  <c r="F3" i="36"/>
  <c r="N4" i="36"/>
  <c r="X22" i="36"/>
  <c r="X26" i="36"/>
  <c r="X24" i="36"/>
  <c r="X25" i="36"/>
  <c r="X5" i="36"/>
  <c r="X30" i="36"/>
  <c r="C6" i="34" s="1"/>
  <c r="L3" i="36" l="1"/>
  <c r="R3" i="36"/>
  <c r="R107" i="36"/>
  <c r="E3" i="36"/>
  <c r="E49" i="36"/>
  <c r="X49" i="36" s="1"/>
  <c r="C5" i="34" s="1"/>
  <c r="G3" i="36"/>
  <c r="N107" i="36"/>
  <c r="N3" i="36"/>
  <c r="X3" i="36" s="1"/>
  <c r="X4" i="36"/>
  <c r="X107" i="36" l="1"/>
  <c r="C9" i="34"/>
  <c r="C22" i="37"/>
  <c r="C10" i="34" s="1"/>
  <c r="E10" i="34" s="1"/>
  <c r="I3" i="32"/>
  <c r="I4" i="32" s="1"/>
  <c r="L24" i="35"/>
  <c r="K24" i="35"/>
  <c r="J24" i="35"/>
  <c r="H24" i="35"/>
  <c r="G24" i="35"/>
  <c r="F24" i="35"/>
  <c r="P23" i="35"/>
  <c r="O23" i="35"/>
  <c r="N23" i="35"/>
  <c r="M23" i="35"/>
  <c r="I23" i="35"/>
  <c r="P22" i="35"/>
  <c r="O22" i="35"/>
  <c r="N22" i="35"/>
  <c r="M22" i="35"/>
  <c r="I22" i="35"/>
  <c r="P21" i="35"/>
  <c r="O21" i="35"/>
  <c r="N21" i="35"/>
  <c r="M21" i="35"/>
  <c r="I21" i="35"/>
  <c r="P20" i="35"/>
  <c r="O20" i="35"/>
  <c r="N20" i="35"/>
  <c r="M20" i="35"/>
  <c r="I20" i="35"/>
  <c r="P19" i="35"/>
  <c r="O19" i="35"/>
  <c r="N19" i="35"/>
  <c r="M19" i="35"/>
  <c r="I19" i="35"/>
  <c r="P18" i="35"/>
  <c r="O18" i="35"/>
  <c r="N18" i="35"/>
  <c r="M18" i="35"/>
  <c r="I18" i="35"/>
  <c r="P17" i="35"/>
  <c r="O17" i="35"/>
  <c r="N17" i="35"/>
  <c r="M17" i="35"/>
  <c r="I17" i="35"/>
  <c r="P16" i="35"/>
  <c r="O16" i="35"/>
  <c r="N16" i="35"/>
  <c r="M16" i="35"/>
  <c r="I16" i="35"/>
  <c r="P15" i="35"/>
  <c r="O15" i="35"/>
  <c r="N15" i="35"/>
  <c r="M15" i="35"/>
  <c r="I15" i="35"/>
  <c r="P14" i="35"/>
  <c r="O14" i="35"/>
  <c r="N14" i="35"/>
  <c r="M14" i="35"/>
  <c r="I14" i="35"/>
  <c r="P13" i="35"/>
  <c r="O13" i="35"/>
  <c r="N13" i="35"/>
  <c r="M13" i="35"/>
  <c r="I13" i="35"/>
  <c r="P12" i="35"/>
  <c r="O12" i="35"/>
  <c r="N12" i="35"/>
  <c r="M12" i="35"/>
  <c r="I12" i="35"/>
  <c r="P11" i="35"/>
  <c r="O11" i="35"/>
  <c r="N11" i="35"/>
  <c r="M11" i="35"/>
  <c r="I11" i="35"/>
  <c r="P10" i="35"/>
  <c r="O10" i="35"/>
  <c r="N10" i="35"/>
  <c r="M10" i="35"/>
  <c r="I10" i="35"/>
  <c r="P9" i="35"/>
  <c r="O9" i="35"/>
  <c r="N9" i="35"/>
  <c r="M9" i="35"/>
  <c r="I9" i="35"/>
  <c r="P8" i="35"/>
  <c r="O8" i="35"/>
  <c r="N8" i="35"/>
  <c r="M8" i="35"/>
  <c r="I8" i="35"/>
  <c r="P7" i="35"/>
  <c r="O7" i="35"/>
  <c r="N7" i="35"/>
  <c r="M7" i="35"/>
  <c r="I7" i="35"/>
  <c r="P6" i="35"/>
  <c r="O6" i="35"/>
  <c r="N6" i="35"/>
  <c r="M6" i="35"/>
  <c r="I6" i="35"/>
  <c r="P5" i="35"/>
  <c r="O5" i="35"/>
  <c r="N5" i="35"/>
  <c r="M5" i="35"/>
  <c r="I5" i="35"/>
  <c r="P4" i="35"/>
  <c r="O4" i="35"/>
  <c r="N4" i="35"/>
  <c r="M4" i="35"/>
  <c r="I4" i="35"/>
  <c r="Q5" i="35" l="1"/>
  <c r="Q9" i="35"/>
  <c r="Q13" i="35"/>
  <c r="Q17" i="35"/>
  <c r="Q21" i="35"/>
  <c r="O24" i="35"/>
  <c r="N24" i="35"/>
  <c r="Q18" i="35"/>
  <c r="Q22" i="35"/>
  <c r="Q10" i="35"/>
  <c r="M24" i="35"/>
  <c r="I24" i="35"/>
  <c r="P24" i="35"/>
  <c r="Q7" i="35"/>
  <c r="Q8" i="35"/>
  <c r="Q11" i="35"/>
  <c r="Q12" i="35"/>
  <c r="Q15" i="35"/>
  <c r="Q16" i="35"/>
  <c r="Q19" i="35"/>
  <c r="Q20" i="35"/>
  <c r="Q23" i="35"/>
  <c r="Q14" i="35"/>
  <c r="Q6" i="35"/>
  <c r="Q4" i="35"/>
  <c r="Q24" i="35" l="1"/>
  <c r="C4" i="34" s="1"/>
  <c r="D9" i="34" l="1"/>
  <c r="D11" i="34" s="1"/>
  <c r="E6" i="34"/>
  <c r="E5" i="34"/>
  <c r="E4" i="34"/>
  <c r="E9" i="34" l="1"/>
  <c r="C4" i="3" l="1"/>
  <c r="C8" i="34" s="1"/>
  <c r="E8" i="34" s="1"/>
  <c r="B4" i="2"/>
  <c r="C3" i="2"/>
  <c r="C4" i="2" l="1"/>
  <c r="C7" i="34" s="1"/>
  <c r="C11" i="34" s="1"/>
  <c r="E7" i="34" l="1"/>
  <c r="E11" i="34" s="1"/>
</calcChain>
</file>

<file path=xl/sharedStrings.xml><?xml version="1.0" encoding="utf-8"?>
<sst xmlns="http://schemas.openxmlformats.org/spreadsheetml/2006/main" count="552" uniqueCount="349">
  <si>
    <t>序号</t>
  </si>
  <si>
    <t>合计</t>
    <phoneticPr fontId="1" type="noConversion"/>
  </si>
  <si>
    <t>镇属</t>
    <phoneticPr fontId="1" type="noConversion"/>
  </si>
  <si>
    <t>浦江</t>
  </si>
  <si>
    <t>序号</t>
    <phoneticPr fontId="2" type="noConversion"/>
  </si>
  <si>
    <t>浦江镇社区学校</t>
    <phoneticPr fontId="2" type="noConversion"/>
  </si>
  <si>
    <t>镇级合计</t>
    <phoneticPr fontId="2" type="noConversion"/>
  </si>
  <si>
    <t>合计</t>
  </si>
  <si>
    <t>浦江三小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</si>
  <si>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</si>
  <si>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</si>
  <si>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</si>
  <si>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</si>
  <si>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</si>
  <si>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</si>
  <si>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</si>
  <si>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</si>
  <si>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</si>
  <si>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</si>
  <si>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</si>
  <si>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</si>
  <si>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</si>
  <si>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</si>
  <si>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</si>
  <si>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</si>
  <si>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</si>
  <si>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</si>
  <si>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</si>
  <si>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</si>
  <si>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</si>
  <si>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</si>
  <si>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</si>
  <si>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</si>
  <si>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</si>
  <si>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</si>
  <si>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</si>
  <si>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</si>
  <si>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</si>
  <si>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</si>
  <si>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</si>
  <si>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</si>
  <si>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</si>
  <si>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</si>
  <si>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</si>
  <si>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</si>
  <si>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</si>
  <si>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</si>
  <si>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</si>
  <si>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</si>
  <si>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</si>
  <si>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</si>
  <si>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</si>
  <si>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</si>
  <si>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</si>
  <si>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</si>
  <si>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</si>
  <si>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</si>
  <si>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</si>
  <si>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</si>
  <si>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</si>
  <si>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</si>
  <si>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</si>
  <si>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</si>
  <si>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</si>
  <si>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</si>
  <si>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</si>
  <si>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</si>
  <si>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</si>
  <si>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</si>
  <si>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</si>
  <si>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</si>
  <si>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</si>
  <si>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</si>
  <si>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</si>
  <si>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</si>
  <si>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</si>
  <si>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</si>
  <si>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</si>
  <si>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</si>
  <si>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</si>
  <si>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</si>
  <si>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</si>
  <si>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</si>
  <si>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</si>
  <si>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</si>
  <si>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</si>
  <si>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</si>
  <si>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</si>
  <si>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</si>
  <si>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</si>
  <si>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</si>
  <si>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</si>
  <si>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</si>
  <si>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</si>
  <si>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</si>
  <si>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</si>
  <si>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</si>
  <si>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</si>
  <si>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</si>
  <si>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</si>
  <si>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</si>
  <si>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</si>
  <si>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</si>
  <si>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</si>
  <si>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</si>
  <si>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</si>
  <si>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</si>
  <si>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</si>
  <si>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</si>
  <si>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</si>
  <si>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</si>
  <si>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</si>
  <si>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</si>
  <si>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</si>
  <si>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</si>
  <si>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</si>
  <si>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</si>
  <si>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</si>
  <si>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</si>
  <si>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</si>
  <si>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</si>
  <si>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</si>
  <si>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</si>
  <si>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</si>
  <si>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</si>
  <si>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</si>
  <si>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</si>
  <si>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</si>
  <si>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</si>
  <si>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</si>
  <si>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</si>
  <si>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</si>
  <si>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</si>
  <si>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</si>
  <si>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</si>
  <si>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</si>
  <si>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</si>
  <si>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</si>
  <si>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</si>
  <si>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</si>
  <si>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</si>
  <si>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</si>
  <si>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</si>
  <si>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</si>
  <si>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</si>
  <si>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</si>
  <si>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</si>
  <si>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</si>
  <si>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</si>
  <si>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</si>
  <si>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</si>
  <si>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</si>
  <si>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</si>
  <si>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</si>
  <si>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</si>
  <si>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</si>
  <si>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</si>
  <si>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</si>
  <si>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</si>
  <si>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</si>
  <si>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</si>
  <si>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</si>
  <si>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</si>
  <si>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二小</t>
  </si>
  <si>
    <t>上戏附校</t>
  </si>
  <si>
    <t>单位</t>
    <phoneticPr fontId="1" type="noConversion"/>
  </si>
  <si>
    <t>备注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</si>
  <si>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</si>
  <si>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</si>
  <si>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浦江三幼</t>
  </si>
  <si>
    <t>浦江镇：</t>
    <phoneticPr fontId="2" type="noConversion"/>
  </si>
  <si>
    <t>项目</t>
    <phoneticPr fontId="2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</si>
  <si>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</si>
  <si>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</si>
  <si>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</si>
  <si>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</si>
  <si>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</si>
  <si>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保安经费</t>
    <phoneticPr fontId="1" type="noConversion"/>
  </si>
  <si>
    <t>合计</t>
    <phoneticPr fontId="2" type="noConversion"/>
  </si>
  <si>
    <t>单位：元</t>
    <phoneticPr fontId="2" type="noConversion"/>
  </si>
  <si>
    <t>一次分配合计</t>
    <phoneticPr fontId="1" type="noConversion"/>
  </si>
  <si>
    <t>2023年教育统筹经费第一次分配明细表</t>
    <phoneticPr fontId="1" type="noConversion"/>
  </si>
  <si>
    <t>其中：教育局</t>
    <phoneticPr fontId="1" type="noConversion"/>
  </si>
  <si>
    <t>其中：乡镇（工业区）</t>
    <phoneticPr fontId="1" type="noConversion"/>
  </si>
  <si>
    <r>
      <t>2022年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</si>
  <si>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镇属</t>
  </si>
  <si>
    <t>单 位</t>
  </si>
  <si>
    <t>属性2</t>
  </si>
  <si>
    <t>学段</t>
  </si>
  <si>
    <t>2022年核定金额</t>
    <phoneticPr fontId="1" type="noConversion"/>
  </si>
  <si>
    <t>2022年分配金额</t>
    <phoneticPr fontId="1" type="noConversion"/>
  </si>
  <si>
    <t>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</si>
  <si>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</si>
  <si>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</si>
  <si>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课后延时</t>
  </si>
  <si>
    <t>总绩效</t>
  </si>
  <si>
    <t>义务</t>
  </si>
  <si>
    <t>九年一贯</t>
  </si>
  <si>
    <t>非义务</t>
  </si>
  <si>
    <t>社校</t>
  </si>
  <si>
    <t>幼儿园</t>
  </si>
  <si>
    <t>初中</t>
  </si>
  <si>
    <t>小学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</si>
  <si>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</si>
  <si>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</si>
  <si>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</si>
  <si>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</si>
  <si>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上海师范大学附属中学闵行实验学校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</si>
  <si>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</si>
  <si>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</si>
  <si>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</si>
  <si>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</si>
  <si>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上海市闵行区浦江汇秀小学</t>
  </si>
  <si>
    <t>汇秀（新福山）</t>
  </si>
  <si>
    <t>上海市闵行区浦江镇社区学校</t>
  </si>
  <si>
    <t>上海市闵行区浦江镇第二幼儿园</t>
  </si>
  <si>
    <t>闵行区浦江镇第三幼儿园</t>
  </si>
  <si>
    <t>上海市闵行区浦江宝邸幼儿园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</si>
  <si>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</si>
  <si>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</si>
  <si>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</si>
  <si>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</si>
  <si>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上海市闵行区浦瑞幼儿园</t>
  </si>
  <si>
    <t>浦江小计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</si>
  <si>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3年基本支出预算表</t>
    </r>
    <phoneticPr fontId="2" type="noConversion"/>
  </si>
  <si>
    <t>浦江二中</t>
    <phoneticPr fontId="2" type="noConversion"/>
  </si>
  <si>
    <t>浦江三中</t>
    <phoneticPr fontId="2" type="noConversion"/>
  </si>
  <si>
    <t>世外浦江</t>
  </si>
  <si>
    <t>浦航实中</t>
    <phoneticPr fontId="2" type="noConversion"/>
  </si>
  <si>
    <t>上师闵实验</t>
    <phoneticPr fontId="2" type="noConversion"/>
  </si>
  <si>
    <t>浦汇小学</t>
    <phoneticPr fontId="2" type="noConversion"/>
  </si>
  <si>
    <t>汇秀（福山）</t>
    <phoneticPr fontId="2" type="noConversion"/>
  </si>
  <si>
    <t>浦江二幼</t>
    <phoneticPr fontId="2" type="noConversion"/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</si>
  <si>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</si>
  <si>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</si>
  <si>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</si>
  <si>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</si>
  <si>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 xml:space="preserve">     浦航幼儿园</t>
    <phoneticPr fontId="2" type="noConversion"/>
  </si>
  <si>
    <t>浦莲</t>
  </si>
  <si>
    <t>浦江镇社区学校</t>
    <phoneticPr fontId="2" type="noConversion"/>
  </si>
  <si>
    <t>根据人事口径按实编制</t>
    <phoneticPr fontId="2" type="noConversion"/>
  </si>
  <si>
    <t>　　　　　　(1)上下班交通费补贴</t>
    <phoneticPr fontId="2" type="noConversion"/>
  </si>
  <si>
    <t>　　　　1、工伤保险费0.256%</t>
    <phoneticPr fontId="2" type="noConversion"/>
  </si>
  <si>
    <t>　　　　2、失业保险0.5%</t>
    <phoneticPr fontId="2" type="noConversion"/>
  </si>
  <si>
    <t xml:space="preserve">        1、医疗保险费10.5%</t>
    <phoneticPr fontId="2" type="noConversion"/>
  </si>
  <si>
    <t>　　　　1、基本养老保险16%</t>
    <phoneticPr fontId="2" type="noConversion"/>
  </si>
  <si>
    <t>教职工人数*6000元（公式计算）</t>
    <phoneticPr fontId="2" type="noConversion"/>
  </si>
  <si>
    <t>其他工资福利</t>
    <phoneticPr fontId="2" type="noConversion"/>
  </si>
  <si>
    <t>其他</t>
    <phoneticPr fontId="2" type="noConversion"/>
  </si>
  <si>
    <t>年初预算为0</t>
    <phoneticPr fontId="2" type="noConversion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</si>
  <si>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</si>
  <si>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</si>
  <si>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</si>
  <si>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</si>
  <si>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</si>
  <si>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</si>
  <si>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</si>
  <si>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</si>
  <si>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</si>
  <si>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</si>
  <si>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</si>
  <si>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</si>
  <si>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</si>
  <si>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</si>
  <si>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</si>
  <si>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</si>
  <si>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</si>
  <si>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</si>
  <si>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</si>
  <si>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</si>
  <si>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</si>
  <si>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</si>
  <si>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</si>
  <si>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</si>
  <si>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</si>
  <si>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</si>
  <si>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</si>
  <si>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</si>
  <si>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</si>
  <si>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</si>
  <si>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</si>
  <si>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</si>
  <si>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</si>
  <si>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</si>
  <si>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</si>
  <si>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</si>
  <si>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</si>
  <si>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</si>
  <si>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</si>
  <si>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</si>
  <si>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</si>
  <si>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</si>
  <si>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</si>
  <si>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</si>
  <si>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</si>
  <si>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</si>
  <si>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</si>
  <si>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</si>
  <si>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</si>
  <si>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</si>
  <si>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</si>
  <si>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</si>
  <si>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</si>
  <si>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</si>
  <si>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</si>
  <si>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</si>
  <si>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</si>
  <si>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</si>
  <si>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</si>
  <si>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</si>
  <si>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</si>
  <si>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</si>
  <si>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</si>
  <si>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</si>
  <si>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
机关局无编制车辆的学校按32000元编制预算
机关局有编制的车辆，每分校增加10000元，每个分园增加5000元编制预算</t>
    <phoneticPr fontId="2" type="noConversion"/>
  </si>
  <si>
    <t>90</t>
  </si>
  <si>
    <t>91</t>
  </si>
  <si>
    <t>填写2022年9月在编教职工人数</t>
    <phoneticPr fontId="2" type="noConversion"/>
  </si>
  <si>
    <t>92</t>
  </si>
  <si>
    <t>93</t>
  </si>
  <si>
    <t>94</t>
  </si>
  <si>
    <t>95</t>
  </si>
  <si>
    <t>96</t>
  </si>
  <si>
    <t>填写2022年秋季学期学生人数，以招办人数为准</t>
    <phoneticPr fontId="2" type="noConversion"/>
  </si>
  <si>
    <t>97</t>
  </si>
  <si>
    <t>98</t>
  </si>
  <si>
    <t>99</t>
  </si>
  <si>
    <t>100</t>
  </si>
  <si>
    <t>101</t>
  </si>
  <si>
    <t>102</t>
  </si>
  <si>
    <t>103</t>
  </si>
  <si>
    <t>104</t>
  </si>
  <si>
    <t>2023年镇管学校校区保安经费预算表</t>
    <phoneticPr fontId="1" type="noConversion"/>
  </si>
  <si>
    <t>序号</t>
    <phoneticPr fontId="2" type="noConversion"/>
  </si>
  <si>
    <t>学校名称</t>
    <phoneticPr fontId="2" type="noConversion"/>
  </si>
  <si>
    <t>所属街镇</t>
    <phoneticPr fontId="2" type="noConversion"/>
  </si>
  <si>
    <t>校区               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</si>
  <si>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</si>
  <si>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</si>
  <si>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</si>
  <si>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浦江社区学校</t>
    <phoneticPr fontId="1" type="noConversion"/>
  </si>
  <si>
    <t>浦江镇</t>
    <phoneticPr fontId="2" type="noConversion"/>
  </si>
  <si>
    <t>浦江合计</t>
    <phoneticPr fontId="1" type="noConversion"/>
  </si>
  <si>
    <t>2023年镇管学校残疾就业保障金预算表</t>
    <phoneticPr fontId="1" type="noConversion"/>
  </si>
  <si>
    <t>镇属</t>
    <phoneticPr fontId="1" type="noConversion"/>
  </si>
  <si>
    <t>金额</t>
    <phoneticPr fontId="1" type="noConversion"/>
  </si>
  <si>
    <t>浦江</t>
    <phoneticPr fontId="1" type="noConversion"/>
  </si>
  <si>
    <t>浦江 汇总</t>
  </si>
  <si>
    <t>残疾就业保障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</si>
</sst>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9"/>
      <color rgb="FFFF000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4" fillId="0" borderId="0"/>
    <xf numFmtId="0" fontId="28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8" fillId="3" borderId="5" xfId="0" applyNumberFormat="1" applyFont="1" applyFill="1" applyBorder="1" applyAlignment="1" applyProtection="1">
      <protection locked="0"/>
    </xf>
    <xf numFmtId="0" fontId="16" fillId="3" borderId="5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5" xfId="0" applyNumberFormat="1" applyFont="1" applyFill="1" applyBorder="1" applyAlignment="1" applyProtection="1">
      <alignment horizontal="center"/>
      <protection locked="0"/>
    </xf>
    <xf numFmtId="49" fontId="17" fillId="3" borderId="5" xfId="0" applyNumberFormat="1" applyFont="1" applyFill="1" applyBorder="1" applyAlignment="1" applyProtection="1">
      <protection locked="0"/>
    </xf>
    <xf numFmtId="49" fontId="17" fillId="3" borderId="5" xfId="0" applyNumberFormat="1" applyFont="1" applyFill="1" applyBorder="1" applyAlignment="1" applyProtection="1">
      <alignment wrapText="1"/>
      <protection locked="0"/>
    </xf>
    <xf numFmtId="177" fontId="18" fillId="3" borderId="5" xfId="0" applyNumberFormat="1" applyFont="1" applyFill="1" applyBorder="1" applyAlignment="1" applyProtection="1"/>
    <xf numFmtId="49" fontId="18" fillId="3" borderId="5" xfId="0" applyNumberFormat="1" applyFont="1" applyFill="1" applyBorder="1" applyAlignment="1" applyProtection="1">
      <alignment wrapText="1"/>
      <protection locked="0"/>
    </xf>
    <xf numFmtId="49" fontId="18" fillId="3" borderId="5" xfId="0" applyNumberFormat="1" applyFont="1" applyFill="1" applyBorder="1" applyAlignment="1" applyProtection="1">
      <alignment horizontal="left" wrapText="1"/>
      <protection locked="0"/>
    </xf>
    <xf numFmtId="49" fontId="18" fillId="3" borderId="5" xfId="0" applyNumberFormat="1" applyFont="1" applyFill="1" applyBorder="1" applyAlignment="1" applyProtection="1">
      <protection locked="0"/>
    </xf>
    <xf numFmtId="0" fontId="18" fillId="3" borderId="0" xfId="0" applyFont="1" applyFill="1" applyAlignment="1" applyProtection="1">
      <protection locked="0"/>
    </xf>
    <xf numFmtId="178" fontId="18" fillId="3" borderId="5" xfId="0" applyNumberFormat="1" applyFont="1" applyFill="1" applyBorder="1" applyAlignment="1" applyProtection="1">
      <protection locked="0"/>
    </xf>
    <xf numFmtId="0" fontId="18" fillId="3" borderId="5" xfId="0" applyFont="1" applyFill="1" applyBorder="1" applyAlignment="1" applyProtection="1">
      <alignment wrapText="1"/>
      <protection locked="0"/>
    </xf>
    <xf numFmtId="49" fontId="17" fillId="3" borderId="4" xfId="0" applyNumberFormat="1" applyFont="1" applyFill="1" applyBorder="1" applyAlignment="1" applyProtection="1">
      <alignment vertical="center"/>
      <protection locked="0"/>
    </xf>
    <xf numFmtId="49" fontId="17" fillId="3" borderId="3" xfId="0" applyNumberFormat="1" applyFont="1" applyFill="1" applyBorder="1" applyAlignment="1" applyProtection="1">
      <alignment vertical="center"/>
      <protection locked="0"/>
    </xf>
    <xf numFmtId="49" fontId="17" fillId="3" borderId="5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>
      <alignment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43" fontId="0" fillId="0" borderId="1" xfId="3" applyFont="1" applyBorder="1" applyAlignment="1">
      <alignment vertical="center"/>
    </xf>
    <xf numFmtId="43" fontId="0" fillId="2" borderId="1" xfId="3" applyFont="1" applyFill="1" applyBorder="1" applyAlignment="1">
      <alignment vertical="center"/>
    </xf>
    <xf numFmtId="0" fontId="20" fillId="0" borderId="0" xfId="0" applyNumberFormat="1" applyFont="1" applyBorder="1" applyAlignment="1">
      <alignment horizontal="right" vertical="center"/>
    </xf>
    <xf numFmtId="176" fontId="22" fillId="0" borderId="5" xfId="0" applyNumberFormat="1" applyFont="1" applyBorder="1">
      <alignment vertical="center"/>
    </xf>
    <xf numFmtId="176" fontId="23" fillId="0" borderId="5" xfId="0" applyNumberFormat="1" applyFont="1" applyBorder="1">
      <alignment vertical="center"/>
    </xf>
    <xf numFmtId="176" fontId="21" fillId="0" borderId="5" xfId="0" applyNumberFormat="1" applyFont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5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29" fillId="0" borderId="5" xfId="18" applyFont="1" applyBorder="1" applyAlignment="1">
      <alignment horizontal="center" vertical="center"/>
    </xf>
    <xf numFmtId="0" fontId="2" fillId="3" borderId="0" xfId="0" applyFont="1" applyFill="1" applyAlignment="1" applyProtection="1">
      <protection locked="0"/>
    </xf>
    <xf numFmtId="49" fontId="2" fillId="3" borderId="5" xfId="0" applyNumberFormat="1" applyFont="1" applyFill="1" applyBorder="1" applyAlignment="1" applyProtection="1"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177" fontId="2" fillId="3" borderId="5" xfId="0" applyNumberFormat="1" applyFont="1" applyFill="1" applyBorder="1" applyAlignment="1" applyProtection="1">
      <protection locked="0"/>
    </xf>
    <xf numFmtId="177" fontId="2" fillId="3" borderId="5" xfId="0" applyNumberFormat="1" applyFont="1" applyFill="1" applyBorder="1" applyAlignment="1" applyProtection="1"/>
    <xf numFmtId="0" fontId="2" fillId="3" borderId="5" xfId="0" applyFont="1" applyFill="1" applyBorder="1" applyAlignment="1" applyProtection="1">
      <alignment wrapText="1"/>
      <protection locked="0"/>
    </xf>
    <xf numFmtId="178" fontId="2" fillId="3" borderId="5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77" fontId="2" fillId="3" borderId="4" xfId="0" applyNumberFormat="1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177" fontId="2" fillId="3" borderId="3" xfId="0" applyNumberFormat="1" applyFont="1" applyFill="1" applyBorder="1" applyAlignment="1" applyProtection="1">
      <protection locked="0"/>
    </xf>
    <xf numFmtId="49" fontId="2" fillId="3" borderId="3" xfId="0" applyNumberFormat="1" applyFont="1" applyFill="1" applyBorder="1" applyAlignment="1" applyProtection="1">
      <alignment wrapText="1"/>
      <protection locked="0"/>
    </xf>
    <xf numFmtId="176" fontId="2" fillId="3" borderId="5" xfId="0" applyNumberFormat="1" applyFont="1" applyFill="1" applyBorder="1" applyAlignment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13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78" fontId="13" fillId="5" borderId="5" xfId="19" applyNumberFormat="1" applyFont="1" applyFill="1" applyBorder="1" applyAlignment="1">
      <alignment horizontal="center" vertical="center" wrapText="1"/>
    </xf>
    <xf numFmtId="178" fontId="13" fillId="5" borderId="5" xfId="0" applyNumberFormat="1" applyFont="1" applyFill="1" applyBorder="1" applyAlignment="1">
      <alignment horizontal="center" vertical="center" wrapText="1"/>
    </xf>
    <xf numFmtId="178" fontId="13" fillId="5" borderId="5" xfId="19" applyNumberFormat="1" applyFont="1" applyFill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9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</cellXfs>
  <cellStyles count="20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超链接" xfId="18" builtinId="8"/>
    <cellStyle name="千位分隔 20" xfId="3"/>
    <cellStyle name="千位分隔 6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2" sqref="E2"/>
    </sheetView>
  </sheetViews>
  <sheetFormatPr defaultColWidth="9" defaultRowHeight="13.5" x14ac:dyDescent="0.15"/>
  <cols>
    <col min="1" max="1" width="6.625" style="27" customWidth="1"/>
    <col min="2" max="2" width="25.25" style="30" customWidth="1"/>
    <col min="3" max="3" width="18.625" style="27" customWidth="1"/>
    <col min="4" max="4" width="16.125" style="27" customWidth="1"/>
    <col min="5" max="5" width="23.625" style="27" customWidth="1"/>
    <col min="6" max="6" width="20.5" style="27" bestFit="1" customWidth="1"/>
    <col min="7" max="7" width="18.625" style="27" hidden="1" customWidth="1"/>
    <col min="8" max="8" width="18.375" style="27" bestFit="1" customWidth="1"/>
    <col min="9" max="9" width="14.375" style="27" hidden="1" customWidth="1"/>
    <col min="10" max="10" width="14.25" style="27" hidden="1" customWidth="1"/>
    <col min="11" max="254" width="9" style="27"/>
    <col min="255" max="255" width="6.625" style="27" customWidth="1"/>
    <col min="256" max="257" width="21.625" style="27" customWidth="1"/>
    <col min="258" max="258" width="16.125" style="27" bestFit="1" customWidth="1"/>
    <col min="259" max="259" width="13.875" style="27" bestFit="1" customWidth="1"/>
    <col min="260" max="260" width="17.25" style="27" bestFit="1" customWidth="1"/>
    <col min="261" max="262" width="20.5" style="27" bestFit="1" customWidth="1"/>
    <col min="263" max="263" width="0" style="27" hidden="1" customWidth="1"/>
    <col min="264" max="264" width="18.375" style="27" bestFit="1" customWidth="1"/>
    <col min="265" max="266" width="0" style="27" hidden="1" customWidth="1"/>
    <col min="267" max="510" width="9" style="27"/>
    <col min="511" max="511" width="6.625" style="27" customWidth="1"/>
    <col min="512" max="513" width="21.625" style="27" customWidth="1"/>
    <col min="514" max="514" width="16.125" style="27" bestFit="1" customWidth="1"/>
    <col min="515" max="515" width="13.875" style="27" bestFit="1" customWidth="1"/>
    <col min="516" max="516" width="17.25" style="27" bestFit="1" customWidth="1"/>
    <col min="517" max="518" width="20.5" style="27" bestFit="1" customWidth="1"/>
    <col min="519" max="519" width="0" style="27" hidden="1" customWidth="1"/>
    <col min="520" max="520" width="18.375" style="27" bestFit="1" customWidth="1"/>
    <col min="521" max="522" width="0" style="27" hidden="1" customWidth="1"/>
    <col min="523" max="766" width="9" style="27"/>
    <col min="767" max="767" width="6.625" style="27" customWidth="1"/>
    <col min="768" max="769" width="21.625" style="27" customWidth="1"/>
    <col min="770" max="770" width="16.125" style="27" bestFit="1" customWidth="1"/>
    <col min="771" max="771" width="13.875" style="27" bestFit="1" customWidth="1"/>
    <col min="772" max="772" width="17.25" style="27" bestFit="1" customWidth="1"/>
    <col min="773" max="774" width="20.5" style="27" bestFit="1" customWidth="1"/>
    <col min="775" max="775" width="0" style="27" hidden="1" customWidth="1"/>
    <col min="776" max="776" width="18.375" style="27" bestFit="1" customWidth="1"/>
    <col min="777" max="778" width="0" style="27" hidden="1" customWidth="1"/>
    <col min="779" max="1022" width="9" style="27"/>
    <col min="1023" max="1023" width="6.625" style="27" customWidth="1"/>
    <col min="1024" max="1025" width="21.625" style="27" customWidth="1"/>
    <col min="1026" max="1026" width="16.125" style="27" bestFit="1" customWidth="1"/>
    <col min="1027" max="1027" width="13.875" style="27" bestFit="1" customWidth="1"/>
    <col min="1028" max="1028" width="17.25" style="27" bestFit="1" customWidth="1"/>
    <col min="1029" max="1030" width="20.5" style="27" bestFit="1" customWidth="1"/>
    <col min="1031" max="1031" width="0" style="27" hidden="1" customWidth="1"/>
    <col min="1032" max="1032" width="18.375" style="27" bestFit="1" customWidth="1"/>
    <col min="1033" max="1034" width="0" style="27" hidden="1" customWidth="1"/>
    <col min="1035" max="1278" width="9" style="27"/>
    <col min="1279" max="1279" width="6.625" style="27" customWidth="1"/>
    <col min="1280" max="1281" width="21.625" style="27" customWidth="1"/>
    <col min="1282" max="1282" width="16.125" style="27" bestFit="1" customWidth="1"/>
    <col min="1283" max="1283" width="13.875" style="27" bestFit="1" customWidth="1"/>
    <col min="1284" max="1284" width="17.25" style="27" bestFit="1" customWidth="1"/>
    <col min="1285" max="1286" width="20.5" style="27" bestFit="1" customWidth="1"/>
    <col min="1287" max="1287" width="0" style="27" hidden="1" customWidth="1"/>
    <col min="1288" max="1288" width="18.375" style="27" bestFit="1" customWidth="1"/>
    <col min="1289" max="1290" width="0" style="27" hidden="1" customWidth="1"/>
    <col min="1291" max="1534" width="9" style="27"/>
    <col min="1535" max="1535" width="6.625" style="27" customWidth="1"/>
    <col min="1536" max="1537" width="21.625" style="27" customWidth="1"/>
    <col min="1538" max="1538" width="16.125" style="27" bestFit="1" customWidth="1"/>
    <col min="1539" max="1539" width="13.875" style="27" bestFit="1" customWidth="1"/>
    <col min="1540" max="1540" width="17.25" style="27" bestFit="1" customWidth="1"/>
    <col min="1541" max="1542" width="20.5" style="27" bestFit="1" customWidth="1"/>
    <col min="1543" max="1543" width="0" style="27" hidden="1" customWidth="1"/>
    <col min="1544" max="1544" width="18.375" style="27" bestFit="1" customWidth="1"/>
    <col min="1545" max="1546" width="0" style="27" hidden="1" customWidth="1"/>
    <col min="1547" max="1790" width="9" style="27"/>
    <col min="1791" max="1791" width="6.625" style="27" customWidth="1"/>
    <col min="1792" max="1793" width="21.625" style="27" customWidth="1"/>
    <col min="1794" max="1794" width="16.125" style="27" bestFit="1" customWidth="1"/>
    <col min="1795" max="1795" width="13.875" style="27" bestFit="1" customWidth="1"/>
    <col min="1796" max="1796" width="17.25" style="27" bestFit="1" customWidth="1"/>
    <col min="1797" max="1798" width="20.5" style="27" bestFit="1" customWidth="1"/>
    <col min="1799" max="1799" width="0" style="27" hidden="1" customWidth="1"/>
    <col min="1800" max="1800" width="18.375" style="27" bestFit="1" customWidth="1"/>
    <col min="1801" max="1802" width="0" style="27" hidden="1" customWidth="1"/>
    <col min="1803" max="2046" width="9" style="27"/>
    <col min="2047" max="2047" width="6.625" style="27" customWidth="1"/>
    <col min="2048" max="2049" width="21.625" style="27" customWidth="1"/>
    <col min="2050" max="2050" width="16.125" style="27" bestFit="1" customWidth="1"/>
    <col min="2051" max="2051" width="13.875" style="27" bestFit="1" customWidth="1"/>
    <col min="2052" max="2052" width="17.25" style="27" bestFit="1" customWidth="1"/>
    <col min="2053" max="2054" width="20.5" style="27" bestFit="1" customWidth="1"/>
    <col min="2055" max="2055" width="0" style="27" hidden="1" customWidth="1"/>
    <col min="2056" max="2056" width="18.375" style="27" bestFit="1" customWidth="1"/>
    <col min="2057" max="2058" width="0" style="27" hidden="1" customWidth="1"/>
    <col min="2059" max="2302" width="9" style="27"/>
    <col min="2303" max="2303" width="6.625" style="27" customWidth="1"/>
    <col min="2304" max="2305" width="21.625" style="27" customWidth="1"/>
    <col min="2306" max="2306" width="16.125" style="27" bestFit="1" customWidth="1"/>
    <col min="2307" max="2307" width="13.875" style="27" bestFit="1" customWidth="1"/>
    <col min="2308" max="2308" width="17.25" style="27" bestFit="1" customWidth="1"/>
    <col min="2309" max="2310" width="20.5" style="27" bestFit="1" customWidth="1"/>
    <col min="2311" max="2311" width="0" style="27" hidden="1" customWidth="1"/>
    <col min="2312" max="2312" width="18.375" style="27" bestFit="1" customWidth="1"/>
    <col min="2313" max="2314" width="0" style="27" hidden="1" customWidth="1"/>
    <col min="2315" max="2558" width="9" style="27"/>
    <col min="2559" max="2559" width="6.625" style="27" customWidth="1"/>
    <col min="2560" max="2561" width="21.625" style="27" customWidth="1"/>
    <col min="2562" max="2562" width="16.125" style="27" bestFit="1" customWidth="1"/>
    <col min="2563" max="2563" width="13.875" style="27" bestFit="1" customWidth="1"/>
    <col min="2564" max="2564" width="17.25" style="27" bestFit="1" customWidth="1"/>
    <col min="2565" max="2566" width="20.5" style="27" bestFit="1" customWidth="1"/>
    <col min="2567" max="2567" width="0" style="27" hidden="1" customWidth="1"/>
    <col min="2568" max="2568" width="18.375" style="27" bestFit="1" customWidth="1"/>
    <col min="2569" max="2570" width="0" style="27" hidden="1" customWidth="1"/>
    <col min="2571" max="2814" width="9" style="27"/>
    <col min="2815" max="2815" width="6.625" style="27" customWidth="1"/>
    <col min="2816" max="2817" width="21.625" style="27" customWidth="1"/>
    <col min="2818" max="2818" width="16.125" style="27" bestFit="1" customWidth="1"/>
    <col min="2819" max="2819" width="13.875" style="27" bestFit="1" customWidth="1"/>
    <col min="2820" max="2820" width="17.25" style="27" bestFit="1" customWidth="1"/>
    <col min="2821" max="2822" width="20.5" style="27" bestFit="1" customWidth="1"/>
    <col min="2823" max="2823" width="0" style="27" hidden="1" customWidth="1"/>
    <col min="2824" max="2824" width="18.375" style="27" bestFit="1" customWidth="1"/>
    <col min="2825" max="2826" width="0" style="27" hidden="1" customWidth="1"/>
    <col min="2827" max="3070" width="9" style="27"/>
    <col min="3071" max="3071" width="6.625" style="27" customWidth="1"/>
    <col min="3072" max="3073" width="21.625" style="27" customWidth="1"/>
    <col min="3074" max="3074" width="16.125" style="27" bestFit="1" customWidth="1"/>
    <col min="3075" max="3075" width="13.875" style="27" bestFit="1" customWidth="1"/>
    <col min="3076" max="3076" width="17.25" style="27" bestFit="1" customWidth="1"/>
    <col min="3077" max="3078" width="20.5" style="27" bestFit="1" customWidth="1"/>
    <col min="3079" max="3079" width="0" style="27" hidden="1" customWidth="1"/>
    <col min="3080" max="3080" width="18.375" style="27" bestFit="1" customWidth="1"/>
    <col min="3081" max="3082" width="0" style="27" hidden="1" customWidth="1"/>
    <col min="3083" max="3326" width="9" style="27"/>
    <col min="3327" max="3327" width="6.625" style="27" customWidth="1"/>
    <col min="3328" max="3329" width="21.625" style="27" customWidth="1"/>
    <col min="3330" max="3330" width="16.125" style="27" bestFit="1" customWidth="1"/>
    <col min="3331" max="3331" width="13.875" style="27" bestFit="1" customWidth="1"/>
    <col min="3332" max="3332" width="17.25" style="27" bestFit="1" customWidth="1"/>
    <col min="3333" max="3334" width="20.5" style="27" bestFit="1" customWidth="1"/>
    <col min="3335" max="3335" width="0" style="27" hidden="1" customWidth="1"/>
    <col min="3336" max="3336" width="18.375" style="27" bestFit="1" customWidth="1"/>
    <col min="3337" max="3338" width="0" style="27" hidden="1" customWidth="1"/>
    <col min="3339" max="3582" width="9" style="27"/>
    <col min="3583" max="3583" width="6.625" style="27" customWidth="1"/>
    <col min="3584" max="3585" width="21.625" style="27" customWidth="1"/>
    <col min="3586" max="3586" width="16.125" style="27" bestFit="1" customWidth="1"/>
    <col min="3587" max="3587" width="13.875" style="27" bestFit="1" customWidth="1"/>
    <col min="3588" max="3588" width="17.25" style="27" bestFit="1" customWidth="1"/>
    <col min="3589" max="3590" width="20.5" style="27" bestFit="1" customWidth="1"/>
    <col min="3591" max="3591" width="0" style="27" hidden="1" customWidth="1"/>
    <col min="3592" max="3592" width="18.375" style="27" bestFit="1" customWidth="1"/>
    <col min="3593" max="3594" width="0" style="27" hidden="1" customWidth="1"/>
    <col min="3595" max="3838" width="9" style="27"/>
    <col min="3839" max="3839" width="6.625" style="27" customWidth="1"/>
    <col min="3840" max="3841" width="21.625" style="27" customWidth="1"/>
    <col min="3842" max="3842" width="16.125" style="27" bestFit="1" customWidth="1"/>
    <col min="3843" max="3843" width="13.875" style="27" bestFit="1" customWidth="1"/>
    <col min="3844" max="3844" width="17.25" style="27" bestFit="1" customWidth="1"/>
    <col min="3845" max="3846" width="20.5" style="27" bestFit="1" customWidth="1"/>
    <col min="3847" max="3847" width="0" style="27" hidden="1" customWidth="1"/>
    <col min="3848" max="3848" width="18.375" style="27" bestFit="1" customWidth="1"/>
    <col min="3849" max="3850" width="0" style="27" hidden="1" customWidth="1"/>
    <col min="3851" max="4094" width="9" style="27"/>
    <col min="4095" max="4095" width="6.625" style="27" customWidth="1"/>
    <col min="4096" max="4097" width="21.625" style="27" customWidth="1"/>
    <col min="4098" max="4098" width="16.125" style="27" bestFit="1" customWidth="1"/>
    <col min="4099" max="4099" width="13.875" style="27" bestFit="1" customWidth="1"/>
    <col min="4100" max="4100" width="17.25" style="27" bestFit="1" customWidth="1"/>
    <col min="4101" max="4102" width="20.5" style="27" bestFit="1" customWidth="1"/>
    <col min="4103" max="4103" width="0" style="27" hidden="1" customWidth="1"/>
    <col min="4104" max="4104" width="18.375" style="27" bestFit="1" customWidth="1"/>
    <col min="4105" max="4106" width="0" style="27" hidden="1" customWidth="1"/>
    <col min="4107" max="4350" width="9" style="27"/>
    <col min="4351" max="4351" width="6.625" style="27" customWidth="1"/>
    <col min="4352" max="4353" width="21.625" style="27" customWidth="1"/>
    <col min="4354" max="4354" width="16.125" style="27" bestFit="1" customWidth="1"/>
    <col min="4355" max="4355" width="13.875" style="27" bestFit="1" customWidth="1"/>
    <col min="4356" max="4356" width="17.25" style="27" bestFit="1" customWidth="1"/>
    <col min="4357" max="4358" width="20.5" style="27" bestFit="1" customWidth="1"/>
    <col min="4359" max="4359" width="0" style="27" hidden="1" customWidth="1"/>
    <col min="4360" max="4360" width="18.375" style="27" bestFit="1" customWidth="1"/>
    <col min="4361" max="4362" width="0" style="27" hidden="1" customWidth="1"/>
    <col min="4363" max="4606" width="9" style="27"/>
    <col min="4607" max="4607" width="6.625" style="27" customWidth="1"/>
    <col min="4608" max="4609" width="21.625" style="27" customWidth="1"/>
    <col min="4610" max="4610" width="16.125" style="27" bestFit="1" customWidth="1"/>
    <col min="4611" max="4611" width="13.875" style="27" bestFit="1" customWidth="1"/>
    <col min="4612" max="4612" width="17.25" style="27" bestFit="1" customWidth="1"/>
    <col min="4613" max="4614" width="20.5" style="27" bestFit="1" customWidth="1"/>
    <col min="4615" max="4615" width="0" style="27" hidden="1" customWidth="1"/>
    <col min="4616" max="4616" width="18.375" style="27" bestFit="1" customWidth="1"/>
    <col min="4617" max="4618" width="0" style="27" hidden="1" customWidth="1"/>
    <col min="4619" max="4862" width="9" style="27"/>
    <col min="4863" max="4863" width="6.625" style="27" customWidth="1"/>
    <col min="4864" max="4865" width="21.625" style="27" customWidth="1"/>
    <col min="4866" max="4866" width="16.125" style="27" bestFit="1" customWidth="1"/>
    <col min="4867" max="4867" width="13.875" style="27" bestFit="1" customWidth="1"/>
    <col min="4868" max="4868" width="17.25" style="27" bestFit="1" customWidth="1"/>
    <col min="4869" max="4870" width="20.5" style="27" bestFit="1" customWidth="1"/>
    <col min="4871" max="4871" width="0" style="27" hidden="1" customWidth="1"/>
    <col min="4872" max="4872" width="18.375" style="27" bestFit="1" customWidth="1"/>
    <col min="4873" max="4874" width="0" style="27" hidden="1" customWidth="1"/>
    <col min="4875" max="5118" width="9" style="27"/>
    <col min="5119" max="5119" width="6.625" style="27" customWidth="1"/>
    <col min="5120" max="5121" width="21.625" style="27" customWidth="1"/>
    <col min="5122" max="5122" width="16.125" style="27" bestFit="1" customWidth="1"/>
    <col min="5123" max="5123" width="13.875" style="27" bestFit="1" customWidth="1"/>
    <col min="5124" max="5124" width="17.25" style="27" bestFit="1" customWidth="1"/>
    <col min="5125" max="5126" width="20.5" style="27" bestFit="1" customWidth="1"/>
    <col min="5127" max="5127" width="0" style="27" hidden="1" customWidth="1"/>
    <col min="5128" max="5128" width="18.375" style="27" bestFit="1" customWidth="1"/>
    <col min="5129" max="5130" width="0" style="27" hidden="1" customWidth="1"/>
    <col min="5131" max="5374" width="9" style="27"/>
    <col min="5375" max="5375" width="6.625" style="27" customWidth="1"/>
    <col min="5376" max="5377" width="21.625" style="27" customWidth="1"/>
    <col min="5378" max="5378" width="16.125" style="27" bestFit="1" customWidth="1"/>
    <col min="5379" max="5379" width="13.875" style="27" bestFit="1" customWidth="1"/>
    <col min="5380" max="5380" width="17.25" style="27" bestFit="1" customWidth="1"/>
    <col min="5381" max="5382" width="20.5" style="27" bestFit="1" customWidth="1"/>
    <col min="5383" max="5383" width="0" style="27" hidden="1" customWidth="1"/>
    <col min="5384" max="5384" width="18.375" style="27" bestFit="1" customWidth="1"/>
    <col min="5385" max="5386" width="0" style="27" hidden="1" customWidth="1"/>
    <col min="5387" max="5630" width="9" style="27"/>
    <col min="5631" max="5631" width="6.625" style="27" customWidth="1"/>
    <col min="5632" max="5633" width="21.625" style="27" customWidth="1"/>
    <col min="5634" max="5634" width="16.125" style="27" bestFit="1" customWidth="1"/>
    <col min="5635" max="5635" width="13.875" style="27" bestFit="1" customWidth="1"/>
    <col min="5636" max="5636" width="17.25" style="27" bestFit="1" customWidth="1"/>
    <col min="5637" max="5638" width="20.5" style="27" bestFit="1" customWidth="1"/>
    <col min="5639" max="5639" width="0" style="27" hidden="1" customWidth="1"/>
    <col min="5640" max="5640" width="18.375" style="27" bestFit="1" customWidth="1"/>
    <col min="5641" max="5642" width="0" style="27" hidden="1" customWidth="1"/>
    <col min="5643" max="5886" width="9" style="27"/>
    <col min="5887" max="5887" width="6.625" style="27" customWidth="1"/>
    <col min="5888" max="5889" width="21.625" style="27" customWidth="1"/>
    <col min="5890" max="5890" width="16.125" style="27" bestFit="1" customWidth="1"/>
    <col min="5891" max="5891" width="13.875" style="27" bestFit="1" customWidth="1"/>
    <col min="5892" max="5892" width="17.25" style="27" bestFit="1" customWidth="1"/>
    <col min="5893" max="5894" width="20.5" style="27" bestFit="1" customWidth="1"/>
    <col min="5895" max="5895" width="0" style="27" hidden="1" customWidth="1"/>
    <col min="5896" max="5896" width="18.375" style="27" bestFit="1" customWidth="1"/>
    <col min="5897" max="5898" width="0" style="27" hidden="1" customWidth="1"/>
    <col min="5899" max="6142" width="9" style="27"/>
    <col min="6143" max="6143" width="6.625" style="27" customWidth="1"/>
    <col min="6144" max="6145" width="21.625" style="27" customWidth="1"/>
    <col min="6146" max="6146" width="16.125" style="27" bestFit="1" customWidth="1"/>
    <col min="6147" max="6147" width="13.875" style="27" bestFit="1" customWidth="1"/>
    <col min="6148" max="6148" width="17.25" style="27" bestFit="1" customWidth="1"/>
    <col min="6149" max="6150" width="20.5" style="27" bestFit="1" customWidth="1"/>
    <col min="6151" max="6151" width="0" style="27" hidden="1" customWidth="1"/>
    <col min="6152" max="6152" width="18.375" style="27" bestFit="1" customWidth="1"/>
    <col min="6153" max="6154" width="0" style="27" hidden="1" customWidth="1"/>
    <col min="6155" max="6398" width="9" style="27"/>
    <col min="6399" max="6399" width="6.625" style="27" customWidth="1"/>
    <col min="6400" max="6401" width="21.625" style="27" customWidth="1"/>
    <col min="6402" max="6402" width="16.125" style="27" bestFit="1" customWidth="1"/>
    <col min="6403" max="6403" width="13.875" style="27" bestFit="1" customWidth="1"/>
    <col min="6404" max="6404" width="17.25" style="27" bestFit="1" customWidth="1"/>
    <col min="6405" max="6406" width="20.5" style="27" bestFit="1" customWidth="1"/>
    <col min="6407" max="6407" width="0" style="27" hidden="1" customWidth="1"/>
    <col min="6408" max="6408" width="18.375" style="27" bestFit="1" customWidth="1"/>
    <col min="6409" max="6410" width="0" style="27" hidden="1" customWidth="1"/>
    <col min="6411" max="6654" width="9" style="27"/>
    <col min="6655" max="6655" width="6.625" style="27" customWidth="1"/>
    <col min="6656" max="6657" width="21.625" style="27" customWidth="1"/>
    <col min="6658" max="6658" width="16.125" style="27" bestFit="1" customWidth="1"/>
    <col min="6659" max="6659" width="13.875" style="27" bestFit="1" customWidth="1"/>
    <col min="6660" max="6660" width="17.25" style="27" bestFit="1" customWidth="1"/>
    <col min="6661" max="6662" width="20.5" style="27" bestFit="1" customWidth="1"/>
    <col min="6663" max="6663" width="0" style="27" hidden="1" customWidth="1"/>
    <col min="6664" max="6664" width="18.375" style="27" bestFit="1" customWidth="1"/>
    <col min="6665" max="6666" width="0" style="27" hidden="1" customWidth="1"/>
    <col min="6667" max="6910" width="9" style="27"/>
    <col min="6911" max="6911" width="6.625" style="27" customWidth="1"/>
    <col min="6912" max="6913" width="21.625" style="27" customWidth="1"/>
    <col min="6914" max="6914" width="16.125" style="27" bestFit="1" customWidth="1"/>
    <col min="6915" max="6915" width="13.875" style="27" bestFit="1" customWidth="1"/>
    <col min="6916" max="6916" width="17.25" style="27" bestFit="1" customWidth="1"/>
    <col min="6917" max="6918" width="20.5" style="27" bestFit="1" customWidth="1"/>
    <col min="6919" max="6919" width="0" style="27" hidden="1" customWidth="1"/>
    <col min="6920" max="6920" width="18.375" style="27" bestFit="1" customWidth="1"/>
    <col min="6921" max="6922" width="0" style="27" hidden="1" customWidth="1"/>
    <col min="6923" max="7166" width="9" style="27"/>
    <col min="7167" max="7167" width="6.625" style="27" customWidth="1"/>
    <col min="7168" max="7169" width="21.625" style="27" customWidth="1"/>
    <col min="7170" max="7170" width="16.125" style="27" bestFit="1" customWidth="1"/>
    <col min="7171" max="7171" width="13.875" style="27" bestFit="1" customWidth="1"/>
    <col min="7172" max="7172" width="17.25" style="27" bestFit="1" customWidth="1"/>
    <col min="7173" max="7174" width="20.5" style="27" bestFit="1" customWidth="1"/>
    <col min="7175" max="7175" width="0" style="27" hidden="1" customWidth="1"/>
    <col min="7176" max="7176" width="18.375" style="27" bestFit="1" customWidth="1"/>
    <col min="7177" max="7178" width="0" style="27" hidden="1" customWidth="1"/>
    <col min="7179" max="7422" width="9" style="27"/>
    <col min="7423" max="7423" width="6.625" style="27" customWidth="1"/>
    <col min="7424" max="7425" width="21.625" style="27" customWidth="1"/>
    <col min="7426" max="7426" width="16.125" style="27" bestFit="1" customWidth="1"/>
    <col min="7427" max="7427" width="13.875" style="27" bestFit="1" customWidth="1"/>
    <col min="7428" max="7428" width="17.25" style="27" bestFit="1" customWidth="1"/>
    <col min="7429" max="7430" width="20.5" style="27" bestFit="1" customWidth="1"/>
    <col min="7431" max="7431" width="0" style="27" hidden="1" customWidth="1"/>
    <col min="7432" max="7432" width="18.375" style="27" bestFit="1" customWidth="1"/>
    <col min="7433" max="7434" width="0" style="27" hidden="1" customWidth="1"/>
    <col min="7435" max="7678" width="9" style="27"/>
    <col min="7679" max="7679" width="6.625" style="27" customWidth="1"/>
    <col min="7680" max="7681" width="21.625" style="27" customWidth="1"/>
    <col min="7682" max="7682" width="16.125" style="27" bestFit="1" customWidth="1"/>
    <col min="7683" max="7683" width="13.875" style="27" bestFit="1" customWidth="1"/>
    <col min="7684" max="7684" width="17.25" style="27" bestFit="1" customWidth="1"/>
    <col min="7685" max="7686" width="20.5" style="27" bestFit="1" customWidth="1"/>
    <col min="7687" max="7687" width="0" style="27" hidden="1" customWidth="1"/>
    <col min="7688" max="7688" width="18.375" style="27" bestFit="1" customWidth="1"/>
    <col min="7689" max="7690" width="0" style="27" hidden="1" customWidth="1"/>
    <col min="7691" max="7934" width="9" style="27"/>
    <col min="7935" max="7935" width="6.625" style="27" customWidth="1"/>
    <col min="7936" max="7937" width="21.625" style="27" customWidth="1"/>
    <col min="7938" max="7938" width="16.125" style="27" bestFit="1" customWidth="1"/>
    <col min="7939" max="7939" width="13.875" style="27" bestFit="1" customWidth="1"/>
    <col min="7940" max="7940" width="17.25" style="27" bestFit="1" customWidth="1"/>
    <col min="7941" max="7942" width="20.5" style="27" bestFit="1" customWidth="1"/>
    <col min="7943" max="7943" width="0" style="27" hidden="1" customWidth="1"/>
    <col min="7944" max="7944" width="18.375" style="27" bestFit="1" customWidth="1"/>
    <col min="7945" max="7946" width="0" style="27" hidden="1" customWidth="1"/>
    <col min="7947" max="8190" width="9" style="27"/>
    <col min="8191" max="8191" width="6.625" style="27" customWidth="1"/>
    <col min="8192" max="8193" width="21.625" style="27" customWidth="1"/>
    <col min="8194" max="8194" width="16.125" style="27" bestFit="1" customWidth="1"/>
    <col min="8195" max="8195" width="13.875" style="27" bestFit="1" customWidth="1"/>
    <col min="8196" max="8196" width="17.25" style="27" bestFit="1" customWidth="1"/>
    <col min="8197" max="8198" width="20.5" style="27" bestFit="1" customWidth="1"/>
    <col min="8199" max="8199" width="0" style="27" hidden="1" customWidth="1"/>
    <col min="8200" max="8200" width="18.375" style="27" bestFit="1" customWidth="1"/>
    <col min="8201" max="8202" width="0" style="27" hidden="1" customWidth="1"/>
    <col min="8203" max="8446" width="9" style="27"/>
    <col min="8447" max="8447" width="6.625" style="27" customWidth="1"/>
    <col min="8448" max="8449" width="21.625" style="27" customWidth="1"/>
    <col min="8450" max="8450" width="16.125" style="27" bestFit="1" customWidth="1"/>
    <col min="8451" max="8451" width="13.875" style="27" bestFit="1" customWidth="1"/>
    <col min="8452" max="8452" width="17.25" style="27" bestFit="1" customWidth="1"/>
    <col min="8453" max="8454" width="20.5" style="27" bestFit="1" customWidth="1"/>
    <col min="8455" max="8455" width="0" style="27" hidden="1" customWidth="1"/>
    <col min="8456" max="8456" width="18.375" style="27" bestFit="1" customWidth="1"/>
    <col min="8457" max="8458" width="0" style="27" hidden="1" customWidth="1"/>
    <col min="8459" max="8702" width="9" style="27"/>
    <col min="8703" max="8703" width="6.625" style="27" customWidth="1"/>
    <col min="8704" max="8705" width="21.625" style="27" customWidth="1"/>
    <col min="8706" max="8706" width="16.125" style="27" bestFit="1" customWidth="1"/>
    <col min="8707" max="8707" width="13.875" style="27" bestFit="1" customWidth="1"/>
    <col min="8708" max="8708" width="17.25" style="27" bestFit="1" customWidth="1"/>
    <col min="8709" max="8710" width="20.5" style="27" bestFit="1" customWidth="1"/>
    <col min="8711" max="8711" width="0" style="27" hidden="1" customWidth="1"/>
    <col min="8712" max="8712" width="18.375" style="27" bestFit="1" customWidth="1"/>
    <col min="8713" max="8714" width="0" style="27" hidden="1" customWidth="1"/>
    <col min="8715" max="8958" width="9" style="27"/>
    <col min="8959" max="8959" width="6.625" style="27" customWidth="1"/>
    <col min="8960" max="8961" width="21.625" style="27" customWidth="1"/>
    <col min="8962" max="8962" width="16.125" style="27" bestFit="1" customWidth="1"/>
    <col min="8963" max="8963" width="13.875" style="27" bestFit="1" customWidth="1"/>
    <col min="8964" max="8964" width="17.25" style="27" bestFit="1" customWidth="1"/>
    <col min="8965" max="8966" width="20.5" style="27" bestFit="1" customWidth="1"/>
    <col min="8967" max="8967" width="0" style="27" hidden="1" customWidth="1"/>
    <col min="8968" max="8968" width="18.375" style="27" bestFit="1" customWidth="1"/>
    <col min="8969" max="8970" width="0" style="27" hidden="1" customWidth="1"/>
    <col min="8971" max="9214" width="9" style="27"/>
    <col min="9215" max="9215" width="6.625" style="27" customWidth="1"/>
    <col min="9216" max="9217" width="21.625" style="27" customWidth="1"/>
    <col min="9218" max="9218" width="16.125" style="27" bestFit="1" customWidth="1"/>
    <col min="9219" max="9219" width="13.875" style="27" bestFit="1" customWidth="1"/>
    <col min="9220" max="9220" width="17.25" style="27" bestFit="1" customWidth="1"/>
    <col min="9221" max="9222" width="20.5" style="27" bestFit="1" customWidth="1"/>
    <col min="9223" max="9223" width="0" style="27" hidden="1" customWidth="1"/>
    <col min="9224" max="9224" width="18.375" style="27" bestFit="1" customWidth="1"/>
    <col min="9225" max="9226" width="0" style="27" hidden="1" customWidth="1"/>
    <col min="9227" max="9470" width="9" style="27"/>
    <col min="9471" max="9471" width="6.625" style="27" customWidth="1"/>
    <col min="9472" max="9473" width="21.625" style="27" customWidth="1"/>
    <col min="9474" max="9474" width="16.125" style="27" bestFit="1" customWidth="1"/>
    <col min="9475" max="9475" width="13.875" style="27" bestFit="1" customWidth="1"/>
    <col min="9476" max="9476" width="17.25" style="27" bestFit="1" customWidth="1"/>
    <col min="9477" max="9478" width="20.5" style="27" bestFit="1" customWidth="1"/>
    <col min="9479" max="9479" width="0" style="27" hidden="1" customWidth="1"/>
    <col min="9480" max="9480" width="18.375" style="27" bestFit="1" customWidth="1"/>
    <col min="9481" max="9482" width="0" style="27" hidden="1" customWidth="1"/>
    <col min="9483" max="9726" width="9" style="27"/>
    <col min="9727" max="9727" width="6.625" style="27" customWidth="1"/>
    <col min="9728" max="9729" width="21.625" style="27" customWidth="1"/>
    <col min="9730" max="9730" width="16.125" style="27" bestFit="1" customWidth="1"/>
    <col min="9731" max="9731" width="13.875" style="27" bestFit="1" customWidth="1"/>
    <col min="9732" max="9732" width="17.25" style="27" bestFit="1" customWidth="1"/>
    <col min="9733" max="9734" width="20.5" style="27" bestFit="1" customWidth="1"/>
    <col min="9735" max="9735" width="0" style="27" hidden="1" customWidth="1"/>
    <col min="9736" max="9736" width="18.375" style="27" bestFit="1" customWidth="1"/>
    <col min="9737" max="9738" width="0" style="27" hidden="1" customWidth="1"/>
    <col min="9739" max="9982" width="9" style="27"/>
    <col min="9983" max="9983" width="6.625" style="27" customWidth="1"/>
    <col min="9984" max="9985" width="21.625" style="27" customWidth="1"/>
    <col min="9986" max="9986" width="16.125" style="27" bestFit="1" customWidth="1"/>
    <col min="9987" max="9987" width="13.875" style="27" bestFit="1" customWidth="1"/>
    <col min="9988" max="9988" width="17.25" style="27" bestFit="1" customWidth="1"/>
    <col min="9989" max="9990" width="20.5" style="27" bestFit="1" customWidth="1"/>
    <col min="9991" max="9991" width="0" style="27" hidden="1" customWidth="1"/>
    <col min="9992" max="9992" width="18.375" style="27" bestFit="1" customWidth="1"/>
    <col min="9993" max="9994" width="0" style="27" hidden="1" customWidth="1"/>
    <col min="9995" max="10238" width="9" style="27"/>
    <col min="10239" max="10239" width="6.625" style="27" customWidth="1"/>
    <col min="10240" max="10241" width="21.625" style="27" customWidth="1"/>
    <col min="10242" max="10242" width="16.125" style="27" bestFit="1" customWidth="1"/>
    <col min="10243" max="10243" width="13.875" style="27" bestFit="1" customWidth="1"/>
    <col min="10244" max="10244" width="17.25" style="27" bestFit="1" customWidth="1"/>
    <col min="10245" max="10246" width="20.5" style="27" bestFit="1" customWidth="1"/>
    <col min="10247" max="10247" width="0" style="27" hidden="1" customWidth="1"/>
    <col min="10248" max="10248" width="18.375" style="27" bestFit="1" customWidth="1"/>
    <col min="10249" max="10250" width="0" style="27" hidden="1" customWidth="1"/>
    <col min="10251" max="10494" width="9" style="27"/>
    <col min="10495" max="10495" width="6.625" style="27" customWidth="1"/>
    <col min="10496" max="10497" width="21.625" style="27" customWidth="1"/>
    <col min="10498" max="10498" width="16.125" style="27" bestFit="1" customWidth="1"/>
    <col min="10499" max="10499" width="13.875" style="27" bestFit="1" customWidth="1"/>
    <col min="10500" max="10500" width="17.25" style="27" bestFit="1" customWidth="1"/>
    <col min="10501" max="10502" width="20.5" style="27" bestFit="1" customWidth="1"/>
    <col min="10503" max="10503" width="0" style="27" hidden="1" customWidth="1"/>
    <col min="10504" max="10504" width="18.375" style="27" bestFit="1" customWidth="1"/>
    <col min="10505" max="10506" width="0" style="27" hidden="1" customWidth="1"/>
    <col min="10507" max="10750" width="9" style="27"/>
    <col min="10751" max="10751" width="6.625" style="27" customWidth="1"/>
    <col min="10752" max="10753" width="21.625" style="27" customWidth="1"/>
    <col min="10754" max="10754" width="16.125" style="27" bestFit="1" customWidth="1"/>
    <col min="10755" max="10755" width="13.875" style="27" bestFit="1" customWidth="1"/>
    <col min="10756" max="10756" width="17.25" style="27" bestFit="1" customWidth="1"/>
    <col min="10757" max="10758" width="20.5" style="27" bestFit="1" customWidth="1"/>
    <col min="10759" max="10759" width="0" style="27" hidden="1" customWidth="1"/>
    <col min="10760" max="10760" width="18.375" style="27" bestFit="1" customWidth="1"/>
    <col min="10761" max="10762" width="0" style="27" hidden="1" customWidth="1"/>
    <col min="10763" max="11006" width="9" style="27"/>
    <col min="11007" max="11007" width="6.625" style="27" customWidth="1"/>
    <col min="11008" max="11009" width="21.625" style="27" customWidth="1"/>
    <col min="11010" max="11010" width="16.125" style="27" bestFit="1" customWidth="1"/>
    <col min="11011" max="11011" width="13.875" style="27" bestFit="1" customWidth="1"/>
    <col min="11012" max="11012" width="17.25" style="27" bestFit="1" customWidth="1"/>
    <col min="11013" max="11014" width="20.5" style="27" bestFit="1" customWidth="1"/>
    <col min="11015" max="11015" width="0" style="27" hidden="1" customWidth="1"/>
    <col min="11016" max="11016" width="18.375" style="27" bestFit="1" customWidth="1"/>
    <col min="11017" max="11018" width="0" style="27" hidden="1" customWidth="1"/>
    <col min="11019" max="11262" width="9" style="27"/>
    <col min="11263" max="11263" width="6.625" style="27" customWidth="1"/>
    <col min="11264" max="11265" width="21.625" style="27" customWidth="1"/>
    <col min="11266" max="11266" width="16.125" style="27" bestFit="1" customWidth="1"/>
    <col min="11267" max="11267" width="13.875" style="27" bestFit="1" customWidth="1"/>
    <col min="11268" max="11268" width="17.25" style="27" bestFit="1" customWidth="1"/>
    <col min="11269" max="11270" width="20.5" style="27" bestFit="1" customWidth="1"/>
    <col min="11271" max="11271" width="0" style="27" hidden="1" customWidth="1"/>
    <col min="11272" max="11272" width="18.375" style="27" bestFit="1" customWidth="1"/>
    <col min="11273" max="11274" width="0" style="27" hidden="1" customWidth="1"/>
    <col min="11275" max="11518" width="9" style="27"/>
    <col min="11519" max="11519" width="6.625" style="27" customWidth="1"/>
    <col min="11520" max="11521" width="21.625" style="27" customWidth="1"/>
    <col min="11522" max="11522" width="16.125" style="27" bestFit="1" customWidth="1"/>
    <col min="11523" max="11523" width="13.875" style="27" bestFit="1" customWidth="1"/>
    <col min="11524" max="11524" width="17.25" style="27" bestFit="1" customWidth="1"/>
    <col min="11525" max="11526" width="20.5" style="27" bestFit="1" customWidth="1"/>
    <col min="11527" max="11527" width="0" style="27" hidden="1" customWidth="1"/>
    <col min="11528" max="11528" width="18.375" style="27" bestFit="1" customWidth="1"/>
    <col min="11529" max="11530" width="0" style="27" hidden="1" customWidth="1"/>
    <col min="11531" max="11774" width="9" style="27"/>
    <col min="11775" max="11775" width="6.625" style="27" customWidth="1"/>
    <col min="11776" max="11777" width="21.625" style="27" customWidth="1"/>
    <col min="11778" max="11778" width="16.125" style="27" bestFit="1" customWidth="1"/>
    <col min="11779" max="11779" width="13.875" style="27" bestFit="1" customWidth="1"/>
    <col min="11780" max="11780" width="17.25" style="27" bestFit="1" customWidth="1"/>
    <col min="11781" max="11782" width="20.5" style="27" bestFit="1" customWidth="1"/>
    <col min="11783" max="11783" width="0" style="27" hidden="1" customWidth="1"/>
    <col min="11784" max="11784" width="18.375" style="27" bestFit="1" customWidth="1"/>
    <col min="11785" max="11786" width="0" style="27" hidden="1" customWidth="1"/>
    <col min="11787" max="12030" width="9" style="27"/>
    <col min="12031" max="12031" width="6.625" style="27" customWidth="1"/>
    <col min="12032" max="12033" width="21.625" style="27" customWidth="1"/>
    <col min="12034" max="12034" width="16.125" style="27" bestFit="1" customWidth="1"/>
    <col min="12035" max="12035" width="13.875" style="27" bestFit="1" customWidth="1"/>
    <col min="12036" max="12036" width="17.25" style="27" bestFit="1" customWidth="1"/>
    <col min="12037" max="12038" width="20.5" style="27" bestFit="1" customWidth="1"/>
    <col min="12039" max="12039" width="0" style="27" hidden="1" customWidth="1"/>
    <col min="12040" max="12040" width="18.375" style="27" bestFit="1" customWidth="1"/>
    <col min="12041" max="12042" width="0" style="27" hidden="1" customWidth="1"/>
    <col min="12043" max="12286" width="9" style="27"/>
    <col min="12287" max="12287" width="6.625" style="27" customWidth="1"/>
    <col min="12288" max="12289" width="21.625" style="27" customWidth="1"/>
    <col min="12290" max="12290" width="16.125" style="27" bestFit="1" customWidth="1"/>
    <col min="12291" max="12291" width="13.875" style="27" bestFit="1" customWidth="1"/>
    <col min="12292" max="12292" width="17.25" style="27" bestFit="1" customWidth="1"/>
    <col min="12293" max="12294" width="20.5" style="27" bestFit="1" customWidth="1"/>
    <col min="12295" max="12295" width="0" style="27" hidden="1" customWidth="1"/>
    <col min="12296" max="12296" width="18.375" style="27" bestFit="1" customWidth="1"/>
    <col min="12297" max="12298" width="0" style="27" hidden="1" customWidth="1"/>
    <col min="12299" max="12542" width="9" style="27"/>
    <col min="12543" max="12543" width="6.625" style="27" customWidth="1"/>
    <col min="12544" max="12545" width="21.625" style="27" customWidth="1"/>
    <col min="12546" max="12546" width="16.125" style="27" bestFit="1" customWidth="1"/>
    <col min="12547" max="12547" width="13.875" style="27" bestFit="1" customWidth="1"/>
    <col min="12548" max="12548" width="17.25" style="27" bestFit="1" customWidth="1"/>
    <col min="12549" max="12550" width="20.5" style="27" bestFit="1" customWidth="1"/>
    <col min="12551" max="12551" width="0" style="27" hidden="1" customWidth="1"/>
    <col min="12552" max="12552" width="18.375" style="27" bestFit="1" customWidth="1"/>
    <col min="12553" max="12554" width="0" style="27" hidden="1" customWidth="1"/>
    <col min="12555" max="12798" width="9" style="27"/>
    <col min="12799" max="12799" width="6.625" style="27" customWidth="1"/>
    <col min="12800" max="12801" width="21.625" style="27" customWidth="1"/>
    <col min="12802" max="12802" width="16.125" style="27" bestFit="1" customWidth="1"/>
    <col min="12803" max="12803" width="13.875" style="27" bestFit="1" customWidth="1"/>
    <col min="12804" max="12804" width="17.25" style="27" bestFit="1" customWidth="1"/>
    <col min="12805" max="12806" width="20.5" style="27" bestFit="1" customWidth="1"/>
    <col min="12807" max="12807" width="0" style="27" hidden="1" customWidth="1"/>
    <col min="12808" max="12808" width="18.375" style="27" bestFit="1" customWidth="1"/>
    <col min="12809" max="12810" width="0" style="27" hidden="1" customWidth="1"/>
    <col min="12811" max="13054" width="9" style="27"/>
    <col min="13055" max="13055" width="6.625" style="27" customWidth="1"/>
    <col min="13056" max="13057" width="21.625" style="27" customWidth="1"/>
    <col min="13058" max="13058" width="16.125" style="27" bestFit="1" customWidth="1"/>
    <col min="13059" max="13059" width="13.875" style="27" bestFit="1" customWidth="1"/>
    <col min="13060" max="13060" width="17.25" style="27" bestFit="1" customWidth="1"/>
    <col min="13061" max="13062" width="20.5" style="27" bestFit="1" customWidth="1"/>
    <col min="13063" max="13063" width="0" style="27" hidden="1" customWidth="1"/>
    <col min="13064" max="13064" width="18.375" style="27" bestFit="1" customWidth="1"/>
    <col min="13065" max="13066" width="0" style="27" hidden="1" customWidth="1"/>
    <col min="13067" max="13310" width="9" style="27"/>
    <col min="13311" max="13311" width="6.625" style="27" customWidth="1"/>
    <col min="13312" max="13313" width="21.625" style="27" customWidth="1"/>
    <col min="13314" max="13314" width="16.125" style="27" bestFit="1" customWidth="1"/>
    <col min="13315" max="13315" width="13.875" style="27" bestFit="1" customWidth="1"/>
    <col min="13316" max="13316" width="17.25" style="27" bestFit="1" customWidth="1"/>
    <col min="13317" max="13318" width="20.5" style="27" bestFit="1" customWidth="1"/>
    <col min="13319" max="13319" width="0" style="27" hidden="1" customWidth="1"/>
    <col min="13320" max="13320" width="18.375" style="27" bestFit="1" customWidth="1"/>
    <col min="13321" max="13322" width="0" style="27" hidden="1" customWidth="1"/>
    <col min="13323" max="13566" width="9" style="27"/>
    <col min="13567" max="13567" width="6.625" style="27" customWidth="1"/>
    <col min="13568" max="13569" width="21.625" style="27" customWidth="1"/>
    <col min="13570" max="13570" width="16.125" style="27" bestFit="1" customWidth="1"/>
    <col min="13571" max="13571" width="13.875" style="27" bestFit="1" customWidth="1"/>
    <col min="13572" max="13572" width="17.25" style="27" bestFit="1" customWidth="1"/>
    <col min="13573" max="13574" width="20.5" style="27" bestFit="1" customWidth="1"/>
    <col min="13575" max="13575" width="0" style="27" hidden="1" customWidth="1"/>
    <col min="13576" max="13576" width="18.375" style="27" bestFit="1" customWidth="1"/>
    <col min="13577" max="13578" width="0" style="27" hidden="1" customWidth="1"/>
    <col min="13579" max="13822" width="9" style="27"/>
    <col min="13823" max="13823" width="6.625" style="27" customWidth="1"/>
    <col min="13824" max="13825" width="21.625" style="27" customWidth="1"/>
    <col min="13826" max="13826" width="16.125" style="27" bestFit="1" customWidth="1"/>
    <col min="13827" max="13827" width="13.875" style="27" bestFit="1" customWidth="1"/>
    <col min="13828" max="13828" width="17.25" style="27" bestFit="1" customWidth="1"/>
    <col min="13829" max="13830" width="20.5" style="27" bestFit="1" customWidth="1"/>
    <col min="13831" max="13831" width="0" style="27" hidden="1" customWidth="1"/>
    <col min="13832" max="13832" width="18.375" style="27" bestFit="1" customWidth="1"/>
    <col min="13833" max="13834" width="0" style="27" hidden="1" customWidth="1"/>
    <col min="13835" max="14078" width="9" style="27"/>
    <col min="14079" max="14079" width="6.625" style="27" customWidth="1"/>
    <col min="14080" max="14081" width="21.625" style="27" customWidth="1"/>
    <col min="14082" max="14082" width="16.125" style="27" bestFit="1" customWidth="1"/>
    <col min="14083" max="14083" width="13.875" style="27" bestFit="1" customWidth="1"/>
    <col min="14084" max="14084" width="17.25" style="27" bestFit="1" customWidth="1"/>
    <col min="14085" max="14086" width="20.5" style="27" bestFit="1" customWidth="1"/>
    <col min="14087" max="14087" width="0" style="27" hidden="1" customWidth="1"/>
    <col min="14088" max="14088" width="18.375" style="27" bestFit="1" customWidth="1"/>
    <col min="14089" max="14090" width="0" style="27" hidden="1" customWidth="1"/>
    <col min="14091" max="14334" width="9" style="27"/>
    <col min="14335" max="14335" width="6.625" style="27" customWidth="1"/>
    <col min="14336" max="14337" width="21.625" style="27" customWidth="1"/>
    <col min="14338" max="14338" width="16.125" style="27" bestFit="1" customWidth="1"/>
    <col min="14339" max="14339" width="13.875" style="27" bestFit="1" customWidth="1"/>
    <col min="14340" max="14340" width="17.25" style="27" bestFit="1" customWidth="1"/>
    <col min="14341" max="14342" width="20.5" style="27" bestFit="1" customWidth="1"/>
    <col min="14343" max="14343" width="0" style="27" hidden="1" customWidth="1"/>
    <col min="14344" max="14344" width="18.375" style="27" bestFit="1" customWidth="1"/>
    <col min="14345" max="14346" width="0" style="27" hidden="1" customWidth="1"/>
    <col min="14347" max="14590" width="9" style="27"/>
    <col min="14591" max="14591" width="6.625" style="27" customWidth="1"/>
    <col min="14592" max="14593" width="21.625" style="27" customWidth="1"/>
    <col min="14594" max="14594" width="16.125" style="27" bestFit="1" customWidth="1"/>
    <col min="14595" max="14595" width="13.875" style="27" bestFit="1" customWidth="1"/>
    <col min="14596" max="14596" width="17.25" style="27" bestFit="1" customWidth="1"/>
    <col min="14597" max="14598" width="20.5" style="27" bestFit="1" customWidth="1"/>
    <col min="14599" max="14599" width="0" style="27" hidden="1" customWidth="1"/>
    <col min="14600" max="14600" width="18.375" style="27" bestFit="1" customWidth="1"/>
    <col min="14601" max="14602" width="0" style="27" hidden="1" customWidth="1"/>
    <col min="14603" max="14846" width="9" style="27"/>
    <col min="14847" max="14847" width="6.625" style="27" customWidth="1"/>
    <col min="14848" max="14849" width="21.625" style="27" customWidth="1"/>
    <col min="14850" max="14850" width="16.125" style="27" bestFit="1" customWidth="1"/>
    <col min="14851" max="14851" width="13.875" style="27" bestFit="1" customWidth="1"/>
    <col min="14852" max="14852" width="17.25" style="27" bestFit="1" customWidth="1"/>
    <col min="14853" max="14854" width="20.5" style="27" bestFit="1" customWidth="1"/>
    <col min="14855" max="14855" width="0" style="27" hidden="1" customWidth="1"/>
    <col min="14856" max="14856" width="18.375" style="27" bestFit="1" customWidth="1"/>
    <col min="14857" max="14858" width="0" style="27" hidden="1" customWidth="1"/>
    <col min="14859" max="15102" width="9" style="27"/>
    <col min="15103" max="15103" width="6.625" style="27" customWidth="1"/>
    <col min="15104" max="15105" width="21.625" style="27" customWidth="1"/>
    <col min="15106" max="15106" width="16.125" style="27" bestFit="1" customWidth="1"/>
    <col min="15107" max="15107" width="13.875" style="27" bestFit="1" customWidth="1"/>
    <col min="15108" max="15108" width="17.25" style="27" bestFit="1" customWidth="1"/>
    <col min="15109" max="15110" width="20.5" style="27" bestFit="1" customWidth="1"/>
    <col min="15111" max="15111" width="0" style="27" hidden="1" customWidth="1"/>
    <col min="15112" max="15112" width="18.375" style="27" bestFit="1" customWidth="1"/>
    <col min="15113" max="15114" width="0" style="27" hidden="1" customWidth="1"/>
    <col min="15115" max="15358" width="9" style="27"/>
    <col min="15359" max="15359" width="6.625" style="27" customWidth="1"/>
    <col min="15360" max="15361" width="21.625" style="27" customWidth="1"/>
    <col min="15362" max="15362" width="16.125" style="27" bestFit="1" customWidth="1"/>
    <col min="15363" max="15363" width="13.875" style="27" bestFit="1" customWidth="1"/>
    <col min="15364" max="15364" width="17.25" style="27" bestFit="1" customWidth="1"/>
    <col min="15365" max="15366" width="20.5" style="27" bestFit="1" customWidth="1"/>
    <col min="15367" max="15367" width="0" style="27" hidden="1" customWidth="1"/>
    <col min="15368" max="15368" width="18.375" style="27" bestFit="1" customWidth="1"/>
    <col min="15369" max="15370" width="0" style="27" hidden="1" customWidth="1"/>
    <col min="15371" max="15614" width="9" style="27"/>
    <col min="15615" max="15615" width="6.625" style="27" customWidth="1"/>
    <col min="15616" max="15617" width="21.625" style="27" customWidth="1"/>
    <col min="15618" max="15618" width="16.125" style="27" bestFit="1" customWidth="1"/>
    <col min="15619" max="15619" width="13.875" style="27" bestFit="1" customWidth="1"/>
    <col min="15620" max="15620" width="17.25" style="27" bestFit="1" customWidth="1"/>
    <col min="15621" max="15622" width="20.5" style="27" bestFit="1" customWidth="1"/>
    <col min="15623" max="15623" width="0" style="27" hidden="1" customWidth="1"/>
    <col min="15624" max="15624" width="18.375" style="27" bestFit="1" customWidth="1"/>
    <col min="15625" max="15626" width="0" style="27" hidden="1" customWidth="1"/>
    <col min="15627" max="15870" width="9" style="27"/>
    <col min="15871" max="15871" width="6.625" style="27" customWidth="1"/>
    <col min="15872" max="15873" width="21.625" style="27" customWidth="1"/>
    <col min="15874" max="15874" width="16.125" style="27" bestFit="1" customWidth="1"/>
    <col min="15875" max="15875" width="13.875" style="27" bestFit="1" customWidth="1"/>
    <col min="15876" max="15876" width="17.25" style="27" bestFit="1" customWidth="1"/>
    <col min="15877" max="15878" width="20.5" style="27" bestFit="1" customWidth="1"/>
    <col min="15879" max="15879" width="0" style="27" hidden="1" customWidth="1"/>
    <col min="15880" max="15880" width="18.375" style="27" bestFit="1" customWidth="1"/>
    <col min="15881" max="15882" width="0" style="27" hidden="1" customWidth="1"/>
    <col min="15883" max="16126" width="9" style="27"/>
    <col min="16127" max="16127" width="6.625" style="27" customWidth="1"/>
    <col min="16128" max="16129" width="21.625" style="27" customWidth="1"/>
    <col min="16130" max="16130" width="16.125" style="27" bestFit="1" customWidth="1"/>
    <col min="16131" max="16131" width="13.875" style="27" bestFit="1" customWidth="1"/>
    <col min="16132" max="16132" width="17.25" style="27" bestFit="1" customWidth="1"/>
    <col min="16133" max="16134" width="20.5" style="27" bestFit="1" customWidth="1"/>
    <col min="16135" max="16135" width="0" style="27" hidden="1" customWidth="1"/>
    <col min="16136" max="16136" width="18.375" style="27" bestFit="1" customWidth="1"/>
    <col min="16137" max="16138" width="0" style="27" hidden="1" customWidth="1"/>
    <col min="16139" max="16384" width="9" style="27"/>
  </cols>
  <sheetData>
    <row r="1" spans="1:5" ht="20.25" x14ac:dyDescent="0.15">
      <c r="A1" s="82" t="s">
        <v>181</v>
      </c>
      <c r="B1" s="83"/>
      <c r="C1" s="83"/>
      <c r="D1" s="83"/>
      <c r="E1" s="83"/>
    </row>
    <row r="2" spans="1:5" ht="35.1" customHeight="1" x14ac:dyDescent="0.15">
      <c r="A2" s="80" t="s">
        <v>170</v>
      </c>
      <c r="B2" s="81"/>
      <c r="E2" s="39" t="s">
        <v>179</v>
      </c>
    </row>
    <row r="3" spans="1:5" ht="30" customHeight="1" x14ac:dyDescent="0.15">
      <c r="A3" s="28" t="s">
        <v>4</v>
      </c>
      <c r="B3" s="28" t="s">
        <v>171</v>
      </c>
      <c r="C3" s="29" t="s">
        <v>180</v>
      </c>
      <c r="D3" s="29" t="s">
        <v>182</v>
      </c>
      <c r="E3" s="29" t="s">
        <v>183</v>
      </c>
    </row>
    <row r="4" spans="1:5" ht="30" customHeight="1" x14ac:dyDescent="0.15">
      <c r="A4" s="28">
        <v>1</v>
      </c>
      <c r="B4" s="28" t="s">
        <v>172</v>
      </c>
      <c r="C4" s="40">
        <f>浦江2023!X4+'2022年绩效清算'!Q24</f>
        <v>335077014.81000006</v>
      </c>
      <c r="D4" s="40"/>
      <c r="E4" s="41">
        <f t="shared" ref="E4:E10" si="0">C4-D4</f>
        <v>335077014.81000006</v>
      </c>
    </row>
    <row r="5" spans="1:5" ht="30" customHeight="1" x14ac:dyDescent="0.15">
      <c r="A5" s="28">
        <v>2</v>
      </c>
      <c r="B5" s="28" t="s">
        <v>173</v>
      </c>
      <c r="C5" s="40">
        <f>浦江2023!X49</f>
        <v>63326075.219999991</v>
      </c>
      <c r="D5" s="40"/>
      <c r="E5" s="41">
        <f t="shared" si="0"/>
        <v>63326075.219999991</v>
      </c>
    </row>
    <row r="6" spans="1:5" ht="30" customHeight="1" x14ac:dyDescent="0.15">
      <c r="A6" s="28">
        <v>3</v>
      </c>
      <c r="B6" s="28" t="s">
        <v>174</v>
      </c>
      <c r="C6" s="40">
        <f>浦江2023!X30</f>
        <v>174140</v>
      </c>
      <c r="D6" s="40"/>
      <c r="E6" s="41">
        <f t="shared" si="0"/>
        <v>174140</v>
      </c>
    </row>
    <row r="7" spans="1:5" ht="30" customHeight="1" x14ac:dyDescent="0.15">
      <c r="A7" s="28">
        <v>4</v>
      </c>
      <c r="B7" s="28" t="s">
        <v>175</v>
      </c>
      <c r="C7" s="40">
        <f>社区教育!C4</f>
        <v>933291</v>
      </c>
      <c r="D7" s="40"/>
      <c r="E7" s="41">
        <f t="shared" si="0"/>
        <v>933291</v>
      </c>
    </row>
    <row r="8" spans="1:5" ht="30" customHeight="1" x14ac:dyDescent="0.15">
      <c r="A8" s="28">
        <v>5</v>
      </c>
      <c r="B8" s="28" t="s">
        <v>176</v>
      </c>
      <c r="C8" s="40">
        <f>志愿者联盟!C4</f>
        <v>40000</v>
      </c>
      <c r="D8" s="40"/>
      <c r="E8" s="41">
        <f t="shared" si="0"/>
        <v>40000</v>
      </c>
    </row>
    <row r="9" spans="1:5" ht="30" customHeight="1" x14ac:dyDescent="0.15">
      <c r="A9" s="28">
        <v>6</v>
      </c>
      <c r="B9" s="28" t="s">
        <v>177</v>
      </c>
      <c r="C9" s="40">
        <f>保安经费!I4</f>
        <v>476250</v>
      </c>
      <c r="D9" s="40">
        <f>C9</f>
        <v>476250</v>
      </c>
      <c r="E9" s="41">
        <f t="shared" si="0"/>
        <v>0</v>
      </c>
    </row>
    <row r="10" spans="1:5" ht="30" customHeight="1" x14ac:dyDescent="0.15">
      <c r="A10" s="28">
        <v>7</v>
      </c>
      <c r="B10" s="28" t="s">
        <v>348</v>
      </c>
      <c r="C10" s="40">
        <f>残疾就业保障!C22</f>
        <v>2998784.1500000004</v>
      </c>
      <c r="D10" s="40"/>
      <c r="E10" s="41">
        <f t="shared" si="0"/>
        <v>2998784.1500000004</v>
      </c>
    </row>
    <row r="11" spans="1:5" ht="30" customHeight="1" x14ac:dyDescent="0.15">
      <c r="A11" s="28"/>
      <c r="B11" s="28" t="s">
        <v>178</v>
      </c>
      <c r="C11" s="42">
        <f>SUM(C4:C10)</f>
        <v>403025555.18000001</v>
      </c>
      <c r="D11" s="42">
        <f t="shared" ref="D11:E11" si="1">SUM(D4:D10)</f>
        <v>476250</v>
      </c>
      <c r="E11" s="42">
        <f t="shared" si="1"/>
        <v>402549305.18000001</v>
      </c>
    </row>
    <row r="12" spans="1:5" ht="30" customHeight="1" x14ac:dyDescent="0.15"/>
    <row r="13" spans="1:5" ht="30" customHeight="1" x14ac:dyDescent="0.15"/>
  </sheetData>
  <mergeCells count="2">
    <mergeCell ref="A2:B2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84" t="s">
        <v>10</v>
      </c>
      <c r="B1" s="84"/>
      <c r="C1" s="84"/>
    </row>
    <row r="2" spans="1:3" ht="24.95" customHeight="1" x14ac:dyDescent="0.15">
      <c r="A2" s="32" t="s">
        <v>2</v>
      </c>
      <c r="B2" s="32" t="s">
        <v>11</v>
      </c>
      <c r="C2" s="32" t="s">
        <v>12</v>
      </c>
    </row>
    <row r="3" spans="1:3" ht="24.95" customHeight="1" x14ac:dyDescent="0.15">
      <c r="A3" s="2" t="s">
        <v>3</v>
      </c>
      <c r="B3" s="6">
        <v>311097</v>
      </c>
      <c r="C3" s="31">
        <f t="shared" ref="C3" si="0">B3*3</f>
        <v>933291</v>
      </c>
    </row>
    <row r="4" spans="1:3" ht="24.95" customHeight="1" x14ac:dyDescent="0.15">
      <c r="A4" s="33" t="s">
        <v>1</v>
      </c>
      <c r="B4" s="34">
        <f>SUM(B3:B3)</f>
        <v>311097</v>
      </c>
      <c r="C4" s="35">
        <f>SUM(C3:C3)</f>
        <v>933291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"/>
    </sheetView>
  </sheetViews>
  <sheetFormatPr defaultRowHeight="13.5" x14ac:dyDescent="0.1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 x14ac:dyDescent="0.25">
      <c r="A1" s="85" t="s">
        <v>13</v>
      </c>
      <c r="B1" s="85"/>
      <c r="C1" s="85"/>
    </row>
    <row r="2" spans="1:3" ht="24.95" customHeight="1" x14ac:dyDescent="0.15">
      <c r="A2" s="7" t="s">
        <v>4</v>
      </c>
      <c r="B2" s="7" t="s">
        <v>14</v>
      </c>
      <c r="C2" s="8" t="s">
        <v>15</v>
      </c>
    </row>
    <row r="3" spans="1:3" ht="24.95" customHeight="1" x14ac:dyDescent="0.15">
      <c r="A3" s="9">
        <v>1</v>
      </c>
      <c r="B3" s="9" t="s">
        <v>5</v>
      </c>
      <c r="C3" s="37">
        <v>40000</v>
      </c>
    </row>
    <row r="4" spans="1:3" ht="24.95" customHeight="1" x14ac:dyDescent="0.15">
      <c r="A4" s="36"/>
      <c r="B4" s="3" t="s">
        <v>6</v>
      </c>
      <c r="C4" s="38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C3" sqref="C3"/>
    </sheetView>
  </sheetViews>
  <sheetFormatPr defaultRowHeight="13.5" x14ac:dyDescent="0.15"/>
  <cols>
    <col min="8" max="8" width="15.5" customWidth="1"/>
    <col min="9" max="9" width="20" customWidth="1"/>
  </cols>
  <sheetData>
    <row r="1" spans="1:9" ht="27" x14ac:dyDescent="0.15">
      <c r="A1" s="86" t="s">
        <v>332</v>
      </c>
      <c r="B1" s="87"/>
      <c r="C1" s="87"/>
      <c r="D1" s="87"/>
      <c r="E1" s="87"/>
      <c r="F1" s="87"/>
      <c r="G1" s="87"/>
      <c r="H1" s="87"/>
      <c r="I1" s="87"/>
    </row>
    <row r="2" spans="1:9" ht="22.5" x14ac:dyDescent="0.15">
      <c r="A2" s="69" t="s">
        <v>333</v>
      </c>
      <c r="B2" s="88" t="s">
        <v>334</v>
      </c>
      <c r="C2" s="88"/>
      <c r="D2" s="88"/>
      <c r="E2" s="70" t="s">
        <v>335</v>
      </c>
      <c r="F2" s="71" t="s">
        <v>336</v>
      </c>
      <c r="G2" s="71" t="s">
        <v>337</v>
      </c>
      <c r="H2" s="72" t="s">
        <v>338</v>
      </c>
      <c r="I2" s="73" t="s">
        <v>339</v>
      </c>
    </row>
    <row r="3" spans="1:9" x14ac:dyDescent="0.15">
      <c r="A3" s="51">
        <v>1</v>
      </c>
      <c r="B3" s="89" t="s">
        <v>340</v>
      </c>
      <c r="C3" s="89"/>
      <c r="D3" s="89"/>
      <c r="E3" s="71" t="s">
        <v>341</v>
      </c>
      <c r="F3" s="69">
        <v>1</v>
      </c>
      <c r="G3" s="71">
        <v>5</v>
      </c>
      <c r="H3" s="74">
        <v>95250</v>
      </c>
      <c r="I3" s="74">
        <f t="shared" ref="I3" si="0">H3*G3</f>
        <v>476250</v>
      </c>
    </row>
    <row r="4" spans="1:9" x14ac:dyDescent="0.15">
      <c r="A4" s="51"/>
      <c r="B4" s="89" t="s">
        <v>342</v>
      </c>
      <c r="C4" s="89"/>
      <c r="D4" s="89"/>
      <c r="E4" s="51"/>
      <c r="F4" s="51"/>
      <c r="G4" s="51"/>
      <c r="H4" s="75"/>
      <c r="I4" s="75">
        <f>I3</f>
        <v>476250</v>
      </c>
    </row>
  </sheetData>
  <mergeCells count="4">
    <mergeCell ref="A1:I1"/>
    <mergeCell ref="B2:D2"/>
    <mergeCell ref="B3:D3"/>
    <mergeCell ref="B4:D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1" workbookViewId="0">
      <selection activeCell="C3" sqref="C3"/>
    </sheetView>
  </sheetViews>
  <sheetFormatPr defaultRowHeight="13.5" x14ac:dyDescent="0.15"/>
  <cols>
    <col min="1" max="1" width="0" hidden="1" customWidth="1"/>
    <col min="2" max="2" width="25.625" customWidth="1"/>
    <col min="3" max="3" width="6.5" customWidth="1"/>
    <col min="6" max="6" width="12.875" customWidth="1"/>
    <col min="7" max="7" width="13" customWidth="1"/>
    <col min="8" max="8" width="10.5" bestFit="1" customWidth="1"/>
    <col min="9" max="9" width="12.25" bestFit="1" customWidth="1"/>
    <col min="10" max="10" width="12.375" customWidth="1"/>
    <col min="11" max="12" width="10.5" bestFit="1" customWidth="1"/>
    <col min="13" max="13" width="15" bestFit="1" customWidth="1"/>
    <col min="14" max="14" width="12.125" customWidth="1"/>
    <col min="15" max="15" width="12.25" customWidth="1"/>
    <col min="16" max="16" width="10.5" bestFit="1" customWidth="1"/>
    <col min="17" max="17" width="11.625" bestFit="1" customWidth="1"/>
  </cols>
  <sheetData>
    <row r="1" spans="1:17" ht="20.25" x14ac:dyDescent="0.15">
      <c r="A1" s="90" t="s">
        <v>184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x14ac:dyDescent="0.15">
      <c r="A2" s="92" t="s">
        <v>185</v>
      </c>
      <c r="B2" s="94" t="s">
        <v>186</v>
      </c>
      <c r="C2" s="94" t="s">
        <v>0</v>
      </c>
      <c r="D2" s="95" t="s">
        <v>187</v>
      </c>
      <c r="E2" s="96" t="s">
        <v>188</v>
      </c>
      <c r="F2" s="97" t="s">
        <v>189</v>
      </c>
      <c r="G2" s="98"/>
      <c r="H2" s="98"/>
      <c r="I2" s="98"/>
      <c r="J2" s="97" t="s">
        <v>190</v>
      </c>
      <c r="K2" s="98"/>
      <c r="L2" s="98"/>
      <c r="M2" s="98"/>
      <c r="N2" s="97" t="s">
        <v>191</v>
      </c>
      <c r="O2" s="98"/>
      <c r="P2" s="98"/>
      <c r="Q2" s="98"/>
    </row>
    <row r="3" spans="1:17" ht="22.5" x14ac:dyDescent="0.15">
      <c r="A3" s="93"/>
      <c r="B3" s="93"/>
      <c r="C3" s="93"/>
      <c r="D3" s="93"/>
      <c r="E3" s="93"/>
      <c r="F3" s="43" t="s">
        <v>192</v>
      </c>
      <c r="G3" s="44" t="s">
        <v>193</v>
      </c>
      <c r="H3" s="45" t="s">
        <v>194</v>
      </c>
      <c r="I3" s="45" t="s">
        <v>195</v>
      </c>
      <c r="J3" s="43" t="s">
        <v>192</v>
      </c>
      <c r="K3" s="44" t="s">
        <v>193</v>
      </c>
      <c r="L3" s="45" t="s">
        <v>194</v>
      </c>
      <c r="M3" s="45" t="s">
        <v>195</v>
      </c>
      <c r="N3" s="43" t="s">
        <v>192</v>
      </c>
      <c r="O3" s="44" t="s">
        <v>193</v>
      </c>
      <c r="P3" s="45" t="s">
        <v>194</v>
      </c>
      <c r="Q3" s="45" t="s">
        <v>195</v>
      </c>
    </row>
    <row r="4" spans="1:17" s="50" customFormat="1" ht="20.100000000000001" customHeight="1" x14ac:dyDescent="0.15">
      <c r="A4" s="51" t="s">
        <v>3</v>
      </c>
      <c r="B4" s="46" t="s">
        <v>203</v>
      </c>
      <c r="C4" s="46">
        <v>1</v>
      </c>
      <c r="D4" s="46" t="s">
        <v>196</v>
      </c>
      <c r="E4" s="46" t="s">
        <v>201</v>
      </c>
      <c r="F4" s="47">
        <v>16686094</v>
      </c>
      <c r="G4" s="47">
        <v>543456</v>
      </c>
      <c r="H4" s="48">
        <v>816695.5</v>
      </c>
      <c r="I4" s="48">
        <f t="shared" ref="I4:I23" si="0">F4+H4</f>
        <v>17502789.5</v>
      </c>
      <c r="J4" s="49">
        <v>16409900</v>
      </c>
      <c r="K4" s="49">
        <v>423456</v>
      </c>
      <c r="L4" s="49">
        <v>380530.58</v>
      </c>
      <c r="M4" s="49">
        <f t="shared" ref="M4:M23" si="1">J4+L4</f>
        <v>16790430.579999998</v>
      </c>
      <c r="N4" s="49">
        <f t="shared" ref="N4:Q23" si="2">F4-J4</f>
        <v>276194</v>
      </c>
      <c r="O4" s="49">
        <f t="shared" si="2"/>
        <v>120000</v>
      </c>
      <c r="P4" s="49">
        <f t="shared" si="2"/>
        <v>436164.92</v>
      </c>
      <c r="Q4" s="49">
        <f t="shared" si="2"/>
        <v>712358.92000000179</v>
      </c>
    </row>
    <row r="5" spans="1:17" s="50" customFormat="1" ht="20.100000000000001" customHeight="1" x14ac:dyDescent="0.15">
      <c r="A5" s="51" t="s">
        <v>3</v>
      </c>
      <c r="B5" s="46" t="s">
        <v>204</v>
      </c>
      <c r="C5" s="46">
        <v>2</v>
      </c>
      <c r="D5" s="46" t="s">
        <v>196</v>
      </c>
      <c r="E5" s="46" t="s">
        <v>201</v>
      </c>
      <c r="F5" s="47">
        <v>16353030</v>
      </c>
      <c r="G5" s="47">
        <v>259452</v>
      </c>
      <c r="H5" s="48">
        <v>922467</v>
      </c>
      <c r="I5" s="48">
        <f t="shared" si="0"/>
        <v>17275497</v>
      </c>
      <c r="J5" s="49">
        <v>16312800</v>
      </c>
      <c r="K5" s="49">
        <v>199452</v>
      </c>
      <c r="L5" s="49">
        <v>392792.58</v>
      </c>
      <c r="M5" s="49">
        <f t="shared" si="1"/>
        <v>16705592.58</v>
      </c>
      <c r="N5" s="49">
        <f t="shared" si="2"/>
        <v>40230</v>
      </c>
      <c r="O5" s="49">
        <f t="shared" si="2"/>
        <v>60000</v>
      </c>
      <c r="P5" s="49">
        <f t="shared" si="2"/>
        <v>529674.41999999993</v>
      </c>
      <c r="Q5" s="49">
        <f t="shared" si="2"/>
        <v>569904.41999999993</v>
      </c>
    </row>
    <row r="6" spans="1:17" s="50" customFormat="1" ht="20.100000000000001" customHeight="1" x14ac:dyDescent="0.15">
      <c r="A6" s="51" t="s">
        <v>3</v>
      </c>
      <c r="B6" s="43" t="s">
        <v>205</v>
      </c>
      <c r="C6" s="46">
        <v>3</v>
      </c>
      <c r="D6" s="46" t="s">
        <v>196</v>
      </c>
      <c r="E6" s="46" t="s">
        <v>201</v>
      </c>
      <c r="F6" s="47">
        <v>13465852</v>
      </c>
      <c r="G6" s="47">
        <v>257292</v>
      </c>
      <c r="H6" s="48">
        <v>804541</v>
      </c>
      <c r="I6" s="48">
        <f t="shared" si="0"/>
        <v>14270393</v>
      </c>
      <c r="J6" s="49">
        <v>13205600</v>
      </c>
      <c r="K6" s="49">
        <v>197292</v>
      </c>
      <c r="L6" s="49">
        <v>400149.78</v>
      </c>
      <c r="M6" s="49">
        <f t="shared" si="1"/>
        <v>13605749.779999999</v>
      </c>
      <c r="N6" s="49">
        <f t="shared" si="2"/>
        <v>260252</v>
      </c>
      <c r="O6" s="49">
        <f t="shared" si="2"/>
        <v>60000</v>
      </c>
      <c r="P6" s="49">
        <f t="shared" si="2"/>
        <v>404391.22</v>
      </c>
      <c r="Q6" s="49">
        <f t="shared" si="2"/>
        <v>664643.22000000067</v>
      </c>
    </row>
    <row r="7" spans="1:17" s="50" customFormat="1" ht="20.100000000000001" customHeight="1" x14ac:dyDescent="0.15">
      <c r="A7" s="51" t="s">
        <v>3</v>
      </c>
      <c r="B7" s="46" t="s">
        <v>206</v>
      </c>
      <c r="C7" s="46">
        <v>4</v>
      </c>
      <c r="D7" s="46" t="s">
        <v>196</v>
      </c>
      <c r="E7" s="46" t="s">
        <v>197</v>
      </c>
      <c r="F7" s="47">
        <v>9540218</v>
      </c>
      <c r="G7" s="47">
        <v>0</v>
      </c>
      <c r="H7" s="48">
        <v>716812.5</v>
      </c>
      <c r="I7" s="48">
        <f t="shared" si="0"/>
        <v>10257030.5</v>
      </c>
      <c r="J7" s="49">
        <v>9807100</v>
      </c>
      <c r="K7" s="49"/>
      <c r="L7" s="49">
        <v>340066</v>
      </c>
      <c r="M7" s="49">
        <f t="shared" si="1"/>
        <v>10147166</v>
      </c>
      <c r="N7" s="49">
        <f t="shared" si="2"/>
        <v>-266882</v>
      </c>
      <c r="O7" s="49">
        <f t="shared" si="2"/>
        <v>0</v>
      </c>
      <c r="P7" s="49">
        <f t="shared" si="2"/>
        <v>376746.5</v>
      </c>
      <c r="Q7" s="49">
        <f t="shared" si="2"/>
        <v>109864.5</v>
      </c>
    </row>
    <row r="8" spans="1:17" s="50" customFormat="1" ht="20.100000000000001" customHeight="1" x14ac:dyDescent="0.15">
      <c r="A8" s="51" t="s">
        <v>3</v>
      </c>
      <c r="B8" s="51" t="s">
        <v>207</v>
      </c>
      <c r="C8" s="46">
        <v>5</v>
      </c>
      <c r="D8" s="46" t="s">
        <v>196</v>
      </c>
      <c r="E8" s="46" t="s">
        <v>197</v>
      </c>
      <c r="F8" s="47">
        <v>1013748</v>
      </c>
      <c r="G8" s="47">
        <v>57368</v>
      </c>
      <c r="H8" s="48">
        <v>60823</v>
      </c>
      <c r="I8" s="48">
        <f t="shared" si="0"/>
        <v>1074571</v>
      </c>
      <c r="J8" s="49">
        <v>1068100</v>
      </c>
      <c r="K8" s="49">
        <v>42368</v>
      </c>
      <c r="L8" s="49">
        <v>58857.58</v>
      </c>
      <c r="M8" s="49">
        <f t="shared" si="1"/>
        <v>1126957.58</v>
      </c>
      <c r="N8" s="49">
        <f t="shared" si="2"/>
        <v>-54352</v>
      </c>
      <c r="O8" s="49">
        <f t="shared" si="2"/>
        <v>15000</v>
      </c>
      <c r="P8" s="49">
        <f t="shared" si="2"/>
        <v>1965.4199999999983</v>
      </c>
      <c r="Q8" s="49">
        <f t="shared" si="2"/>
        <v>-52386.580000000075</v>
      </c>
    </row>
    <row r="9" spans="1:17" s="50" customFormat="1" ht="20.100000000000001" customHeight="1" x14ac:dyDescent="0.15">
      <c r="A9" s="51" t="s">
        <v>3</v>
      </c>
      <c r="B9" s="46" t="s">
        <v>208</v>
      </c>
      <c r="C9" s="46">
        <v>6</v>
      </c>
      <c r="D9" s="46" t="s">
        <v>196</v>
      </c>
      <c r="E9" s="46" t="s">
        <v>202</v>
      </c>
      <c r="F9" s="47">
        <v>18044616</v>
      </c>
      <c r="G9" s="47">
        <v>617916</v>
      </c>
      <c r="H9" s="48">
        <v>694033</v>
      </c>
      <c r="I9" s="48">
        <f t="shared" si="0"/>
        <v>18738649</v>
      </c>
      <c r="J9" s="49">
        <v>18740300</v>
      </c>
      <c r="K9" s="49">
        <v>497196</v>
      </c>
      <c r="L9" s="49">
        <v>610238.63</v>
      </c>
      <c r="M9" s="49">
        <f t="shared" si="1"/>
        <v>19350538.629999999</v>
      </c>
      <c r="N9" s="49">
        <f t="shared" si="2"/>
        <v>-695684</v>
      </c>
      <c r="O9" s="49">
        <f t="shared" si="2"/>
        <v>120720</v>
      </c>
      <c r="P9" s="49">
        <f t="shared" si="2"/>
        <v>83794.37</v>
      </c>
      <c r="Q9" s="49">
        <f t="shared" si="2"/>
        <v>-611889.62999999896</v>
      </c>
    </row>
    <row r="10" spans="1:17" s="50" customFormat="1" ht="20.100000000000001" customHeight="1" x14ac:dyDescent="0.15">
      <c r="A10" s="51" t="s">
        <v>3</v>
      </c>
      <c r="B10" s="46" t="s">
        <v>209</v>
      </c>
      <c r="C10" s="46">
        <v>7</v>
      </c>
      <c r="D10" s="46" t="s">
        <v>196</v>
      </c>
      <c r="E10" s="46" t="s">
        <v>202</v>
      </c>
      <c r="F10" s="47">
        <v>14679798</v>
      </c>
      <c r="G10" s="47">
        <v>273000</v>
      </c>
      <c r="H10" s="48">
        <v>729947.5</v>
      </c>
      <c r="I10" s="48">
        <f t="shared" si="0"/>
        <v>15409745.5</v>
      </c>
      <c r="J10" s="49">
        <v>15341800</v>
      </c>
      <c r="K10" s="49">
        <v>213000</v>
      </c>
      <c r="L10" s="49">
        <v>447154.09</v>
      </c>
      <c r="M10" s="49">
        <f t="shared" si="1"/>
        <v>15788954.09</v>
      </c>
      <c r="N10" s="49">
        <f t="shared" si="2"/>
        <v>-662002</v>
      </c>
      <c r="O10" s="49">
        <f t="shared" si="2"/>
        <v>60000</v>
      </c>
      <c r="P10" s="49">
        <f t="shared" si="2"/>
        <v>282793.40999999997</v>
      </c>
      <c r="Q10" s="49">
        <f t="shared" si="2"/>
        <v>-379208.58999999985</v>
      </c>
    </row>
    <row r="11" spans="1:17" s="50" customFormat="1" ht="20.100000000000001" customHeight="1" x14ac:dyDescent="0.15">
      <c r="A11" s="51" t="s">
        <v>3</v>
      </c>
      <c r="B11" s="46" t="s">
        <v>210</v>
      </c>
      <c r="C11" s="46">
        <v>8</v>
      </c>
      <c r="D11" s="46" t="s">
        <v>196</v>
      </c>
      <c r="E11" s="46" t="s">
        <v>202</v>
      </c>
      <c r="F11" s="47">
        <v>17026366</v>
      </c>
      <c r="G11" s="47">
        <v>302280</v>
      </c>
      <c r="H11" s="48">
        <v>934341.5</v>
      </c>
      <c r="I11" s="48">
        <f t="shared" si="0"/>
        <v>17960707.5</v>
      </c>
      <c r="J11" s="49">
        <v>17575100</v>
      </c>
      <c r="K11" s="49">
        <v>242280</v>
      </c>
      <c r="L11" s="49">
        <v>563234.31000000006</v>
      </c>
      <c r="M11" s="49">
        <f t="shared" si="1"/>
        <v>18138334.309999999</v>
      </c>
      <c r="N11" s="49">
        <f t="shared" si="2"/>
        <v>-548734</v>
      </c>
      <c r="O11" s="49">
        <f t="shared" si="2"/>
        <v>60000</v>
      </c>
      <c r="P11" s="49">
        <f t="shared" si="2"/>
        <v>371107.18999999994</v>
      </c>
      <c r="Q11" s="49">
        <f t="shared" si="2"/>
        <v>-177626.80999999866</v>
      </c>
    </row>
    <row r="12" spans="1:17" s="50" customFormat="1" ht="20.100000000000001" customHeight="1" x14ac:dyDescent="0.15">
      <c r="A12" s="51" t="s">
        <v>3</v>
      </c>
      <c r="B12" s="46" t="s">
        <v>211</v>
      </c>
      <c r="C12" s="46">
        <v>9</v>
      </c>
      <c r="D12" s="46" t="s">
        <v>196</v>
      </c>
      <c r="E12" s="46" t="s">
        <v>202</v>
      </c>
      <c r="F12" s="47">
        <v>8887750</v>
      </c>
      <c r="G12" s="47">
        <v>299772</v>
      </c>
      <c r="H12" s="48">
        <v>450074.5</v>
      </c>
      <c r="I12" s="48">
        <f t="shared" si="0"/>
        <v>9337824.5</v>
      </c>
      <c r="J12" s="49">
        <v>8933200</v>
      </c>
      <c r="K12" s="49">
        <v>239772</v>
      </c>
      <c r="L12" s="49">
        <v>332300.07</v>
      </c>
      <c r="M12" s="49">
        <f t="shared" si="1"/>
        <v>9265500.0700000003</v>
      </c>
      <c r="N12" s="49">
        <f t="shared" si="2"/>
        <v>-45450</v>
      </c>
      <c r="O12" s="49">
        <f t="shared" si="2"/>
        <v>60000</v>
      </c>
      <c r="P12" s="49">
        <f t="shared" si="2"/>
        <v>117774.43</v>
      </c>
      <c r="Q12" s="49">
        <f t="shared" si="2"/>
        <v>72324.429999999702</v>
      </c>
    </row>
    <row r="13" spans="1:17" s="50" customFormat="1" ht="20.100000000000001" customHeight="1" x14ac:dyDescent="0.15">
      <c r="A13" s="51" t="s">
        <v>3</v>
      </c>
      <c r="B13" s="46" t="s">
        <v>212</v>
      </c>
      <c r="C13" s="46">
        <v>10</v>
      </c>
      <c r="D13" s="46" t="s">
        <v>196</v>
      </c>
      <c r="E13" s="46" t="s">
        <v>202</v>
      </c>
      <c r="F13" s="47">
        <v>8347486</v>
      </c>
      <c r="G13" s="47">
        <v>176108</v>
      </c>
      <c r="H13" s="48"/>
      <c r="I13" s="48">
        <f t="shared" si="0"/>
        <v>8347486</v>
      </c>
      <c r="J13" s="49">
        <v>11069400</v>
      </c>
      <c r="K13" s="49">
        <v>197412</v>
      </c>
      <c r="L13" s="49">
        <v>396879.91</v>
      </c>
      <c r="M13" s="49">
        <f t="shared" si="1"/>
        <v>11466279.91</v>
      </c>
      <c r="N13" s="49">
        <f t="shared" si="2"/>
        <v>-2721914</v>
      </c>
      <c r="O13" s="49">
        <f t="shared" si="2"/>
        <v>-21304</v>
      </c>
      <c r="P13" s="49">
        <f t="shared" si="2"/>
        <v>-396879.91</v>
      </c>
      <c r="Q13" s="49">
        <f t="shared" si="2"/>
        <v>-3118793.91</v>
      </c>
    </row>
    <row r="14" spans="1:17" s="50" customFormat="1" ht="20.100000000000001" customHeight="1" x14ac:dyDescent="0.15">
      <c r="A14" s="51" t="s">
        <v>3</v>
      </c>
      <c r="B14" s="52" t="s">
        <v>213</v>
      </c>
      <c r="C14" s="46"/>
      <c r="D14" s="46" t="s">
        <v>196</v>
      </c>
      <c r="E14" s="46" t="s">
        <v>202</v>
      </c>
      <c r="F14" s="47">
        <v>2029102</v>
      </c>
      <c r="G14" s="47">
        <v>81304</v>
      </c>
      <c r="H14" s="48">
        <v>293283</v>
      </c>
      <c r="I14" s="48">
        <f t="shared" si="0"/>
        <v>2322385</v>
      </c>
      <c r="J14" s="49"/>
      <c r="K14" s="49"/>
      <c r="L14" s="49"/>
      <c r="M14" s="49">
        <f t="shared" si="1"/>
        <v>0</v>
      </c>
      <c r="N14" s="49">
        <f t="shared" si="2"/>
        <v>2029102</v>
      </c>
      <c r="O14" s="49">
        <f t="shared" si="2"/>
        <v>81304</v>
      </c>
      <c r="P14" s="49">
        <f t="shared" si="2"/>
        <v>293283</v>
      </c>
      <c r="Q14" s="49">
        <f t="shared" si="2"/>
        <v>2322385</v>
      </c>
    </row>
    <row r="15" spans="1:17" s="50" customFormat="1" ht="20.100000000000001" customHeight="1" x14ac:dyDescent="0.15">
      <c r="A15" s="51" t="s">
        <v>3</v>
      </c>
      <c r="B15" s="46" t="s">
        <v>214</v>
      </c>
      <c r="C15" s="46">
        <v>11</v>
      </c>
      <c r="D15" s="46" t="s">
        <v>198</v>
      </c>
      <c r="E15" s="46" t="s">
        <v>199</v>
      </c>
      <c r="F15" s="47">
        <v>1147500</v>
      </c>
      <c r="G15" s="47">
        <v>0</v>
      </c>
      <c r="H15" s="48"/>
      <c r="I15" s="48">
        <f t="shared" si="0"/>
        <v>1147500</v>
      </c>
      <c r="J15" s="49">
        <v>1099200</v>
      </c>
      <c r="K15" s="49"/>
      <c r="L15" s="49"/>
      <c r="M15" s="49">
        <f t="shared" si="1"/>
        <v>1099200</v>
      </c>
      <c r="N15" s="49">
        <f t="shared" si="2"/>
        <v>48300</v>
      </c>
      <c r="O15" s="49">
        <f t="shared" si="2"/>
        <v>0</v>
      </c>
      <c r="P15" s="49">
        <f t="shared" si="2"/>
        <v>0</v>
      </c>
      <c r="Q15" s="49">
        <f t="shared" si="2"/>
        <v>48300</v>
      </c>
    </row>
    <row r="16" spans="1:17" s="50" customFormat="1" ht="20.100000000000001" customHeight="1" x14ac:dyDescent="0.15">
      <c r="A16" s="51" t="s">
        <v>3</v>
      </c>
      <c r="B16" s="46" t="s">
        <v>215</v>
      </c>
      <c r="C16" s="46">
        <v>12</v>
      </c>
      <c r="D16" s="46" t="s">
        <v>198</v>
      </c>
      <c r="E16" s="46" t="s">
        <v>200</v>
      </c>
      <c r="F16" s="47">
        <v>9930921</v>
      </c>
      <c r="G16" s="47">
        <v>266768</v>
      </c>
      <c r="H16" s="48"/>
      <c r="I16" s="48">
        <f t="shared" si="0"/>
        <v>9930921</v>
      </c>
      <c r="J16" s="49">
        <v>10223500</v>
      </c>
      <c r="K16" s="49">
        <v>206618</v>
      </c>
      <c r="L16" s="49"/>
      <c r="M16" s="49">
        <f t="shared" si="1"/>
        <v>10223500</v>
      </c>
      <c r="N16" s="49">
        <f t="shared" si="2"/>
        <v>-292579</v>
      </c>
      <c r="O16" s="49">
        <f t="shared" si="2"/>
        <v>60150</v>
      </c>
      <c r="P16" s="49">
        <f t="shared" si="2"/>
        <v>0</v>
      </c>
      <c r="Q16" s="49">
        <f t="shared" si="2"/>
        <v>-292579</v>
      </c>
    </row>
    <row r="17" spans="1:17" s="50" customFormat="1" ht="20.100000000000001" customHeight="1" x14ac:dyDescent="0.15">
      <c r="A17" s="51" t="s">
        <v>3</v>
      </c>
      <c r="B17" s="46" t="s">
        <v>216</v>
      </c>
      <c r="C17" s="46">
        <v>13</v>
      </c>
      <c r="D17" s="46" t="s">
        <v>198</v>
      </c>
      <c r="E17" s="46" t="s">
        <v>200</v>
      </c>
      <c r="F17" s="47">
        <v>10593885</v>
      </c>
      <c r="G17" s="47">
        <v>255560</v>
      </c>
      <c r="H17" s="48"/>
      <c r="I17" s="48">
        <f t="shared" si="0"/>
        <v>10593885</v>
      </c>
      <c r="J17" s="49">
        <v>10756900</v>
      </c>
      <c r="K17" s="49">
        <v>195560</v>
      </c>
      <c r="L17" s="49"/>
      <c r="M17" s="49">
        <f t="shared" si="1"/>
        <v>10756900</v>
      </c>
      <c r="N17" s="49">
        <f t="shared" si="2"/>
        <v>-163015</v>
      </c>
      <c r="O17" s="49">
        <f t="shared" si="2"/>
        <v>60000</v>
      </c>
      <c r="P17" s="49">
        <f t="shared" si="2"/>
        <v>0</v>
      </c>
      <c r="Q17" s="49">
        <f t="shared" si="2"/>
        <v>-163015</v>
      </c>
    </row>
    <row r="18" spans="1:17" s="50" customFormat="1" ht="20.100000000000001" customHeight="1" x14ac:dyDescent="0.15">
      <c r="A18" s="51" t="s">
        <v>3</v>
      </c>
      <c r="B18" s="46" t="s">
        <v>217</v>
      </c>
      <c r="C18" s="46">
        <v>14</v>
      </c>
      <c r="D18" s="46" t="s">
        <v>198</v>
      </c>
      <c r="E18" s="46" t="s">
        <v>200</v>
      </c>
      <c r="F18" s="47">
        <v>9456570</v>
      </c>
      <c r="G18" s="47">
        <v>267270</v>
      </c>
      <c r="H18" s="48"/>
      <c r="I18" s="48">
        <f t="shared" si="0"/>
        <v>9456570</v>
      </c>
      <c r="J18" s="49">
        <v>9690100</v>
      </c>
      <c r="K18" s="49">
        <v>207270</v>
      </c>
      <c r="L18" s="49"/>
      <c r="M18" s="49">
        <f t="shared" si="1"/>
        <v>9690100</v>
      </c>
      <c r="N18" s="49">
        <f t="shared" si="2"/>
        <v>-233530</v>
      </c>
      <c r="O18" s="49">
        <f t="shared" si="2"/>
        <v>60000</v>
      </c>
      <c r="P18" s="49">
        <f t="shared" si="2"/>
        <v>0</v>
      </c>
      <c r="Q18" s="49">
        <f t="shared" si="2"/>
        <v>-233530</v>
      </c>
    </row>
    <row r="19" spans="1:17" s="50" customFormat="1" ht="20.100000000000001" customHeight="1" x14ac:dyDescent="0.15">
      <c r="A19" s="51" t="s">
        <v>3</v>
      </c>
      <c r="B19" s="46" t="s">
        <v>218</v>
      </c>
      <c r="C19" s="46">
        <v>15</v>
      </c>
      <c r="D19" s="46" t="s">
        <v>198</v>
      </c>
      <c r="E19" s="46" t="s">
        <v>200</v>
      </c>
      <c r="F19" s="47">
        <v>5903992</v>
      </c>
      <c r="G19" s="47">
        <v>248744</v>
      </c>
      <c r="H19" s="48"/>
      <c r="I19" s="48">
        <f t="shared" si="0"/>
        <v>5903992</v>
      </c>
      <c r="J19" s="49">
        <v>6045200</v>
      </c>
      <c r="K19" s="49">
        <v>188744</v>
      </c>
      <c r="L19" s="49"/>
      <c r="M19" s="49">
        <f t="shared" si="1"/>
        <v>6045200</v>
      </c>
      <c r="N19" s="49">
        <f t="shared" si="2"/>
        <v>-141208</v>
      </c>
      <c r="O19" s="49">
        <f t="shared" si="2"/>
        <v>60000</v>
      </c>
      <c r="P19" s="49">
        <f t="shared" si="2"/>
        <v>0</v>
      </c>
      <c r="Q19" s="49">
        <f t="shared" si="2"/>
        <v>-141208</v>
      </c>
    </row>
    <row r="20" spans="1:17" s="50" customFormat="1" ht="20.100000000000001" customHeight="1" x14ac:dyDescent="0.15">
      <c r="A20" s="51" t="s">
        <v>3</v>
      </c>
      <c r="B20" s="46" t="s">
        <v>219</v>
      </c>
      <c r="C20" s="46">
        <v>16</v>
      </c>
      <c r="D20" s="46" t="s">
        <v>198</v>
      </c>
      <c r="E20" s="46" t="s">
        <v>200</v>
      </c>
      <c r="F20" s="47">
        <v>6516654</v>
      </c>
      <c r="G20" s="47">
        <v>240776</v>
      </c>
      <c r="H20" s="48"/>
      <c r="I20" s="48">
        <f t="shared" si="0"/>
        <v>6516654</v>
      </c>
      <c r="J20" s="49">
        <v>6667500</v>
      </c>
      <c r="K20" s="49">
        <v>180776</v>
      </c>
      <c r="L20" s="49"/>
      <c r="M20" s="49">
        <f t="shared" si="1"/>
        <v>6667500</v>
      </c>
      <c r="N20" s="49">
        <f t="shared" si="2"/>
        <v>-150846</v>
      </c>
      <c r="O20" s="49">
        <f t="shared" si="2"/>
        <v>60000</v>
      </c>
      <c r="P20" s="49">
        <f t="shared" si="2"/>
        <v>0</v>
      </c>
      <c r="Q20" s="49">
        <f t="shared" si="2"/>
        <v>-150846</v>
      </c>
    </row>
    <row r="21" spans="1:17" s="50" customFormat="1" ht="20.100000000000001" customHeight="1" x14ac:dyDescent="0.15">
      <c r="A21" s="51" t="s">
        <v>3</v>
      </c>
      <c r="B21" s="46" t="s">
        <v>220</v>
      </c>
      <c r="C21" s="46">
        <v>17</v>
      </c>
      <c r="D21" s="46" t="s">
        <v>198</v>
      </c>
      <c r="E21" s="46" t="s">
        <v>200</v>
      </c>
      <c r="F21" s="47">
        <v>3930871.0000000005</v>
      </c>
      <c r="G21" s="47">
        <v>230336</v>
      </c>
      <c r="H21" s="48"/>
      <c r="I21" s="48">
        <f t="shared" si="0"/>
        <v>3930871.0000000005</v>
      </c>
      <c r="J21" s="49">
        <v>4000500</v>
      </c>
      <c r="K21" s="49">
        <v>170336</v>
      </c>
      <c r="L21" s="49"/>
      <c r="M21" s="49">
        <f t="shared" si="1"/>
        <v>4000500</v>
      </c>
      <c r="N21" s="49">
        <f t="shared" si="2"/>
        <v>-69628.999999999534</v>
      </c>
      <c r="O21" s="49">
        <f t="shared" si="2"/>
        <v>60000</v>
      </c>
      <c r="P21" s="49">
        <f t="shared" si="2"/>
        <v>0</v>
      </c>
      <c r="Q21" s="49">
        <f t="shared" si="2"/>
        <v>-69628.999999999534</v>
      </c>
    </row>
    <row r="22" spans="1:17" s="50" customFormat="1" ht="20.100000000000001" customHeight="1" x14ac:dyDescent="0.15">
      <c r="A22" s="51" t="s">
        <v>3</v>
      </c>
      <c r="B22" s="43" t="s">
        <v>221</v>
      </c>
      <c r="C22" s="46">
        <v>18</v>
      </c>
      <c r="D22" s="46" t="s">
        <v>198</v>
      </c>
      <c r="E22" s="46" t="s">
        <v>200</v>
      </c>
      <c r="F22" s="47">
        <v>2759034</v>
      </c>
      <c r="G22" s="47">
        <v>237056</v>
      </c>
      <c r="H22" s="48"/>
      <c r="I22" s="48">
        <f t="shared" si="0"/>
        <v>2759034</v>
      </c>
      <c r="J22" s="49">
        <v>2844800</v>
      </c>
      <c r="K22" s="49">
        <v>177056</v>
      </c>
      <c r="L22" s="49"/>
      <c r="M22" s="49">
        <f t="shared" si="1"/>
        <v>2844800</v>
      </c>
      <c r="N22" s="49">
        <f t="shared" si="2"/>
        <v>-85766</v>
      </c>
      <c r="O22" s="49">
        <f t="shared" si="2"/>
        <v>60000</v>
      </c>
      <c r="P22" s="49">
        <f t="shared" si="2"/>
        <v>0</v>
      </c>
      <c r="Q22" s="49">
        <f t="shared" si="2"/>
        <v>-85766</v>
      </c>
    </row>
    <row r="23" spans="1:17" s="50" customFormat="1" ht="20.100000000000001" customHeight="1" x14ac:dyDescent="0.15">
      <c r="A23" s="51" t="s">
        <v>3</v>
      </c>
      <c r="B23" s="43" t="s">
        <v>222</v>
      </c>
      <c r="C23" s="46">
        <v>19</v>
      </c>
      <c r="D23" s="46" t="s">
        <v>198</v>
      </c>
      <c r="E23" s="46" t="s">
        <v>200</v>
      </c>
      <c r="F23" s="47">
        <v>3676181</v>
      </c>
      <c r="G23" s="47">
        <v>238881</v>
      </c>
      <c r="H23" s="48"/>
      <c r="I23" s="48">
        <f t="shared" si="0"/>
        <v>3676181</v>
      </c>
      <c r="J23" s="49">
        <v>3733800</v>
      </c>
      <c r="K23" s="49">
        <v>178881</v>
      </c>
      <c r="L23" s="49"/>
      <c r="M23" s="49">
        <f t="shared" si="1"/>
        <v>3733800</v>
      </c>
      <c r="N23" s="49">
        <f t="shared" si="2"/>
        <v>-57619</v>
      </c>
      <c r="O23" s="49">
        <f t="shared" si="2"/>
        <v>60000</v>
      </c>
      <c r="P23" s="49">
        <f t="shared" si="2"/>
        <v>0</v>
      </c>
      <c r="Q23" s="49">
        <f t="shared" si="2"/>
        <v>-57619</v>
      </c>
    </row>
    <row r="24" spans="1:17" s="50" customFormat="1" ht="20.100000000000001" customHeight="1" x14ac:dyDescent="0.15">
      <c r="A24" s="51"/>
      <c r="B24" s="43" t="s">
        <v>223</v>
      </c>
      <c r="C24" s="46"/>
      <c r="D24" s="46"/>
      <c r="E24" s="46"/>
      <c r="F24" s="47">
        <f>SUM(F4:F23)</f>
        <v>179989668</v>
      </c>
      <c r="G24" s="47">
        <f t="shared" ref="G24:Q24" si="3">SUM(G4:G23)</f>
        <v>4853339</v>
      </c>
      <c r="H24" s="47">
        <f t="shared" si="3"/>
        <v>6423018.5</v>
      </c>
      <c r="I24" s="47">
        <f t="shared" si="3"/>
        <v>186412686.5</v>
      </c>
      <c r="J24" s="47">
        <f t="shared" si="3"/>
        <v>183524800</v>
      </c>
      <c r="K24" s="47">
        <f t="shared" si="3"/>
        <v>3757469</v>
      </c>
      <c r="L24" s="47">
        <f t="shared" si="3"/>
        <v>3922203.53</v>
      </c>
      <c r="M24" s="47">
        <f t="shared" si="3"/>
        <v>187447003.53</v>
      </c>
      <c r="N24" s="47">
        <f t="shared" si="3"/>
        <v>-3535131.9999999995</v>
      </c>
      <c r="O24" s="47">
        <f t="shared" si="3"/>
        <v>1095870</v>
      </c>
      <c r="P24" s="47">
        <f t="shared" si="3"/>
        <v>2500814.9699999997</v>
      </c>
      <c r="Q24" s="47">
        <f t="shared" si="3"/>
        <v>-1034317.0299999951</v>
      </c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workbookViewId="0">
      <pane xSplit="4" ySplit="1" topLeftCell="X14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15.625" defaultRowHeight="11.25" x14ac:dyDescent="0.15"/>
  <cols>
    <col min="1" max="1" width="4.625" style="67" customWidth="1"/>
    <col min="2" max="2" width="23.625" style="53" customWidth="1"/>
    <col min="3" max="3" width="11.375" style="53" customWidth="1"/>
    <col min="4" max="4" width="10.625" style="68" customWidth="1"/>
    <col min="5" max="5" width="15.625" style="53"/>
    <col min="6" max="8" width="10.75" style="53" bestFit="1" customWidth="1"/>
    <col min="9" max="9" width="10.125" style="53" bestFit="1" customWidth="1"/>
    <col min="10" max="10" width="10.75" style="53" bestFit="1" customWidth="1"/>
    <col min="11" max="11" width="11" style="53" bestFit="1" customWidth="1"/>
    <col min="12" max="12" width="10.75" style="53" bestFit="1" customWidth="1"/>
    <col min="13" max="13" width="15.625" style="53"/>
    <col min="14" max="14" width="11.5" style="53" bestFit="1" customWidth="1"/>
    <col min="15" max="17" width="10.75" style="53" bestFit="1" customWidth="1"/>
    <col min="18" max="20" width="15.625" style="53"/>
    <col min="21" max="21" width="14.625" style="53" bestFit="1" customWidth="1"/>
    <col min="22" max="22" width="15.625" style="53"/>
    <col min="23" max="23" width="13.375" style="53" bestFit="1" customWidth="1"/>
    <col min="24" max="24" width="10.75" style="53" bestFit="1" customWidth="1"/>
    <col min="25" max="256" width="15.625" style="53"/>
    <col min="257" max="257" width="4.625" style="53" customWidth="1"/>
    <col min="258" max="258" width="23.625" style="53" customWidth="1"/>
    <col min="259" max="259" width="11.375" style="53" customWidth="1"/>
    <col min="260" max="260" width="10.625" style="53" customWidth="1"/>
    <col min="261" max="261" width="15.625" style="53"/>
    <col min="262" max="264" width="10.75" style="53" bestFit="1" customWidth="1"/>
    <col min="265" max="265" width="10.125" style="53" bestFit="1" customWidth="1"/>
    <col min="266" max="266" width="10.75" style="53" bestFit="1" customWidth="1"/>
    <col min="267" max="267" width="11" style="53" bestFit="1" customWidth="1"/>
    <col min="268" max="268" width="10.75" style="53" bestFit="1" customWidth="1"/>
    <col min="269" max="269" width="15.625" style="53"/>
    <col min="270" max="270" width="11.5" style="53" bestFit="1" customWidth="1"/>
    <col min="271" max="273" width="10.75" style="53" bestFit="1" customWidth="1"/>
    <col min="274" max="276" width="15.625" style="53"/>
    <col min="277" max="277" width="14.625" style="53" bestFit="1" customWidth="1"/>
    <col min="278" max="278" width="15.625" style="53"/>
    <col min="279" max="279" width="13.375" style="53" bestFit="1" customWidth="1"/>
    <col min="280" max="280" width="10.75" style="53" bestFit="1" customWidth="1"/>
    <col min="281" max="512" width="15.625" style="53"/>
    <col min="513" max="513" width="4.625" style="53" customWidth="1"/>
    <col min="514" max="514" width="23.625" style="53" customWidth="1"/>
    <col min="515" max="515" width="11.375" style="53" customWidth="1"/>
    <col min="516" max="516" width="10.625" style="53" customWidth="1"/>
    <col min="517" max="517" width="15.625" style="53"/>
    <col min="518" max="520" width="10.75" style="53" bestFit="1" customWidth="1"/>
    <col min="521" max="521" width="10.125" style="53" bestFit="1" customWidth="1"/>
    <col min="522" max="522" width="10.75" style="53" bestFit="1" customWidth="1"/>
    <col min="523" max="523" width="11" style="53" bestFit="1" customWidth="1"/>
    <col min="524" max="524" width="10.75" style="53" bestFit="1" customWidth="1"/>
    <col min="525" max="525" width="15.625" style="53"/>
    <col min="526" max="526" width="11.5" style="53" bestFit="1" customWidth="1"/>
    <col min="527" max="529" width="10.75" style="53" bestFit="1" customWidth="1"/>
    <col min="530" max="532" width="15.625" style="53"/>
    <col min="533" max="533" width="14.625" style="53" bestFit="1" customWidth="1"/>
    <col min="534" max="534" width="15.625" style="53"/>
    <col min="535" max="535" width="13.375" style="53" bestFit="1" customWidth="1"/>
    <col min="536" max="536" width="10.75" style="53" bestFit="1" customWidth="1"/>
    <col min="537" max="768" width="15.625" style="53"/>
    <col min="769" max="769" width="4.625" style="53" customWidth="1"/>
    <col min="770" max="770" width="23.625" style="53" customWidth="1"/>
    <col min="771" max="771" width="11.375" style="53" customWidth="1"/>
    <col min="772" max="772" width="10.625" style="53" customWidth="1"/>
    <col min="773" max="773" width="15.625" style="53"/>
    <col min="774" max="776" width="10.75" style="53" bestFit="1" customWidth="1"/>
    <col min="777" max="777" width="10.125" style="53" bestFit="1" customWidth="1"/>
    <col min="778" max="778" width="10.75" style="53" bestFit="1" customWidth="1"/>
    <col min="779" max="779" width="11" style="53" bestFit="1" customWidth="1"/>
    <col min="780" max="780" width="10.75" style="53" bestFit="1" customWidth="1"/>
    <col min="781" max="781" width="15.625" style="53"/>
    <col min="782" max="782" width="11.5" style="53" bestFit="1" customWidth="1"/>
    <col min="783" max="785" width="10.75" style="53" bestFit="1" customWidth="1"/>
    <col min="786" max="788" width="15.625" style="53"/>
    <col min="789" max="789" width="14.625" style="53" bestFit="1" customWidth="1"/>
    <col min="790" max="790" width="15.625" style="53"/>
    <col min="791" max="791" width="13.375" style="53" bestFit="1" customWidth="1"/>
    <col min="792" max="792" width="10.75" style="53" bestFit="1" customWidth="1"/>
    <col min="793" max="1024" width="15.625" style="53"/>
    <col min="1025" max="1025" width="4.625" style="53" customWidth="1"/>
    <col min="1026" max="1026" width="23.625" style="53" customWidth="1"/>
    <col min="1027" max="1027" width="11.375" style="53" customWidth="1"/>
    <col min="1028" max="1028" width="10.625" style="53" customWidth="1"/>
    <col min="1029" max="1029" width="15.625" style="53"/>
    <col min="1030" max="1032" width="10.75" style="53" bestFit="1" customWidth="1"/>
    <col min="1033" max="1033" width="10.125" style="53" bestFit="1" customWidth="1"/>
    <col min="1034" max="1034" width="10.75" style="53" bestFit="1" customWidth="1"/>
    <col min="1035" max="1035" width="11" style="53" bestFit="1" customWidth="1"/>
    <col min="1036" max="1036" width="10.75" style="53" bestFit="1" customWidth="1"/>
    <col min="1037" max="1037" width="15.625" style="53"/>
    <col min="1038" max="1038" width="11.5" style="53" bestFit="1" customWidth="1"/>
    <col min="1039" max="1041" width="10.75" style="53" bestFit="1" customWidth="1"/>
    <col min="1042" max="1044" width="15.625" style="53"/>
    <col min="1045" max="1045" width="14.625" style="53" bestFit="1" customWidth="1"/>
    <col min="1046" max="1046" width="15.625" style="53"/>
    <col min="1047" max="1047" width="13.375" style="53" bestFit="1" customWidth="1"/>
    <col min="1048" max="1048" width="10.75" style="53" bestFit="1" customWidth="1"/>
    <col min="1049" max="1280" width="15.625" style="53"/>
    <col min="1281" max="1281" width="4.625" style="53" customWidth="1"/>
    <col min="1282" max="1282" width="23.625" style="53" customWidth="1"/>
    <col min="1283" max="1283" width="11.375" style="53" customWidth="1"/>
    <col min="1284" max="1284" width="10.625" style="53" customWidth="1"/>
    <col min="1285" max="1285" width="15.625" style="53"/>
    <col min="1286" max="1288" width="10.75" style="53" bestFit="1" customWidth="1"/>
    <col min="1289" max="1289" width="10.125" style="53" bestFit="1" customWidth="1"/>
    <col min="1290" max="1290" width="10.75" style="53" bestFit="1" customWidth="1"/>
    <col min="1291" max="1291" width="11" style="53" bestFit="1" customWidth="1"/>
    <col min="1292" max="1292" width="10.75" style="53" bestFit="1" customWidth="1"/>
    <col min="1293" max="1293" width="15.625" style="53"/>
    <col min="1294" max="1294" width="11.5" style="53" bestFit="1" customWidth="1"/>
    <col min="1295" max="1297" width="10.75" style="53" bestFit="1" customWidth="1"/>
    <col min="1298" max="1300" width="15.625" style="53"/>
    <col min="1301" max="1301" width="14.625" style="53" bestFit="1" customWidth="1"/>
    <col min="1302" max="1302" width="15.625" style="53"/>
    <col min="1303" max="1303" width="13.375" style="53" bestFit="1" customWidth="1"/>
    <col min="1304" max="1304" width="10.75" style="53" bestFit="1" customWidth="1"/>
    <col min="1305" max="1536" width="15.625" style="53"/>
    <col min="1537" max="1537" width="4.625" style="53" customWidth="1"/>
    <col min="1538" max="1538" width="23.625" style="53" customWidth="1"/>
    <col min="1539" max="1539" width="11.375" style="53" customWidth="1"/>
    <col min="1540" max="1540" width="10.625" style="53" customWidth="1"/>
    <col min="1541" max="1541" width="15.625" style="53"/>
    <col min="1542" max="1544" width="10.75" style="53" bestFit="1" customWidth="1"/>
    <col min="1545" max="1545" width="10.125" style="53" bestFit="1" customWidth="1"/>
    <col min="1546" max="1546" width="10.75" style="53" bestFit="1" customWidth="1"/>
    <col min="1547" max="1547" width="11" style="53" bestFit="1" customWidth="1"/>
    <col min="1548" max="1548" width="10.75" style="53" bestFit="1" customWidth="1"/>
    <col min="1549" max="1549" width="15.625" style="53"/>
    <col min="1550" max="1550" width="11.5" style="53" bestFit="1" customWidth="1"/>
    <col min="1551" max="1553" width="10.75" style="53" bestFit="1" customWidth="1"/>
    <col min="1554" max="1556" width="15.625" style="53"/>
    <col min="1557" max="1557" width="14.625" style="53" bestFit="1" customWidth="1"/>
    <col min="1558" max="1558" width="15.625" style="53"/>
    <col min="1559" max="1559" width="13.375" style="53" bestFit="1" customWidth="1"/>
    <col min="1560" max="1560" width="10.75" style="53" bestFit="1" customWidth="1"/>
    <col min="1561" max="1792" width="15.625" style="53"/>
    <col min="1793" max="1793" width="4.625" style="53" customWidth="1"/>
    <col min="1794" max="1794" width="23.625" style="53" customWidth="1"/>
    <col min="1795" max="1795" width="11.375" style="53" customWidth="1"/>
    <col min="1796" max="1796" width="10.625" style="53" customWidth="1"/>
    <col min="1797" max="1797" width="15.625" style="53"/>
    <col min="1798" max="1800" width="10.75" style="53" bestFit="1" customWidth="1"/>
    <col min="1801" max="1801" width="10.125" style="53" bestFit="1" customWidth="1"/>
    <col min="1802" max="1802" width="10.75" style="53" bestFit="1" customWidth="1"/>
    <col min="1803" max="1803" width="11" style="53" bestFit="1" customWidth="1"/>
    <col min="1804" max="1804" width="10.75" style="53" bestFit="1" customWidth="1"/>
    <col min="1805" max="1805" width="15.625" style="53"/>
    <col min="1806" max="1806" width="11.5" style="53" bestFit="1" customWidth="1"/>
    <col min="1807" max="1809" width="10.75" style="53" bestFit="1" customWidth="1"/>
    <col min="1810" max="1812" width="15.625" style="53"/>
    <col min="1813" max="1813" width="14.625" style="53" bestFit="1" customWidth="1"/>
    <col min="1814" max="1814" width="15.625" style="53"/>
    <col min="1815" max="1815" width="13.375" style="53" bestFit="1" customWidth="1"/>
    <col min="1816" max="1816" width="10.75" style="53" bestFit="1" customWidth="1"/>
    <col min="1817" max="2048" width="15.625" style="53"/>
    <col min="2049" max="2049" width="4.625" style="53" customWidth="1"/>
    <col min="2050" max="2050" width="23.625" style="53" customWidth="1"/>
    <col min="2051" max="2051" width="11.375" style="53" customWidth="1"/>
    <col min="2052" max="2052" width="10.625" style="53" customWidth="1"/>
    <col min="2053" max="2053" width="15.625" style="53"/>
    <col min="2054" max="2056" width="10.75" style="53" bestFit="1" customWidth="1"/>
    <col min="2057" max="2057" width="10.125" style="53" bestFit="1" customWidth="1"/>
    <col min="2058" max="2058" width="10.75" style="53" bestFit="1" customWidth="1"/>
    <col min="2059" max="2059" width="11" style="53" bestFit="1" customWidth="1"/>
    <col min="2060" max="2060" width="10.75" style="53" bestFit="1" customWidth="1"/>
    <col min="2061" max="2061" width="15.625" style="53"/>
    <col min="2062" max="2062" width="11.5" style="53" bestFit="1" customWidth="1"/>
    <col min="2063" max="2065" width="10.75" style="53" bestFit="1" customWidth="1"/>
    <col min="2066" max="2068" width="15.625" style="53"/>
    <col min="2069" max="2069" width="14.625" style="53" bestFit="1" customWidth="1"/>
    <col min="2070" max="2070" width="15.625" style="53"/>
    <col min="2071" max="2071" width="13.375" style="53" bestFit="1" customWidth="1"/>
    <col min="2072" max="2072" width="10.75" style="53" bestFit="1" customWidth="1"/>
    <col min="2073" max="2304" width="15.625" style="53"/>
    <col min="2305" max="2305" width="4.625" style="53" customWidth="1"/>
    <col min="2306" max="2306" width="23.625" style="53" customWidth="1"/>
    <col min="2307" max="2307" width="11.375" style="53" customWidth="1"/>
    <col min="2308" max="2308" width="10.625" style="53" customWidth="1"/>
    <col min="2309" max="2309" width="15.625" style="53"/>
    <col min="2310" max="2312" width="10.75" style="53" bestFit="1" customWidth="1"/>
    <col min="2313" max="2313" width="10.125" style="53" bestFit="1" customWidth="1"/>
    <col min="2314" max="2314" width="10.75" style="53" bestFit="1" customWidth="1"/>
    <col min="2315" max="2315" width="11" style="53" bestFit="1" customWidth="1"/>
    <col min="2316" max="2316" width="10.75" style="53" bestFit="1" customWidth="1"/>
    <col min="2317" max="2317" width="15.625" style="53"/>
    <col min="2318" max="2318" width="11.5" style="53" bestFit="1" customWidth="1"/>
    <col min="2319" max="2321" width="10.75" style="53" bestFit="1" customWidth="1"/>
    <col min="2322" max="2324" width="15.625" style="53"/>
    <col min="2325" max="2325" width="14.625" style="53" bestFit="1" customWidth="1"/>
    <col min="2326" max="2326" width="15.625" style="53"/>
    <col min="2327" max="2327" width="13.375" style="53" bestFit="1" customWidth="1"/>
    <col min="2328" max="2328" width="10.75" style="53" bestFit="1" customWidth="1"/>
    <col min="2329" max="2560" width="15.625" style="53"/>
    <col min="2561" max="2561" width="4.625" style="53" customWidth="1"/>
    <col min="2562" max="2562" width="23.625" style="53" customWidth="1"/>
    <col min="2563" max="2563" width="11.375" style="53" customWidth="1"/>
    <col min="2564" max="2564" width="10.625" style="53" customWidth="1"/>
    <col min="2565" max="2565" width="15.625" style="53"/>
    <col min="2566" max="2568" width="10.75" style="53" bestFit="1" customWidth="1"/>
    <col min="2569" max="2569" width="10.125" style="53" bestFit="1" customWidth="1"/>
    <col min="2570" max="2570" width="10.75" style="53" bestFit="1" customWidth="1"/>
    <col min="2571" max="2571" width="11" style="53" bestFit="1" customWidth="1"/>
    <col min="2572" max="2572" width="10.75" style="53" bestFit="1" customWidth="1"/>
    <col min="2573" max="2573" width="15.625" style="53"/>
    <col min="2574" max="2574" width="11.5" style="53" bestFit="1" customWidth="1"/>
    <col min="2575" max="2577" width="10.75" style="53" bestFit="1" customWidth="1"/>
    <col min="2578" max="2580" width="15.625" style="53"/>
    <col min="2581" max="2581" width="14.625" style="53" bestFit="1" customWidth="1"/>
    <col min="2582" max="2582" width="15.625" style="53"/>
    <col min="2583" max="2583" width="13.375" style="53" bestFit="1" customWidth="1"/>
    <col min="2584" max="2584" width="10.75" style="53" bestFit="1" customWidth="1"/>
    <col min="2585" max="2816" width="15.625" style="53"/>
    <col min="2817" max="2817" width="4.625" style="53" customWidth="1"/>
    <col min="2818" max="2818" width="23.625" style="53" customWidth="1"/>
    <col min="2819" max="2819" width="11.375" style="53" customWidth="1"/>
    <col min="2820" max="2820" width="10.625" style="53" customWidth="1"/>
    <col min="2821" max="2821" width="15.625" style="53"/>
    <col min="2822" max="2824" width="10.75" style="53" bestFit="1" customWidth="1"/>
    <col min="2825" max="2825" width="10.125" style="53" bestFit="1" customWidth="1"/>
    <col min="2826" max="2826" width="10.75" style="53" bestFit="1" customWidth="1"/>
    <col min="2827" max="2827" width="11" style="53" bestFit="1" customWidth="1"/>
    <col min="2828" max="2828" width="10.75" style="53" bestFit="1" customWidth="1"/>
    <col min="2829" max="2829" width="15.625" style="53"/>
    <col min="2830" max="2830" width="11.5" style="53" bestFit="1" customWidth="1"/>
    <col min="2831" max="2833" width="10.75" style="53" bestFit="1" customWidth="1"/>
    <col min="2834" max="2836" width="15.625" style="53"/>
    <col min="2837" max="2837" width="14.625" style="53" bestFit="1" customWidth="1"/>
    <col min="2838" max="2838" width="15.625" style="53"/>
    <col min="2839" max="2839" width="13.375" style="53" bestFit="1" customWidth="1"/>
    <col min="2840" max="2840" width="10.75" style="53" bestFit="1" customWidth="1"/>
    <col min="2841" max="3072" width="15.625" style="53"/>
    <col min="3073" max="3073" width="4.625" style="53" customWidth="1"/>
    <col min="3074" max="3074" width="23.625" style="53" customWidth="1"/>
    <col min="3075" max="3075" width="11.375" style="53" customWidth="1"/>
    <col min="3076" max="3076" width="10.625" style="53" customWidth="1"/>
    <col min="3077" max="3077" width="15.625" style="53"/>
    <col min="3078" max="3080" width="10.75" style="53" bestFit="1" customWidth="1"/>
    <col min="3081" max="3081" width="10.125" style="53" bestFit="1" customWidth="1"/>
    <col min="3082" max="3082" width="10.75" style="53" bestFit="1" customWidth="1"/>
    <col min="3083" max="3083" width="11" style="53" bestFit="1" customWidth="1"/>
    <col min="3084" max="3084" width="10.75" style="53" bestFit="1" customWidth="1"/>
    <col min="3085" max="3085" width="15.625" style="53"/>
    <col min="3086" max="3086" width="11.5" style="53" bestFit="1" customWidth="1"/>
    <col min="3087" max="3089" width="10.75" style="53" bestFit="1" customWidth="1"/>
    <col min="3090" max="3092" width="15.625" style="53"/>
    <col min="3093" max="3093" width="14.625" style="53" bestFit="1" customWidth="1"/>
    <col min="3094" max="3094" width="15.625" style="53"/>
    <col min="3095" max="3095" width="13.375" style="53" bestFit="1" customWidth="1"/>
    <col min="3096" max="3096" width="10.75" style="53" bestFit="1" customWidth="1"/>
    <col min="3097" max="3328" width="15.625" style="53"/>
    <col min="3329" max="3329" width="4.625" style="53" customWidth="1"/>
    <col min="3330" max="3330" width="23.625" style="53" customWidth="1"/>
    <col min="3331" max="3331" width="11.375" style="53" customWidth="1"/>
    <col min="3332" max="3332" width="10.625" style="53" customWidth="1"/>
    <col min="3333" max="3333" width="15.625" style="53"/>
    <col min="3334" max="3336" width="10.75" style="53" bestFit="1" customWidth="1"/>
    <col min="3337" max="3337" width="10.125" style="53" bestFit="1" customWidth="1"/>
    <col min="3338" max="3338" width="10.75" style="53" bestFit="1" customWidth="1"/>
    <col min="3339" max="3339" width="11" style="53" bestFit="1" customWidth="1"/>
    <col min="3340" max="3340" width="10.75" style="53" bestFit="1" customWidth="1"/>
    <col min="3341" max="3341" width="15.625" style="53"/>
    <col min="3342" max="3342" width="11.5" style="53" bestFit="1" customWidth="1"/>
    <col min="3343" max="3345" width="10.75" style="53" bestFit="1" customWidth="1"/>
    <col min="3346" max="3348" width="15.625" style="53"/>
    <col min="3349" max="3349" width="14.625" style="53" bestFit="1" customWidth="1"/>
    <col min="3350" max="3350" width="15.625" style="53"/>
    <col min="3351" max="3351" width="13.375" style="53" bestFit="1" customWidth="1"/>
    <col min="3352" max="3352" width="10.75" style="53" bestFit="1" customWidth="1"/>
    <col min="3353" max="3584" width="15.625" style="53"/>
    <col min="3585" max="3585" width="4.625" style="53" customWidth="1"/>
    <col min="3586" max="3586" width="23.625" style="53" customWidth="1"/>
    <col min="3587" max="3587" width="11.375" style="53" customWidth="1"/>
    <col min="3588" max="3588" width="10.625" style="53" customWidth="1"/>
    <col min="3589" max="3589" width="15.625" style="53"/>
    <col min="3590" max="3592" width="10.75" style="53" bestFit="1" customWidth="1"/>
    <col min="3593" max="3593" width="10.125" style="53" bestFit="1" customWidth="1"/>
    <col min="3594" max="3594" width="10.75" style="53" bestFit="1" customWidth="1"/>
    <col min="3595" max="3595" width="11" style="53" bestFit="1" customWidth="1"/>
    <col min="3596" max="3596" width="10.75" style="53" bestFit="1" customWidth="1"/>
    <col min="3597" max="3597" width="15.625" style="53"/>
    <col min="3598" max="3598" width="11.5" style="53" bestFit="1" customWidth="1"/>
    <col min="3599" max="3601" width="10.75" style="53" bestFit="1" customWidth="1"/>
    <col min="3602" max="3604" width="15.625" style="53"/>
    <col min="3605" max="3605" width="14.625" style="53" bestFit="1" customWidth="1"/>
    <col min="3606" max="3606" width="15.625" style="53"/>
    <col min="3607" max="3607" width="13.375" style="53" bestFit="1" customWidth="1"/>
    <col min="3608" max="3608" width="10.75" style="53" bestFit="1" customWidth="1"/>
    <col min="3609" max="3840" width="15.625" style="53"/>
    <col min="3841" max="3841" width="4.625" style="53" customWidth="1"/>
    <col min="3842" max="3842" width="23.625" style="53" customWidth="1"/>
    <col min="3843" max="3843" width="11.375" style="53" customWidth="1"/>
    <col min="3844" max="3844" width="10.625" style="53" customWidth="1"/>
    <col min="3845" max="3845" width="15.625" style="53"/>
    <col min="3846" max="3848" width="10.75" style="53" bestFit="1" customWidth="1"/>
    <col min="3849" max="3849" width="10.125" style="53" bestFit="1" customWidth="1"/>
    <col min="3850" max="3850" width="10.75" style="53" bestFit="1" customWidth="1"/>
    <col min="3851" max="3851" width="11" style="53" bestFit="1" customWidth="1"/>
    <col min="3852" max="3852" width="10.75" style="53" bestFit="1" customWidth="1"/>
    <col min="3853" max="3853" width="15.625" style="53"/>
    <col min="3854" max="3854" width="11.5" style="53" bestFit="1" customWidth="1"/>
    <col min="3855" max="3857" width="10.75" style="53" bestFit="1" customWidth="1"/>
    <col min="3858" max="3860" width="15.625" style="53"/>
    <col min="3861" max="3861" width="14.625" style="53" bestFit="1" customWidth="1"/>
    <col min="3862" max="3862" width="15.625" style="53"/>
    <col min="3863" max="3863" width="13.375" style="53" bestFit="1" customWidth="1"/>
    <col min="3864" max="3864" width="10.75" style="53" bestFit="1" customWidth="1"/>
    <col min="3865" max="4096" width="15.625" style="53"/>
    <col min="4097" max="4097" width="4.625" style="53" customWidth="1"/>
    <col min="4098" max="4098" width="23.625" style="53" customWidth="1"/>
    <col min="4099" max="4099" width="11.375" style="53" customWidth="1"/>
    <col min="4100" max="4100" width="10.625" style="53" customWidth="1"/>
    <col min="4101" max="4101" width="15.625" style="53"/>
    <col min="4102" max="4104" width="10.75" style="53" bestFit="1" customWidth="1"/>
    <col min="4105" max="4105" width="10.125" style="53" bestFit="1" customWidth="1"/>
    <col min="4106" max="4106" width="10.75" style="53" bestFit="1" customWidth="1"/>
    <col min="4107" max="4107" width="11" style="53" bestFit="1" customWidth="1"/>
    <col min="4108" max="4108" width="10.75" style="53" bestFit="1" customWidth="1"/>
    <col min="4109" max="4109" width="15.625" style="53"/>
    <col min="4110" max="4110" width="11.5" style="53" bestFit="1" customWidth="1"/>
    <col min="4111" max="4113" width="10.75" style="53" bestFit="1" customWidth="1"/>
    <col min="4114" max="4116" width="15.625" style="53"/>
    <col min="4117" max="4117" width="14.625" style="53" bestFit="1" customWidth="1"/>
    <col min="4118" max="4118" width="15.625" style="53"/>
    <col min="4119" max="4119" width="13.375" style="53" bestFit="1" customWidth="1"/>
    <col min="4120" max="4120" width="10.75" style="53" bestFit="1" customWidth="1"/>
    <col min="4121" max="4352" width="15.625" style="53"/>
    <col min="4353" max="4353" width="4.625" style="53" customWidth="1"/>
    <col min="4354" max="4354" width="23.625" style="53" customWidth="1"/>
    <col min="4355" max="4355" width="11.375" style="53" customWidth="1"/>
    <col min="4356" max="4356" width="10.625" style="53" customWidth="1"/>
    <col min="4357" max="4357" width="15.625" style="53"/>
    <col min="4358" max="4360" width="10.75" style="53" bestFit="1" customWidth="1"/>
    <col min="4361" max="4361" width="10.125" style="53" bestFit="1" customWidth="1"/>
    <col min="4362" max="4362" width="10.75" style="53" bestFit="1" customWidth="1"/>
    <col min="4363" max="4363" width="11" style="53" bestFit="1" customWidth="1"/>
    <col min="4364" max="4364" width="10.75" style="53" bestFit="1" customWidth="1"/>
    <col min="4365" max="4365" width="15.625" style="53"/>
    <col min="4366" max="4366" width="11.5" style="53" bestFit="1" customWidth="1"/>
    <col min="4367" max="4369" width="10.75" style="53" bestFit="1" customWidth="1"/>
    <col min="4370" max="4372" width="15.625" style="53"/>
    <col min="4373" max="4373" width="14.625" style="53" bestFit="1" customWidth="1"/>
    <col min="4374" max="4374" width="15.625" style="53"/>
    <col min="4375" max="4375" width="13.375" style="53" bestFit="1" customWidth="1"/>
    <col min="4376" max="4376" width="10.75" style="53" bestFit="1" customWidth="1"/>
    <col min="4377" max="4608" width="15.625" style="53"/>
    <col min="4609" max="4609" width="4.625" style="53" customWidth="1"/>
    <col min="4610" max="4610" width="23.625" style="53" customWidth="1"/>
    <col min="4611" max="4611" width="11.375" style="53" customWidth="1"/>
    <col min="4612" max="4612" width="10.625" style="53" customWidth="1"/>
    <col min="4613" max="4613" width="15.625" style="53"/>
    <col min="4614" max="4616" width="10.75" style="53" bestFit="1" customWidth="1"/>
    <col min="4617" max="4617" width="10.125" style="53" bestFit="1" customWidth="1"/>
    <col min="4618" max="4618" width="10.75" style="53" bestFit="1" customWidth="1"/>
    <col min="4619" max="4619" width="11" style="53" bestFit="1" customWidth="1"/>
    <col min="4620" max="4620" width="10.75" style="53" bestFit="1" customWidth="1"/>
    <col min="4621" max="4621" width="15.625" style="53"/>
    <col min="4622" max="4622" width="11.5" style="53" bestFit="1" customWidth="1"/>
    <col min="4623" max="4625" width="10.75" style="53" bestFit="1" customWidth="1"/>
    <col min="4626" max="4628" width="15.625" style="53"/>
    <col min="4629" max="4629" width="14.625" style="53" bestFit="1" customWidth="1"/>
    <col min="4630" max="4630" width="15.625" style="53"/>
    <col min="4631" max="4631" width="13.375" style="53" bestFit="1" customWidth="1"/>
    <col min="4632" max="4632" width="10.75" style="53" bestFit="1" customWidth="1"/>
    <col min="4633" max="4864" width="15.625" style="53"/>
    <col min="4865" max="4865" width="4.625" style="53" customWidth="1"/>
    <col min="4866" max="4866" width="23.625" style="53" customWidth="1"/>
    <col min="4867" max="4867" width="11.375" style="53" customWidth="1"/>
    <col min="4868" max="4868" width="10.625" style="53" customWidth="1"/>
    <col min="4869" max="4869" width="15.625" style="53"/>
    <col min="4870" max="4872" width="10.75" style="53" bestFit="1" customWidth="1"/>
    <col min="4873" max="4873" width="10.125" style="53" bestFit="1" customWidth="1"/>
    <col min="4874" max="4874" width="10.75" style="53" bestFit="1" customWidth="1"/>
    <col min="4875" max="4875" width="11" style="53" bestFit="1" customWidth="1"/>
    <col min="4876" max="4876" width="10.75" style="53" bestFit="1" customWidth="1"/>
    <col min="4877" max="4877" width="15.625" style="53"/>
    <col min="4878" max="4878" width="11.5" style="53" bestFit="1" customWidth="1"/>
    <col min="4879" max="4881" width="10.75" style="53" bestFit="1" customWidth="1"/>
    <col min="4882" max="4884" width="15.625" style="53"/>
    <col min="4885" max="4885" width="14.625" style="53" bestFit="1" customWidth="1"/>
    <col min="4886" max="4886" width="15.625" style="53"/>
    <col min="4887" max="4887" width="13.375" style="53" bestFit="1" customWidth="1"/>
    <col min="4888" max="4888" width="10.75" style="53" bestFit="1" customWidth="1"/>
    <col min="4889" max="5120" width="15.625" style="53"/>
    <col min="5121" max="5121" width="4.625" style="53" customWidth="1"/>
    <col min="5122" max="5122" width="23.625" style="53" customWidth="1"/>
    <col min="5123" max="5123" width="11.375" style="53" customWidth="1"/>
    <col min="5124" max="5124" width="10.625" style="53" customWidth="1"/>
    <col min="5125" max="5125" width="15.625" style="53"/>
    <col min="5126" max="5128" width="10.75" style="53" bestFit="1" customWidth="1"/>
    <col min="5129" max="5129" width="10.125" style="53" bestFit="1" customWidth="1"/>
    <col min="5130" max="5130" width="10.75" style="53" bestFit="1" customWidth="1"/>
    <col min="5131" max="5131" width="11" style="53" bestFit="1" customWidth="1"/>
    <col min="5132" max="5132" width="10.75" style="53" bestFit="1" customWidth="1"/>
    <col min="5133" max="5133" width="15.625" style="53"/>
    <col min="5134" max="5134" width="11.5" style="53" bestFit="1" customWidth="1"/>
    <col min="5135" max="5137" width="10.75" style="53" bestFit="1" customWidth="1"/>
    <col min="5138" max="5140" width="15.625" style="53"/>
    <col min="5141" max="5141" width="14.625" style="53" bestFit="1" customWidth="1"/>
    <col min="5142" max="5142" width="15.625" style="53"/>
    <col min="5143" max="5143" width="13.375" style="53" bestFit="1" customWidth="1"/>
    <col min="5144" max="5144" width="10.75" style="53" bestFit="1" customWidth="1"/>
    <col min="5145" max="5376" width="15.625" style="53"/>
    <col min="5377" max="5377" width="4.625" style="53" customWidth="1"/>
    <col min="5378" max="5378" width="23.625" style="53" customWidth="1"/>
    <col min="5379" max="5379" width="11.375" style="53" customWidth="1"/>
    <col min="5380" max="5380" width="10.625" style="53" customWidth="1"/>
    <col min="5381" max="5381" width="15.625" style="53"/>
    <col min="5382" max="5384" width="10.75" style="53" bestFit="1" customWidth="1"/>
    <col min="5385" max="5385" width="10.125" style="53" bestFit="1" customWidth="1"/>
    <col min="5386" max="5386" width="10.75" style="53" bestFit="1" customWidth="1"/>
    <col min="5387" max="5387" width="11" style="53" bestFit="1" customWidth="1"/>
    <col min="5388" max="5388" width="10.75" style="53" bestFit="1" customWidth="1"/>
    <col min="5389" max="5389" width="15.625" style="53"/>
    <col min="5390" max="5390" width="11.5" style="53" bestFit="1" customWidth="1"/>
    <col min="5391" max="5393" width="10.75" style="53" bestFit="1" customWidth="1"/>
    <col min="5394" max="5396" width="15.625" style="53"/>
    <col min="5397" max="5397" width="14.625" style="53" bestFit="1" customWidth="1"/>
    <col min="5398" max="5398" width="15.625" style="53"/>
    <col min="5399" max="5399" width="13.375" style="53" bestFit="1" customWidth="1"/>
    <col min="5400" max="5400" width="10.75" style="53" bestFit="1" customWidth="1"/>
    <col min="5401" max="5632" width="15.625" style="53"/>
    <col min="5633" max="5633" width="4.625" style="53" customWidth="1"/>
    <col min="5634" max="5634" width="23.625" style="53" customWidth="1"/>
    <col min="5635" max="5635" width="11.375" style="53" customWidth="1"/>
    <col min="5636" max="5636" width="10.625" style="53" customWidth="1"/>
    <col min="5637" max="5637" width="15.625" style="53"/>
    <col min="5638" max="5640" width="10.75" style="53" bestFit="1" customWidth="1"/>
    <col min="5641" max="5641" width="10.125" style="53" bestFit="1" customWidth="1"/>
    <col min="5642" max="5642" width="10.75" style="53" bestFit="1" customWidth="1"/>
    <col min="5643" max="5643" width="11" style="53" bestFit="1" customWidth="1"/>
    <col min="5644" max="5644" width="10.75" style="53" bestFit="1" customWidth="1"/>
    <col min="5645" max="5645" width="15.625" style="53"/>
    <col min="5646" max="5646" width="11.5" style="53" bestFit="1" customWidth="1"/>
    <col min="5647" max="5649" width="10.75" style="53" bestFit="1" customWidth="1"/>
    <col min="5650" max="5652" width="15.625" style="53"/>
    <col min="5653" max="5653" width="14.625" style="53" bestFit="1" customWidth="1"/>
    <col min="5654" max="5654" width="15.625" style="53"/>
    <col min="5655" max="5655" width="13.375" style="53" bestFit="1" customWidth="1"/>
    <col min="5656" max="5656" width="10.75" style="53" bestFit="1" customWidth="1"/>
    <col min="5657" max="5888" width="15.625" style="53"/>
    <col min="5889" max="5889" width="4.625" style="53" customWidth="1"/>
    <col min="5890" max="5890" width="23.625" style="53" customWidth="1"/>
    <col min="5891" max="5891" width="11.375" style="53" customWidth="1"/>
    <col min="5892" max="5892" width="10.625" style="53" customWidth="1"/>
    <col min="5893" max="5893" width="15.625" style="53"/>
    <col min="5894" max="5896" width="10.75" style="53" bestFit="1" customWidth="1"/>
    <col min="5897" max="5897" width="10.125" style="53" bestFit="1" customWidth="1"/>
    <col min="5898" max="5898" width="10.75" style="53" bestFit="1" customWidth="1"/>
    <col min="5899" max="5899" width="11" style="53" bestFit="1" customWidth="1"/>
    <col min="5900" max="5900" width="10.75" style="53" bestFit="1" customWidth="1"/>
    <col min="5901" max="5901" width="15.625" style="53"/>
    <col min="5902" max="5902" width="11.5" style="53" bestFit="1" customWidth="1"/>
    <col min="5903" max="5905" width="10.75" style="53" bestFit="1" customWidth="1"/>
    <col min="5906" max="5908" width="15.625" style="53"/>
    <col min="5909" max="5909" width="14.625" style="53" bestFit="1" customWidth="1"/>
    <col min="5910" max="5910" width="15.625" style="53"/>
    <col min="5911" max="5911" width="13.375" style="53" bestFit="1" customWidth="1"/>
    <col min="5912" max="5912" width="10.75" style="53" bestFit="1" customWidth="1"/>
    <col min="5913" max="6144" width="15.625" style="53"/>
    <col min="6145" max="6145" width="4.625" style="53" customWidth="1"/>
    <col min="6146" max="6146" width="23.625" style="53" customWidth="1"/>
    <col min="6147" max="6147" width="11.375" style="53" customWidth="1"/>
    <col min="6148" max="6148" width="10.625" style="53" customWidth="1"/>
    <col min="6149" max="6149" width="15.625" style="53"/>
    <col min="6150" max="6152" width="10.75" style="53" bestFit="1" customWidth="1"/>
    <col min="6153" max="6153" width="10.125" style="53" bestFit="1" customWidth="1"/>
    <col min="6154" max="6154" width="10.75" style="53" bestFit="1" customWidth="1"/>
    <col min="6155" max="6155" width="11" style="53" bestFit="1" customWidth="1"/>
    <col min="6156" max="6156" width="10.75" style="53" bestFit="1" customWidth="1"/>
    <col min="6157" max="6157" width="15.625" style="53"/>
    <col min="6158" max="6158" width="11.5" style="53" bestFit="1" customWidth="1"/>
    <col min="6159" max="6161" width="10.75" style="53" bestFit="1" customWidth="1"/>
    <col min="6162" max="6164" width="15.625" style="53"/>
    <col min="6165" max="6165" width="14.625" style="53" bestFit="1" customWidth="1"/>
    <col min="6166" max="6166" width="15.625" style="53"/>
    <col min="6167" max="6167" width="13.375" style="53" bestFit="1" customWidth="1"/>
    <col min="6168" max="6168" width="10.75" style="53" bestFit="1" customWidth="1"/>
    <col min="6169" max="6400" width="15.625" style="53"/>
    <col min="6401" max="6401" width="4.625" style="53" customWidth="1"/>
    <col min="6402" max="6402" width="23.625" style="53" customWidth="1"/>
    <col min="6403" max="6403" width="11.375" style="53" customWidth="1"/>
    <col min="6404" max="6404" width="10.625" style="53" customWidth="1"/>
    <col min="6405" max="6405" width="15.625" style="53"/>
    <col min="6406" max="6408" width="10.75" style="53" bestFit="1" customWidth="1"/>
    <col min="6409" max="6409" width="10.125" style="53" bestFit="1" customWidth="1"/>
    <col min="6410" max="6410" width="10.75" style="53" bestFit="1" customWidth="1"/>
    <col min="6411" max="6411" width="11" style="53" bestFit="1" customWidth="1"/>
    <col min="6412" max="6412" width="10.75" style="53" bestFit="1" customWidth="1"/>
    <col min="6413" max="6413" width="15.625" style="53"/>
    <col min="6414" max="6414" width="11.5" style="53" bestFit="1" customWidth="1"/>
    <col min="6415" max="6417" width="10.75" style="53" bestFit="1" customWidth="1"/>
    <col min="6418" max="6420" width="15.625" style="53"/>
    <col min="6421" max="6421" width="14.625" style="53" bestFit="1" customWidth="1"/>
    <col min="6422" max="6422" width="15.625" style="53"/>
    <col min="6423" max="6423" width="13.375" style="53" bestFit="1" customWidth="1"/>
    <col min="6424" max="6424" width="10.75" style="53" bestFit="1" customWidth="1"/>
    <col min="6425" max="6656" width="15.625" style="53"/>
    <col min="6657" max="6657" width="4.625" style="53" customWidth="1"/>
    <col min="6658" max="6658" width="23.625" style="53" customWidth="1"/>
    <col min="6659" max="6659" width="11.375" style="53" customWidth="1"/>
    <col min="6660" max="6660" width="10.625" style="53" customWidth="1"/>
    <col min="6661" max="6661" width="15.625" style="53"/>
    <col min="6662" max="6664" width="10.75" style="53" bestFit="1" customWidth="1"/>
    <col min="6665" max="6665" width="10.125" style="53" bestFit="1" customWidth="1"/>
    <col min="6666" max="6666" width="10.75" style="53" bestFit="1" customWidth="1"/>
    <col min="6667" max="6667" width="11" style="53" bestFit="1" customWidth="1"/>
    <col min="6668" max="6668" width="10.75" style="53" bestFit="1" customWidth="1"/>
    <col min="6669" max="6669" width="15.625" style="53"/>
    <col min="6670" max="6670" width="11.5" style="53" bestFit="1" customWidth="1"/>
    <col min="6671" max="6673" width="10.75" style="53" bestFit="1" customWidth="1"/>
    <col min="6674" max="6676" width="15.625" style="53"/>
    <col min="6677" max="6677" width="14.625" style="53" bestFit="1" customWidth="1"/>
    <col min="6678" max="6678" width="15.625" style="53"/>
    <col min="6679" max="6679" width="13.375" style="53" bestFit="1" customWidth="1"/>
    <col min="6680" max="6680" width="10.75" style="53" bestFit="1" customWidth="1"/>
    <col min="6681" max="6912" width="15.625" style="53"/>
    <col min="6913" max="6913" width="4.625" style="53" customWidth="1"/>
    <col min="6914" max="6914" width="23.625" style="53" customWidth="1"/>
    <col min="6915" max="6915" width="11.375" style="53" customWidth="1"/>
    <col min="6916" max="6916" width="10.625" style="53" customWidth="1"/>
    <col min="6917" max="6917" width="15.625" style="53"/>
    <col min="6918" max="6920" width="10.75" style="53" bestFit="1" customWidth="1"/>
    <col min="6921" max="6921" width="10.125" style="53" bestFit="1" customWidth="1"/>
    <col min="6922" max="6922" width="10.75" style="53" bestFit="1" customWidth="1"/>
    <col min="6923" max="6923" width="11" style="53" bestFit="1" customWidth="1"/>
    <col min="6924" max="6924" width="10.75" style="53" bestFit="1" customWidth="1"/>
    <col min="6925" max="6925" width="15.625" style="53"/>
    <col min="6926" max="6926" width="11.5" style="53" bestFit="1" customWidth="1"/>
    <col min="6927" max="6929" width="10.75" style="53" bestFit="1" customWidth="1"/>
    <col min="6930" max="6932" width="15.625" style="53"/>
    <col min="6933" max="6933" width="14.625" style="53" bestFit="1" customWidth="1"/>
    <col min="6934" max="6934" width="15.625" style="53"/>
    <col min="6935" max="6935" width="13.375" style="53" bestFit="1" customWidth="1"/>
    <col min="6936" max="6936" width="10.75" style="53" bestFit="1" customWidth="1"/>
    <col min="6937" max="7168" width="15.625" style="53"/>
    <col min="7169" max="7169" width="4.625" style="53" customWidth="1"/>
    <col min="7170" max="7170" width="23.625" style="53" customWidth="1"/>
    <col min="7171" max="7171" width="11.375" style="53" customWidth="1"/>
    <col min="7172" max="7172" width="10.625" style="53" customWidth="1"/>
    <col min="7173" max="7173" width="15.625" style="53"/>
    <col min="7174" max="7176" width="10.75" style="53" bestFit="1" customWidth="1"/>
    <col min="7177" max="7177" width="10.125" style="53" bestFit="1" customWidth="1"/>
    <col min="7178" max="7178" width="10.75" style="53" bestFit="1" customWidth="1"/>
    <col min="7179" max="7179" width="11" style="53" bestFit="1" customWidth="1"/>
    <col min="7180" max="7180" width="10.75" style="53" bestFit="1" customWidth="1"/>
    <col min="7181" max="7181" width="15.625" style="53"/>
    <col min="7182" max="7182" width="11.5" style="53" bestFit="1" customWidth="1"/>
    <col min="7183" max="7185" width="10.75" style="53" bestFit="1" customWidth="1"/>
    <col min="7186" max="7188" width="15.625" style="53"/>
    <col min="7189" max="7189" width="14.625" style="53" bestFit="1" customWidth="1"/>
    <col min="7190" max="7190" width="15.625" style="53"/>
    <col min="7191" max="7191" width="13.375" style="53" bestFit="1" customWidth="1"/>
    <col min="7192" max="7192" width="10.75" style="53" bestFit="1" customWidth="1"/>
    <col min="7193" max="7424" width="15.625" style="53"/>
    <col min="7425" max="7425" width="4.625" style="53" customWidth="1"/>
    <col min="7426" max="7426" width="23.625" style="53" customWidth="1"/>
    <col min="7427" max="7427" width="11.375" style="53" customWidth="1"/>
    <col min="7428" max="7428" width="10.625" style="53" customWidth="1"/>
    <col min="7429" max="7429" width="15.625" style="53"/>
    <col min="7430" max="7432" width="10.75" style="53" bestFit="1" customWidth="1"/>
    <col min="7433" max="7433" width="10.125" style="53" bestFit="1" customWidth="1"/>
    <col min="7434" max="7434" width="10.75" style="53" bestFit="1" customWidth="1"/>
    <col min="7435" max="7435" width="11" style="53" bestFit="1" customWidth="1"/>
    <col min="7436" max="7436" width="10.75" style="53" bestFit="1" customWidth="1"/>
    <col min="7437" max="7437" width="15.625" style="53"/>
    <col min="7438" max="7438" width="11.5" style="53" bestFit="1" customWidth="1"/>
    <col min="7439" max="7441" width="10.75" style="53" bestFit="1" customWidth="1"/>
    <col min="7442" max="7444" width="15.625" style="53"/>
    <col min="7445" max="7445" width="14.625" style="53" bestFit="1" customWidth="1"/>
    <col min="7446" max="7446" width="15.625" style="53"/>
    <col min="7447" max="7447" width="13.375" style="53" bestFit="1" customWidth="1"/>
    <col min="7448" max="7448" width="10.75" style="53" bestFit="1" customWidth="1"/>
    <col min="7449" max="7680" width="15.625" style="53"/>
    <col min="7681" max="7681" width="4.625" style="53" customWidth="1"/>
    <col min="7682" max="7682" width="23.625" style="53" customWidth="1"/>
    <col min="7683" max="7683" width="11.375" style="53" customWidth="1"/>
    <col min="7684" max="7684" width="10.625" style="53" customWidth="1"/>
    <col min="7685" max="7685" width="15.625" style="53"/>
    <col min="7686" max="7688" width="10.75" style="53" bestFit="1" customWidth="1"/>
    <col min="7689" max="7689" width="10.125" style="53" bestFit="1" customWidth="1"/>
    <col min="7690" max="7690" width="10.75" style="53" bestFit="1" customWidth="1"/>
    <col min="7691" max="7691" width="11" style="53" bestFit="1" customWidth="1"/>
    <col min="7692" max="7692" width="10.75" style="53" bestFit="1" customWidth="1"/>
    <col min="7693" max="7693" width="15.625" style="53"/>
    <col min="7694" max="7694" width="11.5" style="53" bestFit="1" customWidth="1"/>
    <col min="7695" max="7697" width="10.75" style="53" bestFit="1" customWidth="1"/>
    <col min="7698" max="7700" width="15.625" style="53"/>
    <col min="7701" max="7701" width="14.625" style="53" bestFit="1" customWidth="1"/>
    <col min="7702" max="7702" width="15.625" style="53"/>
    <col min="7703" max="7703" width="13.375" style="53" bestFit="1" customWidth="1"/>
    <col min="7704" max="7704" width="10.75" style="53" bestFit="1" customWidth="1"/>
    <col min="7705" max="7936" width="15.625" style="53"/>
    <col min="7937" max="7937" width="4.625" style="53" customWidth="1"/>
    <col min="7938" max="7938" width="23.625" style="53" customWidth="1"/>
    <col min="7939" max="7939" width="11.375" style="53" customWidth="1"/>
    <col min="7940" max="7940" width="10.625" style="53" customWidth="1"/>
    <col min="7941" max="7941" width="15.625" style="53"/>
    <col min="7942" max="7944" width="10.75" style="53" bestFit="1" customWidth="1"/>
    <col min="7945" max="7945" width="10.125" style="53" bestFit="1" customWidth="1"/>
    <col min="7946" max="7946" width="10.75" style="53" bestFit="1" customWidth="1"/>
    <col min="7947" max="7947" width="11" style="53" bestFit="1" customWidth="1"/>
    <col min="7948" max="7948" width="10.75" style="53" bestFit="1" customWidth="1"/>
    <col min="7949" max="7949" width="15.625" style="53"/>
    <col min="7950" max="7950" width="11.5" style="53" bestFit="1" customWidth="1"/>
    <col min="7951" max="7953" width="10.75" style="53" bestFit="1" customWidth="1"/>
    <col min="7954" max="7956" width="15.625" style="53"/>
    <col min="7957" max="7957" width="14.625" style="53" bestFit="1" customWidth="1"/>
    <col min="7958" max="7958" width="15.625" style="53"/>
    <col min="7959" max="7959" width="13.375" style="53" bestFit="1" customWidth="1"/>
    <col min="7960" max="7960" width="10.75" style="53" bestFit="1" customWidth="1"/>
    <col min="7961" max="8192" width="15.625" style="53"/>
    <col min="8193" max="8193" width="4.625" style="53" customWidth="1"/>
    <col min="8194" max="8194" width="23.625" style="53" customWidth="1"/>
    <col min="8195" max="8195" width="11.375" style="53" customWidth="1"/>
    <col min="8196" max="8196" width="10.625" style="53" customWidth="1"/>
    <col min="8197" max="8197" width="15.625" style="53"/>
    <col min="8198" max="8200" width="10.75" style="53" bestFit="1" customWidth="1"/>
    <col min="8201" max="8201" width="10.125" style="53" bestFit="1" customWidth="1"/>
    <col min="8202" max="8202" width="10.75" style="53" bestFit="1" customWidth="1"/>
    <col min="8203" max="8203" width="11" style="53" bestFit="1" customWidth="1"/>
    <col min="8204" max="8204" width="10.75" style="53" bestFit="1" customWidth="1"/>
    <col min="8205" max="8205" width="15.625" style="53"/>
    <col min="8206" max="8206" width="11.5" style="53" bestFit="1" customWidth="1"/>
    <col min="8207" max="8209" width="10.75" style="53" bestFit="1" customWidth="1"/>
    <col min="8210" max="8212" width="15.625" style="53"/>
    <col min="8213" max="8213" width="14.625" style="53" bestFit="1" customWidth="1"/>
    <col min="8214" max="8214" width="15.625" style="53"/>
    <col min="8215" max="8215" width="13.375" style="53" bestFit="1" customWidth="1"/>
    <col min="8216" max="8216" width="10.75" style="53" bestFit="1" customWidth="1"/>
    <col min="8217" max="8448" width="15.625" style="53"/>
    <col min="8449" max="8449" width="4.625" style="53" customWidth="1"/>
    <col min="8450" max="8450" width="23.625" style="53" customWidth="1"/>
    <col min="8451" max="8451" width="11.375" style="53" customWidth="1"/>
    <col min="8452" max="8452" width="10.625" style="53" customWidth="1"/>
    <col min="8453" max="8453" width="15.625" style="53"/>
    <col min="8454" max="8456" width="10.75" style="53" bestFit="1" customWidth="1"/>
    <col min="8457" max="8457" width="10.125" style="53" bestFit="1" customWidth="1"/>
    <col min="8458" max="8458" width="10.75" style="53" bestFit="1" customWidth="1"/>
    <col min="8459" max="8459" width="11" style="53" bestFit="1" customWidth="1"/>
    <col min="8460" max="8460" width="10.75" style="53" bestFit="1" customWidth="1"/>
    <col min="8461" max="8461" width="15.625" style="53"/>
    <col min="8462" max="8462" width="11.5" style="53" bestFit="1" customWidth="1"/>
    <col min="8463" max="8465" width="10.75" style="53" bestFit="1" customWidth="1"/>
    <col min="8466" max="8468" width="15.625" style="53"/>
    <col min="8469" max="8469" width="14.625" style="53" bestFit="1" customWidth="1"/>
    <col min="8470" max="8470" width="15.625" style="53"/>
    <col min="8471" max="8471" width="13.375" style="53" bestFit="1" customWidth="1"/>
    <col min="8472" max="8472" width="10.75" style="53" bestFit="1" customWidth="1"/>
    <col min="8473" max="8704" width="15.625" style="53"/>
    <col min="8705" max="8705" width="4.625" style="53" customWidth="1"/>
    <col min="8706" max="8706" width="23.625" style="53" customWidth="1"/>
    <col min="8707" max="8707" width="11.375" style="53" customWidth="1"/>
    <col min="8708" max="8708" width="10.625" style="53" customWidth="1"/>
    <col min="8709" max="8709" width="15.625" style="53"/>
    <col min="8710" max="8712" width="10.75" style="53" bestFit="1" customWidth="1"/>
    <col min="8713" max="8713" width="10.125" style="53" bestFit="1" customWidth="1"/>
    <col min="8714" max="8714" width="10.75" style="53" bestFit="1" customWidth="1"/>
    <col min="8715" max="8715" width="11" style="53" bestFit="1" customWidth="1"/>
    <col min="8716" max="8716" width="10.75" style="53" bestFit="1" customWidth="1"/>
    <col min="8717" max="8717" width="15.625" style="53"/>
    <col min="8718" max="8718" width="11.5" style="53" bestFit="1" customWidth="1"/>
    <col min="8719" max="8721" width="10.75" style="53" bestFit="1" customWidth="1"/>
    <col min="8722" max="8724" width="15.625" style="53"/>
    <col min="8725" max="8725" width="14.625" style="53" bestFit="1" customWidth="1"/>
    <col min="8726" max="8726" width="15.625" style="53"/>
    <col min="8727" max="8727" width="13.375" style="53" bestFit="1" customWidth="1"/>
    <col min="8728" max="8728" width="10.75" style="53" bestFit="1" customWidth="1"/>
    <col min="8729" max="8960" width="15.625" style="53"/>
    <col min="8961" max="8961" width="4.625" style="53" customWidth="1"/>
    <col min="8962" max="8962" width="23.625" style="53" customWidth="1"/>
    <col min="8963" max="8963" width="11.375" style="53" customWidth="1"/>
    <col min="8964" max="8964" width="10.625" style="53" customWidth="1"/>
    <col min="8965" max="8965" width="15.625" style="53"/>
    <col min="8966" max="8968" width="10.75" style="53" bestFit="1" customWidth="1"/>
    <col min="8969" max="8969" width="10.125" style="53" bestFit="1" customWidth="1"/>
    <col min="8970" max="8970" width="10.75" style="53" bestFit="1" customWidth="1"/>
    <col min="8971" max="8971" width="11" style="53" bestFit="1" customWidth="1"/>
    <col min="8972" max="8972" width="10.75" style="53" bestFit="1" customWidth="1"/>
    <col min="8973" max="8973" width="15.625" style="53"/>
    <col min="8974" max="8974" width="11.5" style="53" bestFit="1" customWidth="1"/>
    <col min="8975" max="8977" width="10.75" style="53" bestFit="1" customWidth="1"/>
    <col min="8978" max="8980" width="15.625" style="53"/>
    <col min="8981" max="8981" width="14.625" style="53" bestFit="1" customWidth="1"/>
    <col min="8982" max="8982" width="15.625" style="53"/>
    <col min="8983" max="8983" width="13.375" style="53" bestFit="1" customWidth="1"/>
    <col min="8984" max="8984" width="10.75" style="53" bestFit="1" customWidth="1"/>
    <col min="8985" max="9216" width="15.625" style="53"/>
    <col min="9217" max="9217" width="4.625" style="53" customWidth="1"/>
    <col min="9218" max="9218" width="23.625" style="53" customWidth="1"/>
    <col min="9219" max="9219" width="11.375" style="53" customWidth="1"/>
    <col min="9220" max="9220" width="10.625" style="53" customWidth="1"/>
    <col min="9221" max="9221" width="15.625" style="53"/>
    <col min="9222" max="9224" width="10.75" style="53" bestFit="1" customWidth="1"/>
    <col min="9225" max="9225" width="10.125" style="53" bestFit="1" customWidth="1"/>
    <col min="9226" max="9226" width="10.75" style="53" bestFit="1" customWidth="1"/>
    <col min="9227" max="9227" width="11" style="53" bestFit="1" customWidth="1"/>
    <col min="9228" max="9228" width="10.75" style="53" bestFit="1" customWidth="1"/>
    <col min="9229" max="9229" width="15.625" style="53"/>
    <col min="9230" max="9230" width="11.5" style="53" bestFit="1" customWidth="1"/>
    <col min="9231" max="9233" width="10.75" style="53" bestFit="1" customWidth="1"/>
    <col min="9234" max="9236" width="15.625" style="53"/>
    <col min="9237" max="9237" width="14.625" style="53" bestFit="1" customWidth="1"/>
    <col min="9238" max="9238" width="15.625" style="53"/>
    <col min="9239" max="9239" width="13.375" style="53" bestFit="1" customWidth="1"/>
    <col min="9240" max="9240" width="10.75" style="53" bestFit="1" customWidth="1"/>
    <col min="9241" max="9472" width="15.625" style="53"/>
    <col min="9473" max="9473" width="4.625" style="53" customWidth="1"/>
    <col min="9474" max="9474" width="23.625" style="53" customWidth="1"/>
    <col min="9475" max="9475" width="11.375" style="53" customWidth="1"/>
    <col min="9476" max="9476" width="10.625" style="53" customWidth="1"/>
    <col min="9477" max="9477" width="15.625" style="53"/>
    <col min="9478" max="9480" width="10.75" style="53" bestFit="1" customWidth="1"/>
    <col min="9481" max="9481" width="10.125" style="53" bestFit="1" customWidth="1"/>
    <col min="9482" max="9482" width="10.75" style="53" bestFit="1" customWidth="1"/>
    <col min="9483" max="9483" width="11" style="53" bestFit="1" customWidth="1"/>
    <col min="9484" max="9484" width="10.75" style="53" bestFit="1" customWidth="1"/>
    <col min="9485" max="9485" width="15.625" style="53"/>
    <col min="9486" max="9486" width="11.5" style="53" bestFit="1" customWidth="1"/>
    <col min="9487" max="9489" width="10.75" style="53" bestFit="1" customWidth="1"/>
    <col min="9490" max="9492" width="15.625" style="53"/>
    <col min="9493" max="9493" width="14.625" style="53" bestFit="1" customWidth="1"/>
    <col min="9494" max="9494" width="15.625" style="53"/>
    <col min="9495" max="9495" width="13.375" style="53" bestFit="1" customWidth="1"/>
    <col min="9496" max="9496" width="10.75" style="53" bestFit="1" customWidth="1"/>
    <col min="9497" max="9728" width="15.625" style="53"/>
    <col min="9729" max="9729" width="4.625" style="53" customWidth="1"/>
    <col min="9730" max="9730" width="23.625" style="53" customWidth="1"/>
    <col min="9731" max="9731" width="11.375" style="53" customWidth="1"/>
    <col min="9732" max="9732" width="10.625" style="53" customWidth="1"/>
    <col min="9733" max="9733" width="15.625" style="53"/>
    <col min="9734" max="9736" width="10.75" style="53" bestFit="1" customWidth="1"/>
    <col min="9737" max="9737" width="10.125" style="53" bestFit="1" customWidth="1"/>
    <col min="9738" max="9738" width="10.75" style="53" bestFit="1" customWidth="1"/>
    <col min="9739" max="9739" width="11" style="53" bestFit="1" customWidth="1"/>
    <col min="9740" max="9740" width="10.75" style="53" bestFit="1" customWidth="1"/>
    <col min="9741" max="9741" width="15.625" style="53"/>
    <col min="9742" max="9742" width="11.5" style="53" bestFit="1" customWidth="1"/>
    <col min="9743" max="9745" width="10.75" style="53" bestFit="1" customWidth="1"/>
    <col min="9746" max="9748" width="15.625" style="53"/>
    <col min="9749" max="9749" width="14.625" style="53" bestFit="1" customWidth="1"/>
    <col min="9750" max="9750" width="15.625" style="53"/>
    <col min="9751" max="9751" width="13.375" style="53" bestFit="1" customWidth="1"/>
    <col min="9752" max="9752" width="10.75" style="53" bestFit="1" customWidth="1"/>
    <col min="9753" max="9984" width="15.625" style="53"/>
    <col min="9985" max="9985" width="4.625" style="53" customWidth="1"/>
    <col min="9986" max="9986" width="23.625" style="53" customWidth="1"/>
    <col min="9987" max="9987" width="11.375" style="53" customWidth="1"/>
    <col min="9988" max="9988" width="10.625" style="53" customWidth="1"/>
    <col min="9989" max="9989" width="15.625" style="53"/>
    <col min="9990" max="9992" width="10.75" style="53" bestFit="1" customWidth="1"/>
    <col min="9993" max="9993" width="10.125" style="53" bestFit="1" customWidth="1"/>
    <col min="9994" max="9994" width="10.75" style="53" bestFit="1" customWidth="1"/>
    <col min="9995" max="9995" width="11" style="53" bestFit="1" customWidth="1"/>
    <col min="9996" max="9996" width="10.75" style="53" bestFit="1" customWidth="1"/>
    <col min="9997" max="9997" width="15.625" style="53"/>
    <col min="9998" max="9998" width="11.5" style="53" bestFit="1" customWidth="1"/>
    <col min="9999" max="10001" width="10.75" style="53" bestFit="1" customWidth="1"/>
    <col min="10002" max="10004" width="15.625" style="53"/>
    <col min="10005" max="10005" width="14.625" style="53" bestFit="1" customWidth="1"/>
    <col min="10006" max="10006" width="15.625" style="53"/>
    <col min="10007" max="10007" width="13.375" style="53" bestFit="1" customWidth="1"/>
    <col min="10008" max="10008" width="10.75" style="53" bestFit="1" customWidth="1"/>
    <col min="10009" max="10240" width="15.625" style="53"/>
    <col min="10241" max="10241" width="4.625" style="53" customWidth="1"/>
    <col min="10242" max="10242" width="23.625" style="53" customWidth="1"/>
    <col min="10243" max="10243" width="11.375" style="53" customWidth="1"/>
    <col min="10244" max="10244" width="10.625" style="53" customWidth="1"/>
    <col min="10245" max="10245" width="15.625" style="53"/>
    <col min="10246" max="10248" width="10.75" style="53" bestFit="1" customWidth="1"/>
    <col min="10249" max="10249" width="10.125" style="53" bestFit="1" customWidth="1"/>
    <col min="10250" max="10250" width="10.75" style="53" bestFit="1" customWidth="1"/>
    <col min="10251" max="10251" width="11" style="53" bestFit="1" customWidth="1"/>
    <col min="10252" max="10252" width="10.75" style="53" bestFit="1" customWidth="1"/>
    <col min="10253" max="10253" width="15.625" style="53"/>
    <col min="10254" max="10254" width="11.5" style="53" bestFit="1" customWidth="1"/>
    <col min="10255" max="10257" width="10.75" style="53" bestFit="1" customWidth="1"/>
    <col min="10258" max="10260" width="15.625" style="53"/>
    <col min="10261" max="10261" width="14.625" style="53" bestFit="1" customWidth="1"/>
    <col min="10262" max="10262" width="15.625" style="53"/>
    <col min="10263" max="10263" width="13.375" style="53" bestFit="1" customWidth="1"/>
    <col min="10264" max="10264" width="10.75" style="53" bestFit="1" customWidth="1"/>
    <col min="10265" max="10496" width="15.625" style="53"/>
    <col min="10497" max="10497" width="4.625" style="53" customWidth="1"/>
    <col min="10498" max="10498" width="23.625" style="53" customWidth="1"/>
    <col min="10499" max="10499" width="11.375" style="53" customWidth="1"/>
    <col min="10500" max="10500" width="10.625" style="53" customWidth="1"/>
    <col min="10501" max="10501" width="15.625" style="53"/>
    <col min="10502" max="10504" width="10.75" style="53" bestFit="1" customWidth="1"/>
    <col min="10505" max="10505" width="10.125" style="53" bestFit="1" customWidth="1"/>
    <col min="10506" max="10506" width="10.75" style="53" bestFit="1" customWidth="1"/>
    <col min="10507" max="10507" width="11" style="53" bestFit="1" customWidth="1"/>
    <col min="10508" max="10508" width="10.75" style="53" bestFit="1" customWidth="1"/>
    <col min="10509" max="10509" width="15.625" style="53"/>
    <col min="10510" max="10510" width="11.5" style="53" bestFit="1" customWidth="1"/>
    <col min="10511" max="10513" width="10.75" style="53" bestFit="1" customWidth="1"/>
    <col min="10514" max="10516" width="15.625" style="53"/>
    <col min="10517" max="10517" width="14.625" style="53" bestFit="1" customWidth="1"/>
    <col min="10518" max="10518" width="15.625" style="53"/>
    <col min="10519" max="10519" width="13.375" style="53" bestFit="1" customWidth="1"/>
    <col min="10520" max="10520" width="10.75" style="53" bestFit="1" customWidth="1"/>
    <col min="10521" max="10752" width="15.625" style="53"/>
    <col min="10753" max="10753" width="4.625" style="53" customWidth="1"/>
    <col min="10754" max="10754" width="23.625" style="53" customWidth="1"/>
    <col min="10755" max="10755" width="11.375" style="53" customWidth="1"/>
    <col min="10756" max="10756" width="10.625" style="53" customWidth="1"/>
    <col min="10757" max="10757" width="15.625" style="53"/>
    <col min="10758" max="10760" width="10.75" style="53" bestFit="1" customWidth="1"/>
    <col min="10761" max="10761" width="10.125" style="53" bestFit="1" customWidth="1"/>
    <col min="10762" max="10762" width="10.75" style="53" bestFit="1" customWidth="1"/>
    <col min="10763" max="10763" width="11" style="53" bestFit="1" customWidth="1"/>
    <col min="10764" max="10764" width="10.75" style="53" bestFit="1" customWidth="1"/>
    <col min="10765" max="10765" width="15.625" style="53"/>
    <col min="10766" max="10766" width="11.5" style="53" bestFit="1" customWidth="1"/>
    <col min="10767" max="10769" width="10.75" style="53" bestFit="1" customWidth="1"/>
    <col min="10770" max="10772" width="15.625" style="53"/>
    <col min="10773" max="10773" width="14.625" style="53" bestFit="1" customWidth="1"/>
    <col min="10774" max="10774" width="15.625" style="53"/>
    <col min="10775" max="10775" width="13.375" style="53" bestFit="1" customWidth="1"/>
    <col min="10776" max="10776" width="10.75" style="53" bestFit="1" customWidth="1"/>
    <col min="10777" max="11008" width="15.625" style="53"/>
    <col min="11009" max="11009" width="4.625" style="53" customWidth="1"/>
    <col min="11010" max="11010" width="23.625" style="53" customWidth="1"/>
    <col min="11011" max="11011" width="11.375" style="53" customWidth="1"/>
    <col min="11012" max="11012" width="10.625" style="53" customWidth="1"/>
    <col min="11013" max="11013" width="15.625" style="53"/>
    <col min="11014" max="11016" width="10.75" style="53" bestFit="1" customWidth="1"/>
    <col min="11017" max="11017" width="10.125" style="53" bestFit="1" customWidth="1"/>
    <col min="11018" max="11018" width="10.75" style="53" bestFit="1" customWidth="1"/>
    <col min="11019" max="11019" width="11" style="53" bestFit="1" customWidth="1"/>
    <col min="11020" max="11020" width="10.75" style="53" bestFit="1" customWidth="1"/>
    <col min="11021" max="11021" width="15.625" style="53"/>
    <col min="11022" max="11022" width="11.5" style="53" bestFit="1" customWidth="1"/>
    <col min="11023" max="11025" width="10.75" style="53" bestFit="1" customWidth="1"/>
    <col min="11026" max="11028" width="15.625" style="53"/>
    <col min="11029" max="11029" width="14.625" style="53" bestFit="1" customWidth="1"/>
    <col min="11030" max="11030" width="15.625" style="53"/>
    <col min="11031" max="11031" width="13.375" style="53" bestFit="1" customWidth="1"/>
    <col min="11032" max="11032" width="10.75" style="53" bestFit="1" customWidth="1"/>
    <col min="11033" max="11264" width="15.625" style="53"/>
    <col min="11265" max="11265" width="4.625" style="53" customWidth="1"/>
    <col min="11266" max="11266" width="23.625" style="53" customWidth="1"/>
    <col min="11267" max="11267" width="11.375" style="53" customWidth="1"/>
    <col min="11268" max="11268" width="10.625" style="53" customWidth="1"/>
    <col min="11269" max="11269" width="15.625" style="53"/>
    <col min="11270" max="11272" width="10.75" style="53" bestFit="1" customWidth="1"/>
    <col min="11273" max="11273" width="10.125" style="53" bestFit="1" customWidth="1"/>
    <col min="11274" max="11274" width="10.75" style="53" bestFit="1" customWidth="1"/>
    <col min="11275" max="11275" width="11" style="53" bestFit="1" customWidth="1"/>
    <col min="11276" max="11276" width="10.75" style="53" bestFit="1" customWidth="1"/>
    <col min="11277" max="11277" width="15.625" style="53"/>
    <col min="11278" max="11278" width="11.5" style="53" bestFit="1" customWidth="1"/>
    <col min="11279" max="11281" width="10.75" style="53" bestFit="1" customWidth="1"/>
    <col min="11282" max="11284" width="15.625" style="53"/>
    <col min="11285" max="11285" width="14.625" style="53" bestFit="1" customWidth="1"/>
    <col min="11286" max="11286" width="15.625" style="53"/>
    <col min="11287" max="11287" width="13.375" style="53" bestFit="1" customWidth="1"/>
    <col min="11288" max="11288" width="10.75" style="53" bestFit="1" customWidth="1"/>
    <col min="11289" max="11520" width="15.625" style="53"/>
    <col min="11521" max="11521" width="4.625" style="53" customWidth="1"/>
    <col min="11522" max="11522" width="23.625" style="53" customWidth="1"/>
    <col min="11523" max="11523" width="11.375" style="53" customWidth="1"/>
    <col min="11524" max="11524" width="10.625" style="53" customWidth="1"/>
    <col min="11525" max="11525" width="15.625" style="53"/>
    <col min="11526" max="11528" width="10.75" style="53" bestFit="1" customWidth="1"/>
    <col min="11529" max="11529" width="10.125" style="53" bestFit="1" customWidth="1"/>
    <col min="11530" max="11530" width="10.75" style="53" bestFit="1" customWidth="1"/>
    <col min="11531" max="11531" width="11" style="53" bestFit="1" customWidth="1"/>
    <col min="11532" max="11532" width="10.75" style="53" bestFit="1" customWidth="1"/>
    <col min="11533" max="11533" width="15.625" style="53"/>
    <col min="11534" max="11534" width="11.5" style="53" bestFit="1" customWidth="1"/>
    <col min="11535" max="11537" width="10.75" style="53" bestFit="1" customWidth="1"/>
    <col min="11538" max="11540" width="15.625" style="53"/>
    <col min="11541" max="11541" width="14.625" style="53" bestFit="1" customWidth="1"/>
    <col min="11542" max="11542" width="15.625" style="53"/>
    <col min="11543" max="11543" width="13.375" style="53" bestFit="1" customWidth="1"/>
    <col min="11544" max="11544" width="10.75" style="53" bestFit="1" customWidth="1"/>
    <col min="11545" max="11776" width="15.625" style="53"/>
    <col min="11777" max="11777" width="4.625" style="53" customWidth="1"/>
    <col min="11778" max="11778" width="23.625" style="53" customWidth="1"/>
    <col min="11779" max="11779" width="11.375" style="53" customWidth="1"/>
    <col min="11780" max="11780" width="10.625" style="53" customWidth="1"/>
    <col min="11781" max="11781" width="15.625" style="53"/>
    <col min="11782" max="11784" width="10.75" style="53" bestFit="1" customWidth="1"/>
    <col min="11785" max="11785" width="10.125" style="53" bestFit="1" customWidth="1"/>
    <col min="11786" max="11786" width="10.75" style="53" bestFit="1" customWidth="1"/>
    <col min="11787" max="11787" width="11" style="53" bestFit="1" customWidth="1"/>
    <col min="11788" max="11788" width="10.75" style="53" bestFit="1" customWidth="1"/>
    <col min="11789" max="11789" width="15.625" style="53"/>
    <col min="11790" max="11790" width="11.5" style="53" bestFit="1" customWidth="1"/>
    <col min="11791" max="11793" width="10.75" style="53" bestFit="1" customWidth="1"/>
    <col min="11794" max="11796" width="15.625" style="53"/>
    <col min="11797" max="11797" width="14.625" style="53" bestFit="1" customWidth="1"/>
    <col min="11798" max="11798" width="15.625" style="53"/>
    <col min="11799" max="11799" width="13.375" style="53" bestFit="1" customWidth="1"/>
    <col min="11800" max="11800" width="10.75" style="53" bestFit="1" customWidth="1"/>
    <col min="11801" max="12032" width="15.625" style="53"/>
    <col min="12033" max="12033" width="4.625" style="53" customWidth="1"/>
    <col min="12034" max="12034" width="23.625" style="53" customWidth="1"/>
    <col min="12035" max="12035" width="11.375" style="53" customWidth="1"/>
    <col min="12036" max="12036" width="10.625" style="53" customWidth="1"/>
    <col min="12037" max="12037" width="15.625" style="53"/>
    <col min="12038" max="12040" width="10.75" style="53" bestFit="1" customWidth="1"/>
    <col min="12041" max="12041" width="10.125" style="53" bestFit="1" customWidth="1"/>
    <col min="12042" max="12042" width="10.75" style="53" bestFit="1" customWidth="1"/>
    <col min="12043" max="12043" width="11" style="53" bestFit="1" customWidth="1"/>
    <col min="12044" max="12044" width="10.75" style="53" bestFit="1" customWidth="1"/>
    <col min="12045" max="12045" width="15.625" style="53"/>
    <col min="12046" max="12046" width="11.5" style="53" bestFit="1" customWidth="1"/>
    <col min="12047" max="12049" width="10.75" style="53" bestFit="1" customWidth="1"/>
    <col min="12050" max="12052" width="15.625" style="53"/>
    <col min="12053" max="12053" width="14.625" style="53" bestFit="1" customWidth="1"/>
    <col min="12054" max="12054" width="15.625" style="53"/>
    <col min="12055" max="12055" width="13.375" style="53" bestFit="1" customWidth="1"/>
    <col min="12056" max="12056" width="10.75" style="53" bestFit="1" customWidth="1"/>
    <col min="12057" max="12288" width="15.625" style="53"/>
    <col min="12289" max="12289" width="4.625" style="53" customWidth="1"/>
    <col min="12290" max="12290" width="23.625" style="53" customWidth="1"/>
    <col min="12291" max="12291" width="11.375" style="53" customWidth="1"/>
    <col min="12292" max="12292" width="10.625" style="53" customWidth="1"/>
    <col min="12293" max="12293" width="15.625" style="53"/>
    <col min="12294" max="12296" width="10.75" style="53" bestFit="1" customWidth="1"/>
    <col min="12297" max="12297" width="10.125" style="53" bestFit="1" customWidth="1"/>
    <col min="12298" max="12298" width="10.75" style="53" bestFit="1" customWidth="1"/>
    <col min="12299" max="12299" width="11" style="53" bestFit="1" customWidth="1"/>
    <col min="12300" max="12300" width="10.75" style="53" bestFit="1" customWidth="1"/>
    <col min="12301" max="12301" width="15.625" style="53"/>
    <col min="12302" max="12302" width="11.5" style="53" bestFit="1" customWidth="1"/>
    <col min="12303" max="12305" width="10.75" style="53" bestFit="1" customWidth="1"/>
    <col min="12306" max="12308" width="15.625" style="53"/>
    <col min="12309" max="12309" width="14.625" style="53" bestFit="1" customWidth="1"/>
    <col min="12310" max="12310" width="15.625" style="53"/>
    <col min="12311" max="12311" width="13.375" style="53" bestFit="1" customWidth="1"/>
    <col min="12312" max="12312" width="10.75" style="53" bestFit="1" customWidth="1"/>
    <col min="12313" max="12544" width="15.625" style="53"/>
    <col min="12545" max="12545" width="4.625" style="53" customWidth="1"/>
    <col min="12546" max="12546" width="23.625" style="53" customWidth="1"/>
    <col min="12547" max="12547" width="11.375" style="53" customWidth="1"/>
    <col min="12548" max="12548" width="10.625" style="53" customWidth="1"/>
    <col min="12549" max="12549" width="15.625" style="53"/>
    <col min="12550" max="12552" width="10.75" style="53" bestFit="1" customWidth="1"/>
    <col min="12553" max="12553" width="10.125" style="53" bestFit="1" customWidth="1"/>
    <col min="12554" max="12554" width="10.75" style="53" bestFit="1" customWidth="1"/>
    <col min="12555" max="12555" width="11" style="53" bestFit="1" customWidth="1"/>
    <col min="12556" max="12556" width="10.75" style="53" bestFit="1" customWidth="1"/>
    <col min="12557" max="12557" width="15.625" style="53"/>
    <col min="12558" max="12558" width="11.5" style="53" bestFit="1" customWidth="1"/>
    <col min="12559" max="12561" width="10.75" style="53" bestFit="1" customWidth="1"/>
    <col min="12562" max="12564" width="15.625" style="53"/>
    <col min="12565" max="12565" width="14.625" style="53" bestFit="1" customWidth="1"/>
    <col min="12566" max="12566" width="15.625" style="53"/>
    <col min="12567" max="12567" width="13.375" style="53" bestFit="1" customWidth="1"/>
    <col min="12568" max="12568" width="10.75" style="53" bestFit="1" customWidth="1"/>
    <col min="12569" max="12800" width="15.625" style="53"/>
    <col min="12801" max="12801" width="4.625" style="53" customWidth="1"/>
    <col min="12802" max="12802" width="23.625" style="53" customWidth="1"/>
    <col min="12803" max="12803" width="11.375" style="53" customWidth="1"/>
    <col min="12804" max="12804" width="10.625" style="53" customWidth="1"/>
    <col min="12805" max="12805" width="15.625" style="53"/>
    <col min="12806" max="12808" width="10.75" style="53" bestFit="1" customWidth="1"/>
    <col min="12809" max="12809" width="10.125" style="53" bestFit="1" customWidth="1"/>
    <col min="12810" max="12810" width="10.75" style="53" bestFit="1" customWidth="1"/>
    <col min="12811" max="12811" width="11" style="53" bestFit="1" customWidth="1"/>
    <col min="12812" max="12812" width="10.75" style="53" bestFit="1" customWidth="1"/>
    <col min="12813" max="12813" width="15.625" style="53"/>
    <col min="12814" max="12814" width="11.5" style="53" bestFit="1" customWidth="1"/>
    <col min="12815" max="12817" width="10.75" style="53" bestFit="1" customWidth="1"/>
    <col min="12818" max="12820" width="15.625" style="53"/>
    <col min="12821" max="12821" width="14.625" style="53" bestFit="1" customWidth="1"/>
    <col min="12822" max="12822" width="15.625" style="53"/>
    <col min="12823" max="12823" width="13.375" style="53" bestFit="1" customWidth="1"/>
    <col min="12824" max="12824" width="10.75" style="53" bestFit="1" customWidth="1"/>
    <col min="12825" max="13056" width="15.625" style="53"/>
    <col min="13057" max="13057" width="4.625" style="53" customWidth="1"/>
    <col min="13058" max="13058" width="23.625" style="53" customWidth="1"/>
    <col min="13059" max="13059" width="11.375" style="53" customWidth="1"/>
    <col min="13060" max="13060" width="10.625" style="53" customWidth="1"/>
    <col min="13061" max="13061" width="15.625" style="53"/>
    <col min="13062" max="13064" width="10.75" style="53" bestFit="1" customWidth="1"/>
    <col min="13065" max="13065" width="10.125" style="53" bestFit="1" customWidth="1"/>
    <col min="13066" max="13066" width="10.75" style="53" bestFit="1" customWidth="1"/>
    <col min="13067" max="13067" width="11" style="53" bestFit="1" customWidth="1"/>
    <col min="13068" max="13068" width="10.75" style="53" bestFit="1" customWidth="1"/>
    <col min="13069" max="13069" width="15.625" style="53"/>
    <col min="13070" max="13070" width="11.5" style="53" bestFit="1" customWidth="1"/>
    <col min="13071" max="13073" width="10.75" style="53" bestFit="1" customWidth="1"/>
    <col min="13074" max="13076" width="15.625" style="53"/>
    <col min="13077" max="13077" width="14.625" style="53" bestFit="1" customWidth="1"/>
    <col min="13078" max="13078" width="15.625" style="53"/>
    <col min="13079" max="13079" width="13.375" style="53" bestFit="1" customWidth="1"/>
    <col min="13080" max="13080" width="10.75" style="53" bestFit="1" customWidth="1"/>
    <col min="13081" max="13312" width="15.625" style="53"/>
    <col min="13313" max="13313" width="4.625" style="53" customWidth="1"/>
    <col min="13314" max="13314" width="23.625" style="53" customWidth="1"/>
    <col min="13315" max="13315" width="11.375" style="53" customWidth="1"/>
    <col min="13316" max="13316" width="10.625" style="53" customWidth="1"/>
    <col min="13317" max="13317" width="15.625" style="53"/>
    <col min="13318" max="13320" width="10.75" style="53" bestFit="1" customWidth="1"/>
    <col min="13321" max="13321" width="10.125" style="53" bestFit="1" customWidth="1"/>
    <col min="13322" max="13322" width="10.75" style="53" bestFit="1" customWidth="1"/>
    <col min="13323" max="13323" width="11" style="53" bestFit="1" customWidth="1"/>
    <col min="13324" max="13324" width="10.75" style="53" bestFit="1" customWidth="1"/>
    <col min="13325" max="13325" width="15.625" style="53"/>
    <col min="13326" max="13326" width="11.5" style="53" bestFit="1" customWidth="1"/>
    <col min="13327" max="13329" width="10.75" style="53" bestFit="1" customWidth="1"/>
    <col min="13330" max="13332" width="15.625" style="53"/>
    <col min="13333" max="13333" width="14.625" style="53" bestFit="1" customWidth="1"/>
    <col min="13334" max="13334" width="15.625" style="53"/>
    <col min="13335" max="13335" width="13.375" style="53" bestFit="1" customWidth="1"/>
    <col min="13336" max="13336" width="10.75" style="53" bestFit="1" customWidth="1"/>
    <col min="13337" max="13568" width="15.625" style="53"/>
    <col min="13569" max="13569" width="4.625" style="53" customWidth="1"/>
    <col min="13570" max="13570" width="23.625" style="53" customWidth="1"/>
    <col min="13571" max="13571" width="11.375" style="53" customWidth="1"/>
    <col min="13572" max="13572" width="10.625" style="53" customWidth="1"/>
    <col min="13573" max="13573" width="15.625" style="53"/>
    <col min="13574" max="13576" width="10.75" style="53" bestFit="1" customWidth="1"/>
    <col min="13577" max="13577" width="10.125" style="53" bestFit="1" customWidth="1"/>
    <col min="13578" max="13578" width="10.75" style="53" bestFit="1" customWidth="1"/>
    <col min="13579" max="13579" width="11" style="53" bestFit="1" customWidth="1"/>
    <col min="13580" max="13580" width="10.75" style="53" bestFit="1" customWidth="1"/>
    <col min="13581" max="13581" width="15.625" style="53"/>
    <col min="13582" max="13582" width="11.5" style="53" bestFit="1" customWidth="1"/>
    <col min="13583" max="13585" width="10.75" style="53" bestFit="1" customWidth="1"/>
    <col min="13586" max="13588" width="15.625" style="53"/>
    <col min="13589" max="13589" width="14.625" style="53" bestFit="1" customWidth="1"/>
    <col min="13590" max="13590" width="15.625" style="53"/>
    <col min="13591" max="13591" width="13.375" style="53" bestFit="1" customWidth="1"/>
    <col min="13592" max="13592" width="10.75" style="53" bestFit="1" customWidth="1"/>
    <col min="13593" max="13824" width="15.625" style="53"/>
    <col min="13825" max="13825" width="4.625" style="53" customWidth="1"/>
    <col min="13826" max="13826" width="23.625" style="53" customWidth="1"/>
    <col min="13827" max="13827" width="11.375" style="53" customWidth="1"/>
    <col min="13828" max="13828" width="10.625" style="53" customWidth="1"/>
    <col min="13829" max="13829" width="15.625" style="53"/>
    <col min="13830" max="13832" width="10.75" style="53" bestFit="1" customWidth="1"/>
    <col min="13833" max="13833" width="10.125" style="53" bestFit="1" customWidth="1"/>
    <col min="13834" max="13834" width="10.75" style="53" bestFit="1" customWidth="1"/>
    <col min="13835" max="13835" width="11" style="53" bestFit="1" customWidth="1"/>
    <col min="13836" max="13836" width="10.75" style="53" bestFit="1" customWidth="1"/>
    <col min="13837" max="13837" width="15.625" style="53"/>
    <col min="13838" max="13838" width="11.5" style="53" bestFit="1" customWidth="1"/>
    <col min="13839" max="13841" width="10.75" style="53" bestFit="1" customWidth="1"/>
    <col min="13842" max="13844" width="15.625" style="53"/>
    <col min="13845" max="13845" width="14.625" style="53" bestFit="1" customWidth="1"/>
    <col min="13846" max="13846" width="15.625" style="53"/>
    <col min="13847" max="13847" width="13.375" style="53" bestFit="1" customWidth="1"/>
    <col min="13848" max="13848" width="10.75" style="53" bestFit="1" customWidth="1"/>
    <col min="13849" max="14080" width="15.625" style="53"/>
    <col min="14081" max="14081" width="4.625" style="53" customWidth="1"/>
    <col min="14082" max="14082" width="23.625" style="53" customWidth="1"/>
    <col min="14083" max="14083" width="11.375" style="53" customWidth="1"/>
    <col min="14084" max="14084" width="10.625" style="53" customWidth="1"/>
    <col min="14085" max="14085" width="15.625" style="53"/>
    <col min="14086" max="14088" width="10.75" style="53" bestFit="1" customWidth="1"/>
    <col min="14089" max="14089" width="10.125" style="53" bestFit="1" customWidth="1"/>
    <col min="14090" max="14090" width="10.75" style="53" bestFit="1" customWidth="1"/>
    <col min="14091" max="14091" width="11" style="53" bestFit="1" customWidth="1"/>
    <col min="14092" max="14092" width="10.75" style="53" bestFit="1" customWidth="1"/>
    <col min="14093" max="14093" width="15.625" style="53"/>
    <col min="14094" max="14094" width="11.5" style="53" bestFit="1" customWidth="1"/>
    <col min="14095" max="14097" width="10.75" style="53" bestFit="1" customWidth="1"/>
    <col min="14098" max="14100" width="15.625" style="53"/>
    <col min="14101" max="14101" width="14.625" style="53" bestFit="1" customWidth="1"/>
    <col min="14102" max="14102" width="15.625" style="53"/>
    <col min="14103" max="14103" width="13.375" style="53" bestFit="1" customWidth="1"/>
    <col min="14104" max="14104" width="10.75" style="53" bestFit="1" customWidth="1"/>
    <col min="14105" max="14336" width="15.625" style="53"/>
    <col min="14337" max="14337" width="4.625" style="53" customWidth="1"/>
    <col min="14338" max="14338" width="23.625" style="53" customWidth="1"/>
    <col min="14339" max="14339" width="11.375" style="53" customWidth="1"/>
    <col min="14340" max="14340" width="10.625" style="53" customWidth="1"/>
    <col min="14341" max="14341" width="15.625" style="53"/>
    <col min="14342" max="14344" width="10.75" style="53" bestFit="1" customWidth="1"/>
    <col min="14345" max="14345" width="10.125" style="53" bestFit="1" customWidth="1"/>
    <col min="14346" max="14346" width="10.75" style="53" bestFit="1" customWidth="1"/>
    <col min="14347" max="14347" width="11" style="53" bestFit="1" customWidth="1"/>
    <col min="14348" max="14348" width="10.75" style="53" bestFit="1" customWidth="1"/>
    <col min="14349" max="14349" width="15.625" style="53"/>
    <col min="14350" max="14350" width="11.5" style="53" bestFit="1" customWidth="1"/>
    <col min="14351" max="14353" width="10.75" style="53" bestFit="1" customWidth="1"/>
    <col min="14354" max="14356" width="15.625" style="53"/>
    <col min="14357" max="14357" width="14.625" style="53" bestFit="1" customWidth="1"/>
    <col min="14358" max="14358" width="15.625" style="53"/>
    <col min="14359" max="14359" width="13.375" style="53" bestFit="1" customWidth="1"/>
    <col min="14360" max="14360" width="10.75" style="53" bestFit="1" customWidth="1"/>
    <col min="14361" max="14592" width="15.625" style="53"/>
    <col min="14593" max="14593" width="4.625" style="53" customWidth="1"/>
    <col min="14594" max="14594" width="23.625" style="53" customWidth="1"/>
    <col min="14595" max="14595" width="11.375" style="53" customWidth="1"/>
    <col min="14596" max="14596" width="10.625" style="53" customWidth="1"/>
    <col min="14597" max="14597" width="15.625" style="53"/>
    <col min="14598" max="14600" width="10.75" style="53" bestFit="1" customWidth="1"/>
    <col min="14601" max="14601" width="10.125" style="53" bestFit="1" customWidth="1"/>
    <col min="14602" max="14602" width="10.75" style="53" bestFit="1" customWidth="1"/>
    <col min="14603" max="14603" width="11" style="53" bestFit="1" customWidth="1"/>
    <col min="14604" max="14604" width="10.75" style="53" bestFit="1" customWidth="1"/>
    <col min="14605" max="14605" width="15.625" style="53"/>
    <col min="14606" max="14606" width="11.5" style="53" bestFit="1" customWidth="1"/>
    <col min="14607" max="14609" width="10.75" style="53" bestFit="1" customWidth="1"/>
    <col min="14610" max="14612" width="15.625" style="53"/>
    <col min="14613" max="14613" width="14.625" style="53" bestFit="1" customWidth="1"/>
    <col min="14614" max="14614" width="15.625" style="53"/>
    <col min="14615" max="14615" width="13.375" style="53" bestFit="1" customWidth="1"/>
    <col min="14616" max="14616" width="10.75" style="53" bestFit="1" customWidth="1"/>
    <col min="14617" max="14848" width="15.625" style="53"/>
    <col min="14849" max="14849" width="4.625" style="53" customWidth="1"/>
    <col min="14850" max="14850" width="23.625" style="53" customWidth="1"/>
    <col min="14851" max="14851" width="11.375" style="53" customWidth="1"/>
    <col min="14852" max="14852" width="10.625" style="53" customWidth="1"/>
    <col min="14853" max="14853" width="15.625" style="53"/>
    <col min="14854" max="14856" width="10.75" style="53" bestFit="1" customWidth="1"/>
    <col min="14857" max="14857" width="10.125" style="53" bestFit="1" customWidth="1"/>
    <col min="14858" max="14858" width="10.75" style="53" bestFit="1" customWidth="1"/>
    <col min="14859" max="14859" width="11" style="53" bestFit="1" customWidth="1"/>
    <col min="14860" max="14860" width="10.75" style="53" bestFit="1" customWidth="1"/>
    <col min="14861" max="14861" width="15.625" style="53"/>
    <col min="14862" max="14862" width="11.5" style="53" bestFit="1" customWidth="1"/>
    <col min="14863" max="14865" width="10.75" style="53" bestFit="1" customWidth="1"/>
    <col min="14866" max="14868" width="15.625" style="53"/>
    <col min="14869" max="14869" width="14.625" style="53" bestFit="1" customWidth="1"/>
    <col min="14870" max="14870" width="15.625" style="53"/>
    <col min="14871" max="14871" width="13.375" style="53" bestFit="1" customWidth="1"/>
    <col min="14872" max="14872" width="10.75" style="53" bestFit="1" customWidth="1"/>
    <col min="14873" max="15104" width="15.625" style="53"/>
    <col min="15105" max="15105" width="4.625" style="53" customWidth="1"/>
    <col min="15106" max="15106" width="23.625" style="53" customWidth="1"/>
    <col min="15107" max="15107" width="11.375" style="53" customWidth="1"/>
    <col min="15108" max="15108" width="10.625" style="53" customWidth="1"/>
    <col min="15109" max="15109" width="15.625" style="53"/>
    <col min="15110" max="15112" width="10.75" style="53" bestFit="1" customWidth="1"/>
    <col min="15113" max="15113" width="10.125" style="53" bestFit="1" customWidth="1"/>
    <col min="15114" max="15114" width="10.75" style="53" bestFit="1" customWidth="1"/>
    <col min="15115" max="15115" width="11" style="53" bestFit="1" customWidth="1"/>
    <col min="15116" max="15116" width="10.75" style="53" bestFit="1" customWidth="1"/>
    <col min="15117" max="15117" width="15.625" style="53"/>
    <col min="15118" max="15118" width="11.5" style="53" bestFit="1" customWidth="1"/>
    <col min="15119" max="15121" width="10.75" style="53" bestFit="1" customWidth="1"/>
    <col min="15122" max="15124" width="15.625" style="53"/>
    <col min="15125" max="15125" width="14.625" style="53" bestFit="1" customWidth="1"/>
    <col min="15126" max="15126" width="15.625" style="53"/>
    <col min="15127" max="15127" width="13.375" style="53" bestFit="1" customWidth="1"/>
    <col min="15128" max="15128" width="10.75" style="53" bestFit="1" customWidth="1"/>
    <col min="15129" max="15360" width="15.625" style="53"/>
    <col min="15361" max="15361" width="4.625" style="53" customWidth="1"/>
    <col min="15362" max="15362" width="23.625" style="53" customWidth="1"/>
    <col min="15363" max="15363" width="11.375" style="53" customWidth="1"/>
    <col min="15364" max="15364" width="10.625" style="53" customWidth="1"/>
    <col min="15365" max="15365" width="15.625" style="53"/>
    <col min="15366" max="15368" width="10.75" style="53" bestFit="1" customWidth="1"/>
    <col min="15369" max="15369" width="10.125" style="53" bestFit="1" customWidth="1"/>
    <col min="15370" max="15370" width="10.75" style="53" bestFit="1" customWidth="1"/>
    <col min="15371" max="15371" width="11" style="53" bestFit="1" customWidth="1"/>
    <col min="15372" max="15372" width="10.75" style="53" bestFit="1" customWidth="1"/>
    <col min="15373" max="15373" width="15.625" style="53"/>
    <col min="15374" max="15374" width="11.5" style="53" bestFit="1" customWidth="1"/>
    <col min="15375" max="15377" width="10.75" style="53" bestFit="1" customWidth="1"/>
    <col min="15378" max="15380" width="15.625" style="53"/>
    <col min="15381" max="15381" width="14.625" style="53" bestFit="1" customWidth="1"/>
    <col min="15382" max="15382" width="15.625" style="53"/>
    <col min="15383" max="15383" width="13.375" style="53" bestFit="1" customWidth="1"/>
    <col min="15384" max="15384" width="10.75" style="53" bestFit="1" customWidth="1"/>
    <col min="15385" max="15616" width="15.625" style="53"/>
    <col min="15617" max="15617" width="4.625" style="53" customWidth="1"/>
    <col min="15618" max="15618" width="23.625" style="53" customWidth="1"/>
    <col min="15619" max="15619" width="11.375" style="53" customWidth="1"/>
    <col min="15620" max="15620" width="10.625" style="53" customWidth="1"/>
    <col min="15621" max="15621" width="15.625" style="53"/>
    <col min="15622" max="15624" width="10.75" style="53" bestFit="1" customWidth="1"/>
    <col min="15625" max="15625" width="10.125" style="53" bestFit="1" customWidth="1"/>
    <col min="15626" max="15626" width="10.75" style="53" bestFit="1" customWidth="1"/>
    <col min="15627" max="15627" width="11" style="53" bestFit="1" customWidth="1"/>
    <col min="15628" max="15628" width="10.75" style="53" bestFit="1" customWidth="1"/>
    <col min="15629" max="15629" width="15.625" style="53"/>
    <col min="15630" max="15630" width="11.5" style="53" bestFit="1" customWidth="1"/>
    <col min="15631" max="15633" width="10.75" style="53" bestFit="1" customWidth="1"/>
    <col min="15634" max="15636" width="15.625" style="53"/>
    <col min="15637" max="15637" width="14.625" style="53" bestFit="1" customWidth="1"/>
    <col min="15638" max="15638" width="15.625" style="53"/>
    <col min="15639" max="15639" width="13.375" style="53" bestFit="1" customWidth="1"/>
    <col min="15640" max="15640" width="10.75" style="53" bestFit="1" customWidth="1"/>
    <col min="15641" max="15872" width="15.625" style="53"/>
    <col min="15873" max="15873" width="4.625" style="53" customWidth="1"/>
    <col min="15874" max="15874" width="23.625" style="53" customWidth="1"/>
    <col min="15875" max="15875" width="11.375" style="53" customWidth="1"/>
    <col min="15876" max="15876" width="10.625" style="53" customWidth="1"/>
    <col min="15877" max="15877" width="15.625" style="53"/>
    <col min="15878" max="15880" width="10.75" style="53" bestFit="1" customWidth="1"/>
    <col min="15881" max="15881" width="10.125" style="53" bestFit="1" customWidth="1"/>
    <col min="15882" max="15882" width="10.75" style="53" bestFit="1" customWidth="1"/>
    <col min="15883" max="15883" width="11" style="53" bestFit="1" customWidth="1"/>
    <col min="15884" max="15884" width="10.75" style="53" bestFit="1" customWidth="1"/>
    <col min="15885" max="15885" width="15.625" style="53"/>
    <col min="15886" max="15886" width="11.5" style="53" bestFit="1" customWidth="1"/>
    <col min="15887" max="15889" width="10.75" style="53" bestFit="1" customWidth="1"/>
    <col min="15890" max="15892" width="15.625" style="53"/>
    <col min="15893" max="15893" width="14.625" style="53" bestFit="1" customWidth="1"/>
    <col min="15894" max="15894" width="15.625" style="53"/>
    <col min="15895" max="15895" width="13.375" style="53" bestFit="1" customWidth="1"/>
    <col min="15896" max="15896" width="10.75" style="53" bestFit="1" customWidth="1"/>
    <col min="15897" max="16128" width="15.625" style="53"/>
    <col min="16129" max="16129" width="4.625" style="53" customWidth="1"/>
    <col min="16130" max="16130" width="23.625" style="53" customWidth="1"/>
    <col min="16131" max="16131" width="11.375" style="53" customWidth="1"/>
    <col min="16132" max="16132" width="10.625" style="53" customWidth="1"/>
    <col min="16133" max="16133" width="15.625" style="53"/>
    <col min="16134" max="16136" width="10.75" style="53" bestFit="1" customWidth="1"/>
    <col min="16137" max="16137" width="10.125" style="53" bestFit="1" customWidth="1"/>
    <col min="16138" max="16138" width="10.75" style="53" bestFit="1" customWidth="1"/>
    <col min="16139" max="16139" width="11" style="53" bestFit="1" customWidth="1"/>
    <col min="16140" max="16140" width="10.75" style="53" bestFit="1" customWidth="1"/>
    <col min="16141" max="16141" width="15.625" style="53"/>
    <col min="16142" max="16142" width="11.5" style="53" bestFit="1" customWidth="1"/>
    <col min="16143" max="16145" width="10.75" style="53" bestFit="1" customWidth="1"/>
    <col min="16146" max="16148" width="15.625" style="53"/>
    <col min="16149" max="16149" width="14.625" style="53" bestFit="1" customWidth="1"/>
    <col min="16150" max="16150" width="15.625" style="53"/>
    <col min="16151" max="16151" width="13.375" style="53" bestFit="1" customWidth="1"/>
    <col min="16152" max="16152" width="10.75" style="53" bestFit="1" customWidth="1"/>
    <col min="16153" max="16384" width="15.625" style="53"/>
  </cols>
  <sheetData>
    <row r="1" spans="1:25" ht="25.5" x14ac:dyDescent="0.15">
      <c r="A1" s="99" t="s">
        <v>224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30" customHeight="1" x14ac:dyDescent="0.15">
      <c r="A2" s="11" t="s">
        <v>0</v>
      </c>
      <c r="B2" s="11" t="s">
        <v>16</v>
      </c>
      <c r="C2" s="11" t="s">
        <v>17</v>
      </c>
      <c r="D2" s="12" t="s">
        <v>18</v>
      </c>
      <c r="E2" s="12" t="s">
        <v>225</v>
      </c>
      <c r="F2" s="12" t="s">
        <v>226</v>
      </c>
      <c r="G2" s="12" t="s">
        <v>227</v>
      </c>
      <c r="H2" s="12" t="s">
        <v>228</v>
      </c>
      <c r="I2" s="12" t="s">
        <v>229</v>
      </c>
      <c r="J2" s="12" t="s">
        <v>163</v>
      </c>
      <c r="K2" s="12" t="s">
        <v>8</v>
      </c>
      <c r="L2" s="12" t="s">
        <v>230</v>
      </c>
      <c r="M2" s="12" t="s">
        <v>164</v>
      </c>
      <c r="N2" s="12" t="s">
        <v>231</v>
      </c>
      <c r="O2" s="12" t="s">
        <v>232</v>
      </c>
      <c r="P2" s="12" t="s">
        <v>169</v>
      </c>
      <c r="Q2" s="12" t="s">
        <v>233</v>
      </c>
      <c r="R2" s="12" t="s">
        <v>234</v>
      </c>
      <c r="S2" s="12" t="s">
        <v>235</v>
      </c>
      <c r="T2" s="12" t="s">
        <v>236</v>
      </c>
      <c r="U2" s="12" t="s">
        <v>237</v>
      </c>
      <c r="V2" s="12" t="s">
        <v>238</v>
      </c>
      <c r="W2" s="12" t="s">
        <v>239</v>
      </c>
      <c r="X2" s="12" t="s">
        <v>7</v>
      </c>
      <c r="Y2" s="13" t="s">
        <v>166</v>
      </c>
    </row>
    <row r="3" spans="1:25" x14ac:dyDescent="0.15">
      <c r="A3" s="14" t="s">
        <v>19</v>
      </c>
      <c r="B3" s="15" t="s">
        <v>20</v>
      </c>
      <c r="C3" s="15"/>
      <c r="D3" s="16" t="s">
        <v>21</v>
      </c>
      <c r="E3" s="17">
        <f t="shared" ref="E3:W3" si="0">E4+E30+E49</f>
        <v>34564579.899999999</v>
      </c>
      <c r="F3" s="17">
        <f t="shared" si="0"/>
        <v>34412576.609999999</v>
      </c>
      <c r="G3" s="17">
        <f t="shared" si="0"/>
        <v>24382613.400000002</v>
      </c>
      <c r="H3" s="17">
        <f t="shared" si="0"/>
        <v>29195033.110000003</v>
      </c>
      <c r="I3" s="17">
        <f t="shared" si="0"/>
        <v>5710762.29</v>
      </c>
      <c r="J3" s="17">
        <f t="shared" si="0"/>
        <v>40326043.690000005</v>
      </c>
      <c r="K3" s="17">
        <f t="shared" si="0"/>
        <v>32457468.310000002</v>
      </c>
      <c r="L3" s="17">
        <f t="shared" si="0"/>
        <v>19499494.169999998</v>
      </c>
      <c r="M3" s="17">
        <f t="shared" si="0"/>
        <v>36882804.640000001</v>
      </c>
      <c r="N3" s="17">
        <f t="shared" si="0"/>
        <v>24091085.559999999</v>
      </c>
      <c r="O3" s="17">
        <f t="shared" si="0"/>
        <v>21033905.73</v>
      </c>
      <c r="P3" s="17">
        <f t="shared" si="0"/>
        <v>22764507.609999999</v>
      </c>
      <c r="Q3" s="17">
        <f t="shared" si="0"/>
        <v>19552312.689999998</v>
      </c>
      <c r="R3" s="17">
        <f t="shared" si="0"/>
        <v>6731562.3700000001</v>
      </c>
      <c r="S3" s="17">
        <f t="shared" si="0"/>
        <v>8666638.1500000004</v>
      </c>
      <c r="T3" s="17">
        <f t="shared" si="0"/>
        <v>9309637.3599999994</v>
      </c>
      <c r="U3" s="17">
        <f t="shared" si="0"/>
        <v>13896350.200000001</v>
      </c>
      <c r="V3" s="17">
        <f t="shared" si="0"/>
        <v>13642883.77</v>
      </c>
      <c r="W3" s="17">
        <f t="shared" si="0"/>
        <v>2491287.5</v>
      </c>
      <c r="X3" s="17">
        <f t="shared" ref="X3:X9" si="1">SUM(E3:W3)</f>
        <v>399611547.06</v>
      </c>
      <c r="Y3" s="18"/>
    </row>
    <row r="4" spans="1:25" x14ac:dyDescent="0.15">
      <c r="A4" s="14" t="s">
        <v>22</v>
      </c>
      <c r="B4" s="15" t="s">
        <v>9</v>
      </c>
      <c r="C4" s="15"/>
      <c r="D4" s="16" t="s">
        <v>21</v>
      </c>
      <c r="E4" s="17">
        <f t="shared" ref="E4:W4" si="2">E5+E8+E12+E15+E18+E20+E23+E25+E27+E28+E29</f>
        <v>29939370.899999999</v>
      </c>
      <c r="F4" s="17">
        <f t="shared" si="2"/>
        <v>29801544.470000003</v>
      </c>
      <c r="G4" s="17">
        <f t="shared" si="2"/>
        <v>20236578.050000001</v>
      </c>
      <c r="H4" s="17">
        <f t="shared" si="2"/>
        <v>24950530.900000002</v>
      </c>
      <c r="I4" s="17">
        <f t="shared" si="2"/>
        <v>3280423.36</v>
      </c>
      <c r="J4" s="17">
        <f t="shared" si="2"/>
        <v>33645704.730000004</v>
      </c>
      <c r="K4" s="17">
        <f t="shared" si="2"/>
        <v>27390700.030000001</v>
      </c>
      <c r="L4" s="17">
        <f t="shared" si="2"/>
        <v>16094662.76</v>
      </c>
      <c r="M4" s="17">
        <f t="shared" si="2"/>
        <v>31139498.18</v>
      </c>
      <c r="N4" s="17">
        <f t="shared" si="2"/>
        <v>20163935.84</v>
      </c>
      <c r="O4" s="17">
        <f t="shared" si="2"/>
        <v>18300491.609999999</v>
      </c>
      <c r="P4" s="17">
        <f t="shared" si="2"/>
        <v>19260811.77</v>
      </c>
      <c r="Q4" s="17">
        <f t="shared" si="2"/>
        <v>16848073.18</v>
      </c>
      <c r="R4" s="17">
        <f t="shared" si="2"/>
        <v>5572859.5099999998</v>
      </c>
      <c r="S4" s="17">
        <f t="shared" si="2"/>
        <v>7300782.4399999995</v>
      </c>
      <c r="T4" s="17">
        <f t="shared" si="2"/>
        <v>7151227.9299999997</v>
      </c>
      <c r="U4" s="17">
        <f t="shared" si="2"/>
        <v>11619054.050000001</v>
      </c>
      <c r="V4" s="17">
        <f t="shared" si="2"/>
        <v>11334334.059999999</v>
      </c>
      <c r="W4" s="17">
        <f t="shared" si="2"/>
        <v>2080748.07</v>
      </c>
      <c r="X4" s="17">
        <f t="shared" si="1"/>
        <v>336111331.84000003</v>
      </c>
      <c r="Y4" s="18"/>
    </row>
    <row r="5" spans="1:25" x14ac:dyDescent="0.15">
      <c r="A5" s="14" t="s">
        <v>23</v>
      </c>
      <c r="B5" s="15" t="s">
        <v>24</v>
      </c>
      <c r="C5" s="15"/>
      <c r="D5" s="16" t="s">
        <v>21</v>
      </c>
      <c r="E5" s="17">
        <f>E6+E7</f>
        <v>4124616</v>
      </c>
      <c r="F5" s="17">
        <f t="shared" ref="F5:W5" si="3">F6+F7</f>
        <v>3967656</v>
      </c>
      <c r="G5" s="17">
        <f t="shared" si="3"/>
        <v>3312000</v>
      </c>
      <c r="H5" s="17">
        <f t="shared" si="3"/>
        <v>2935404</v>
      </c>
      <c r="I5" s="17">
        <f t="shared" si="3"/>
        <v>365136</v>
      </c>
      <c r="J5" s="17">
        <f t="shared" si="3"/>
        <v>4988916</v>
      </c>
      <c r="K5" s="17">
        <f t="shared" si="3"/>
        <v>3670860</v>
      </c>
      <c r="L5" s="17">
        <f t="shared" si="3"/>
        <v>1838784</v>
      </c>
      <c r="M5" s="17">
        <f t="shared" si="3"/>
        <v>3588600</v>
      </c>
      <c r="N5" s="17">
        <f t="shared" si="3"/>
        <v>2261040</v>
      </c>
      <c r="O5" s="17">
        <f t="shared" si="3"/>
        <v>2328900</v>
      </c>
      <c r="P5" s="17">
        <f t="shared" si="3"/>
        <v>2496324</v>
      </c>
      <c r="Q5" s="17">
        <f>Q6+Q7</f>
        <v>2059613.6</v>
      </c>
      <c r="R5" s="17">
        <f t="shared" si="3"/>
        <v>697283.5</v>
      </c>
      <c r="S5" s="17">
        <f t="shared" si="3"/>
        <v>959292</v>
      </c>
      <c r="T5" s="17">
        <f>T6+T7</f>
        <v>1031070</v>
      </c>
      <c r="U5" s="17">
        <f t="shared" si="3"/>
        <v>1418512</v>
      </c>
      <c r="V5" s="17">
        <f>V6+V7</f>
        <v>1419019</v>
      </c>
      <c r="W5" s="17">
        <f t="shared" si="3"/>
        <v>291264</v>
      </c>
      <c r="X5" s="17">
        <f t="shared" si="1"/>
        <v>43754290.100000001</v>
      </c>
      <c r="Y5" s="18"/>
    </row>
    <row r="6" spans="1:25" ht="22.5" x14ac:dyDescent="0.15">
      <c r="A6" s="14" t="s">
        <v>25</v>
      </c>
      <c r="B6" s="15" t="s">
        <v>26</v>
      </c>
      <c r="C6" s="15" t="s">
        <v>27</v>
      </c>
      <c r="D6" s="16" t="s">
        <v>28</v>
      </c>
      <c r="E6" s="10">
        <f>193070*12</f>
        <v>2316840</v>
      </c>
      <c r="F6" s="10">
        <f>187663*12</f>
        <v>2251956</v>
      </c>
      <c r="G6" s="10">
        <f>2600*12*60</f>
        <v>1872000</v>
      </c>
      <c r="H6" s="10">
        <v>1928508</v>
      </c>
      <c r="I6" s="10">
        <v>306936</v>
      </c>
      <c r="J6" s="10">
        <v>2589444</v>
      </c>
      <c r="K6" s="10">
        <v>2111004</v>
      </c>
      <c r="L6" s="10">
        <v>1239312</v>
      </c>
      <c r="M6" s="10">
        <v>2301720</v>
      </c>
      <c r="N6" s="10">
        <f>125841*12</f>
        <v>1510092</v>
      </c>
      <c r="O6" s="10">
        <v>1457316</v>
      </c>
      <c r="P6" s="10">
        <f>133298*12</f>
        <v>1599576</v>
      </c>
      <c r="Q6" s="10">
        <v>1362435.5</v>
      </c>
      <c r="R6" s="10">
        <v>454922.5</v>
      </c>
      <c r="S6" s="10">
        <f>51315*12</f>
        <v>615780</v>
      </c>
      <c r="T6" s="10">
        <v>698280</v>
      </c>
      <c r="U6" s="10">
        <f>76538*12+1892*4*2</f>
        <v>933592</v>
      </c>
      <c r="V6" s="10">
        <v>901632</v>
      </c>
      <c r="W6" s="10">
        <v>143760</v>
      </c>
      <c r="X6" s="17">
        <f t="shared" si="1"/>
        <v>26595106</v>
      </c>
      <c r="Y6" s="19"/>
    </row>
    <row r="7" spans="1:25" ht="22.5" x14ac:dyDescent="0.15">
      <c r="A7" s="14" t="s">
        <v>29</v>
      </c>
      <c r="B7" s="15" t="s">
        <v>30</v>
      </c>
      <c r="C7" s="15" t="s">
        <v>27</v>
      </c>
      <c r="D7" s="16" t="s">
        <v>240</v>
      </c>
      <c r="E7" s="10">
        <f>150648*12</f>
        <v>1807776</v>
      </c>
      <c r="F7" s="10">
        <f>142975*12</f>
        <v>1715700</v>
      </c>
      <c r="G7" s="10">
        <f>2000*12*60</f>
        <v>1440000</v>
      </c>
      <c r="H7" s="10">
        <v>1006896</v>
      </c>
      <c r="I7" s="10">
        <v>58200</v>
      </c>
      <c r="J7" s="10">
        <v>2399472</v>
      </c>
      <c r="K7" s="10">
        <v>1559856</v>
      </c>
      <c r="L7" s="10">
        <v>599472</v>
      </c>
      <c r="M7" s="10">
        <v>1286880</v>
      </c>
      <c r="N7" s="10">
        <f>62579*12</f>
        <v>750948</v>
      </c>
      <c r="O7" s="10">
        <v>871584</v>
      </c>
      <c r="P7" s="10">
        <f>74729*12</f>
        <v>896748</v>
      </c>
      <c r="Q7" s="10">
        <v>697178.1</v>
      </c>
      <c r="R7" s="10">
        <v>242361</v>
      </c>
      <c r="S7" s="10">
        <f>28626*12</f>
        <v>343512</v>
      </c>
      <c r="T7" s="10">
        <v>332790</v>
      </c>
      <c r="U7" s="10">
        <f>40010*12+600*4*2</f>
        <v>484920</v>
      </c>
      <c r="V7" s="10">
        <v>517387</v>
      </c>
      <c r="W7" s="10">
        <v>147504</v>
      </c>
      <c r="X7" s="17">
        <f t="shared" si="1"/>
        <v>17159184.100000001</v>
      </c>
      <c r="Y7" s="18"/>
    </row>
    <row r="8" spans="1:25" x14ac:dyDescent="0.15">
      <c r="A8" s="14" t="s">
        <v>31</v>
      </c>
      <c r="B8" s="15" t="s">
        <v>32</v>
      </c>
      <c r="C8" s="15"/>
      <c r="D8" s="16" t="s">
        <v>21</v>
      </c>
      <c r="E8" s="17">
        <f>E9+E10</f>
        <v>454932</v>
      </c>
      <c r="F8" s="17">
        <f t="shared" ref="F8:W8" si="4">F9+F10</f>
        <v>448524</v>
      </c>
      <c r="G8" s="17">
        <f t="shared" si="4"/>
        <v>321840</v>
      </c>
      <c r="H8" s="17">
        <f t="shared" si="4"/>
        <v>393504</v>
      </c>
      <c r="I8" s="17">
        <f t="shared" si="4"/>
        <v>58284</v>
      </c>
      <c r="J8" s="17">
        <f t="shared" si="4"/>
        <v>539028</v>
      </c>
      <c r="K8" s="17">
        <f t="shared" si="4"/>
        <v>432048</v>
      </c>
      <c r="L8" s="17">
        <f t="shared" si="4"/>
        <v>258708</v>
      </c>
      <c r="M8" s="17">
        <f t="shared" si="4"/>
        <v>505776</v>
      </c>
      <c r="N8" s="17">
        <f t="shared" si="4"/>
        <v>323616</v>
      </c>
      <c r="O8" s="17">
        <f t="shared" si="4"/>
        <v>309168</v>
      </c>
      <c r="P8" s="17">
        <f t="shared" si="4"/>
        <v>325548</v>
      </c>
      <c r="Q8" s="17">
        <f>Q9+Q10</f>
        <v>292311.8</v>
      </c>
      <c r="R8" s="17">
        <f t="shared" si="4"/>
        <v>90600</v>
      </c>
      <c r="S8" s="17">
        <f t="shared" si="4"/>
        <v>122664</v>
      </c>
      <c r="T8" s="17">
        <f>T9+T10</f>
        <v>140091.75</v>
      </c>
      <c r="U8" s="17">
        <f t="shared" si="4"/>
        <v>201876</v>
      </c>
      <c r="V8" s="17">
        <f>V9+V10</f>
        <v>191760</v>
      </c>
      <c r="W8" s="17">
        <f t="shared" si="4"/>
        <v>31956</v>
      </c>
      <c r="X8" s="17">
        <f t="shared" si="1"/>
        <v>5442235.5499999998</v>
      </c>
      <c r="Y8" s="18"/>
    </row>
    <row r="9" spans="1:25" ht="22.5" x14ac:dyDescent="0.15">
      <c r="A9" s="14" t="s">
        <v>33</v>
      </c>
      <c r="B9" s="15" t="s">
        <v>34</v>
      </c>
      <c r="C9" s="15" t="s">
        <v>27</v>
      </c>
      <c r="D9" s="16" t="s">
        <v>28</v>
      </c>
      <c r="E9" s="10">
        <f>511*12</f>
        <v>6132</v>
      </c>
      <c r="F9" s="10">
        <f>417*12</f>
        <v>5004</v>
      </c>
      <c r="G9" s="10">
        <f>7*60*12</f>
        <v>5040</v>
      </c>
      <c r="H9" s="10">
        <v>2784</v>
      </c>
      <c r="I9" s="10">
        <v>204</v>
      </c>
      <c r="J9" s="10">
        <v>16308</v>
      </c>
      <c r="K9" s="10">
        <v>4368</v>
      </c>
      <c r="L9" s="10">
        <f>3600+1668</f>
        <v>5268</v>
      </c>
      <c r="M9" s="10">
        <v>20016</v>
      </c>
      <c r="N9" s="10">
        <f>128*12</f>
        <v>1536</v>
      </c>
      <c r="O9" s="10">
        <v>2928</v>
      </c>
      <c r="P9" s="10">
        <f>289*12</f>
        <v>3468</v>
      </c>
      <c r="Q9" s="10">
        <v>1911.8</v>
      </c>
      <c r="R9" s="10">
        <f>70*12</f>
        <v>840</v>
      </c>
      <c r="S9" s="10">
        <f>102*12</f>
        <v>1224</v>
      </c>
      <c r="T9" s="10">
        <v>18651.75</v>
      </c>
      <c r="U9" s="10">
        <f>103*12</f>
        <v>1236</v>
      </c>
      <c r="V9" s="10">
        <v>1680</v>
      </c>
      <c r="W9" s="10">
        <v>276</v>
      </c>
      <c r="X9" s="17">
        <f t="shared" si="1"/>
        <v>98875.55</v>
      </c>
      <c r="Y9" s="18"/>
    </row>
    <row r="10" spans="1:25" x14ac:dyDescent="0.15">
      <c r="A10" s="14" t="s">
        <v>35</v>
      </c>
      <c r="B10" s="15" t="s">
        <v>36</v>
      </c>
      <c r="C10" s="15"/>
      <c r="D10" s="16" t="s">
        <v>21</v>
      </c>
      <c r="E10" s="17">
        <f>E11</f>
        <v>448800</v>
      </c>
      <c r="F10" s="17">
        <f t="shared" ref="F10:X10" si="5">F11</f>
        <v>443520</v>
      </c>
      <c r="G10" s="17">
        <f t="shared" si="5"/>
        <v>316800</v>
      </c>
      <c r="H10" s="17">
        <f t="shared" si="5"/>
        <v>390720</v>
      </c>
      <c r="I10" s="17">
        <f>I11</f>
        <v>58080</v>
      </c>
      <c r="J10" s="17">
        <f>J11</f>
        <v>522720</v>
      </c>
      <c r="K10" s="17">
        <f>K11</f>
        <v>427680</v>
      </c>
      <c r="L10" s="17">
        <f t="shared" si="5"/>
        <v>253440</v>
      </c>
      <c r="M10" s="17">
        <f>M11</f>
        <v>485760</v>
      </c>
      <c r="N10" s="17">
        <f>N11</f>
        <v>322080</v>
      </c>
      <c r="O10" s="17">
        <f t="shared" si="5"/>
        <v>306240</v>
      </c>
      <c r="P10" s="17">
        <f t="shared" si="5"/>
        <v>322080</v>
      </c>
      <c r="Q10" s="17">
        <f>Q11</f>
        <v>290400</v>
      </c>
      <c r="R10" s="17">
        <f t="shared" si="5"/>
        <v>89760</v>
      </c>
      <c r="S10" s="17">
        <f t="shared" si="5"/>
        <v>121440</v>
      </c>
      <c r="T10" s="17">
        <f>T11</f>
        <v>121440</v>
      </c>
      <c r="U10" s="17">
        <f t="shared" si="5"/>
        <v>200640</v>
      </c>
      <c r="V10" s="17">
        <f>V11</f>
        <v>190080</v>
      </c>
      <c r="W10" s="17">
        <f t="shared" si="5"/>
        <v>31680</v>
      </c>
      <c r="X10" s="17">
        <f t="shared" si="5"/>
        <v>5343360</v>
      </c>
      <c r="Y10" s="18"/>
    </row>
    <row r="11" spans="1:25" s="21" customFormat="1" x14ac:dyDescent="0.15">
      <c r="A11" s="14" t="s">
        <v>37</v>
      </c>
      <c r="B11" s="20" t="s">
        <v>241</v>
      </c>
      <c r="C11" s="20" t="s">
        <v>27</v>
      </c>
      <c r="D11" s="18" t="s">
        <v>21</v>
      </c>
      <c r="E11" s="17">
        <f>440*12*E93</f>
        <v>448800</v>
      </c>
      <c r="F11" s="17">
        <f t="shared" ref="F11:W11" si="6">440*12*F93</f>
        <v>443520</v>
      </c>
      <c r="G11" s="17">
        <f t="shared" si="6"/>
        <v>316800</v>
      </c>
      <c r="H11" s="17">
        <f t="shared" si="6"/>
        <v>390720</v>
      </c>
      <c r="I11" s="17">
        <f t="shared" si="6"/>
        <v>58080</v>
      </c>
      <c r="J11" s="17">
        <f t="shared" si="6"/>
        <v>522720</v>
      </c>
      <c r="K11" s="17">
        <f t="shared" si="6"/>
        <v>427680</v>
      </c>
      <c r="L11" s="17">
        <f t="shared" si="6"/>
        <v>253440</v>
      </c>
      <c r="M11" s="17">
        <f t="shared" si="6"/>
        <v>485760</v>
      </c>
      <c r="N11" s="17">
        <f t="shared" si="6"/>
        <v>322080</v>
      </c>
      <c r="O11" s="17">
        <f t="shared" si="6"/>
        <v>306240</v>
      </c>
      <c r="P11" s="17">
        <f t="shared" si="6"/>
        <v>322080</v>
      </c>
      <c r="Q11" s="17">
        <f>440*12*Q93</f>
        <v>290400</v>
      </c>
      <c r="R11" s="17">
        <f t="shared" si="6"/>
        <v>89760</v>
      </c>
      <c r="S11" s="17">
        <f t="shared" si="6"/>
        <v>121440</v>
      </c>
      <c r="T11" s="17">
        <f>440*12*T93</f>
        <v>121440</v>
      </c>
      <c r="U11" s="17">
        <f t="shared" si="6"/>
        <v>200640</v>
      </c>
      <c r="V11" s="17">
        <f>440*12*V93</f>
        <v>190080</v>
      </c>
      <c r="W11" s="17">
        <f t="shared" si="6"/>
        <v>31680</v>
      </c>
      <c r="X11" s="17">
        <f t="shared" ref="X11:X26" si="7">SUM(E11:W11)</f>
        <v>5343360</v>
      </c>
      <c r="Y11" s="18"/>
    </row>
    <row r="12" spans="1:25" ht="22.5" x14ac:dyDescent="0.15">
      <c r="A12" s="14" t="s">
        <v>38</v>
      </c>
      <c r="B12" s="15" t="s">
        <v>40</v>
      </c>
      <c r="C12" s="15"/>
      <c r="D12" s="16" t="s">
        <v>41</v>
      </c>
      <c r="E12" s="17">
        <f>E13+E14</f>
        <v>140382.39999999999</v>
      </c>
      <c r="F12" s="17">
        <f t="shared" ref="F12:W12" si="8">F13+F14</f>
        <v>144024.47999999998</v>
      </c>
      <c r="G12" s="17">
        <f t="shared" si="8"/>
        <v>77874.05</v>
      </c>
      <c r="H12" s="17">
        <f t="shared" si="8"/>
        <v>114756.91</v>
      </c>
      <c r="I12" s="17">
        <f t="shared" si="8"/>
        <v>11223.36</v>
      </c>
      <c r="J12" s="17">
        <f t="shared" si="8"/>
        <v>140312.74</v>
      </c>
      <c r="K12" s="17">
        <f t="shared" si="8"/>
        <v>119416.03</v>
      </c>
      <c r="L12" s="17">
        <f t="shared" si="8"/>
        <v>73984.75</v>
      </c>
      <c r="M12" s="17">
        <f t="shared" si="8"/>
        <v>145354.17000000001</v>
      </c>
      <c r="N12" s="17">
        <f t="shared" si="8"/>
        <v>90609.84</v>
      </c>
      <c r="O12" s="17">
        <f t="shared" si="8"/>
        <v>84785.61</v>
      </c>
      <c r="P12" s="17">
        <f t="shared" si="8"/>
        <v>88621.78</v>
      </c>
      <c r="Q12" s="17">
        <f t="shared" si="8"/>
        <v>74579.290000000008</v>
      </c>
      <c r="R12" s="17">
        <f t="shared" si="8"/>
        <v>28026</v>
      </c>
      <c r="S12" s="17">
        <f t="shared" si="8"/>
        <v>33750.43</v>
      </c>
      <c r="T12" s="17">
        <f t="shared" si="8"/>
        <v>29848.18</v>
      </c>
      <c r="U12" s="17">
        <f t="shared" si="8"/>
        <v>51252.05</v>
      </c>
      <c r="V12" s="17">
        <f t="shared" si="8"/>
        <v>52659.07</v>
      </c>
      <c r="W12" s="17">
        <f t="shared" si="8"/>
        <v>9926.07</v>
      </c>
      <c r="X12" s="17">
        <f t="shared" si="7"/>
        <v>1511387.2100000002</v>
      </c>
      <c r="Y12" s="18"/>
    </row>
    <row r="13" spans="1:25" s="21" customFormat="1" ht="22.5" x14ac:dyDescent="0.15">
      <c r="A13" s="14" t="s">
        <v>39</v>
      </c>
      <c r="B13" s="20" t="s">
        <v>242</v>
      </c>
      <c r="C13" s="20" t="s">
        <v>27</v>
      </c>
      <c r="D13" s="18" t="s">
        <v>43</v>
      </c>
      <c r="E13" s="17">
        <f>ROUND(E28/0.07*0.00256,2)</f>
        <v>47536.9</v>
      </c>
      <c r="F13" s="17">
        <f t="shared" ref="F13:W13" si="9">ROUND(F28/0.07*0.00256,2)</f>
        <v>48770.19</v>
      </c>
      <c r="G13" s="17">
        <f t="shared" si="9"/>
        <v>26370.05</v>
      </c>
      <c r="H13" s="17">
        <f t="shared" si="9"/>
        <v>38859.480000000003</v>
      </c>
      <c r="I13" s="17">
        <f t="shared" si="9"/>
        <v>3800.5</v>
      </c>
      <c r="J13" s="17">
        <f t="shared" si="9"/>
        <v>47513.31</v>
      </c>
      <c r="K13" s="17">
        <f t="shared" si="9"/>
        <v>40437.17</v>
      </c>
      <c r="L13" s="17">
        <f t="shared" si="9"/>
        <v>25053.040000000001</v>
      </c>
      <c r="M13" s="17">
        <f t="shared" si="9"/>
        <v>49220.46</v>
      </c>
      <c r="N13" s="17">
        <f t="shared" si="9"/>
        <v>30682.7</v>
      </c>
      <c r="O13" s="17">
        <f t="shared" si="9"/>
        <v>28710.47</v>
      </c>
      <c r="P13" s="17">
        <f t="shared" si="9"/>
        <v>30009.49</v>
      </c>
      <c r="Q13" s="17">
        <f>ROUND(Q28/0.07*0.00256,2)</f>
        <v>25254.36</v>
      </c>
      <c r="R13" s="17">
        <f t="shared" si="9"/>
        <v>9490.2900000000009</v>
      </c>
      <c r="S13" s="17">
        <f t="shared" si="9"/>
        <v>11428.72</v>
      </c>
      <c r="T13" s="17">
        <f>ROUND(T28/0.07*0.00256,2)</f>
        <v>10107.32</v>
      </c>
      <c r="U13" s="17">
        <f t="shared" si="9"/>
        <v>17355.189999999999</v>
      </c>
      <c r="V13" s="17">
        <f>ROUND(V28/0.07*0.00256,2)</f>
        <v>17831.64</v>
      </c>
      <c r="W13" s="17">
        <f t="shared" si="9"/>
        <v>3361.21</v>
      </c>
      <c r="X13" s="17">
        <f t="shared" si="7"/>
        <v>511792.49</v>
      </c>
      <c r="Y13" s="18"/>
    </row>
    <row r="14" spans="1:25" s="21" customFormat="1" ht="22.5" x14ac:dyDescent="0.15">
      <c r="A14" s="14" t="s">
        <v>42</v>
      </c>
      <c r="B14" s="20" t="s">
        <v>243</v>
      </c>
      <c r="C14" s="20" t="s">
        <v>27</v>
      </c>
      <c r="D14" s="18" t="s">
        <v>43</v>
      </c>
      <c r="E14" s="17">
        <f>ROUND(E28/0.07*0.005,2)</f>
        <v>92845.5</v>
      </c>
      <c r="F14" s="17">
        <f t="shared" ref="F14:W14" si="10">ROUND(F28/0.07*0.005,2)</f>
        <v>95254.29</v>
      </c>
      <c r="G14" s="17">
        <f t="shared" si="10"/>
        <v>51504</v>
      </c>
      <c r="H14" s="17">
        <f t="shared" si="10"/>
        <v>75897.429999999993</v>
      </c>
      <c r="I14" s="17">
        <f t="shared" si="10"/>
        <v>7422.86</v>
      </c>
      <c r="J14" s="17">
        <f t="shared" si="10"/>
        <v>92799.43</v>
      </c>
      <c r="K14" s="17">
        <f t="shared" si="10"/>
        <v>78978.86</v>
      </c>
      <c r="L14" s="17">
        <f t="shared" si="10"/>
        <v>48931.71</v>
      </c>
      <c r="M14" s="17">
        <f t="shared" si="10"/>
        <v>96133.71</v>
      </c>
      <c r="N14" s="17">
        <f t="shared" si="10"/>
        <v>59927.14</v>
      </c>
      <c r="O14" s="17">
        <f t="shared" si="10"/>
        <v>56075.14</v>
      </c>
      <c r="P14" s="17">
        <f t="shared" si="10"/>
        <v>58612.29</v>
      </c>
      <c r="Q14" s="17">
        <f>ROUND(Q28/0.07*0.005,2)</f>
        <v>49324.93</v>
      </c>
      <c r="R14" s="17">
        <f t="shared" si="10"/>
        <v>18535.71</v>
      </c>
      <c r="S14" s="17">
        <f t="shared" si="10"/>
        <v>22321.71</v>
      </c>
      <c r="T14" s="17">
        <f>ROUND(T28/0.07*0.005,2)</f>
        <v>19740.86</v>
      </c>
      <c r="U14" s="17">
        <f t="shared" si="10"/>
        <v>33896.86</v>
      </c>
      <c r="V14" s="17">
        <f>ROUND(V28/0.07*0.005,2)</f>
        <v>34827.43</v>
      </c>
      <c r="W14" s="17">
        <f t="shared" si="10"/>
        <v>6564.86</v>
      </c>
      <c r="X14" s="17">
        <f t="shared" si="7"/>
        <v>999594.72</v>
      </c>
      <c r="Y14" s="18"/>
    </row>
    <row r="15" spans="1:25" x14ac:dyDescent="0.15">
      <c r="A15" s="14" t="s">
        <v>44</v>
      </c>
      <c r="B15" s="15" t="s">
        <v>47</v>
      </c>
      <c r="C15" s="15"/>
      <c r="D15" s="16" t="s">
        <v>21</v>
      </c>
      <c r="E15" s="17">
        <v>16260500</v>
      </c>
      <c r="F15" s="17">
        <v>16069200</v>
      </c>
      <c r="G15" s="17">
        <v>11478000</v>
      </c>
      <c r="H15" s="17">
        <v>14156200</v>
      </c>
      <c r="I15" s="17">
        <v>2104300</v>
      </c>
      <c r="J15" s="17">
        <v>18938700</v>
      </c>
      <c r="K15" s="17">
        <v>15495300</v>
      </c>
      <c r="L15" s="17">
        <v>9182400</v>
      </c>
      <c r="M15" s="17">
        <v>17599600</v>
      </c>
      <c r="N15" s="17">
        <v>11669300</v>
      </c>
      <c r="O15" s="17">
        <v>10126800</v>
      </c>
      <c r="P15" s="17">
        <v>10650600</v>
      </c>
      <c r="Q15" s="17">
        <v>9603000</v>
      </c>
      <c r="R15" s="17">
        <v>2968200</v>
      </c>
      <c r="S15" s="17">
        <v>4015800</v>
      </c>
      <c r="T15" s="17">
        <v>4015800</v>
      </c>
      <c r="U15" s="17">
        <v>6634800</v>
      </c>
      <c r="V15" s="17">
        <v>6285600</v>
      </c>
      <c r="W15" s="17">
        <v>1114200</v>
      </c>
      <c r="X15" s="17">
        <f t="shared" si="7"/>
        <v>188368300</v>
      </c>
      <c r="Y15" s="18"/>
    </row>
    <row r="16" spans="1:25" ht="33.75" x14ac:dyDescent="0.15">
      <c r="A16" s="14" t="s">
        <v>45</v>
      </c>
      <c r="B16" s="54" t="s">
        <v>49</v>
      </c>
      <c r="C16" s="54" t="s">
        <v>27</v>
      </c>
      <c r="D16" s="55" t="s">
        <v>50</v>
      </c>
      <c r="E16" s="56">
        <f>E15-E17</f>
        <v>15837044</v>
      </c>
      <c r="F16" s="56">
        <f t="shared" ref="F16:W16" si="11">F15-F17</f>
        <v>15869748</v>
      </c>
      <c r="G16" s="56">
        <f t="shared" si="11"/>
        <v>11478000</v>
      </c>
      <c r="H16" s="56">
        <f t="shared" si="11"/>
        <v>13958908</v>
      </c>
      <c r="I16" s="56">
        <f t="shared" si="11"/>
        <v>1934828</v>
      </c>
      <c r="J16" s="56">
        <f t="shared" si="11"/>
        <v>18441504</v>
      </c>
      <c r="K16" s="56">
        <f t="shared" si="11"/>
        <v>15282300</v>
      </c>
      <c r="L16" s="56">
        <f t="shared" si="11"/>
        <v>8942628</v>
      </c>
      <c r="M16" s="56">
        <f t="shared" si="11"/>
        <v>17357320</v>
      </c>
      <c r="N16" s="56">
        <f t="shared" si="11"/>
        <v>11471888</v>
      </c>
      <c r="O16" s="56">
        <f t="shared" si="11"/>
        <v>9920182</v>
      </c>
      <c r="P16" s="56">
        <f t="shared" si="11"/>
        <v>10455040</v>
      </c>
      <c r="Q16" s="56">
        <f t="shared" si="11"/>
        <v>9395730</v>
      </c>
      <c r="R16" s="56">
        <f t="shared" si="11"/>
        <v>2791144</v>
      </c>
      <c r="S16" s="56">
        <f t="shared" si="11"/>
        <v>3845464</v>
      </c>
      <c r="T16" s="56">
        <f t="shared" si="11"/>
        <v>3836919</v>
      </c>
      <c r="U16" s="56">
        <f t="shared" si="11"/>
        <v>6454024</v>
      </c>
      <c r="V16" s="56">
        <f t="shared" si="11"/>
        <v>6096856</v>
      </c>
      <c r="W16" s="56">
        <f t="shared" si="11"/>
        <v>1114200</v>
      </c>
      <c r="X16" s="17">
        <f t="shared" si="7"/>
        <v>184483727</v>
      </c>
      <c r="Y16" s="55"/>
    </row>
    <row r="17" spans="1:25" ht="22.5" x14ac:dyDescent="0.15">
      <c r="A17" s="14" t="s">
        <v>46</v>
      </c>
      <c r="B17" s="54" t="s">
        <v>52</v>
      </c>
      <c r="C17" s="54" t="s">
        <v>27</v>
      </c>
      <c r="D17" s="55" t="s">
        <v>53</v>
      </c>
      <c r="E17" s="56">
        <v>423456</v>
      </c>
      <c r="F17" s="56">
        <v>199452</v>
      </c>
      <c r="G17" s="56"/>
      <c r="H17" s="56">
        <v>197292</v>
      </c>
      <c r="I17" s="56">
        <v>169472</v>
      </c>
      <c r="J17" s="56">
        <v>497196</v>
      </c>
      <c r="K17" s="56">
        <v>213000</v>
      </c>
      <c r="L17" s="56">
        <v>239772</v>
      </c>
      <c r="M17" s="56">
        <v>242280</v>
      </c>
      <c r="N17" s="56">
        <v>197412</v>
      </c>
      <c r="O17" s="56">
        <v>206618</v>
      </c>
      <c r="P17" s="56">
        <v>195560</v>
      </c>
      <c r="Q17" s="56">
        <v>207270</v>
      </c>
      <c r="R17" s="56">
        <v>177056</v>
      </c>
      <c r="S17" s="56">
        <v>170336</v>
      </c>
      <c r="T17" s="56">
        <v>178881</v>
      </c>
      <c r="U17" s="56">
        <v>180776</v>
      </c>
      <c r="V17" s="56">
        <f>102622+86122</f>
        <v>188744</v>
      </c>
      <c r="W17" s="56"/>
      <c r="X17" s="17">
        <f t="shared" si="7"/>
        <v>3884573</v>
      </c>
      <c r="Y17" s="55"/>
    </row>
    <row r="18" spans="1:25" x14ac:dyDescent="0.15">
      <c r="A18" s="14" t="s">
        <v>48</v>
      </c>
      <c r="B18" s="15" t="s">
        <v>55</v>
      </c>
      <c r="C18" s="15"/>
      <c r="D18" s="55" t="s">
        <v>21</v>
      </c>
      <c r="E18" s="57">
        <f>E19</f>
        <v>1949755.5</v>
      </c>
      <c r="F18" s="57">
        <f t="shared" ref="F18:W18" si="12">F19</f>
        <v>2000340</v>
      </c>
      <c r="G18" s="57">
        <f t="shared" si="12"/>
        <v>1081584</v>
      </c>
      <c r="H18" s="57">
        <f t="shared" si="12"/>
        <v>1593846</v>
      </c>
      <c r="I18" s="57">
        <f t="shared" si="12"/>
        <v>155880</v>
      </c>
      <c r="J18" s="57">
        <f t="shared" si="12"/>
        <v>1948788</v>
      </c>
      <c r="K18" s="57">
        <f t="shared" si="12"/>
        <v>1658556</v>
      </c>
      <c r="L18" s="57">
        <f t="shared" si="12"/>
        <v>1027566</v>
      </c>
      <c r="M18" s="57">
        <f t="shared" si="12"/>
        <v>2018808</v>
      </c>
      <c r="N18" s="57">
        <f t="shared" si="12"/>
        <v>1258470</v>
      </c>
      <c r="O18" s="57">
        <f t="shared" si="12"/>
        <v>1177578</v>
      </c>
      <c r="P18" s="57">
        <f t="shared" si="12"/>
        <v>1230858</v>
      </c>
      <c r="Q18" s="57">
        <f>Q19</f>
        <v>1035823.5</v>
      </c>
      <c r="R18" s="57">
        <f t="shared" si="12"/>
        <v>389250</v>
      </c>
      <c r="S18" s="57">
        <f t="shared" si="12"/>
        <v>468756</v>
      </c>
      <c r="T18" s="57">
        <f>T19</f>
        <v>414558</v>
      </c>
      <c r="U18" s="57">
        <f t="shared" si="12"/>
        <v>711834</v>
      </c>
      <c r="V18" s="57">
        <f>V19</f>
        <v>731376</v>
      </c>
      <c r="W18" s="57">
        <f t="shared" si="12"/>
        <v>137862</v>
      </c>
      <c r="X18" s="17">
        <f t="shared" si="7"/>
        <v>20991489</v>
      </c>
      <c r="Y18" s="55"/>
    </row>
    <row r="19" spans="1:25" x14ac:dyDescent="0.15">
      <c r="A19" s="14" t="s">
        <v>51</v>
      </c>
      <c r="B19" s="15" t="s">
        <v>244</v>
      </c>
      <c r="C19" s="15" t="s">
        <v>57</v>
      </c>
      <c r="D19" s="55" t="s">
        <v>21</v>
      </c>
      <c r="E19" s="57">
        <f>ROUND(E28/0.07*0.105,2)</f>
        <v>1949755.5</v>
      </c>
      <c r="F19" s="57">
        <f t="shared" ref="F19:W19" si="13">ROUND(F28/0.07*0.105,2)</f>
        <v>2000340</v>
      </c>
      <c r="G19" s="57">
        <f t="shared" si="13"/>
        <v>1081584</v>
      </c>
      <c r="H19" s="57">
        <f t="shared" si="13"/>
        <v>1593846</v>
      </c>
      <c r="I19" s="57">
        <f t="shared" si="13"/>
        <v>155880</v>
      </c>
      <c r="J19" s="57">
        <f t="shared" si="13"/>
        <v>1948788</v>
      </c>
      <c r="K19" s="57">
        <f t="shared" si="13"/>
        <v>1658556</v>
      </c>
      <c r="L19" s="57">
        <f t="shared" si="13"/>
        <v>1027566</v>
      </c>
      <c r="M19" s="57">
        <f t="shared" si="13"/>
        <v>2018808</v>
      </c>
      <c r="N19" s="57">
        <f t="shared" si="13"/>
        <v>1258470</v>
      </c>
      <c r="O19" s="57">
        <f t="shared" si="13"/>
        <v>1177578</v>
      </c>
      <c r="P19" s="57">
        <f t="shared" si="13"/>
        <v>1230858</v>
      </c>
      <c r="Q19" s="57">
        <f>ROUND(Q28/0.07*0.105,2)</f>
        <v>1035823.5</v>
      </c>
      <c r="R19" s="57">
        <f t="shared" si="13"/>
        <v>389250</v>
      </c>
      <c r="S19" s="57">
        <f t="shared" si="13"/>
        <v>468756</v>
      </c>
      <c r="T19" s="57">
        <f>ROUND(T28/0.07*0.105,2)</f>
        <v>414558</v>
      </c>
      <c r="U19" s="57">
        <f t="shared" si="13"/>
        <v>711834</v>
      </c>
      <c r="V19" s="57">
        <f>ROUND(V28/0.07*0.105,2)</f>
        <v>731376</v>
      </c>
      <c r="W19" s="57">
        <f t="shared" si="13"/>
        <v>137862</v>
      </c>
      <c r="X19" s="17">
        <f t="shared" si="7"/>
        <v>20991489</v>
      </c>
      <c r="Y19" s="55"/>
    </row>
    <row r="20" spans="1:25" ht="22.5" x14ac:dyDescent="0.15">
      <c r="A20" s="14" t="s">
        <v>54</v>
      </c>
      <c r="B20" s="15" t="s">
        <v>59</v>
      </c>
      <c r="C20" s="15"/>
      <c r="D20" s="55" t="s">
        <v>43</v>
      </c>
      <c r="E20" s="57">
        <f>E21+E22</f>
        <v>742764</v>
      </c>
      <c r="F20" s="57">
        <f t="shared" ref="F20:W20" si="14">F21+F22</f>
        <v>762034.28</v>
      </c>
      <c r="G20" s="57">
        <f t="shared" si="14"/>
        <v>412032</v>
      </c>
      <c r="H20" s="57">
        <f t="shared" si="14"/>
        <v>607179.42000000004</v>
      </c>
      <c r="I20" s="57">
        <f t="shared" si="14"/>
        <v>59382.86</v>
      </c>
      <c r="J20" s="57">
        <f t="shared" si="14"/>
        <v>742395.42</v>
      </c>
      <c r="K20" s="57">
        <f t="shared" si="14"/>
        <v>631830.86</v>
      </c>
      <c r="L20" s="57">
        <f t="shared" si="14"/>
        <v>391453.72</v>
      </c>
      <c r="M20" s="57">
        <f t="shared" si="14"/>
        <v>769069.72</v>
      </c>
      <c r="N20" s="57">
        <f t="shared" si="14"/>
        <v>479417.14</v>
      </c>
      <c r="O20" s="57">
        <f t="shared" si="14"/>
        <v>448601.14</v>
      </c>
      <c r="P20" s="57">
        <f t="shared" si="14"/>
        <v>468898.28</v>
      </c>
      <c r="Q20" s="57">
        <f>Q21+Q22</f>
        <v>394599.42</v>
      </c>
      <c r="R20" s="57">
        <f t="shared" si="14"/>
        <v>148285.72</v>
      </c>
      <c r="S20" s="57">
        <f t="shared" si="14"/>
        <v>178573.72</v>
      </c>
      <c r="T20" s="57">
        <f>T21+T22</f>
        <v>157926.85999999999</v>
      </c>
      <c r="U20" s="57">
        <f t="shared" si="14"/>
        <v>271174.86</v>
      </c>
      <c r="V20" s="57">
        <f>V21+V22</f>
        <v>278619.42</v>
      </c>
      <c r="W20" s="57">
        <f t="shared" si="14"/>
        <v>52518.86</v>
      </c>
      <c r="X20" s="17">
        <f t="shared" si="7"/>
        <v>7996757.6999999993</v>
      </c>
      <c r="Y20" s="55"/>
    </row>
    <row r="21" spans="1:25" ht="22.5" x14ac:dyDescent="0.15">
      <c r="A21" s="14" t="s">
        <v>56</v>
      </c>
      <c r="B21" s="15" t="s">
        <v>167</v>
      </c>
      <c r="C21" s="15" t="s">
        <v>61</v>
      </c>
      <c r="D21" s="55" t="s">
        <v>43</v>
      </c>
      <c r="E21" s="57">
        <f>ROUND(E28/0.07*0.02,2)</f>
        <v>371382</v>
      </c>
      <c r="F21" s="57">
        <f t="shared" ref="F21:W21" si="15">ROUND(F28/0.07*0.02,2)</f>
        <v>381017.14</v>
      </c>
      <c r="G21" s="57">
        <f t="shared" si="15"/>
        <v>206016</v>
      </c>
      <c r="H21" s="57">
        <f t="shared" si="15"/>
        <v>303589.71000000002</v>
      </c>
      <c r="I21" s="57">
        <f t="shared" si="15"/>
        <v>29691.43</v>
      </c>
      <c r="J21" s="57">
        <f t="shared" si="15"/>
        <v>371197.71</v>
      </c>
      <c r="K21" s="57">
        <f t="shared" si="15"/>
        <v>315915.43</v>
      </c>
      <c r="L21" s="57">
        <f t="shared" si="15"/>
        <v>195726.86</v>
      </c>
      <c r="M21" s="57">
        <f t="shared" si="15"/>
        <v>384534.86</v>
      </c>
      <c r="N21" s="57">
        <f t="shared" si="15"/>
        <v>239708.57</v>
      </c>
      <c r="O21" s="57">
        <f t="shared" si="15"/>
        <v>224300.57</v>
      </c>
      <c r="P21" s="57">
        <f t="shared" si="15"/>
        <v>234449.14</v>
      </c>
      <c r="Q21" s="57">
        <f>ROUND(Q28/0.07*0.02,2)</f>
        <v>197299.71</v>
      </c>
      <c r="R21" s="57">
        <f t="shared" si="15"/>
        <v>74142.86</v>
      </c>
      <c r="S21" s="57">
        <f t="shared" si="15"/>
        <v>89286.86</v>
      </c>
      <c r="T21" s="57">
        <f>ROUND(T28/0.07*0.02,2)</f>
        <v>78963.429999999993</v>
      </c>
      <c r="U21" s="57">
        <f t="shared" si="15"/>
        <v>135587.43</v>
      </c>
      <c r="V21" s="57">
        <f>ROUND(V28/0.07*0.02,2)</f>
        <v>139309.71</v>
      </c>
      <c r="W21" s="57">
        <f t="shared" si="15"/>
        <v>26259.43</v>
      </c>
      <c r="X21" s="17">
        <f t="shared" si="7"/>
        <v>3998378.8499999996</v>
      </c>
      <c r="Y21" s="55"/>
    </row>
    <row r="22" spans="1:25" ht="22.5" x14ac:dyDescent="0.15">
      <c r="A22" s="14" t="s">
        <v>58</v>
      </c>
      <c r="B22" s="15" t="s">
        <v>168</v>
      </c>
      <c r="C22" s="15" t="s">
        <v>61</v>
      </c>
      <c r="D22" s="55" t="s">
        <v>43</v>
      </c>
      <c r="E22" s="57">
        <f>ROUND(E28/0.07*0.02,2)</f>
        <v>371382</v>
      </c>
      <c r="F22" s="57">
        <f t="shared" ref="F22:W22" si="16">ROUND(F28/0.07*0.02,2)</f>
        <v>381017.14</v>
      </c>
      <c r="G22" s="57">
        <f t="shared" si="16"/>
        <v>206016</v>
      </c>
      <c r="H22" s="57">
        <f t="shared" si="16"/>
        <v>303589.71000000002</v>
      </c>
      <c r="I22" s="57">
        <f t="shared" si="16"/>
        <v>29691.43</v>
      </c>
      <c r="J22" s="57">
        <f t="shared" si="16"/>
        <v>371197.71</v>
      </c>
      <c r="K22" s="57">
        <f t="shared" si="16"/>
        <v>315915.43</v>
      </c>
      <c r="L22" s="57">
        <f t="shared" si="16"/>
        <v>195726.86</v>
      </c>
      <c r="M22" s="57">
        <f t="shared" si="16"/>
        <v>384534.86</v>
      </c>
      <c r="N22" s="57">
        <f t="shared" si="16"/>
        <v>239708.57</v>
      </c>
      <c r="O22" s="57">
        <f t="shared" si="16"/>
        <v>224300.57</v>
      </c>
      <c r="P22" s="57">
        <f t="shared" si="16"/>
        <v>234449.14</v>
      </c>
      <c r="Q22" s="57">
        <f>ROUND(Q28/0.07*0.02,2)</f>
        <v>197299.71</v>
      </c>
      <c r="R22" s="57">
        <f t="shared" si="16"/>
        <v>74142.86</v>
      </c>
      <c r="S22" s="57">
        <f t="shared" si="16"/>
        <v>89286.86</v>
      </c>
      <c r="T22" s="57">
        <f>ROUND(T28/0.07*0.02,2)</f>
        <v>78963.429999999993</v>
      </c>
      <c r="U22" s="57">
        <f t="shared" si="16"/>
        <v>135587.43</v>
      </c>
      <c r="V22" s="57">
        <f>ROUND(V28/0.07*0.02,2)</f>
        <v>139309.71</v>
      </c>
      <c r="W22" s="57">
        <f t="shared" si="16"/>
        <v>26259.43</v>
      </c>
      <c r="X22" s="17">
        <f t="shared" si="7"/>
        <v>3998378.8499999996</v>
      </c>
      <c r="Y22" s="55"/>
    </row>
    <row r="23" spans="1:25" x14ac:dyDescent="0.15">
      <c r="A23" s="14" t="s">
        <v>60</v>
      </c>
      <c r="B23" s="15" t="s">
        <v>64</v>
      </c>
      <c r="C23" s="15"/>
      <c r="D23" s="16" t="s">
        <v>21</v>
      </c>
      <c r="E23" s="17">
        <f>E24</f>
        <v>2971056</v>
      </c>
      <c r="F23" s="17">
        <f t="shared" ref="F23:W23" si="17">F24</f>
        <v>3048137.14</v>
      </c>
      <c r="G23" s="17">
        <f t="shared" si="17"/>
        <v>1648128</v>
      </c>
      <c r="H23" s="17">
        <f t="shared" si="17"/>
        <v>2428717.71</v>
      </c>
      <c r="I23" s="17">
        <f t="shared" si="17"/>
        <v>237531.43</v>
      </c>
      <c r="J23" s="17">
        <f t="shared" si="17"/>
        <v>2969581.71</v>
      </c>
      <c r="K23" s="17">
        <f t="shared" si="17"/>
        <v>2527323.4300000002</v>
      </c>
      <c r="L23" s="17">
        <f t="shared" si="17"/>
        <v>1565814.86</v>
      </c>
      <c r="M23" s="17">
        <f t="shared" si="17"/>
        <v>3076278.86</v>
      </c>
      <c r="N23" s="17">
        <f t="shared" si="17"/>
        <v>1917668.57</v>
      </c>
      <c r="O23" s="17">
        <f t="shared" si="17"/>
        <v>1794404.57</v>
      </c>
      <c r="P23" s="17">
        <f t="shared" si="17"/>
        <v>1875593.14</v>
      </c>
      <c r="Q23" s="17">
        <f>Q24</f>
        <v>1578397.71</v>
      </c>
      <c r="R23" s="17">
        <f t="shared" si="17"/>
        <v>593142.86</v>
      </c>
      <c r="S23" s="17">
        <f t="shared" si="17"/>
        <v>714294.86</v>
      </c>
      <c r="T23" s="17">
        <f>T24</f>
        <v>631707.43000000005</v>
      </c>
      <c r="U23" s="17">
        <f t="shared" si="17"/>
        <v>1084699.43</v>
      </c>
      <c r="V23" s="17">
        <f>V24</f>
        <v>1114477.71</v>
      </c>
      <c r="W23" s="17">
        <f t="shared" si="17"/>
        <v>210075.43</v>
      </c>
      <c r="X23" s="17">
        <f t="shared" si="7"/>
        <v>31987030.850000001</v>
      </c>
      <c r="Y23" s="18"/>
    </row>
    <row r="24" spans="1:25" s="21" customFormat="1" ht="22.5" x14ac:dyDescent="0.15">
      <c r="A24" s="14" t="s">
        <v>62</v>
      </c>
      <c r="B24" s="20" t="s">
        <v>245</v>
      </c>
      <c r="C24" s="20" t="s">
        <v>66</v>
      </c>
      <c r="D24" s="18" t="s">
        <v>43</v>
      </c>
      <c r="E24" s="17">
        <f>ROUND(E28/0.07*0.16,2)</f>
        <v>2971056</v>
      </c>
      <c r="F24" s="17">
        <f t="shared" ref="F24:W24" si="18">ROUND(F28/0.07*0.16,2)</f>
        <v>3048137.14</v>
      </c>
      <c r="G24" s="17">
        <f t="shared" si="18"/>
        <v>1648128</v>
      </c>
      <c r="H24" s="17">
        <f t="shared" si="18"/>
        <v>2428717.71</v>
      </c>
      <c r="I24" s="17">
        <f t="shared" si="18"/>
        <v>237531.43</v>
      </c>
      <c r="J24" s="17">
        <f t="shared" si="18"/>
        <v>2969581.71</v>
      </c>
      <c r="K24" s="17">
        <f t="shared" si="18"/>
        <v>2527323.4300000002</v>
      </c>
      <c r="L24" s="17">
        <f t="shared" si="18"/>
        <v>1565814.86</v>
      </c>
      <c r="M24" s="17">
        <f t="shared" si="18"/>
        <v>3076278.86</v>
      </c>
      <c r="N24" s="17">
        <f t="shared" si="18"/>
        <v>1917668.57</v>
      </c>
      <c r="O24" s="17">
        <f t="shared" si="18"/>
        <v>1794404.57</v>
      </c>
      <c r="P24" s="17">
        <f t="shared" si="18"/>
        <v>1875593.14</v>
      </c>
      <c r="Q24" s="17">
        <f>ROUND(Q28/0.07*0.16,2)</f>
        <v>1578397.71</v>
      </c>
      <c r="R24" s="17">
        <f t="shared" si="18"/>
        <v>593142.86</v>
      </c>
      <c r="S24" s="17">
        <f t="shared" si="18"/>
        <v>714294.86</v>
      </c>
      <c r="T24" s="17">
        <f>ROUND(T28/0.07*0.16,2)</f>
        <v>631707.43000000005</v>
      </c>
      <c r="U24" s="17">
        <f t="shared" si="18"/>
        <v>1084699.43</v>
      </c>
      <c r="V24" s="17">
        <f>ROUND(V28/0.07*0.16,2)</f>
        <v>1114477.71</v>
      </c>
      <c r="W24" s="17">
        <f t="shared" si="18"/>
        <v>210075.43</v>
      </c>
      <c r="X24" s="17">
        <f t="shared" si="7"/>
        <v>31987030.850000001</v>
      </c>
      <c r="Y24" s="18"/>
    </row>
    <row r="25" spans="1:25" x14ac:dyDescent="0.15">
      <c r="A25" s="14" t="s">
        <v>63</v>
      </c>
      <c r="B25" s="15" t="s">
        <v>68</v>
      </c>
      <c r="C25" s="15"/>
      <c r="D25" s="16" t="s">
        <v>21</v>
      </c>
      <c r="E25" s="17">
        <f>E26</f>
        <v>1485528</v>
      </c>
      <c r="F25" s="17">
        <f t="shared" ref="F25:W25" si="19">F26</f>
        <v>1524068.57</v>
      </c>
      <c r="G25" s="17">
        <f t="shared" si="19"/>
        <v>824064</v>
      </c>
      <c r="H25" s="17">
        <f t="shared" si="19"/>
        <v>1214358.8600000001</v>
      </c>
      <c r="I25" s="17">
        <f t="shared" si="19"/>
        <v>118765.71</v>
      </c>
      <c r="J25" s="17">
        <f t="shared" si="19"/>
        <v>1484790.86</v>
      </c>
      <c r="K25" s="17">
        <f t="shared" si="19"/>
        <v>1263661.71</v>
      </c>
      <c r="L25" s="17">
        <f t="shared" si="19"/>
        <v>782907.43</v>
      </c>
      <c r="M25" s="17">
        <f t="shared" si="19"/>
        <v>1538139.43</v>
      </c>
      <c r="N25" s="17">
        <f t="shared" si="19"/>
        <v>958834.29</v>
      </c>
      <c r="O25" s="17">
        <f t="shared" si="19"/>
        <v>897202.29</v>
      </c>
      <c r="P25" s="17">
        <f t="shared" si="19"/>
        <v>937796.57</v>
      </c>
      <c r="Q25" s="17">
        <f>Q26</f>
        <v>789198.86</v>
      </c>
      <c r="R25" s="17">
        <f t="shared" si="19"/>
        <v>296571.43</v>
      </c>
      <c r="S25" s="17">
        <f t="shared" si="19"/>
        <v>357147.43</v>
      </c>
      <c r="T25" s="17">
        <f>T26</f>
        <v>315853.71000000002</v>
      </c>
      <c r="U25" s="17">
        <f t="shared" si="19"/>
        <v>542349.71</v>
      </c>
      <c r="V25" s="17">
        <f>V26</f>
        <v>557238.86</v>
      </c>
      <c r="W25" s="17">
        <f t="shared" si="19"/>
        <v>105037.71</v>
      </c>
      <c r="X25" s="17">
        <f t="shared" si="7"/>
        <v>15993515.43</v>
      </c>
      <c r="Y25" s="18"/>
    </row>
    <row r="26" spans="1:25" s="21" customFormat="1" ht="22.5" x14ac:dyDescent="0.15">
      <c r="A26" s="14" t="s">
        <v>65</v>
      </c>
      <c r="B26" s="20" t="s">
        <v>70</v>
      </c>
      <c r="C26" s="20" t="s">
        <v>71</v>
      </c>
      <c r="D26" s="18" t="s">
        <v>43</v>
      </c>
      <c r="E26" s="17">
        <f>ROUND(E28/0.07*0.08,2)</f>
        <v>1485528</v>
      </c>
      <c r="F26" s="17">
        <f t="shared" ref="F26:W26" si="20">ROUND(F28/0.07*0.08,2)</f>
        <v>1524068.57</v>
      </c>
      <c r="G26" s="17">
        <f t="shared" si="20"/>
        <v>824064</v>
      </c>
      <c r="H26" s="17">
        <f t="shared" si="20"/>
        <v>1214358.8600000001</v>
      </c>
      <c r="I26" s="17">
        <f t="shared" si="20"/>
        <v>118765.71</v>
      </c>
      <c r="J26" s="17">
        <f t="shared" si="20"/>
        <v>1484790.86</v>
      </c>
      <c r="K26" s="17">
        <f t="shared" si="20"/>
        <v>1263661.71</v>
      </c>
      <c r="L26" s="17">
        <f t="shared" si="20"/>
        <v>782907.43</v>
      </c>
      <c r="M26" s="17">
        <f t="shared" si="20"/>
        <v>1538139.43</v>
      </c>
      <c r="N26" s="17">
        <f t="shared" si="20"/>
        <v>958834.29</v>
      </c>
      <c r="O26" s="17">
        <f t="shared" si="20"/>
        <v>897202.29</v>
      </c>
      <c r="P26" s="17">
        <f t="shared" si="20"/>
        <v>937796.57</v>
      </c>
      <c r="Q26" s="17">
        <f>ROUND(Q28/0.07*0.08,2)</f>
        <v>789198.86</v>
      </c>
      <c r="R26" s="17">
        <f t="shared" si="20"/>
        <v>296571.43</v>
      </c>
      <c r="S26" s="17">
        <f t="shared" si="20"/>
        <v>357147.43</v>
      </c>
      <c r="T26" s="17">
        <f>ROUND(T28/0.07*0.08,2)</f>
        <v>315853.71000000002</v>
      </c>
      <c r="U26" s="17">
        <f t="shared" si="20"/>
        <v>542349.71</v>
      </c>
      <c r="V26" s="17">
        <f>ROUND(V28/0.07*0.08,2)</f>
        <v>557238.86</v>
      </c>
      <c r="W26" s="17">
        <f t="shared" si="20"/>
        <v>105037.71</v>
      </c>
      <c r="X26" s="17">
        <f t="shared" si="7"/>
        <v>15993515.43</v>
      </c>
      <c r="Y26" s="18"/>
    </row>
    <row r="27" spans="1:25" ht="33.75" x14ac:dyDescent="0.15">
      <c r="A27" s="14" t="s">
        <v>67</v>
      </c>
      <c r="B27" s="15" t="s">
        <v>73</v>
      </c>
      <c r="C27" s="54" t="s">
        <v>27</v>
      </c>
      <c r="D27" s="18" t="s">
        <v>246</v>
      </c>
      <c r="E27" s="17">
        <f>6000*E93</f>
        <v>510000</v>
      </c>
      <c r="F27" s="17">
        <f t="shared" ref="F27:X27" si="21">6000*F93</f>
        <v>504000</v>
      </c>
      <c r="G27" s="17">
        <f t="shared" si="21"/>
        <v>360000</v>
      </c>
      <c r="H27" s="17">
        <f t="shared" si="21"/>
        <v>444000</v>
      </c>
      <c r="I27" s="17">
        <f>6000*I93</f>
        <v>66000</v>
      </c>
      <c r="J27" s="17">
        <f>6000*J93</f>
        <v>594000</v>
      </c>
      <c r="K27" s="17">
        <f>6000*K93</f>
        <v>486000</v>
      </c>
      <c r="L27" s="17">
        <f t="shared" si="21"/>
        <v>288000</v>
      </c>
      <c r="M27" s="17">
        <f>6000*M93</f>
        <v>552000</v>
      </c>
      <c r="N27" s="17">
        <f>6000*N93</f>
        <v>366000</v>
      </c>
      <c r="O27" s="17">
        <f t="shared" si="21"/>
        <v>348000</v>
      </c>
      <c r="P27" s="17">
        <f t="shared" si="21"/>
        <v>366000</v>
      </c>
      <c r="Q27" s="17">
        <f>6000*Q93</f>
        <v>330000</v>
      </c>
      <c r="R27" s="17">
        <f t="shared" si="21"/>
        <v>102000</v>
      </c>
      <c r="S27" s="17">
        <f t="shared" si="21"/>
        <v>138000</v>
      </c>
      <c r="T27" s="17">
        <f>6000*T93</f>
        <v>138000</v>
      </c>
      <c r="U27" s="17">
        <f t="shared" si="21"/>
        <v>228000</v>
      </c>
      <c r="V27" s="17">
        <f>6000*V93</f>
        <v>216000</v>
      </c>
      <c r="W27" s="17">
        <f t="shared" si="21"/>
        <v>36000</v>
      </c>
      <c r="X27" s="17">
        <f t="shared" si="21"/>
        <v>6072000</v>
      </c>
      <c r="Y27" s="18"/>
    </row>
    <row r="28" spans="1:25" ht="22.5" x14ac:dyDescent="0.15">
      <c r="A28" s="14" t="s">
        <v>69</v>
      </c>
      <c r="B28" s="15" t="s">
        <v>75</v>
      </c>
      <c r="C28" s="15" t="s">
        <v>75</v>
      </c>
      <c r="D28" s="16" t="s">
        <v>240</v>
      </c>
      <c r="E28" s="56">
        <v>1299837</v>
      </c>
      <c r="F28" s="56">
        <f>111130*12</f>
        <v>1333560</v>
      </c>
      <c r="G28" s="56">
        <f>60088*12</f>
        <v>721056</v>
      </c>
      <c r="H28" s="56">
        <v>1062564</v>
      </c>
      <c r="I28" s="56">
        <v>103920</v>
      </c>
      <c r="J28" s="56">
        <v>1299192</v>
      </c>
      <c r="K28" s="56">
        <v>1105704</v>
      </c>
      <c r="L28" s="56">
        <v>685044</v>
      </c>
      <c r="M28" s="56">
        <v>1345872</v>
      </c>
      <c r="N28" s="56">
        <f>69915*12</f>
        <v>838980</v>
      </c>
      <c r="O28" s="56">
        <v>785052</v>
      </c>
      <c r="P28" s="56">
        <v>820572</v>
      </c>
      <c r="Q28" s="56">
        <v>690549</v>
      </c>
      <c r="R28" s="56">
        <f>21625*12</f>
        <v>259500</v>
      </c>
      <c r="S28" s="56">
        <f>26042*12</f>
        <v>312504</v>
      </c>
      <c r="T28" s="56">
        <v>276372</v>
      </c>
      <c r="U28" s="56">
        <f>39173*8+40293*4</f>
        <v>474556</v>
      </c>
      <c r="V28" s="56">
        <v>487584</v>
      </c>
      <c r="W28" s="56">
        <v>91908</v>
      </c>
      <c r="X28" s="17">
        <f t="shared" ref="X28:X57" si="22">SUM(E28:W28)</f>
        <v>13994326</v>
      </c>
      <c r="Y28" s="55"/>
    </row>
    <row r="29" spans="1:25" x14ac:dyDescent="0.15">
      <c r="A29" s="14" t="s">
        <v>72</v>
      </c>
      <c r="B29" s="15" t="s">
        <v>247</v>
      </c>
      <c r="C29" s="15" t="s">
        <v>248</v>
      </c>
      <c r="D29" s="18" t="s">
        <v>249</v>
      </c>
      <c r="E29" s="56"/>
      <c r="F29" s="56"/>
      <c r="G29" s="56"/>
      <c r="H29" s="56"/>
      <c r="I29" s="56"/>
      <c r="J29" s="56"/>
      <c r="K29" s="56"/>
      <c r="L29" s="56"/>
      <c r="M29" s="56">
        <v>0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7">
        <f t="shared" si="22"/>
        <v>0</v>
      </c>
      <c r="Y29" s="55"/>
    </row>
    <row r="30" spans="1:25" x14ac:dyDescent="0.15">
      <c r="A30" s="14" t="s">
        <v>74</v>
      </c>
      <c r="B30" s="15" t="s">
        <v>76</v>
      </c>
      <c r="C30" s="15"/>
      <c r="D30" s="16" t="s">
        <v>21</v>
      </c>
      <c r="E30" s="17">
        <f>E31+E39+E42+E44</f>
        <v>7680</v>
      </c>
      <c r="F30" s="17">
        <f t="shared" ref="F30:R30" si="23">F31+F39+F42+F44</f>
        <v>8940</v>
      </c>
      <c r="G30" s="17">
        <f t="shared" si="23"/>
        <v>57600</v>
      </c>
      <c r="H30" s="17">
        <f t="shared" si="23"/>
        <v>6720</v>
      </c>
      <c r="I30" s="17">
        <f t="shared" si="23"/>
        <v>360</v>
      </c>
      <c r="J30" s="17">
        <f t="shared" si="23"/>
        <v>3480</v>
      </c>
      <c r="K30" s="17">
        <f t="shared" si="23"/>
        <v>6720</v>
      </c>
      <c r="L30" s="17">
        <f t="shared" si="23"/>
        <v>2080</v>
      </c>
      <c r="M30" s="17">
        <f t="shared" si="23"/>
        <v>15480</v>
      </c>
      <c r="N30" s="17">
        <f t="shared" si="23"/>
        <v>4320</v>
      </c>
      <c r="O30" s="17">
        <f t="shared" si="23"/>
        <v>8260</v>
      </c>
      <c r="P30" s="17">
        <f t="shared" si="23"/>
        <v>13960</v>
      </c>
      <c r="Q30" s="17">
        <f t="shared" si="23"/>
        <v>8340</v>
      </c>
      <c r="R30" s="17">
        <f t="shared" si="23"/>
        <v>3120</v>
      </c>
      <c r="S30" s="17">
        <f>S31+S39+S42+S44</f>
        <v>5760</v>
      </c>
      <c r="T30" s="17">
        <f t="shared" ref="T30:W30" si="24">T31+T39+T42+T44</f>
        <v>3800</v>
      </c>
      <c r="U30" s="17">
        <f t="shared" si="24"/>
        <v>8040</v>
      </c>
      <c r="V30" s="17">
        <f t="shared" si="24"/>
        <v>8160</v>
      </c>
      <c r="W30" s="17">
        <f t="shared" si="24"/>
        <v>1320</v>
      </c>
      <c r="X30" s="17">
        <f t="shared" si="22"/>
        <v>174140</v>
      </c>
      <c r="Y30" s="18"/>
    </row>
    <row r="31" spans="1:25" x14ac:dyDescent="0.15">
      <c r="A31" s="14" t="s">
        <v>250</v>
      </c>
      <c r="B31" s="15" t="s">
        <v>77</v>
      </c>
      <c r="C31" s="15"/>
      <c r="D31" s="16" t="s">
        <v>21</v>
      </c>
      <c r="E31" s="17">
        <f>E32+E33+E34+E35+E36+E37+E38</f>
        <v>0</v>
      </c>
      <c r="F31" s="17">
        <f t="shared" ref="F31:W31" si="25">F32+F33+F34+F35+F36+F37+F38</f>
        <v>0</v>
      </c>
      <c r="G31" s="17">
        <f t="shared" si="25"/>
        <v>0</v>
      </c>
      <c r="H31" s="17">
        <f t="shared" si="25"/>
        <v>0</v>
      </c>
      <c r="I31" s="17">
        <f t="shared" si="25"/>
        <v>0</v>
      </c>
      <c r="J31" s="17">
        <f t="shared" si="25"/>
        <v>0</v>
      </c>
      <c r="K31" s="17">
        <f t="shared" si="25"/>
        <v>0</v>
      </c>
      <c r="L31" s="17">
        <f t="shared" si="25"/>
        <v>0</v>
      </c>
      <c r="M31" s="17">
        <f t="shared" si="25"/>
        <v>0</v>
      </c>
      <c r="N31" s="17">
        <f t="shared" si="25"/>
        <v>0</v>
      </c>
      <c r="O31" s="17">
        <f t="shared" si="25"/>
        <v>0</v>
      </c>
      <c r="P31" s="17">
        <f t="shared" si="25"/>
        <v>0</v>
      </c>
      <c r="Q31" s="17">
        <f>Q32+Q33+Q34+Q35+Q36+Q37+Q38</f>
        <v>0</v>
      </c>
      <c r="R31" s="17">
        <f t="shared" si="25"/>
        <v>0</v>
      </c>
      <c r="S31" s="17">
        <f t="shared" si="25"/>
        <v>0</v>
      </c>
      <c r="T31" s="17">
        <f>T32+T33+T34+T35+T36+T37+T38</f>
        <v>0</v>
      </c>
      <c r="U31" s="17">
        <f t="shared" si="25"/>
        <v>0</v>
      </c>
      <c r="V31" s="17">
        <f>V32+V33+V34+V35+V36+V37+V38</f>
        <v>0</v>
      </c>
      <c r="W31" s="17">
        <f t="shared" si="25"/>
        <v>0</v>
      </c>
      <c r="X31" s="17">
        <f t="shared" si="22"/>
        <v>0</v>
      </c>
      <c r="Y31" s="18"/>
    </row>
    <row r="32" spans="1:25" ht="22.5" x14ac:dyDescent="0.15">
      <c r="A32" s="14" t="s">
        <v>251</v>
      </c>
      <c r="B32" s="15" t="s">
        <v>78</v>
      </c>
      <c r="C32" s="15" t="s">
        <v>79</v>
      </c>
      <c r="D32" s="55" t="s">
        <v>80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17">
        <f t="shared" si="22"/>
        <v>0</v>
      </c>
      <c r="Y32" s="55"/>
    </row>
    <row r="33" spans="1:25" ht="22.5" x14ac:dyDescent="0.15">
      <c r="A33" s="14" t="s">
        <v>252</v>
      </c>
      <c r="B33" s="15" t="s">
        <v>81</v>
      </c>
      <c r="C33" s="15" t="s">
        <v>79</v>
      </c>
      <c r="D33" s="55" t="s">
        <v>80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17">
        <f t="shared" si="22"/>
        <v>0</v>
      </c>
      <c r="Y33" s="55"/>
    </row>
    <row r="34" spans="1:25" x14ac:dyDescent="0.15">
      <c r="A34" s="14" t="s">
        <v>253</v>
      </c>
      <c r="B34" s="15" t="s">
        <v>82</v>
      </c>
      <c r="C34" s="15" t="s">
        <v>79</v>
      </c>
      <c r="D34" s="55" t="s">
        <v>83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17">
        <f t="shared" si="22"/>
        <v>0</v>
      </c>
      <c r="Y34" s="55"/>
    </row>
    <row r="35" spans="1:25" ht="22.5" x14ac:dyDescent="0.15">
      <c r="A35" s="14" t="s">
        <v>254</v>
      </c>
      <c r="B35" s="15" t="s">
        <v>84</v>
      </c>
      <c r="C35" s="15" t="s">
        <v>79</v>
      </c>
      <c r="D35" s="55" t="s">
        <v>80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17">
        <f t="shared" si="22"/>
        <v>0</v>
      </c>
      <c r="Y35" s="55"/>
    </row>
    <row r="36" spans="1:25" ht="22.5" x14ac:dyDescent="0.15">
      <c r="A36" s="14" t="s">
        <v>255</v>
      </c>
      <c r="B36" s="15" t="s">
        <v>85</v>
      </c>
      <c r="C36" s="15" t="s">
        <v>79</v>
      </c>
      <c r="D36" s="55" t="s">
        <v>80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17">
        <f t="shared" si="22"/>
        <v>0</v>
      </c>
      <c r="Y36" s="55"/>
    </row>
    <row r="37" spans="1:25" ht="22.5" x14ac:dyDescent="0.15">
      <c r="A37" s="14" t="s">
        <v>256</v>
      </c>
      <c r="B37" s="15" t="s">
        <v>86</v>
      </c>
      <c r="C37" s="15" t="s">
        <v>79</v>
      </c>
      <c r="D37" s="55" t="s">
        <v>80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17">
        <f t="shared" si="22"/>
        <v>0</v>
      </c>
      <c r="Y37" s="55"/>
    </row>
    <row r="38" spans="1:25" ht="22.5" x14ac:dyDescent="0.15">
      <c r="A38" s="14" t="s">
        <v>257</v>
      </c>
      <c r="B38" s="15" t="s">
        <v>87</v>
      </c>
      <c r="C38" s="15" t="s">
        <v>79</v>
      </c>
      <c r="D38" s="55" t="s">
        <v>80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17">
        <f t="shared" si="22"/>
        <v>0</v>
      </c>
      <c r="Y38" s="55"/>
    </row>
    <row r="39" spans="1:25" x14ac:dyDescent="0.15">
      <c r="A39" s="14" t="s">
        <v>258</v>
      </c>
      <c r="B39" s="15" t="s">
        <v>88</v>
      </c>
      <c r="C39" s="15"/>
      <c r="D39" s="16" t="s">
        <v>21</v>
      </c>
      <c r="E39" s="17">
        <f>E40+E41</f>
        <v>0</v>
      </c>
      <c r="F39" s="17">
        <f t="shared" ref="F39:W39" si="26">F40+F41</f>
        <v>0</v>
      </c>
      <c r="G39" s="17">
        <f t="shared" si="26"/>
        <v>0</v>
      </c>
      <c r="H39" s="17">
        <f t="shared" si="26"/>
        <v>0</v>
      </c>
      <c r="I39" s="17">
        <f t="shared" si="26"/>
        <v>0</v>
      </c>
      <c r="J39" s="17">
        <f t="shared" si="26"/>
        <v>0</v>
      </c>
      <c r="K39" s="17">
        <f t="shared" si="26"/>
        <v>0</v>
      </c>
      <c r="L39" s="17">
        <f t="shared" si="26"/>
        <v>0</v>
      </c>
      <c r="M39" s="17">
        <f t="shared" si="26"/>
        <v>0</v>
      </c>
      <c r="N39" s="17">
        <f t="shared" si="26"/>
        <v>0</v>
      </c>
      <c r="O39" s="17">
        <f t="shared" si="26"/>
        <v>0</v>
      </c>
      <c r="P39" s="17">
        <f t="shared" si="26"/>
        <v>0</v>
      </c>
      <c r="Q39" s="17">
        <f>Q40+Q41</f>
        <v>0</v>
      </c>
      <c r="R39" s="17">
        <f t="shared" si="26"/>
        <v>0</v>
      </c>
      <c r="S39" s="17">
        <f t="shared" si="26"/>
        <v>0</v>
      </c>
      <c r="T39" s="17">
        <f>T40+T41</f>
        <v>0</v>
      </c>
      <c r="U39" s="17">
        <f t="shared" si="26"/>
        <v>0</v>
      </c>
      <c r="V39" s="17">
        <f>V40+V41</f>
        <v>0</v>
      </c>
      <c r="W39" s="17">
        <f t="shared" si="26"/>
        <v>0</v>
      </c>
      <c r="X39" s="17">
        <f t="shared" si="22"/>
        <v>0</v>
      </c>
      <c r="Y39" s="18"/>
    </row>
    <row r="40" spans="1:25" s="21" customFormat="1" x14ac:dyDescent="0.15">
      <c r="A40" s="14" t="s">
        <v>259</v>
      </c>
      <c r="B40" s="20" t="s">
        <v>89</v>
      </c>
      <c r="C40" s="20" t="s">
        <v>27</v>
      </c>
      <c r="D40" s="18" t="s">
        <v>83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17">
        <f t="shared" si="22"/>
        <v>0</v>
      </c>
      <c r="Y40" s="18"/>
    </row>
    <row r="41" spans="1:25" s="21" customFormat="1" x14ac:dyDescent="0.15">
      <c r="A41" s="14" t="s">
        <v>260</v>
      </c>
      <c r="B41" s="20" t="s">
        <v>90</v>
      </c>
      <c r="C41" s="20" t="s">
        <v>27</v>
      </c>
      <c r="D41" s="18" t="s">
        <v>83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17">
        <f t="shared" si="22"/>
        <v>0</v>
      </c>
      <c r="Y41" s="18"/>
    </row>
    <row r="42" spans="1:25" x14ac:dyDescent="0.15">
      <c r="A42" s="14" t="s">
        <v>261</v>
      </c>
      <c r="B42" s="15" t="s">
        <v>91</v>
      </c>
      <c r="C42" s="15"/>
      <c r="D42" s="16" t="s">
        <v>21</v>
      </c>
      <c r="E42" s="17">
        <f>E43</f>
        <v>2880</v>
      </c>
      <c r="F42" s="17">
        <f t="shared" ref="F42:W42" si="27">F43</f>
        <v>1440</v>
      </c>
      <c r="G42" s="17">
        <f t="shared" si="27"/>
        <v>21600</v>
      </c>
      <c r="H42" s="17">
        <f t="shared" si="27"/>
        <v>720</v>
      </c>
      <c r="I42" s="17">
        <f t="shared" si="27"/>
        <v>360</v>
      </c>
      <c r="J42" s="17">
        <f t="shared" si="27"/>
        <v>1080</v>
      </c>
      <c r="K42" s="17">
        <f t="shared" si="27"/>
        <v>720</v>
      </c>
      <c r="L42" s="17">
        <f t="shared" si="27"/>
        <v>1080</v>
      </c>
      <c r="M42" s="17">
        <f t="shared" si="27"/>
        <v>6480</v>
      </c>
      <c r="N42" s="17">
        <f t="shared" si="27"/>
        <v>720</v>
      </c>
      <c r="O42" s="17">
        <f t="shared" si="27"/>
        <v>5760</v>
      </c>
      <c r="P42" s="17">
        <f t="shared" si="27"/>
        <v>3960</v>
      </c>
      <c r="Q42" s="17">
        <f>Q43</f>
        <v>3990</v>
      </c>
      <c r="R42" s="17">
        <f t="shared" si="27"/>
        <v>720</v>
      </c>
      <c r="S42" s="17">
        <f t="shared" si="27"/>
        <v>2160</v>
      </c>
      <c r="T42" s="17">
        <f>T43</f>
        <v>1800</v>
      </c>
      <c r="U42" s="17">
        <f t="shared" si="27"/>
        <v>1440</v>
      </c>
      <c r="V42" s="17">
        <f>V43</f>
        <v>2160</v>
      </c>
      <c r="W42" s="17">
        <f t="shared" si="27"/>
        <v>720</v>
      </c>
      <c r="X42" s="17">
        <f t="shared" si="22"/>
        <v>59790</v>
      </c>
      <c r="Y42" s="18"/>
    </row>
    <row r="43" spans="1:25" ht="22.5" x14ac:dyDescent="0.15">
      <c r="A43" s="14" t="s">
        <v>262</v>
      </c>
      <c r="B43" s="15" t="s">
        <v>92</v>
      </c>
      <c r="C43" s="15" t="s">
        <v>27</v>
      </c>
      <c r="D43" s="16" t="s">
        <v>28</v>
      </c>
      <c r="E43" s="10">
        <f>240*12</f>
        <v>2880</v>
      </c>
      <c r="F43" s="10">
        <f>120*12</f>
        <v>1440</v>
      </c>
      <c r="G43" s="10">
        <f>30*12*60</f>
        <v>21600</v>
      </c>
      <c r="H43" s="10">
        <v>720</v>
      </c>
      <c r="I43" s="10">
        <v>360</v>
      </c>
      <c r="J43" s="10">
        <v>1080</v>
      </c>
      <c r="K43" s="10">
        <v>720</v>
      </c>
      <c r="L43" s="10">
        <v>1080</v>
      </c>
      <c r="M43" s="10">
        <v>6480</v>
      </c>
      <c r="N43" s="10">
        <v>720</v>
      </c>
      <c r="O43" s="10">
        <v>5760</v>
      </c>
      <c r="P43" s="10">
        <f>330*12</f>
        <v>3960</v>
      </c>
      <c r="Q43" s="10">
        <v>3990</v>
      </c>
      <c r="R43" s="10">
        <v>720</v>
      </c>
      <c r="S43" s="10">
        <f>180*12</f>
        <v>2160</v>
      </c>
      <c r="T43" s="10">
        <v>1800</v>
      </c>
      <c r="U43" s="10">
        <f>120*12</f>
        <v>1440</v>
      </c>
      <c r="V43" s="10">
        <v>2160</v>
      </c>
      <c r="W43" s="10">
        <v>720</v>
      </c>
      <c r="X43" s="17">
        <f t="shared" si="22"/>
        <v>59790</v>
      </c>
      <c r="Y43" s="18"/>
    </row>
    <row r="44" spans="1:25" x14ac:dyDescent="0.15">
      <c r="A44" s="14" t="s">
        <v>263</v>
      </c>
      <c r="B44" s="15" t="s">
        <v>93</v>
      </c>
      <c r="C44" s="15"/>
      <c r="D44" s="16" t="s">
        <v>21</v>
      </c>
      <c r="E44" s="17">
        <f>SUM(E45:E48)</f>
        <v>4800</v>
      </c>
      <c r="F44" s="17">
        <f t="shared" ref="F44:W44" si="28">SUM(F45:F48)</f>
        <v>7500</v>
      </c>
      <c r="G44" s="17">
        <f t="shared" si="28"/>
        <v>36000</v>
      </c>
      <c r="H44" s="17">
        <f t="shared" si="28"/>
        <v>6000</v>
      </c>
      <c r="I44" s="17">
        <f t="shared" si="28"/>
        <v>0</v>
      </c>
      <c r="J44" s="17">
        <f t="shared" si="28"/>
        <v>2400</v>
      </c>
      <c r="K44" s="17">
        <f t="shared" si="28"/>
        <v>6000</v>
      </c>
      <c r="L44" s="17">
        <f t="shared" si="28"/>
        <v>1000</v>
      </c>
      <c r="M44" s="17">
        <f t="shared" si="28"/>
        <v>9000</v>
      </c>
      <c r="N44" s="17">
        <f t="shared" si="28"/>
        <v>3600</v>
      </c>
      <c r="O44" s="17">
        <f t="shared" si="28"/>
        <v>2500</v>
      </c>
      <c r="P44" s="17">
        <f t="shared" si="28"/>
        <v>10000</v>
      </c>
      <c r="Q44" s="17">
        <f>SUM(Q45:Q48)</f>
        <v>4350</v>
      </c>
      <c r="R44" s="17">
        <f t="shared" si="28"/>
        <v>2400</v>
      </c>
      <c r="S44" s="17">
        <f t="shared" si="28"/>
        <v>3600</v>
      </c>
      <c r="T44" s="17">
        <f>SUM(T45:T48)</f>
        <v>2000</v>
      </c>
      <c r="U44" s="17">
        <f t="shared" si="28"/>
        <v>6600</v>
      </c>
      <c r="V44" s="17">
        <f>SUM(V45:V48)</f>
        <v>6000</v>
      </c>
      <c r="W44" s="17">
        <f t="shared" si="28"/>
        <v>600</v>
      </c>
      <c r="X44" s="17">
        <f t="shared" si="22"/>
        <v>114350</v>
      </c>
      <c r="Y44" s="18"/>
    </row>
    <row r="45" spans="1:25" x14ac:dyDescent="0.15">
      <c r="A45" s="14" t="s">
        <v>264</v>
      </c>
      <c r="B45" s="15" t="s">
        <v>94</v>
      </c>
      <c r="C45" s="15" t="s">
        <v>27</v>
      </c>
      <c r="D45" s="16" t="s">
        <v>95</v>
      </c>
      <c r="E45" s="10">
        <v>4800</v>
      </c>
      <c r="F45" s="10">
        <v>7500</v>
      </c>
      <c r="G45" s="10">
        <f>50*12*60</f>
        <v>36000</v>
      </c>
      <c r="H45" s="10">
        <v>6000</v>
      </c>
      <c r="I45" s="10"/>
      <c r="J45" s="10">
        <v>2400</v>
      </c>
      <c r="K45" s="10">
        <v>6000</v>
      </c>
      <c r="L45" s="10">
        <v>1000</v>
      </c>
      <c r="M45" s="10">
        <v>9000</v>
      </c>
      <c r="N45" s="10">
        <f>50*6*12</f>
        <v>3600</v>
      </c>
      <c r="O45" s="10">
        <v>2500</v>
      </c>
      <c r="P45" s="10">
        <v>10000</v>
      </c>
      <c r="Q45" s="10">
        <f>3100+5*5*50</f>
        <v>4350</v>
      </c>
      <c r="R45" s="10">
        <v>2400</v>
      </c>
      <c r="S45" s="10">
        <v>3600</v>
      </c>
      <c r="T45" s="10">
        <v>2000</v>
      </c>
      <c r="U45" s="10">
        <f>11*50*12</f>
        <v>6600</v>
      </c>
      <c r="V45" s="10">
        <v>6000</v>
      </c>
      <c r="W45" s="10">
        <v>600</v>
      </c>
      <c r="X45" s="17">
        <f t="shared" si="22"/>
        <v>114350</v>
      </c>
      <c r="Y45" s="18"/>
    </row>
    <row r="46" spans="1:25" s="21" customFormat="1" x14ac:dyDescent="0.15">
      <c r="A46" s="14" t="s">
        <v>265</v>
      </c>
      <c r="B46" s="20" t="s">
        <v>96</v>
      </c>
      <c r="C46" s="20" t="s">
        <v>27</v>
      </c>
      <c r="D46" s="18" t="s">
        <v>97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17">
        <f t="shared" si="22"/>
        <v>0</v>
      </c>
      <c r="Y46" s="18"/>
    </row>
    <row r="47" spans="1:25" s="21" customFormat="1" x14ac:dyDescent="0.15">
      <c r="A47" s="14" t="s">
        <v>266</v>
      </c>
      <c r="B47" s="20" t="s">
        <v>98</v>
      </c>
      <c r="C47" s="20" t="s">
        <v>27</v>
      </c>
      <c r="D47" s="18" t="s">
        <v>97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17">
        <f t="shared" si="22"/>
        <v>0</v>
      </c>
      <c r="Y47" s="18"/>
    </row>
    <row r="48" spans="1:25" ht="56.25" x14ac:dyDescent="0.15">
      <c r="A48" s="14" t="s">
        <v>267</v>
      </c>
      <c r="B48" s="15" t="s">
        <v>99</v>
      </c>
      <c r="C48" s="15" t="s">
        <v>27</v>
      </c>
      <c r="D48" s="55" t="s">
        <v>100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17">
        <f t="shared" si="22"/>
        <v>0</v>
      </c>
      <c r="Y48" s="55"/>
    </row>
    <row r="49" spans="1:25" x14ac:dyDescent="0.15">
      <c r="A49" s="14" t="s">
        <v>268</v>
      </c>
      <c r="B49" s="15" t="s">
        <v>101</v>
      </c>
      <c r="C49" s="15"/>
      <c r="D49" s="16" t="s">
        <v>21</v>
      </c>
      <c r="E49" s="17">
        <f>E50+E68+E70+E72+E74+E76+E78+E80+E82+E90</f>
        <v>4617529</v>
      </c>
      <c r="F49" s="17">
        <f t="shared" ref="F49:W49" si="29">F50+F68+F70+F72+F74+F76+F78+F80+F82+F90</f>
        <v>4602092.1399999997</v>
      </c>
      <c r="G49" s="17">
        <f t="shared" si="29"/>
        <v>4088435.35</v>
      </c>
      <c r="H49" s="17">
        <f t="shared" si="29"/>
        <v>4237782.21</v>
      </c>
      <c r="I49" s="17">
        <f t="shared" si="29"/>
        <v>2429978.9300000002</v>
      </c>
      <c r="J49" s="17">
        <f t="shared" si="29"/>
        <v>6676858.96</v>
      </c>
      <c r="K49" s="17">
        <f t="shared" si="29"/>
        <v>5060048.2799999993</v>
      </c>
      <c r="L49" s="17">
        <f t="shared" si="29"/>
        <v>3402751.4099999997</v>
      </c>
      <c r="M49" s="17">
        <f t="shared" si="29"/>
        <v>5727826.46</v>
      </c>
      <c r="N49" s="17">
        <f t="shared" si="29"/>
        <v>3922829.7199999997</v>
      </c>
      <c r="O49" s="17">
        <f t="shared" si="29"/>
        <v>2725154.1199999996</v>
      </c>
      <c r="P49" s="17">
        <f t="shared" si="29"/>
        <v>3489735.8400000003</v>
      </c>
      <c r="Q49" s="17">
        <f>Q50+Q68+Q70+Q72+Q74+Q76+Q78+Q80+Q82+Q90</f>
        <v>2695899.51</v>
      </c>
      <c r="R49" s="17">
        <f t="shared" si="29"/>
        <v>1155582.8600000001</v>
      </c>
      <c r="S49" s="17">
        <f t="shared" si="29"/>
        <v>1360095.7100000002</v>
      </c>
      <c r="T49" s="17">
        <f>T50+T68+T70+T72+T74+T76+T78+T80+T82+T90</f>
        <v>2154609.4300000002</v>
      </c>
      <c r="U49" s="17">
        <f t="shared" si="29"/>
        <v>2269256.15</v>
      </c>
      <c r="V49" s="17">
        <f>V50+V68+V70+V72+V74+V76+V78+V80+V82+V90</f>
        <v>2300389.71</v>
      </c>
      <c r="W49" s="17">
        <f t="shared" si="29"/>
        <v>409219.43</v>
      </c>
      <c r="X49" s="17">
        <f t="shared" si="22"/>
        <v>63326075.219999991</v>
      </c>
      <c r="Y49" s="18"/>
    </row>
    <row r="50" spans="1:25" x14ac:dyDescent="0.15">
      <c r="A50" s="14" t="s">
        <v>269</v>
      </c>
      <c r="B50" s="15" t="s">
        <v>102</v>
      </c>
      <c r="C50" s="15"/>
      <c r="D50" s="16" t="s">
        <v>103</v>
      </c>
      <c r="E50" s="17">
        <v>3118850</v>
      </c>
      <c r="F50" s="17">
        <v>3219350</v>
      </c>
      <c r="G50" s="17">
        <v>2721260</v>
      </c>
      <c r="H50" s="17">
        <v>3279650</v>
      </c>
      <c r="I50" s="17">
        <v>2010000</v>
      </c>
      <c r="J50" s="17">
        <v>4818210</v>
      </c>
      <c r="K50" s="17">
        <v>3511740</v>
      </c>
      <c r="L50" s="17">
        <v>2609730</v>
      </c>
      <c r="M50" s="17">
        <v>4423380</v>
      </c>
      <c r="N50" s="17">
        <v>3116910</v>
      </c>
      <c r="O50" s="17">
        <v>1916200</v>
      </c>
      <c r="P50" s="17">
        <v>2605460</v>
      </c>
      <c r="Q50" s="17">
        <v>2016300</v>
      </c>
      <c r="R50" s="17">
        <v>858000</v>
      </c>
      <c r="S50" s="17">
        <v>1023880</v>
      </c>
      <c r="T50" s="17">
        <v>1716000</v>
      </c>
      <c r="U50" s="17">
        <v>1716000</v>
      </c>
      <c r="V50" s="17">
        <v>1716000</v>
      </c>
      <c r="W50" s="17">
        <v>134400</v>
      </c>
      <c r="X50" s="17">
        <f t="shared" si="22"/>
        <v>46531320</v>
      </c>
      <c r="Y50" s="18"/>
    </row>
    <row r="51" spans="1:25" x14ac:dyDescent="0.15">
      <c r="A51" s="14" t="s">
        <v>270</v>
      </c>
      <c r="B51" s="15" t="s">
        <v>104</v>
      </c>
      <c r="C51" s="15" t="s">
        <v>27</v>
      </c>
      <c r="D51" s="58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7">
        <f t="shared" si="22"/>
        <v>0</v>
      </c>
      <c r="Y51" s="18"/>
    </row>
    <row r="52" spans="1:25" x14ac:dyDescent="0.15">
      <c r="A52" s="14" t="s">
        <v>271</v>
      </c>
      <c r="B52" s="15" t="s">
        <v>105</v>
      </c>
      <c r="C52" s="15" t="s">
        <v>27</v>
      </c>
      <c r="D52" s="58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7">
        <f t="shared" si="22"/>
        <v>0</v>
      </c>
      <c r="Y52" s="18"/>
    </row>
    <row r="53" spans="1:25" x14ac:dyDescent="0.15">
      <c r="A53" s="14" t="s">
        <v>272</v>
      </c>
      <c r="B53" s="15" t="s">
        <v>106</v>
      </c>
      <c r="C53" s="15" t="s">
        <v>27</v>
      </c>
      <c r="D53" s="58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7">
        <f t="shared" si="22"/>
        <v>0</v>
      </c>
      <c r="Y53" s="18"/>
    </row>
    <row r="54" spans="1:25" x14ac:dyDescent="0.15">
      <c r="A54" s="14" t="s">
        <v>273</v>
      </c>
      <c r="B54" s="15" t="s">
        <v>107</v>
      </c>
      <c r="C54" s="15" t="s">
        <v>27</v>
      </c>
      <c r="D54" s="58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7">
        <f t="shared" si="22"/>
        <v>0</v>
      </c>
      <c r="Y54" s="18"/>
    </row>
    <row r="55" spans="1:25" x14ac:dyDescent="0.15">
      <c r="A55" s="14" t="s">
        <v>274</v>
      </c>
      <c r="B55" s="15" t="s">
        <v>108</v>
      </c>
      <c r="C55" s="15" t="s">
        <v>27</v>
      </c>
      <c r="D55" s="58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7">
        <f t="shared" si="22"/>
        <v>0</v>
      </c>
      <c r="Y55" s="18"/>
    </row>
    <row r="56" spans="1:25" x14ac:dyDescent="0.15">
      <c r="A56" s="14" t="s">
        <v>275</v>
      </c>
      <c r="B56" s="15" t="s">
        <v>109</v>
      </c>
      <c r="C56" s="15" t="s">
        <v>27</v>
      </c>
      <c r="D56" s="58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7">
        <f t="shared" si="22"/>
        <v>0</v>
      </c>
      <c r="Y56" s="18"/>
    </row>
    <row r="57" spans="1:25" x14ac:dyDescent="0.15">
      <c r="A57" s="14" t="s">
        <v>276</v>
      </c>
      <c r="B57" s="15" t="s">
        <v>110</v>
      </c>
      <c r="C57" s="15" t="s">
        <v>27</v>
      </c>
      <c r="D57" s="58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7">
        <f t="shared" si="22"/>
        <v>0</v>
      </c>
      <c r="Y57" s="18"/>
    </row>
    <row r="58" spans="1:25" x14ac:dyDescent="0.15">
      <c r="A58" s="14" t="s">
        <v>277</v>
      </c>
      <c r="B58" s="15" t="s">
        <v>111</v>
      </c>
      <c r="C58" s="15" t="s">
        <v>27</v>
      </c>
      <c r="D58" s="58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7">
        <f t="shared" ref="X58:X89" si="30">SUM(E58:W58)</f>
        <v>0</v>
      </c>
      <c r="Y58" s="18"/>
    </row>
    <row r="59" spans="1:25" x14ac:dyDescent="0.15">
      <c r="A59" s="14" t="s">
        <v>278</v>
      </c>
      <c r="B59" s="15" t="s">
        <v>112</v>
      </c>
      <c r="C59" s="15" t="s">
        <v>27</v>
      </c>
      <c r="D59" s="58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>
        <v>0</v>
      </c>
      <c r="R59" s="10"/>
      <c r="S59" s="10"/>
      <c r="T59" s="10"/>
      <c r="U59" s="10"/>
      <c r="V59" s="10"/>
      <c r="W59" s="10"/>
      <c r="X59" s="17">
        <f t="shared" si="30"/>
        <v>0</v>
      </c>
      <c r="Y59" s="18"/>
    </row>
    <row r="60" spans="1:25" x14ac:dyDescent="0.15">
      <c r="A60" s="14" t="s">
        <v>279</v>
      </c>
      <c r="B60" s="15" t="s">
        <v>280</v>
      </c>
      <c r="C60" s="15" t="s">
        <v>281</v>
      </c>
      <c r="D60" s="58" t="s">
        <v>282</v>
      </c>
      <c r="E60" s="10">
        <v>155942.5</v>
      </c>
      <c r="F60" s="10">
        <v>160967.5</v>
      </c>
      <c r="G60" s="10">
        <v>136063</v>
      </c>
      <c r="H60" s="10">
        <v>163982.5</v>
      </c>
      <c r="I60" s="10">
        <v>24120</v>
      </c>
      <c r="J60" s="10">
        <v>239626.5</v>
      </c>
      <c r="K60" s="10">
        <v>175587</v>
      </c>
      <c r="L60" s="10">
        <v>130486.5</v>
      </c>
      <c r="M60" s="10">
        <v>221169</v>
      </c>
      <c r="N60" s="10">
        <v>155845.5</v>
      </c>
      <c r="O60" s="10">
        <v>95810</v>
      </c>
      <c r="P60" s="10">
        <v>130273</v>
      </c>
      <c r="Q60" s="10">
        <v>100815</v>
      </c>
      <c r="R60" s="10">
        <v>29315</v>
      </c>
      <c r="S60" s="10">
        <v>51194</v>
      </c>
      <c r="T60" s="10">
        <v>52481</v>
      </c>
      <c r="U60" s="10">
        <v>68354</v>
      </c>
      <c r="V60" s="10">
        <v>78793</v>
      </c>
      <c r="W60" s="10">
        <v>6720</v>
      </c>
      <c r="X60" s="17">
        <f t="shared" si="30"/>
        <v>2177545</v>
      </c>
      <c r="Y60" s="18"/>
    </row>
    <row r="61" spans="1:25" x14ac:dyDescent="0.15">
      <c r="A61" s="14" t="s">
        <v>283</v>
      </c>
      <c r="B61" s="15" t="s">
        <v>113</v>
      </c>
      <c r="C61" s="15" t="s">
        <v>27</v>
      </c>
      <c r="D61" s="58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>
        <f t="shared" si="30"/>
        <v>0</v>
      </c>
      <c r="Y61" s="18"/>
    </row>
    <row r="62" spans="1:25" x14ac:dyDescent="0.15">
      <c r="A62" s="14" t="s">
        <v>284</v>
      </c>
      <c r="B62" s="15" t="s">
        <v>114</v>
      </c>
      <c r="C62" s="15" t="s">
        <v>27</v>
      </c>
      <c r="D62" s="58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>
        <f t="shared" si="30"/>
        <v>0</v>
      </c>
      <c r="Y62" s="18"/>
    </row>
    <row r="63" spans="1:25" x14ac:dyDescent="0.15">
      <c r="A63" s="14" t="s">
        <v>285</v>
      </c>
      <c r="B63" s="15" t="s">
        <v>115</v>
      </c>
      <c r="C63" s="15" t="s">
        <v>27</v>
      </c>
      <c r="D63" s="58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7">
        <f t="shared" si="30"/>
        <v>0</v>
      </c>
      <c r="Y63" s="18"/>
    </row>
    <row r="64" spans="1:25" x14ac:dyDescent="0.15">
      <c r="A64" s="14" t="s">
        <v>286</v>
      </c>
      <c r="B64" s="15" t="s">
        <v>116</v>
      </c>
      <c r="C64" s="15" t="s">
        <v>27</v>
      </c>
      <c r="D64" s="58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>
        <f t="shared" si="30"/>
        <v>0</v>
      </c>
      <c r="Y64" s="18"/>
    </row>
    <row r="65" spans="1:25" x14ac:dyDescent="0.15">
      <c r="A65" s="14" t="s">
        <v>287</v>
      </c>
      <c r="B65" s="15" t="s">
        <v>117</v>
      </c>
      <c r="C65" s="15" t="s">
        <v>27</v>
      </c>
      <c r="D65" s="58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7">
        <f t="shared" si="30"/>
        <v>0</v>
      </c>
      <c r="Y65" s="18"/>
    </row>
    <row r="66" spans="1:25" x14ac:dyDescent="0.15">
      <c r="A66" s="14" t="s">
        <v>288</v>
      </c>
      <c r="B66" s="15" t="s">
        <v>118</v>
      </c>
      <c r="C66" s="15" t="s">
        <v>27</v>
      </c>
      <c r="D66" s="58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7">
        <f t="shared" si="30"/>
        <v>0</v>
      </c>
      <c r="Y66" s="18"/>
    </row>
    <row r="67" spans="1:25" x14ac:dyDescent="0.15">
      <c r="A67" s="14" t="s">
        <v>289</v>
      </c>
      <c r="B67" s="15" t="s">
        <v>119</v>
      </c>
      <c r="C67" s="15" t="s">
        <v>27</v>
      </c>
      <c r="D67" s="58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7">
        <f t="shared" si="30"/>
        <v>0</v>
      </c>
      <c r="Y67" s="18"/>
    </row>
    <row r="68" spans="1:25" x14ac:dyDescent="0.15">
      <c r="A68" s="14" t="s">
        <v>290</v>
      </c>
      <c r="B68" s="15" t="s">
        <v>120</v>
      </c>
      <c r="C68" s="15"/>
      <c r="D68" s="16"/>
      <c r="E68" s="17">
        <f>E69</f>
        <v>34000</v>
      </c>
      <c r="F68" s="17">
        <f t="shared" ref="F68:W68" si="31">F69</f>
        <v>33600</v>
      </c>
      <c r="G68" s="17">
        <f t="shared" si="31"/>
        <v>24000</v>
      </c>
      <c r="H68" s="17">
        <f t="shared" si="31"/>
        <v>29600</v>
      </c>
      <c r="I68" s="17">
        <f t="shared" si="31"/>
        <v>4400</v>
      </c>
      <c r="J68" s="17">
        <f t="shared" si="31"/>
        <v>39600</v>
      </c>
      <c r="K68" s="17">
        <f t="shared" si="31"/>
        <v>32400</v>
      </c>
      <c r="L68" s="17">
        <f t="shared" si="31"/>
        <v>19200</v>
      </c>
      <c r="M68" s="17">
        <f t="shared" si="31"/>
        <v>36800</v>
      </c>
      <c r="N68" s="17">
        <f t="shared" si="31"/>
        <v>24400</v>
      </c>
      <c r="O68" s="17">
        <f t="shared" si="31"/>
        <v>23200</v>
      </c>
      <c r="P68" s="17">
        <f t="shared" si="31"/>
        <v>24400</v>
      </c>
      <c r="Q68" s="17">
        <f>Q69</f>
        <v>22000</v>
      </c>
      <c r="R68" s="17">
        <f t="shared" si="31"/>
        <v>6800</v>
      </c>
      <c r="S68" s="17">
        <f t="shared" si="31"/>
        <v>9200</v>
      </c>
      <c r="T68" s="17">
        <f>T69</f>
        <v>9200</v>
      </c>
      <c r="U68" s="17">
        <f t="shared" si="31"/>
        <v>15200</v>
      </c>
      <c r="V68" s="17">
        <f>V69</f>
        <v>14400</v>
      </c>
      <c r="W68" s="17">
        <f t="shared" si="31"/>
        <v>2400</v>
      </c>
      <c r="X68" s="17">
        <f t="shared" si="30"/>
        <v>404800</v>
      </c>
      <c r="Y68" s="18"/>
    </row>
    <row r="69" spans="1:25" s="21" customFormat="1" ht="33.75" x14ac:dyDescent="0.15">
      <c r="A69" s="14" t="s">
        <v>291</v>
      </c>
      <c r="B69" s="20" t="s">
        <v>121</v>
      </c>
      <c r="C69" s="20" t="s">
        <v>27</v>
      </c>
      <c r="D69" s="23" t="s">
        <v>122</v>
      </c>
      <c r="E69" s="17">
        <f>E93*400</f>
        <v>34000</v>
      </c>
      <c r="F69" s="17">
        <f t="shared" ref="F69:W69" si="32">F93*400</f>
        <v>33600</v>
      </c>
      <c r="G69" s="17">
        <f t="shared" si="32"/>
        <v>24000</v>
      </c>
      <c r="H69" s="17">
        <f t="shared" si="32"/>
        <v>29600</v>
      </c>
      <c r="I69" s="17">
        <f t="shared" si="32"/>
        <v>4400</v>
      </c>
      <c r="J69" s="17">
        <f t="shared" si="32"/>
        <v>39600</v>
      </c>
      <c r="K69" s="17">
        <f t="shared" si="32"/>
        <v>32400</v>
      </c>
      <c r="L69" s="17">
        <f t="shared" si="32"/>
        <v>19200</v>
      </c>
      <c r="M69" s="17">
        <f t="shared" si="32"/>
        <v>36800</v>
      </c>
      <c r="N69" s="17">
        <f t="shared" si="32"/>
        <v>24400</v>
      </c>
      <c r="O69" s="17">
        <f t="shared" si="32"/>
        <v>23200</v>
      </c>
      <c r="P69" s="17">
        <f t="shared" si="32"/>
        <v>24400</v>
      </c>
      <c r="Q69" s="17">
        <f>Q93*400</f>
        <v>22000</v>
      </c>
      <c r="R69" s="17">
        <f t="shared" si="32"/>
        <v>6800</v>
      </c>
      <c r="S69" s="17">
        <f t="shared" si="32"/>
        <v>9200</v>
      </c>
      <c r="T69" s="17">
        <f>T93*400</f>
        <v>9200</v>
      </c>
      <c r="U69" s="17">
        <f t="shared" si="32"/>
        <v>15200</v>
      </c>
      <c r="V69" s="17">
        <f>V93*400</f>
        <v>14400</v>
      </c>
      <c r="W69" s="17">
        <f t="shared" si="32"/>
        <v>2400</v>
      </c>
      <c r="X69" s="17">
        <f t="shared" si="30"/>
        <v>404800</v>
      </c>
      <c r="Y69" s="18"/>
    </row>
    <row r="70" spans="1:25" x14ac:dyDescent="0.15">
      <c r="A70" s="14" t="s">
        <v>292</v>
      </c>
      <c r="B70" s="15" t="s">
        <v>123</v>
      </c>
      <c r="C70" s="15"/>
      <c r="D70" s="16" t="s">
        <v>21</v>
      </c>
      <c r="E70" s="17">
        <f>E71</f>
        <v>255945</v>
      </c>
      <c r="F70" s="17">
        <f t="shared" ref="F70:W70" si="33">F71</f>
        <v>178845</v>
      </c>
      <c r="G70" s="17">
        <f t="shared" si="33"/>
        <v>715855.35000000009</v>
      </c>
      <c r="H70" s="17">
        <f t="shared" si="33"/>
        <v>191830.5</v>
      </c>
      <c r="I70" s="17">
        <f t="shared" si="33"/>
        <v>237987.90000000002</v>
      </c>
      <c r="J70" s="17">
        <f t="shared" si="33"/>
        <v>353195.25</v>
      </c>
      <c r="K70" s="17">
        <f t="shared" si="33"/>
        <v>247352.84999999998</v>
      </c>
      <c r="L70" s="17">
        <f t="shared" si="33"/>
        <v>249734.55000000002</v>
      </c>
      <c r="M70" s="17">
        <f t="shared" si="33"/>
        <v>328071.59999999998</v>
      </c>
      <c r="N70" s="17">
        <f t="shared" si="33"/>
        <v>178714.35</v>
      </c>
      <c r="O70" s="17">
        <f t="shared" si="33"/>
        <v>114821.55</v>
      </c>
      <c r="P70" s="17">
        <f t="shared" si="33"/>
        <v>181706.7</v>
      </c>
      <c r="Q70" s="17">
        <f>Q71</f>
        <v>156571.80000000002</v>
      </c>
      <c r="R70" s="17">
        <f t="shared" si="33"/>
        <v>91200</v>
      </c>
      <c r="S70" s="17">
        <f t="shared" si="33"/>
        <v>86216.85</v>
      </c>
      <c r="T70" s="17">
        <f>T71</f>
        <v>179094</v>
      </c>
      <c r="U70" s="17">
        <f t="shared" si="33"/>
        <v>169290</v>
      </c>
      <c r="V70" s="17">
        <f>V71</f>
        <v>202800</v>
      </c>
      <c r="W70" s="17">
        <f t="shared" si="33"/>
        <v>84720</v>
      </c>
      <c r="X70" s="17">
        <f t="shared" si="30"/>
        <v>4203953.25</v>
      </c>
      <c r="Y70" s="18"/>
    </row>
    <row r="71" spans="1:25" s="21" customFormat="1" ht="22.5" x14ac:dyDescent="0.15">
      <c r="A71" s="14" t="s">
        <v>293</v>
      </c>
      <c r="B71" s="20" t="s">
        <v>124</v>
      </c>
      <c r="C71" s="20" t="s">
        <v>27</v>
      </c>
      <c r="D71" s="23" t="s">
        <v>125</v>
      </c>
      <c r="E71" s="17">
        <f>E105*15</f>
        <v>255945</v>
      </c>
      <c r="F71" s="17">
        <f t="shared" ref="F71:W71" si="34">F105*15</f>
        <v>178845</v>
      </c>
      <c r="G71" s="17">
        <f t="shared" si="34"/>
        <v>715855.35000000009</v>
      </c>
      <c r="H71" s="17">
        <f t="shared" si="34"/>
        <v>191830.5</v>
      </c>
      <c r="I71" s="17">
        <f t="shared" si="34"/>
        <v>237987.90000000002</v>
      </c>
      <c r="J71" s="17">
        <f t="shared" si="34"/>
        <v>353195.25</v>
      </c>
      <c r="K71" s="17">
        <f t="shared" si="34"/>
        <v>247352.84999999998</v>
      </c>
      <c r="L71" s="17">
        <f t="shared" si="34"/>
        <v>249734.55000000002</v>
      </c>
      <c r="M71" s="17">
        <f t="shared" si="34"/>
        <v>328071.59999999998</v>
      </c>
      <c r="N71" s="17">
        <f t="shared" si="34"/>
        <v>178714.35</v>
      </c>
      <c r="O71" s="17">
        <f t="shared" si="34"/>
        <v>114821.55</v>
      </c>
      <c r="P71" s="17">
        <f t="shared" si="34"/>
        <v>181706.7</v>
      </c>
      <c r="Q71" s="17">
        <f>Q105*15</f>
        <v>156571.80000000002</v>
      </c>
      <c r="R71" s="17">
        <f t="shared" si="34"/>
        <v>91200</v>
      </c>
      <c r="S71" s="17">
        <f t="shared" si="34"/>
        <v>86216.85</v>
      </c>
      <c r="T71" s="17">
        <f>T105*15</f>
        <v>179094</v>
      </c>
      <c r="U71" s="17">
        <f t="shared" si="34"/>
        <v>169290</v>
      </c>
      <c r="V71" s="17">
        <f>V105*15</f>
        <v>202800</v>
      </c>
      <c r="W71" s="17">
        <f t="shared" si="34"/>
        <v>84720</v>
      </c>
      <c r="X71" s="17">
        <f t="shared" si="30"/>
        <v>4203953.25</v>
      </c>
      <c r="Y71" s="18"/>
    </row>
    <row r="72" spans="1:25" x14ac:dyDescent="0.15">
      <c r="A72" s="14" t="s">
        <v>294</v>
      </c>
      <c r="B72" s="15" t="s">
        <v>126</v>
      </c>
      <c r="C72" s="15"/>
      <c r="D72" s="16" t="s">
        <v>21</v>
      </c>
      <c r="E72" s="17">
        <f>E73</f>
        <v>126632</v>
      </c>
      <c r="F72" s="17">
        <f t="shared" ref="F72:W72" si="35">F73</f>
        <v>82880</v>
      </c>
      <c r="G72" s="17">
        <f t="shared" si="35"/>
        <v>130104</v>
      </c>
      <c r="H72" s="17">
        <f t="shared" si="35"/>
        <v>81432</v>
      </c>
      <c r="I72" s="17">
        <f t="shared" si="35"/>
        <v>68379.600000000006</v>
      </c>
      <c r="J72" s="17">
        <f t="shared" si="35"/>
        <v>157696</v>
      </c>
      <c r="K72" s="17">
        <f t="shared" si="35"/>
        <v>89280</v>
      </c>
      <c r="L72" s="17">
        <f t="shared" si="35"/>
        <v>89000</v>
      </c>
      <c r="M72" s="17">
        <f t="shared" si="35"/>
        <v>125600</v>
      </c>
      <c r="N72" s="17">
        <f t="shared" si="35"/>
        <v>67576.800000000003</v>
      </c>
      <c r="O72" s="17">
        <f t="shared" si="35"/>
        <v>41072</v>
      </c>
      <c r="P72" s="17">
        <f t="shared" si="35"/>
        <v>34640</v>
      </c>
      <c r="Q72" s="17">
        <f>Q73</f>
        <v>34128</v>
      </c>
      <c r="R72" s="17">
        <f t="shared" si="35"/>
        <v>20000</v>
      </c>
      <c r="S72" s="17">
        <f t="shared" si="35"/>
        <v>20152</v>
      </c>
      <c r="T72" s="17">
        <f>T73</f>
        <v>39992</v>
      </c>
      <c r="U72" s="17">
        <f t="shared" si="35"/>
        <v>37018.720000000001</v>
      </c>
      <c r="V72" s="17">
        <f>V73</f>
        <v>40360</v>
      </c>
      <c r="W72" s="17">
        <f t="shared" si="35"/>
        <v>18560</v>
      </c>
      <c r="X72" s="17">
        <f t="shared" si="30"/>
        <v>1304503.1199999999</v>
      </c>
      <c r="Y72" s="18"/>
    </row>
    <row r="73" spans="1:25" s="21" customFormat="1" ht="22.5" x14ac:dyDescent="0.15">
      <c r="A73" s="14" t="s">
        <v>295</v>
      </c>
      <c r="B73" s="20" t="s">
        <v>127</v>
      </c>
      <c r="C73" s="20" t="s">
        <v>27</v>
      </c>
      <c r="D73" s="23" t="s">
        <v>128</v>
      </c>
      <c r="E73" s="17">
        <f>E106*8</f>
        <v>126632</v>
      </c>
      <c r="F73" s="17">
        <f t="shared" ref="F73:W73" si="36">F106*8</f>
        <v>82880</v>
      </c>
      <c r="G73" s="17">
        <f t="shared" si="36"/>
        <v>130104</v>
      </c>
      <c r="H73" s="17">
        <f t="shared" si="36"/>
        <v>81432</v>
      </c>
      <c r="I73" s="17">
        <f t="shared" si="36"/>
        <v>68379.600000000006</v>
      </c>
      <c r="J73" s="17">
        <f t="shared" si="36"/>
        <v>157696</v>
      </c>
      <c r="K73" s="17">
        <f t="shared" si="36"/>
        <v>89280</v>
      </c>
      <c r="L73" s="17">
        <f t="shared" si="36"/>
        <v>89000</v>
      </c>
      <c r="M73" s="17">
        <f t="shared" si="36"/>
        <v>125600</v>
      </c>
      <c r="N73" s="17">
        <f t="shared" si="36"/>
        <v>67576.800000000003</v>
      </c>
      <c r="O73" s="17">
        <f t="shared" si="36"/>
        <v>41072</v>
      </c>
      <c r="P73" s="17">
        <f t="shared" si="36"/>
        <v>34640</v>
      </c>
      <c r="Q73" s="17">
        <f>Q106*8</f>
        <v>34128</v>
      </c>
      <c r="R73" s="17">
        <f t="shared" si="36"/>
        <v>20000</v>
      </c>
      <c r="S73" s="17">
        <f t="shared" si="36"/>
        <v>20152</v>
      </c>
      <c r="T73" s="17">
        <f>T106*8</f>
        <v>39992</v>
      </c>
      <c r="U73" s="17">
        <f t="shared" si="36"/>
        <v>37018.720000000001</v>
      </c>
      <c r="V73" s="17">
        <f>V106*8</f>
        <v>40360</v>
      </c>
      <c r="W73" s="17">
        <f t="shared" si="36"/>
        <v>18560</v>
      </c>
      <c r="X73" s="17">
        <f t="shared" si="30"/>
        <v>1304503.1199999999</v>
      </c>
      <c r="Y73" s="18"/>
    </row>
    <row r="74" spans="1:25" x14ac:dyDescent="0.15">
      <c r="A74" s="14" t="s">
        <v>296</v>
      </c>
      <c r="B74" s="15" t="s">
        <v>129</v>
      </c>
      <c r="C74" s="15"/>
      <c r="D74" s="16" t="s">
        <v>21</v>
      </c>
      <c r="E74" s="17">
        <f>E75</f>
        <v>0</v>
      </c>
      <c r="F74" s="17">
        <f t="shared" ref="F74:W74" si="37">F75</f>
        <v>0</v>
      </c>
      <c r="G74" s="17">
        <f t="shared" si="37"/>
        <v>0</v>
      </c>
      <c r="H74" s="17">
        <f t="shared" si="37"/>
        <v>0</v>
      </c>
      <c r="I74" s="17">
        <f t="shared" si="37"/>
        <v>0</v>
      </c>
      <c r="J74" s="17">
        <f t="shared" si="37"/>
        <v>0</v>
      </c>
      <c r="K74" s="17">
        <f t="shared" si="37"/>
        <v>0</v>
      </c>
      <c r="L74" s="17">
        <f t="shared" si="37"/>
        <v>0</v>
      </c>
      <c r="M74" s="17">
        <f t="shared" si="37"/>
        <v>0</v>
      </c>
      <c r="N74" s="17">
        <f t="shared" si="37"/>
        <v>0</v>
      </c>
      <c r="O74" s="17">
        <f t="shared" si="37"/>
        <v>0</v>
      </c>
      <c r="P74" s="17">
        <f t="shared" si="37"/>
        <v>0</v>
      </c>
      <c r="Q74" s="17">
        <f>Q75</f>
        <v>0</v>
      </c>
      <c r="R74" s="17">
        <f t="shared" si="37"/>
        <v>0</v>
      </c>
      <c r="S74" s="17">
        <f t="shared" si="37"/>
        <v>0</v>
      </c>
      <c r="T74" s="17">
        <f>T75</f>
        <v>0</v>
      </c>
      <c r="U74" s="17">
        <f t="shared" si="37"/>
        <v>0</v>
      </c>
      <c r="V74" s="17">
        <f>V75</f>
        <v>0</v>
      </c>
      <c r="W74" s="17">
        <f t="shared" si="37"/>
        <v>0</v>
      </c>
      <c r="X74" s="17">
        <f t="shared" si="30"/>
        <v>0</v>
      </c>
      <c r="Y74" s="18"/>
    </row>
    <row r="75" spans="1:25" s="21" customFormat="1" x14ac:dyDescent="0.15">
      <c r="A75" s="14" t="s">
        <v>297</v>
      </c>
      <c r="B75" s="20" t="s">
        <v>130</v>
      </c>
      <c r="C75" s="20" t="s">
        <v>27</v>
      </c>
      <c r="D75" s="23" t="s">
        <v>97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17">
        <f t="shared" si="30"/>
        <v>0</v>
      </c>
      <c r="Y75" s="18"/>
    </row>
    <row r="76" spans="1:25" x14ac:dyDescent="0.15">
      <c r="A76" s="14" t="s">
        <v>298</v>
      </c>
      <c r="B76" s="15" t="s">
        <v>131</v>
      </c>
      <c r="C76" s="15"/>
      <c r="D76" s="16" t="s">
        <v>21</v>
      </c>
      <c r="E76" s="17">
        <f>E77</f>
        <v>367200</v>
      </c>
      <c r="F76" s="17">
        <f t="shared" ref="F76:W76" si="38">F77</f>
        <v>362880</v>
      </c>
      <c r="G76" s="17">
        <f t="shared" si="38"/>
        <v>259200</v>
      </c>
      <c r="H76" s="17">
        <f t="shared" si="38"/>
        <v>319680</v>
      </c>
      <c r="I76" s="17">
        <f t="shared" si="38"/>
        <v>47520</v>
      </c>
      <c r="J76" s="17">
        <f t="shared" si="38"/>
        <v>427680</v>
      </c>
      <c r="K76" s="17">
        <f t="shared" si="38"/>
        <v>349920</v>
      </c>
      <c r="L76" s="17">
        <f t="shared" si="38"/>
        <v>207360</v>
      </c>
      <c r="M76" s="17">
        <f t="shared" si="38"/>
        <v>397440</v>
      </c>
      <c r="N76" s="17">
        <f t="shared" si="38"/>
        <v>263520</v>
      </c>
      <c r="O76" s="17">
        <f t="shared" si="38"/>
        <v>250560</v>
      </c>
      <c r="P76" s="17">
        <f t="shared" si="38"/>
        <v>263520</v>
      </c>
      <c r="Q76" s="17">
        <f>Q77</f>
        <v>237600</v>
      </c>
      <c r="R76" s="17">
        <f t="shared" si="38"/>
        <v>73440</v>
      </c>
      <c r="S76" s="17">
        <f t="shared" si="38"/>
        <v>99360</v>
      </c>
      <c r="T76" s="17">
        <f>T77</f>
        <v>99360</v>
      </c>
      <c r="U76" s="17">
        <f t="shared" si="38"/>
        <v>164160</v>
      </c>
      <c r="V76" s="17">
        <f>V77</f>
        <v>155520</v>
      </c>
      <c r="W76" s="17">
        <f t="shared" si="38"/>
        <v>25920</v>
      </c>
      <c r="X76" s="17">
        <f t="shared" si="30"/>
        <v>4371840</v>
      </c>
      <c r="Y76" s="18"/>
    </row>
    <row r="77" spans="1:25" s="21" customFormat="1" ht="33.75" x14ac:dyDescent="0.15">
      <c r="A77" s="14" t="s">
        <v>299</v>
      </c>
      <c r="B77" s="20" t="s">
        <v>132</v>
      </c>
      <c r="C77" s="20" t="s">
        <v>27</v>
      </c>
      <c r="D77" s="23" t="s">
        <v>133</v>
      </c>
      <c r="E77" s="17">
        <f>E93*4320</f>
        <v>367200</v>
      </c>
      <c r="F77" s="17">
        <f t="shared" ref="F77:W77" si="39">F93*4320</f>
        <v>362880</v>
      </c>
      <c r="G77" s="17">
        <f t="shared" si="39"/>
        <v>259200</v>
      </c>
      <c r="H77" s="17">
        <f t="shared" si="39"/>
        <v>319680</v>
      </c>
      <c r="I77" s="17">
        <f t="shared" si="39"/>
        <v>47520</v>
      </c>
      <c r="J77" s="17">
        <f t="shared" si="39"/>
        <v>427680</v>
      </c>
      <c r="K77" s="17">
        <f t="shared" si="39"/>
        <v>349920</v>
      </c>
      <c r="L77" s="17">
        <f t="shared" si="39"/>
        <v>207360</v>
      </c>
      <c r="M77" s="17">
        <f t="shared" si="39"/>
        <v>397440</v>
      </c>
      <c r="N77" s="17">
        <f t="shared" si="39"/>
        <v>263520</v>
      </c>
      <c r="O77" s="17">
        <f t="shared" si="39"/>
        <v>250560</v>
      </c>
      <c r="P77" s="17">
        <f t="shared" si="39"/>
        <v>263520</v>
      </c>
      <c r="Q77" s="17">
        <f>Q93*4320</f>
        <v>237600</v>
      </c>
      <c r="R77" s="17">
        <f t="shared" si="39"/>
        <v>73440</v>
      </c>
      <c r="S77" s="17">
        <f t="shared" si="39"/>
        <v>99360</v>
      </c>
      <c r="T77" s="17">
        <f>T93*4320</f>
        <v>99360</v>
      </c>
      <c r="U77" s="17">
        <f t="shared" si="39"/>
        <v>164160</v>
      </c>
      <c r="V77" s="17">
        <f>V93*4320</f>
        <v>155520</v>
      </c>
      <c r="W77" s="17">
        <f t="shared" si="39"/>
        <v>25920</v>
      </c>
      <c r="X77" s="17">
        <f t="shared" si="30"/>
        <v>4371840</v>
      </c>
      <c r="Y77" s="18"/>
    </row>
    <row r="78" spans="1:25" x14ac:dyDescent="0.15">
      <c r="A78" s="14" t="s">
        <v>300</v>
      </c>
      <c r="B78" s="15" t="s">
        <v>134</v>
      </c>
      <c r="C78" s="15"/>
      <c r="D78" s="16" t="s">
        <v>21</v>
      </c>
      <c r="E78" s="17">
        <f>E79</f>
        <v>371382</v>
      </c>
      <c r="F78" s="17">
        <f t="shared" ref="F78:W78" si="40">F79</f>
        <v>381017.14</v>
      </c>
      <c r="G78" s="17">
        <f t="shared" si="40"/>
        <v>206016</v>
      </c>
      <c r="H78" s="17">
        <f t="shared" si="40"/>
        <v>303589.71000000002</v>
      </c>
      <c r="I78" s="17">
        <f t="shared" si="40"/>
        <v>29691.43</v>
      </c>
      <c r="J78" s="17">
        <f t="shared" si="40"/>
        <v>371197.71</v>
      </c>
      <c r="K78" s="17">
        <f t="shared" si="40"/>
        <v>315915.43</v>
      </c>
      <c r="L78" s="17">
        <f t="shared" si="40"/>
        <v>195726.86</v>
      </c>
      <c r="M78" s="17">
        <f t="shared" si="40"/>
        <v>384534.86</v>
      </c>
      <c r="N78" s="17">
        <f t="shared" si="40"/>
        <v>239708.57</v>
      </c>
      <c r="O78" s="17">
        <f t="shared" si="40"/>
        <v>224300.57</v>
      </c>
      <c r="P78" s="17">
        <f t="shared" si="40"/>
        <v>234449.14</v>
      </c>
      <c r="Q78" s="17">
        <f>Q79</f>
        <v>197299.71</v>
      </c>
      <c r="R78" s="17">
        <f t="shared" si="40"/>
        <v>74142.86</v>
      </c>
      <c r="S78" s="17">
        <f t="shared" si="40"/>
        <v>89286.86</v>
      </c>
      <c r="T78" s="17">
        <f>T79</f>
        <v>78963.429999999993</v>
      </c>
      <c r="U78" s="17">
        <f t="shared" si="40"/>
        <v>135587.43</v>
      </c>
      <c r="V78" s="17">
        <f>V79</f>
        <v>139309.71</v>
      </c>
      <c r="W78" s="17">
        <f t="shared" si="40"/>
        <v>26259.43</v>
      </c>
      <c r="X78" s="17">
        <f t="shared" si="30"/>
        <v>3998378.8499999996</v>
      </c>
      <c r="Y78" s="18"/>
    </row>
    <row r="79" spans="1:25" s="21" customFormat="1" ht="22.5" x14ac:dyDescent="0.15">
      <c r="A79" s="14" t="s">
        <v>301</v>
      </c>
      <c r="B79" s="20" t="s">
        <v>135</v>
      </c>
      <c r="C79" s="20" t="s">
        <v>27</v>
      </c>
      <c r="D79" s="18" t="s">
        <v>43</v>
      </c>
      <c r="E79" s="17">
        <f>ROUND(E28/0.07*0.02,2)</f>
        <v>371382</v>
      </c>
      <c r="F79" s="17">
        <f t="shared" ref="F79:W79" si="41">ROUND(F28/0.07*0.02,2)</f>
        <v>381017.14</v>
      </c>
      <c r="G79" s="17">
        <f t="shared" si="41"/>
        <v>206016</v>
      </c>
      <c r="H79" s="17">
        <f t="shared" si="41"/>
        <v>303589.71000000002</v>
      </c>
      <c r="I79" s="17">
        <f t="shared" si="41"/>
        <v>29691.43</v>
      </c>
      <c r="J79" s="17">
        <f t="shared" si="41"/>
        <v>371197.71</v>
      </c>
      <c r="K79" s="17">
        <f t="shared" si="41"/>
        <v>315915.43</v>
      </c>
      <c r="L79" s="17">
        <f t="shared" si="41"/>
        <v>195726.86</v>
      </c>
      <c r="M79" s="17">
        <f t="shared" si="41"/>
        <v>384534.86</v>
      </c>
      <c r="N79" s="17">
        <f t="shared" si="41"/>
        <v>239708.57</v>
      </c>
      <c r="O79" s="17">
        <f t="shared" si="41"/>
        <v>224300.57</v>
      </c>
      <c r="P79" s="17">
        <f t="shared" si="41"/>
        <v>234449.14</v>
      </c>
      <c r="Q79" s="17">
        <f>ROUND(Q28/0.07*0.02,2)</f>
        <v>197299.71</v>
      </c>
      <c r="R79" s="17">
        <f t="shared" si="41"/>
        <v>74142.86</v>
      </c>
      <c r="S79" s="17">
        <f t="shared" si="41"/>
        <v>89286.86</v>
      </c>
      <c r="T79" s="17">
        <f>ROUND(T28/0.07*0.02,2)</f>
        <v>78963.429999999993</v>
      </c>
      <c r="U79" s="17">
        <f t="shared" si="41"/>
        <v>135587.43</v>
      </c>
      <c r="V79" s="17">
        <f>ROUND(V28/0.07*0.02,2)</f>
        <v>139309.71</v>
      </c>
      <c r="W79" s="17">
        <f t="shared" si="41"/>
        <v>26259.43</v>
      </c>
      <c r="X79" s="17">
        <f t="shared" si="30"/>
        <v>3998378.8499999996</v>
      </c>
      <c r="Y79" s="18"/>
    </row>
    <row r="80" spans="1:25" x14ac:dyDescent="0.15">
      <c r="A80" s="14" t="s">
        <v>302</v>
      </c>
      <c r="B80" s="15" t="s">
        <v>136</v>
      </c>
      <c r="C80" s="15"/>
      <c r="D80" s="16" t="s">
        <v>21</v>
      </c>
      <c r="E80" s="17">
        <f>E81</f>
        <v>32000</v>
      </c>
      <c r="F80" s="17">
        <f t="shared" ref="F80:W80" si="42">F81</f>
        <v>32000</v>
      </c>
      <c r="G80" s="17">
        <f t="shared" si="42"/>
        <v>0</v>
      </c>
      <c r="H80" s="17">
        <f t="shared" si="42"/>
        <v>0</v>
      </c>
      <c r="I80" s="17">
        <f t="shared" si="42"/>
        <v>0</v>
      </c>
      <c r="J80" s="17">
        <f t="shared" si="42"/>
        <v>32000</v>
      </c>
      <c r="K80" s="17">
        <f t="shared" si="42"/>
        <v>32000</v>
      </c>
      <c r="L80" s="17">
        <f t="shared" si="42"/>
        <v>0</v>
      </c>
      <c r="M80" s="17">
        <f t="shared" si="42"/>
        <v>0</v>
      </c>
      <c r="N80" s="17">
        <f t="shared" si="42"/>
        <v>0</v>
      </c>
      <c r="O80" s="17">
        <f t="shared" si="42"/>
        <v>32000</v>
      </c>
      <c r="P80" s="17">
        <f t="shared" si="42"/>
        <v>32000</v>
      </c>
      <c r="Q80" s="17">
        <f>Q81</f>
        <v>0</v>
      </c>
      <c r="R80" s="17">
        <f t="shared" si="42"/>
        <v>0</v>
      </c>
      <c r="S80" s="17">
        <f t="shared" si="42"/>
        <v>0</v>
      </c>
      <c r="T80" s="17">
        <f>T81</f>
        <v>0</v>
      </c>
      <c r="U80" s="17">
        <f t="shared" si="42"/>
        <v>0</v>
      </c>
      <c r="V80" s="17">
        <f>V81</f>
        <v>0</v>
      </c>
      <c r="W80" s="17">
        <f t="shared" si="42"/>
        <v>32000</v>
      </c>
      <c r="X80" s="17">
        <f t="shared" si="30"/>
        <v>224000</v>
      </c>
      <c r="Y80" s="18"/>
    </row>
    <row r="81" spans="1:26" ht="67.5" x14ac:dyDescent="0.15">
      <c r="A81" s="14" t="s">
        <v>303</v>
      </c>
      <c r="B81" s="15" t="s">
        <v>137</v>
      </c>
      <c r="C81" s="15" t="s">
        <v>27</v>
      </c>
      <c r="D81" s="58" t="s">
        <v>138</v>
      </c>
      <c r="E81" s="10">
        <v>32000</v>
      </c>
      <c r="F81" s="10">
        <v>32000</v>
      </c>
      <c r="G81" s="10"/>
      <c r="H81" s="10"/>
      <c r="I81" s="10"/>
      <c r="J81" s="10">
        <v>32000</v>
      </c>
      <c r="K81" s="10">
        <v>32000</v>
      </c>
      <c r="L81" s="10"/>
      <c r="M81" s="10"/>
      <c r="N81" s="10"/>
      <c r="O81" s="10">
        <v>32000</v>
      </c>
      <c r="P81" s="10">
        <v>32000</v>
      </c>
      <c r="Q81" s="10"/>
      <c r="R81" s="10"/>
      <c r="S81" s="10"/>
      <c r="T81" s="10"/>
      <c r="U81" s="10"/>
      <c r="V81" s="10"/>
      <c r="W81" s="10">
        <v>32000</v>
      </c>
      <c r="X81" s="17">
        <f t="shared" si="30"/>
        <v>224000</v>
      </c>
      <c r="Y81" s="18"/>
    </row>
    <row r="82" spans="1:26" x14ac:dyDescent="0.15">
      <c r="A82" s="14" t="s">
        <v>304</v>
      </c>
      <c r="B82" s="15" t="s">
        <v>139</v>
      </c>
      <c r="C82" s="15"/>
      <c r="D82" s="16" t="s">
        <v>21</v>
      </c>
      <c r="E82" s="17">
        <f>E83+E86+E89</f>
        <v>311520</v>
      </c>
      <c r="F82" s="17">
        <f t="shared" ref="F82:W82" si="43">F83+F86+F89</f>
        <v>311520</v>
      </c>
      <c r="G82" s="17">
        <f t="shared" si="43"/>
        <v>0</v>
      </c>
      <c r="H82" s="17">
        <f t="shared" si="43"/>
        <v>0</v>
      </c>
      <c r="I82" s="17">
        <f t="shared" si="43"/>
        <v>0</v>
      </c>
      <c r="J82" s="17">
        <f t="shared" si="43"/>
        <v>467280</v>
      </c>
      <c r="K82" s="17">
        <f t="shared" si="43"/>
        <v>481440</v>
      </c>
      <c r="L82" s="17">
        <f t="shared" si="43"/>
        <v>0</v>
      </c>
      <c r="M82" s="17">
        <f t="shared" si="43"/>
        <v>0</v>
      </c>
      <c r="N82" s="17">
        <f t="shared" si="43"/>
        <v>0</v>
      </c>
      <c r="O82" s="17">
        <f t="shared" si="43"/>
        <v>118000</v>
      </c>
      <c r="P82" s="17">
        <f t="shared" si="43"/>
        <v>108560</v>
      </c>
      <c r="Q82" s="17">
        <f>Q83+Q86+Q89</f>
        <v>0</v>
      </c>
      <c r="R82" s="17">
        <f t="shared" si="43"/>
        <v>0</v>
      </c>
      <c r="S82" s="17">
        <f t="shared" si="43"/>
        <v>0</v>
      </c>
      <c r="T82" s="17">
        <f>T83+T86+T89</f>
        <v>0</v>
      </c>
      <c r="U82" s="17">
        <f t="shared" si="43"/>
        <v>0</v>
      </c>
      <c r="V82" s="17">
        <f>V83+V86+V89</f>
        <v>0</v>
      </c>
      <c r="W82" s="17">
        <f t="shared" si="43"/>
        <v>84960</v>
      </c>
      <c r="X82" s="17">
        <f t="shared" si="30"/>
        <v>1883280</v>
      </c>
      <c r="Y82" s="18"/>
    </row>
    <row r="83" spans="1:26" x14ac:dyDescent="0.15">
      <c r="A83" s="14" t="s">
        <v>305</v>
      </c>
      <c r="B83" s="15" t="s">
        <v>140</v>
      </c>
      <c r="C83" s="15"/>
      <c r="D83" s="16" t="s">
        <v>21</v>
      </c>
      <c r="E83" s="17">
        <f>E84+E85</f>
        <v>0</v>
      </c>
      <c r="F83" s="17">
        <f t="shared" ref="F83:W83" si="44">F84+F85</f>
        <v>0</v>
      </c>
      <c r="G83" s="17">
        <f t="shared" si="44"/>
        <v>0</v>
      </c>
      <c r="H83" s="17">
        <f t="shared" si="44"/>
        <v>0</v>
      </c>
      <c r="I83" s="17">
        <f t="shared" si="44"/>
        <v>0</v>
      </c>
      <c r="J83" s="17">
        <f t="shared" si="44"/>
        <v>0</v>
      </c>
      <c r="K83" s="17">
        <f t="shared" si="44"/>
        <v>0</v>
      </c>
      <c r="L83" s="17">
        <f t="shared" si="44"/>
        <v>0</v>
      </c>
      <c r="M83" s="17">
        <f t="shared" si="44"/>
        <v>0</v>
      </c>
      <c r="N83" s="17">
        <f t="shared" si="44"/>
        <v>0</v>
      </c>
      <c r="O83" s="17">
        <f t="shared" si="44"/>
        <v>0</v>
      </c>
      <c r="P83" s="17">
        <f t="shared" si="44"/>
        <v>0</v>
      </c>
      <c r="Q83" s="17">
        <f>Q84+Q85</f>
        <v>0</v>
      </c>
      <c r="R83" s="17">
        <f t="shared" si="44"/>
        <v>0</v>
      </c>
      <c r="S83" s="17">
        <f t="shared" si="44"/>
        <v>0</v>
      </c>
      <c r="T83" s="17">
        <f>T84+T85</f>
        <v>0</v>
      </c>
      <c r="U83" s="17">
        <f t="shared" si="44"/>
        <v>0</v>
      </c>
      <c r="V83" s="17">
        <f>V84+V85</f>
        <v>0</v>
      </c>
      <c r="W83" s="17">
        <f t="shared" si="44"/>
        <v>0</v>
      </c>
      <c r="X83" s="17">
        <f t="shared" si="30"/>
        <v>0</v>
      </c>
      <c r="Y83" s="18"/>
    </row>
    <row r="84" spans="1:26" x14ac:dyDescent="0.15">
      <c r="A84" s="14" t="s">
        <v>306</v>
      </c>
      <c r="B84" s="15" t="s">
        <v>141</v>
      </c>
      <c r="C84" s="15" t="s">
        <v>27</v>
      </c>
      <c r="D84" s="58" t="s">
        <v>97</v>
      </c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17">
        <f t="shared" si="30"/>
        <v>0</v>
      </c>
      <c r="Y84" s="55"/>
    </row>
    <row r="85" spans="1:26" ht="22.5" x14ac:dyDescent="0.15">
      <c r="A85" s="14" t="s">
        <v>307</v>
      </c>
      <c r="B85" s="15" t="s">
        <v>142</v>
      </c>
      <c r="C85" s="15" t="s">
        <v>27</v>
      </c>
      <c r="D85" s="16" t="s">
        <v>143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17">
        <f t="shared" si="30"/>
        <v>0</v>
      </c>
      <c r="Y85" s="55"/>
    </row>
    <row r="86" spans="1:26" x14ac:dyDescent="0.15">
      <c r="A86" s="14" t="s">
        <v>308</v>
      </c>
      <c r="B86" s="15" t="s">
        <v>144</v>
      </c>
      <c r="C86" s="15"/>
      <c r="D86" s="16" t="s">
        <v>21</v>
      </c>
      <c r="E86" s="17">
        <f>E87+E88</f>
        <v>311520</v>
      </c>
      <c r="F86" s="17">
        <f t="shared" ref="F86:W86" si="45">F87+F88</f>
        <v>311520</v>
      </c>
      <c r="G86" s="17">
        <f t="shared" si="45"/>
        <v>0</v>
      </c>
      <c r="H86" s="17">
        <f t="shared" si="45"/>
        <v>0</v>
      </c>
      <c r="I86" s="17">
        <f t="shared" si="45"/>
        <v>0</v>
      </c>
      <c r="J86" s="17">
        <f t="shared" si="45"/>
        <v>467280</v>
      </c>
      <c r="K86" s="17">
        <f t="shared" si="45"/>
        <v>481440</v>
      </c>
      <c r="L86" s="17">
        <f t="shared" si="45"/>
        <v>0</v>
      </c>
      <c r="M86" s="17">
        <f t="shared" si="45"/>
        <v>0</v>
      </c>
      <c r="N86" s="17">
        <f t="shared" si="45"/>
        <v>0</v>
      </c>
      <c r="O86" s="17">
        <f t="shared" si="45"/>
        <v>118000</v>
      </c>
      <c r="P86" s="17">
        <f t="shared" si="45"/>
        <v>108560</v>
      </c>
      <c r="Q86" s="17">
        <f>Q87+Q88</f>
        <v>0</v>
      </c>
      <c r="R86" s="17">
        <f t="shared" si="45"/>
        <v>0</v>
      </c>
      <c r="S86" s="17">
        <f t="shared" si="45"/>
        <v>0</v>
      </c>
      <c r="T86" s="17">
        <f>T87+T88</f>
        <v>0</v>
      </c>
      <c r="U86" s="17">
        <f t="shared" si="45"/>
        <v>0</v>
      </c>
      <c r="V86" s="17">
        <f>V87+V88</f>
        <v>0</v>
      </c>
      <c r="W86" s="17">
        <f t="shared" si="45"/>
        <v>84960</v>
      </c>
      <c r="X86" s="17">
        <f t="shared" si="30"/>
        <v>1883280</v>
      </c>
      <c r="Y86" s="18"/>
    </row>
    <row r="87" spans="1:26" s="21" customFormat="1" ht="33.75" x14ac:dyDescent="0.15">
      <c r="A87" s="14" t="s">
        <v>309</v>
      </c>
      <c r="B87" s="20" t="s">
        <v>145</v>
      </c>
      <c r="C87" s="20" t="s">
        <v>27</v>
      </c>
      <c r="D87" s="23" t="s">
        <v>146</v>
      </c>
      <c r="E87" s="17">
        <f>E104*400</f>
        <v>26400</v>
      </c>
      <c r="F87" s="17">
        <f t="shared" ref="F87:W87" si="46">F104*400</f>
        <v>26400</v>
      </c>
      <c r="G87" s="17">
        <f t="shared" si="46"/>
        <v>0</v>
      </c>
      <c r="H87" s="17">
        <f t="shared" si="46"/>
        <v>0</v>
      </c>
      <c r="I87" s="17">
        <f t="shared" si="46"/>
        <v>0</v>
      </c>
      <c r="J87" s="17">
        <f t="shared" si="46"/>
        <v>39600</v>
      </c>
      <c r="K87" s="17">
        <f t="shared" si="46"/>
        <v>40800</v>
      </c>
      <c r="L87" s="17">
        <f t="shared" si="46"/>
        <v>0</v>
      </c>
      <c r="M87" s="17">
        <f t="shared" si="46"/>
        <v>0</v>
      </c>
      <c r="N87" s="17">
        <f t="shared" si="46"/>
        <v>0</v>
      </c>
      <c r="O87" s="17">
        <f t="shared" si="46"/>
        <v>10000</v>
      </c>
      <c r="P87" s="17">
        <f t="shared" si="46"/>
        <v>9200</v>
      </c>
      <c r="Q87" s="17">
        <f>Q104*400</f>
        <v>0</v>
      </c>
      <c r="R87" s="17">
        <f t="shared" si="46"/>
        <v>0</v>
      </c>
      <c r="S87" s="17">
        <f t="shared" si="46"/>
        <v>0</v>
      </c>
      <c r="T87" s="17">
        <f>T104*400</f>
        <v>0</v>
      </c>
      <c r="U87" s="17">
        <f t="shared" si="46"/>
        <v>0</v>
      </c>
      <c r="V87" s="17">
        <f>V104*400</f>
        <v>0</v>
      </c>
      <c r="W87" s="17">
        <f t="shared" si="46"/>
        <v>7200</v>
      </c>
      <c r="X87" s="17">
        <f t="shared" si="30"/>
        <v>159600</v>
      </c>
      <c r="Y87" s="18"/>
    </row>
    <row r="88" spans="1:26" s="21" customFormat="1" ht="33.75" x14ac:dyDescent="0.15">
      <c r="A88" s="14" t="s">
        <v>310</v>
      </c>
      <c r="B88" s="20" t="s">
        <v>147</v>
      </c>
      <c r="C88" s="20" t="s">
        <v>27</v>
      </c>
      <c r="D88" s="23" t="s">
        <v>148</v>
      </c>
      <c r="E88" s="17">
        <f>E104*4320</f>
        <v>285120</v>
      </c>
      <c r="F88" s="17">
        <f t="shared" ref="F88:W88" si="47">F104*4320</f>
        <v>285120</v>
      </c>
      <c r="G88" s="17">
        <f t="shared" si="47"/>
        <v>0</v>
      </c>
      <c r="H88" s="17">
        <f t="shared" si="47"/>
        <v>0</v>
      </c>
      <c r="I88" s="17">
        <f t="shared" si="47"/>
        <v>0</v>
      </c>
      <c r="J88" s="17">
        <f t="shared" si="47"/>
        <v>427680</v>
      </c>
      <c r="K88" s="17">
        <f t="shared" si="47"/>
        <v>440640</v>
      </c>
      <c r="L88" s="17">
        <f t="shared" si="47"/>
        <v>0</v>
      </c>
      <c r="M88" s="17">
        <f t="shared" si="47"/>
        <v>0</v>
      </c>
      <c r="N88" s="17">
        <f t="shared" si="47"/>
        <v>0</v>
      </c>
      <c r="O88" s="17">
        <f t="shared" si="47"/>
        <v>108000</v>
      </c>
      <c r="P88" s="17">
        <f t="shared" si="47"/>
        <v>99360</v>
      </c>
      <c r="Q88" s="17">
        <f>Q104*4320</f>
        <v>0</v>
      </c>
      <c r="R88" s="17">
        <f t="shared" si="47"/>
        <v>0</v>
      </c>
      <c r="S88" s="17">
        <f t="shared" si="47"/>
        <v>0</v>
      </c>
      <c r="T88" s="17">
        <f>T104*4320</f>
        <v>0</v>
      </c>
      <c r="U88" s="17">
        <f t="shared" si="47"/>
        <v>0</v>
      </c>
      <c r="V88" s="17">
        <f>V104*4320</f>
        <v>0</v>
      </c>
      <c r="W88" s="17">
        <f t="shared" si="47"/>
        <v>77760</v>
      </c>
      <c r="X88" s="17">
        <f t="shared" si="30"/>
        <v>1723680</v>
      </c>
      <c r="Y88" s="18"/>
    </row>
    <row r="89" spans="1:26" x14ac:dyDescent="0.15">
      <c r="A89" s="14" t="s">
        <v>311</v>
      </c>
      <c r="B89" s="15" t="s">
        <v>149</v>
      </c>
      <c r="C89" s="15" t="s">
        <v>27</v>
      </c>
      <c r="D89" s="58" t="s">
        <v>97</v>
      </c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17">
        <f t="shared" si="30"/>
        <v>0</v>
      </c>
      <c r="Y89" s="55"/>
    </row>
    <row r="90" spans="1:26" x14ac:dyDescent="0.15">
      <c r="A90" s="14" t="s">
        <v>312</v>
      </c>
      <c r="B90" s="15" t="s">
        <v>150</v>
      </c>
      <c r="C90" s="15"/>
      <c r="D90" s="16" t="s">
        <v>21</v>
      </c>
      <c r="E90" s="17">
        <f>E91</f>
        <v>0</v>
      </c>
      <c r="F90" s="17">
        <f t="shared" ref="F90:W90" si="48">F91</f>
        <v>0</v>
      </c>
      <c r="G90" s="17">
        <f t="shared" si="48"/>
        <v>32000</v>
      </c>
      <c r="H90" s="17">
        <f t="shared" si="48"/>
        <v>32000</v>
      </c>
      <c r="I90" s="17">
        <f t="shared" si="48"/>
        <v>32000</v>
      </c>
      <c r="J90" s="17">
        <f t="shared" si="48"/>
        <v>10000</v>
      </c>
      <c r="K90" s="17">
        <f t="shared" si="48"/>
        <v>0</v>
      </c>
      <c r="L90" s="17">
        <f t="shared" si="48"/>
        <v>32000</v>
      </c>
      <c r="M90" s="17">
        <f t="shared" si="48"/>
        <v>32000</v>
      </c>
      <c r="N90" s="17">
        <f t="shared" si="48"/>
        <v>32000</v>
      </c>
      <c r="O90" s="17">
        <f t="shared" si="48"/>
        <v>5000</v>
      </c>
      <c r="P90" s="17">
        <f t="shared" si="48"/>
        <v>5000</v>
      </c>
      <c r="Q90" s="17">
        <f>Q91</f>
        <v>32000</v>
      </c>
      <c r="R90" s="17">
        <f t="shared" si="48"/>
        <v>32000</v>
      </c>
      <c r="S90" s="17">
        <f t="shared" si="48"/>
        <v>32000</v>
      </c>
      <c r="T90" s="17">
        <f>T91</f>
        <v>32000</v>
      </c>
      <c r="U90" s="17">
        <f t="shared" si="48"/>
        <v>32000</v>
      </c>
      <c r="V90" s="17">
        <f>V91</f>
        <v>32000</v>
      </c>
      <c r="W90" s="17">
        <f t="shared" si="48"/>
        <v>0</v>
      </c>
      <c r="X90" s="17">
        <f t="shared" ref="X90:X106" si="49">SUM(E90:W90)</f>
        <v>404000</v>
      </c>
      <c r="Y90" s="18"/>
    </row>
    <row r="91" spans="1:26" ht="124.5" thickBot="1" x14ac:dyDescent="0.2">
      <c r="A91" s="14" t="s">
        <v>313</v>
      </c>
      <c r="B91" s="24" t="s">
        <v>151</v>
      </c>
      <c r="C91" s="15" t="s">
        <v>27</v>
      </c>
      <c r="D91" s="60" t="s">
        <v>314</v>
      </c>
      <c r="E91" s="61"/>
      <c r="F91" s="61"/>
      <c r="G91" s="61">
        <v>32000</v>
      </c>
      <c r="H91" s="61">
        <v>32000</v>
      </c>
      <c r="I91" s="61">
        <v>32000</v>
      </c>
      <c r="J91" s="61">
        <v>10000</v>
      </c>
      <c r="K91" s="61"/>
      <c r="L91" s="61">
        <v>32000</v>
      </c>
      <c r="M91" s="61">
        <v>32000</v>
      </c>
      <c r="N91" s="61">
        <v>32000</v>
      </c>
      <c r="O91" s="61">
        <v>5000</v>
      </c>
      <c r="P91" s="61">
        <v>5000</v>
      </c>
      <c r="Q91" s="61">
        <v>32000</v>
      </c>
      <c r="R91" s="61">
        <v>32000</v>
      </c>
      <c r="S91" s="61">
        <v>32000</v>
      </c>
      <c r="T91" s="61">
        <v>32000</v>
      </c>
      <c r="U91" s="61">
        <v>32000</v>
      </c>
      <c r="V91" s="61">
        <v>32000</v>
      </c>
      <c r="W91" s="61"/>
      <c r="X91" s="17">
        <f t="shared" si="49"/>
        <v>404000</v>
      </c>
      <c r="Y91" s="62"/>
    </row>
    <row r="92" spans="1:26" ht="23.25" customHeight="1" thickTop="1" x14ac:dyDescent="0.15">
      <c r="A92" s="14" t="s">
        <v>315</v>
      </c>
      <c r="B92" s="25" t="s">
        <v>152</v>
      </c>
      <c r="C92" s="25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17">
        <f t="shared" si="49"/>
        <v>0</v>
      </c>
      <c r="Y92" s="65"/>
    </row>
    <row r="93" spans="1:26" ht="33.75" x14ac:dyDescent="0.15">
      <c r="A93" s="14" t="s">
        <v>316</v>
      </c>
      <c r="B93" s="15" t="s">
        <v>153</v>
      </c>
      <c r="C93" s="15"/>
      <c r="D93" s="16" t="s">
        <v>317</v>
      </c>
      <c r="E93" s="17">
        <f t="shared" ref="E93:W93" si="50">E94+E95+E96+E97</f>
        <v>85</v>
      </c>
      <c r="F93" s="17">
        <f t="shared" si="50"/>
        <v>84</v>
      </c>
      <c r="G93" s="17">
        <f t="shared" si="50"/>
        <v>60</v>
      </c>
      <c r="H93" s="17">
        <f t="shared" si="50"/>
        <v>74</v>
      </c>
      <c r="I93" s="17">
        <f>I94+I95+I96+I97</f>
        <v>11</v>
      </c>
      <c r="J93" s="17">
        <f t="shared" si="50"/>
        <v>99</v>
      </c>
      <c r="K93" s="17">
        <f t="shared" si="50"/>
        <v>81</v>
      </c>
      <c r="L93" s="17">
        <f t="shared" si="50"/>
        <v>48</v>
      </c>
      <c r="M93" s="17">
        <f>M94+M95+M96+M97</f>
        <v>92</v>
      </c>
      <c r="N93" s="17">
        <f t="shared" si="50"/>
        <v>61</v>
      </c>
      <c r="O93" s="17">
        <f t="shared" si="50"/>
        <v>58</v>
      </c>
      <c r="P93" s="17">
        <f t="shared" si="50"/>
        <v>61</v>
      </c>
      <c r="Q93" s="17">
        <f t="shared" si="50"/>
        <v>55</v>
      </c>
      <c r="R93" s="17">
        <f t="shared" si="50"/>
        <v>17</v>
      </c>
      <c r="S93" s="17">
        <f t="shared" si="50"/>
        <v>23</v>
      </c>
      <c r="T93" s="17">
        <f t="shared" si="50"/>
        <v>23</v>
      </c>
      <c r="U93" s="17">
        <f t="shared" si="50"/>
        <v>38</v>
      </c>
      <c r="V93" s="17">
        <f t="shared" si="50"/>
        <v>36</v>
      </c>
      <c r="W93" s="17">
        <f t="shared" si="50"/>
        <v>6</v>
      </c>
      <c r="X93" s="17">
        <f t="shared" si="49"/>
        <v>1012</v>
      </c>
      <c r="Y93" s="18"/>
      <c r="Z93" s="53">
        <v>1012</v>
      </c>
    </row>
    <row r="94" spans="1:26" x14ac:dyDescent="0.15">
      <c r="A94" s="14" t="s">
        <v>318</v>
      </c>
      <c r="B94" s="26" t="s">
        <v>154</v>
      </c>
      <c r="C94" s="26"/>
      <c r="D94" s="55"/>
      <c r="E94" s="56">
        <v>85</v>
      </c>
      <c r="F94" s="56">
        <v>84</v>
      </c>
      <c r="G94" s="56">
        <v>31</v>
      </c>
      <c r="H94" s="56">
        <v>74</v>
      </c>
      <c r="I94" s="56">
        <v>11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17">
        <f t="shared" si="49"/>
        <v>285</v>
      </c>
      <c r="Y94" s="18"/>
      <c r="Z94" s="53">
        <v>285</v>
      </c>
    </row>
    <row r="95" spans="1:26" x14ac:dyDescent="0.15">
      <c r="A95" s="14" t="s">
        <v>319</v>
      </c>
      <c r="B95" s="26" t="s">
        <v>155</v>
      </c>
      <c r="C95" s="26"/>
      <c r="D95" s="16"/>
      <c r="E95" s="10"/>
      <c r="F95" s="10"/>
      <c r="G95" s="10">
        <v>29</v>
      </c>
      <c r="H95" s="10"/>
      <c r="I95" s="10"/>
      <c r="J95" s="10">
        <v>99</v>
      </c>
      <c r="K95" s="10">
        <v>81</v>
      </c>
      <c r="L95" s="10">
        <v>48</v>
      </c>
      <c r="M95" s="10">
        <v>92</v>
      </c>
      <c r="N95" s="10">
        <v>61</v>
      </c>
      <c r="O95" s="10"/>
      <c r="P95" s="10"/>
      <c r="Q95" s="10"/>
      <c r="R95" s="10"/>
      <c r="S95" s="10"/>
      <c r="T95" s="10"/>
      <c r="U95" s="10"/>
      <c r="V95" s="10"/>
      <c r="W95" s="10"/>
      <c r="X95" s="17">
        <f t="shared" si="49"/>
        <v>410</v>
      </c>
      <c r="Y95" s="18"/>
      <c r="Z95" s="53">
        <v>410</v>
      </c>
    </row>
    <row r="96" spans="1:26" x14ac:dyDescent="0.15">
      <c r="A96" s="14" t="s">
        <v>320</v>
      </c>
      <c r="B96" s="26" t="s">
        <v>156</v>
      </c>
      <c r="C96" s="26"/>
      <c r="D96" s="55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>
        <v>58</v>
      </c>
      <c r="P96" s="56">
        <v>61</v>
      </c>
      <c r="Q96" s="56">
        <v>55</v>
      </c>
      <c r="R96" s="56">
        <v>17</v>
      </c>
      <c r="S96" s="56">
        <v>23</v>
      </c>
      <c r="T96" s="56">
        <v>23</v>
      </c>
      <c r="U96" s="56">
        <v>38</v>
      </c>
      <c r="V96" s="56">
        <v>36</v>
      </c>
      <c r="W96" s="56"/>
      <c r="X96" s="17">
        <f t="shared" si="49"/>
        <v>311</v>
      </c>
      <c r="Y96" s="18"/>
      <c r="Z96" s="53">
        <v>311</v>
      </c>
    </row>
    <row r="97" spans="1:26" x14ac:dyDescent="0.15">
      <c r="A97" s="14" t="s">
        <v>321</v>
      </c>
      <c r="B97" s="26" t="s">
        <v>157</v>
      </c>
      <c r="C97" s="26"/>
      <c r="D97" s="55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>
        <v>6</v>
      </c>
      <c r="X97" s="17">
        <f t="shared" si="49"/>
        <v>6</v>
      </c>
      <c r="Y97" s="18"/>
      <c r="Z97" s="53">
        <v>6</v>
      </c>
    </row>
    <row r="98" spans="1:26" ht="45" x14ac:dyDescent="0.15">
      <c r="A98" s="14" t="s">
        <v>322</v>
      </c>
      <c r="B98" s="15" t="s">
        <v>158</v>
      </c>
      <c r="C98" s="15"/>
      <c r="D98" s="16" t="s">
        <v>323</v>
      </c>
      <c r="E98" s="17">
        <f>E99+E100+E101+E102</f>
        <v>931</v>
      </c>
      <c r="F98" s="17">
        <f t="shared" ref="F98:W98" si="51">F99+F100+F101+F102</f>
        <v>961</v>
      </c>
      <c r="G98" s="17">
        <f t="shared" si="51"/>
        <v>832</v>
      </c>
      <c r="H98" s="17">
        <f t="shared" si="51"/>
        <v>979</v>
      </c>
      <c r="I98" s="17">
        <f t="shared" si="51"/>
        <v>144</v>
      </c>
      <c r="J98" s="17">
        <f t="shared" si="51"/>
        <v>1493</v>
      </c>
      <c r="K98" s="17">
        <f t="shared" si="51"/>
        <v>1094</v>
      </c>
      <c r="L98" s="17">
        <f t="shared" si="51"/>
        <v>813</v>
      </c>
      <c r="M98" s="17">
        <f t="shared" si="51"/>
        <v>1378</v>
      </c>
      <c r="N98" s="17">
        <f t="shared" si="51"/>
        <v>971</v>
      </c>
      <c r="O98" s="17">
        <f t="shared" si="51"/>
        <v>670</v>
      </c>
      <c r="P98" s="17">
        <f t="shared" si="51"/>
        <v>911</v>
      </c>
      <c r="Q98" s="17">
        <f>Q99+Q100+Q101+Q102</f>
        <v>705</v>
      </c>
      <c r="R98" s="17">
        <f t="shared" si="51"/>
        <v>205</v>
      </c>
      <c r="S98" s="17">
        <f t="shared" si="51"/>
        <v>358</v>
      </c>
      <c r="T98" s="17">
        <f>T99+T100+T101+T102</f>
        <v>367</v>
      </c>
      <c r="U98" s="17">
        <f t="shared" si="51"/>
        <v>478</v>
      </c>
      <c r="V98" s="17">
        <f>V99+V100+V101+V102</f>
        <v>551</v>
      </c>
      <c r="W98" s="17">
        <f t="shared" si="51"/>
        <v>0</v>
      </c>
      <c r="X98" s="17">
        <f t="shared" si="49"/>
        <v>13841</v>
      </c>
      <c r="Y98" s="18"/>
    </row>
    <row r="99" spans="1:26" x14ac:dyDescent="0.15">
      <c r="A99" s="14" t="s">
        <v>324</v>
      </c>
      <c r="B99" s="26" t="s">
        <v>154</v>
      </c>
      <c r="C99" s="26"/>
      <c r="D99" s="55"/>
      <c r="E99" s="56">
        <v>931</v>
      </c>
      <c r="F99" s="56">
        <v>961</v>
      </c>
      <c r="G99" s="56">
        <v>361</v>
      </c>
      <c r="H99" s="56">
        <v>979</v>
      </c>
      <c r="I99" s="56">
        <v>144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17">
        <f t="shared" si="49"/>
        <v>3376</v>
      </c>
      <c r="Y99" s="18"/>
    </row>
    <row r="100" spans="1:26" x14ac:dyDescent="0.15">
      <c r="A100" s="14" t="s">
        <v>325</v>
      </c>
      <c r="B100" s="26" t="s">
        <v>155</v>
      </c>
      <c r="C100" s="26"/>
      <c r="D100" s="16"/>
      <c r="E100" s="10"/>
      <c r="F100" s="10"/>
      <c r="G100" s="10">
        <v>471</v>
      </c>
      <c r="H100" s="10"/>
      <c r="I100" s="10"/>
      <c r="J100" s="10">
        <v>1493</v>
      </c>
      <c r="K100" s="10">
        <v>1094</v>
      </c>
      <c r="L100" s="10">
        <v>813</v>
      </c>
      <c r="M100" s="10">
        <v>1378</v>
      </c>
      <c r="N100" s="10">
        <v>971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7">
        <f t="shared" si="49"/>
        <v>6220</v>
      </c>
      <c r="Y100" s="18"/>
    </row>
    <row r="101" spans="1:26" x14ac:dyDescent="0.15">
      <c r="A101" s="14" t="s">
        <v>326</v>
      </c>
      <c r="B101" s="26" t="s">
        <v>156</v>
      </c>
      <c r="C101" s="26"/>
      <c r="D101" s="55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>
        <v>670</v>
      </c>
      <c r="P101" s="56">
        <v>911</v>
      </c>
      <c r="Q101" s="56">
        <v>705</v>
      </c>
      <c r="R101" s="56">
        <v>205</v>
      </c>
      <c r="S101" s="56">
        <v>358</v>
      </c>
      <c r="T101" s="56">
        <v>367</v>
      </c>
      <c r="U101" s="56">
        <v>478</v>
      </c>
      <c r="V101" s="56">
        <v>551</v>
      </c>
      <c r="W101" s="56"/>
      <c r="X101" s="17">
        <f t="shared" si="49"/>
        <v>4245</v>
      </c>
      <c r="Y101" s="18"/>
    </row>
    <row r="102" spans="1:26" x14ac:dyDescent="0.15">
      <c r="A102" s="14" t="s">
        <v>327</v>
      </c>
      <c r="B102" s="26" t="s">
        <v>157</v>
      </c>
      <c r="C102" s="26"/>
      <c r="D102" s="55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17">
        <f t="shared" si="49"/>
        <v>0</v>
      </c>
      <c r="Y102" s="18"/>
    </row>
    <row r="103" spans="1:26" x14ac:dyDescent="0.15">
      <c r="A103" s="14" t="s">
        <v>328</v>
      </c>
      <c r="B103" s="15" t="s">
        <v>159</v>
      </c>
      <c r="C103" s="15"/>
      <c r="D103" s="58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17">
        <f t="shared" si="49"/>
        <v>0</v>
      </c>
      <c r="Y103" s="18"/>
    </row>
    <row r="104" spans="1:26" x14ac:dyDescent="0.15">
      <c r="A104" s="14" t="s">
        <v>329</v>
      </c>
      <c r="B104" s="15" t="s">
        <v>160</v>
      </c>
      <c r="C104" s="15"/>
      <c r="D104" s="16"/>
      <c r="E104" s="10">
        <v>66</v>
      </c>
      <c r="F104" s="10">
        <v>66</v>
      </c>
      <c r="G104" s="10"/>
      <c r="H104" s="10"/>
      <c r="I104" s="10"/>
      <c r="J104" s="10">
        <v>99</v>
      </c>
      <c r="K104" s="10">
        <v>102</v>
      </c>
      <c r="L104" s="10"/>
      <c r="M104" s="10"/>
      <c r="N104" s="10"/>
      <c r="O104" s="10">
        <v>25</v>
      </c>
      <c r="P104" s="10">
        <v>23</v>
      </c>
      <c r="Q104" s="10"/>
      <c r="R104" s="10"/>
      <c r="S104" s="10"/>
      <c r="T104" s="10"/>
      <c r="U104" s="10"/>
      <c r="V104" s="10"/>
      <c r="W104" s="10">
        <v>18</v>
      </c>
      <c r="X104" s="17">
        <f t="shared" si="49"/>
        <v>399</v>
      </c>
      <c r="Y104" s="18"/>
    </row>
    <row r="105" spans="1:26" x14ac:dyDescent="0.15">
      <c r="A105" s="14" t="s">
        <v>330</v>
      </c>
      <c r="B105" s="26" t="s">
        <v>161</v>
      </c>
      <c r="C105" s="26"/>
      <c r="D105" s="58"/>
      <c r="E105" s="10">
        <v>17063</v>
      </c>
      <c r="F105" s="10">
        <v>11923</v>
      </c>
      <c r="G105" s="10">
        <v>47723.69</v>
      </c>
      <c r="H105" s="10">
        <v>12788.7</v>
      </c>
      <c r="I105" s="10">
        <v>15865.86</v>
      </c>
      <c r="J105" s="10">
        <v>23546.35</v>
      </c>
      <c r="K105" s="10">
        <v>16490.189999999999</v>
      </c>
      <c r="L105" s="10">
        <v>16648.97</v>
      </c>
      <c r="M105" s="10">
        <v>21871.439999999999</v>
      </c>
      <c r="N105" s="10">
        <v>11914.29</v>
      </c>
      <c r="O105" s="10">
        <v>7654.77</v>
      </c>
      <c r="P105" s="10">
        <v>12113.78</v>
      </c>
      <c r="Q105" s="10">
        <v>10438.120000000001</v>
      </c>
      <c r="R105" s="10">
        <v>6080</v>
      </c>
      <c r="S105" s="10">
        <v>5747.79</v>
      </c>
      <c r="T105" s="10">
        <v>11939.6</v>
      </c>
      <c r="U105" s="10">
        <v>11286</v>
      </c>
      <c r="V105" s="10">
        <v>13520</v>
      </c>
      <c r="W105" s="10">
        <v>5648</v>
      </c>
      <c r="X105" s="17">
        <f t="shared" si="49"/>
        <v>280263.55000000005</v>
      </c>
      <c r="Y105" s="18"/>
    </row>
    <row r="106" spans="1:26" x14ac:dyDescent="0.15">
      <c r="A106" s="14" t="s">
        <v>331</v>
      </c>
      <c r="B106" s="26" t="s">
        <v>162</v>
      </c>
      <c r="C106" s="26"/>
      <c r="D106" s="58"/>
      <c r="E106" s="10">
        <v>15829</v>
      </c>
      <c r="F106" s="10">
        <v>10360</v>
      </c>
      <c r="G106" s="10">
        <v>16263</v>
      </c>
      <c r="H106" s="10">
        <v>10179</v>
      </c>
      <c r="I106" s="10">
        <v>8547.4500000000007</v>
      </c>
      <c r="J106" s="10">
        <v>19712</v>
      </c>
      <c r="K106" s="10">
        <v>11160</v>
      </c>
      <c r="L106" s="10">
        <v>11125</v>
      </c>
      <c r="M106" s="10">
        <v>15700</v>
      </c>
      <c r="N106" s="10">
        <v>8447.1</v>
      </c>
      <c r="O106" s="10">
        <v>5134</v>
      </c>
      <c r="P106" s="10">
        <v>4330</v>
      </c>
      <c r="Q106" s="10">
        <v>4266</v>
      </c>
      <c r="R106" s="10">
        <v>2500</v>
      </c>
      <c r="S106" s="10">
        <v>2519</v>
      </c>
      <c r="T106" s="10">
        <v>4999</v>
      </c>
      <c r="U106" s="10">
        <v>4627.34</v>
      </c>
      <c r="V106" s="10">
        <v>5045</v>
      </c>
      <c r="W106" s="10">
        <v>2320</v>
      </c>
      <c r="X106" s="17">
        <f t="shared" si="49"/>
        <v>163062.88999999998</v>
      </c>
      <c r="Y106" s="18"/>
    </row>
    <row r="107" spans="1:26" x14ac:dyDescent="0.15">
      <c r="E107" s="53">
        <f t="shared" ref="E107:X107" si="52">E4/E93</f>
        <v>352227.89294117643</v>
      </c>
      <c r="F107" s="53">
        <f t="shared" si="52"/>
        <v>354780.29130952386</v>
      </c>
      <c r="G107" s="53">
        <f t="shared" si="52"/>
        <v>337276.30083333334</v>
      </c>
      <c r="H107" s="53">
        <f t="shared" si="52"/>
        <v>337169.33648648654</v>
      </c>
      <c r="I107" s="53">
        <f t="shared" si="52"/>
        <v>298220.30545454542</v>
      </c>
      <c r="J107" s="53">
        <f t="shared" si="52"/>
        <v>339855.60333333339</v>
      </c>
      <c r="K107" s="53">
        <f t="shared" si="52"/>
        <v>338156.7904938272</v>
      </c>
      <c r="L107" s="53">
        <f t="shared" si="52"/>
        <v>335305.47416666668</v>
      </c>
      <c r="M107" s="53">
        <f t="shared" si="52"/>
        <v>338472.80630434782</v>
      </c>
      <c r="N107" s="53">
        <f t="shared" si="52"/>
        <v>330556.32524590165</v>
      </c>
      <c r="O107" s="53">
        <f t="shared" si="52"/>
        <v>315525.71741379309</v>
      </c>
      <c r="P107" s="53">
        <f t="shared" si="52"/>
        <v>315751.01262295083</v>
      </c>
      <c r="Q107" s="53">
        <f t="shared" si="52"/>
        <v>306328.60327272728</v>
      </c>
      <c r="R107" s="53">
        <f t="shared" si="52"/>
        <v>327815.26529411762</v>
      </c>
      <c r="S107" s="53">
        <f t="shared" si="52"/>
        <v>317425.32347826083</v>
      </c>
      <c r="T107" s="53">
        <f t="shared" si="52"/>
        <v>310922.95347826084</v>
      </c>
      <c r="U107" s="53">
        <f t="shared" si="52"/>
        <v>305764.5802631579</v>
      </c>
      <c r="V107" s="53">
        <f t="shared" si="52"/>
        <v>314842.61277777771</v>
      </c>
      <c r="W107" s="53">
        <f t="shared" si="52"/>
        <v>346791.34500000003</v>
      </c>
      <c r="X107" s="53">
        <f t="shared" si="52"/>
        <v>332125.82197628461</v>
      </c>
    </row>
  </sheetData>
  <protectedRanges>
    <protectedRange password="E9C1" sqref="D28 X21:Y26 Y20 Y10 Y27 X2:Y9 A2:D5 X11:Y19 B6:D26 X28:Y106 B30:D106 A6:A106" name="区域1_1_18"/>
    <protectedRange password="E9C1" sqref="B27:C29" name="区域1_1_1_1"/>
    <protectedRange password="E9C1" sqref="D27" name="区域1_3"/>
    <protectedRange password="E9C1" sqref="D29" name="区域1_2_1"/>
    <protectedRange password="E9C1" sqref="O2:O3" name="区域1_1_17_1"/>
    <protectedRange password="E9C1" sqref="F2:F3" name="区域1_1_2_1"/>
    <protectedRange password="E9C1" sqref="U2:U3" name="区域1_1_7_1"/>
    <protectedRange password="E9C1" sqref="P2:P3" name="区域1_1_21_1"/>
    <protectedRange password="E9C1" sqref="W2:W3" name="区域1_1_22_1"/>
    <protectedRange password="E9C1" sqref="H2:H3" name="区域1_1_5_1"/>
    <protectedRange password="E9C1" sqref="G2:G3" name="区域1_1_13_1"/>
    <protectedRange password="E9C1" sqref="R2:R3" name="区域1_1_3_1"/>
    <protectedRange password="E9C1" sqref="S2:S3" name="区域1_1_4_1"/>
    <protectedRange password="E9C1" sqref="L2:L3" name="区域1_1_6_1"/>
    <protectedRange password="E9C1" sqref="Q2:Q3" name="区域1_1_11_1"/>
    <protectedRange password="E9C1" sqref="N2:N3" name="区域1_1_12_1"/>
    <protectedRange password="E9C1" sqref="T2:T3" name="区域1_1_9_1"/>
    <protectedRange password="E9C1" sqref="V2:V3" name="区域1_1_10_1"/>
    <protectedRange password="E9C1" sqref="J2:J3" name="区域1_1_14_1"/>
    <protectedRange password="E9C1" sqref="E2:E3" name="区域1_1_16_1"/>
    <protectedRange password="E9C1" sqref="K2:K3" name="区域1_1_23_1"/>
    <protectedRange password="E9C1" sqref="I2:I3" name="区域1_1_8_1"/>
    <protectedRange password="E9C1" sqref="M2:M3" name="区域1_1_15_1"/>
  </protectedRanges>
  <mergeCells count="1">
    <mergeCell ref="A1:Y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3" sqref="C3"/>
    </sheetView>
  </sheetViews>
  <sheetFormatPr defaultRowHeight="13.5" outlineLevelRow="2" x14ac:dyDescent="0.15"/>
  <cols>
    <col min="1" max="1" width="13.875" style="76" customWidth="1"/>
    <col min="2" max="2" width="23.875" style="76" customWidth="1"/>
    <col min="3" max="3" width="18.5" style="76" customWidth="1"/>
    <col min="4" max="16384" width="9" style="76"/>
  </cols>
  <sheetData>
    <row r="1" spans="1:3" ht="20.25" x14ac:dyDescent="0.15">
      <c r="A1" s="100" t="s">
        <v>343</v>
      </c>
      <c r="B1" s="100"/>
      <c r="C1" s="100"/>
    </row>
    <row r="2" spans="1:3" ht="14.25" x14ac:dyDescent="0.15">
      <c r="A2" s="77" t="s">
        <v>344</v>
      </c>
      <c r="B2" s="77" t="s">
        <v>165</v>
      </c>
      <c r="C2" s="77" t="s">
        <v>345</v>
      </c>
    </row>
    <row r="3" spans="1:3" outlineLevel="2" x14ac:dyDescent="0.15">
      <c r="A3" s="78" t="s">
        <v>346</v>
      </c>
      <c r="B3" s="79" t="s">
        <v>225</v>
      </c>
      <c r="C3" s="78">
        <v>278536.5</v>
      </c>
    </row>
    <row r="4" spans="1:3" outlineLevel="2" x14ac:dyDescent="0.15">
      <c r="A4" s="78" t="s">
        <v>346</v>
      </c>
      <c r="B4" s="79" t="s">
        <v>226</v>
      </c>
      <c r="C4" s="78">
        <v>285762.86</v>
      </c>
    </row>
    <row r="5" spans="1:3" outlineLevel="2" x14ac:dyDescent="0.15">
      <c r="A5" s="78" t="s">
        <v>346</v>
      </c>
      <c r="B5" s="79" t="s">
        <v>227</v>
      </c>
      <c r="C5" s="78">
        <v>154512</v>
      </c>
    </row>
    <row r="6" spans="1:3" outlineLevel="2" x14ac:dyDescent="0.15">
      <c r="A6" s="78" t="s">
        <v>346</v>
      </c>
      <c r="B6" s="79" t="s">
        <v>228</v>
      </c>
      <c r="C6" s="78">
        <v>227692.29</v>
      </c>
    </row>
    <row r="7" spans="1:3" outlineLevel="2" x14ac:dyDescent="0.15">
      <c r="A7" s="78" t="s">
        <v>346</v>
      </c>
      <c r="B7" s="79" t="s">
        <v>229</v>
      </c>
      <c r="C7" s="78">
        <v>22268.57</v>
      </c>
    </row>
    <row r="8" spans="1:3" outlineLevel="2" x14ac:dyDescent="0.15">
      <c r="A8" s="78" t="s">
        <v>346</v>
      </c>
      <c r="B8" s="79" t="s">
        <v>163</v>
      </c>
      <c r="C8" s="78">
        <v>278398.28999999998</v>
      </c>
    </row>
    <row r="9" spans="1:3" outlineLevel="2" x14ac:dyDescent="0.15">
      <c r="A9" s="78" t="s">
        <v>346</v>
      </c>
      <c r="B9" s="79" t="s">
        <v>8</v>
      </c>
      <c r="C9" s="78">
        <v>236936.57</v>
      </c>
    </row>
    <row r="10" spans="1:3" outlineLevel="2" x14ac:dyDescent="0.15">
      <c r="A10" s="78" t="s">
        <v>346</v>
      </c>
      <c r="B10" s="79" t="s">
        <v>230</v>
      </c>
      <c r="C10" s="78">
        <v>146795.14000000001</v>
      </c>
    </row>
    <row r="11" spans="1:3" outlineLevel="2" x14ac:dyDescent="0.15">
      <c r="A11" s="78" t="s">
        <v>346</v>
      </c>
      <c r="B11" s="79" t="s">
        <v>164</v>
      </c>
      <c r="C11" s="78">
        <v>288401.14</v>
      </c>
    </row>
    <row r="12" spans="1:3" outlineLevel="2" x14ac:dyDescent="0.15">
      <c r="A12" s="78" t="s">
        <v>346</v>
      </c>
      <c r="B12" s="79" t="s">
        <v>231</v>
      </c>
      <c r="C12" s="78">
        <v>179781.43</v>
      </c>
    </row>
    <row r="13" spans="1:3" outlineLevel="2" x14ac:dyDescent="0.15">
      <c r="A13" s="78" t="s">
        <v>346</v>
      </c>
      <c r="B13" s="79" t="s">
        <v>232</v>
      </c>
      <c r="C13" s="78">
        <v>168225.43</v>
      </c>
    </row>
    <row r="14" spans="1:3" outlineLevel="2" x14ac:dyDescent="0.15">
      <c r="A14" s="78" t="s">
        <v>346</v>
      </c>
      <c r="B14" s="79" t="s">
        <v>169</v>
      </c>
      <c r="C14" s="78">
        <v>175836.86</v>
      </c>
    </row>
    <row r="15" spans="1:3" outlineLevel="2" x14ac:dyDescent="0.15">
      <c r="A15" s="78" t="s">
        <v>346</v>
      </c>
      <c r="B15" s="79" t="s">
        <v>233</v>
      </c>
      <c r="C15" s="78">
        <v>147974.79</v>
      </c>
    </row>
    <row r="16" spans="1:3" outlineLevel="2" x14ac:dyDescent="0.15">
      <c r="A16" s="78" t="s">
        <v>346</v>
      </c>
      <c r="B16" s="79" t="s">
        <v>234</v>
      </c>
      <c r="C16" s="78">
        <v>55607.14</v>
      </c>
    </row>
    <row r="17" spans="1:3" outlineLevel="2" x14ac:dyDescent="0.15">
      <c r="A17" s="78" t="s">
        <v>346</v>
      </c>
      <c r="B17" s="79" t="s">
        <v>235</v>
      </c>
      <c r="C17" s="78">
        <v>66965.14</v>
      </c>
    </row>
    <row r="18" spans="1:3" outlineLevel="2" x14ac:dyDescent="0.15">
      <c r="A18" s="78" t="s">
        <v>346</v>
      </c>
      <c r="B18" s="79" t="s">
        <v>236</v>
      </c>
      <c r="C18" s="78">
        <v>59222.57</v>
      </c>
    </row>
    <row r="19" spans="1:3" outlineLevel="2" x14ac:dyDescent="0.15">
      <c r="A19" s="78" t="s">
        <v>346</v>
      </c>
      <c r="B19" s="79" t="s">
        <v>237</v>
      </c>
      <c r="C19" s="78">
        <v>101690.57</v>
      </c>
    </row>
    <row r="20" spans="1:3" outlineLevel="2" x14ac:dyDescent="0.15">
      <c r="A20" s="78" t="s">
        <v>346</v>
      </c>
      <c r="B20" s="79" t="s">
        <v>238</v>
      </c>
      <c r="C20" s="78">
        <v>104482.29</v>
      </c>
    </row>
    <row r="21" spans="1:3" outlineLevel="2" x14ac:dyDescent="0.15">
      <c r="A21" s="78" t="s">
        <v>346</v>
      </c>
      <c r="B21" s="79" t="s">
        <v>239</v>
      </c>
      <c r="C21" s="78">
        <v>19694.57</v>
      </c>
    </row>
    <row r="22" spans="1:3" outlineLevel="1" x14ac:dyDescent="0.15">
      <c r="A22" s="78" t="s">
        <v>347</v>
      </c>
      <c r="B22" s="79"/>
      <c r="C22" s="78">
        <f>SUBTOTAL(9,C3:C21)</f>
        <v>2998784.1500000004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浦江镇</vt:lpstr>
      <vt:lpstr>社区教育</vt:lpstr>
      <vt:lpstr>志愿者联盟</vt:lpstr>
      <vt:lpstr>保安经费</vt:lpstr>
      <vt:lpstr>2022年绩效清算</vt:lpstr>
      <vt:lpstr>浦江2023</vt:lpstr>
      <vt:lpstr>残疾就业保障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2023-02-02T07:41:13Z</cp:lastPrinted>
  <dcterms:created xsi:type="dcterms:W3CDTF">2019-11-08T06:57:41Z</dcterms:created>
  <dcterms:modified xsi:type="dcterms:W3CDTF">2023-02-02T07:41:13Z</dcterms:modified>
</cp:coreProperties>
</file>