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1980" windowHeight="12330" firstSheet="15" activeTab="15"/>
  </bookViews>
  <sheets>
    <sheet name="基本支出汇总" sheetId="16" state="hidden" r:id="rId1"/>
    <sheet name="2022年绩效清算" sheetId="18" state="hidden" r:id="rId2"/>
    <sheet name="莘庄镇" sheetId="6" state="hidden" r:id="rId3"/>
    <sheet name="吴泾镇" sheetId="7" state="hidden" r:id="rId4"/>
    <sheet name="七宝镇" sheetId="1" state="hidden" r:id="rId5"/>
    <sheet name="浦江镇" sheetId="11" state="hidden" r:id="rId6"/>
    <sheet name="梅陇镇" sheetId="5" state="hidden" r:id="rId7"/>
    <sheet name="马桥镇" sheetId="4" state="hidden" r:id="rId8"/>
    <sheet name="华漕镇" sheetId="3" state="hidden" r:id="rId9"/>
    <sheet name="颛桥镇" sheetId="8" state="hidden" r:id="rId10"/>
    <sheet name="虹桥镇" sheetId="2" state="hidden" r:id="rId11"/>
    <sheet name="2023绩效预估" sheetId="10" state="hidden" r:id="rId12"/>
    <sheet name="保安经费" sheetId="14" state="hidden" r:id="rId13"/>
    <sheet name="残疾就业保障" sheetId="15" state="hidden" r:id="rId14"/>
    <sheet name="补充公用经费" sheetId="17" state="hidden" r:id="rId15"/>
    <sheet name="浦江镇汇总" sheetId="38" r:id="rId16"/>
    <sheet name="设备购置与更新" sheetId="25" state="hidden" r:id="rId17"/>
    <sheet name="理化实验室" sheetId="26" state="hidden" r:id="rId18"/>
    <sheet name="浦江维修2023" sheetId="30" state="hidden" r:id="rId19"/>
    <sheet name="2022年校舍维修尾款" sheetId="36" state="hidden" r:id="rId20"/>
    <sheet name="学前科" sheetId="20" state="hidden" r:id="rId21"/>
    <sheet name="普教一科" sheetId="21" state="hidden" r:id="rId22"/>
    <sheet name="普教二科" sheetId="22" state="hidden" r:id="rId23"/>
    <sheet name="信息化项目" sheetId="39" state="hidden" r:id="rId24"/>
    <sheet name="考试中心" sheetId="23" state="hidden" r:id="rId25"/>
    <sheet name="教育学院" sheetId="24" state="hidden" r:id="rId26"/>
    <sheet name="抚恤金" sheetId="37" state="hidden" r:id="rId27"/>
  </sheets>
  <externalReferences>
    <externalReference r:id="rId28"/>
    <externalReference r:id="rId29"/>
  </externalReferences>
  <definedNames>
    <definedName name="_xlnm._FilterDatabase" localSheetId="11" hidden="1">'2023绩效预估'!$A$2:$H$126</definedName>
    <definedName name="_xlnm.Print_Area" localSheetId="1">'2022年绩效清算'!$A$1:$Q$129</definedName>
    <definedName name="_xlnm.Print_Area" localSheetId="19">'2022年校舍维修尾款'!$A$1:$J$10</definedName>
    <definedName name="_xlnm.Print_Area" localSheetId="25">教育学院!$A$1:$G$5</definedName>
    <definedName name="_xlnm.Print_Area" localSheetId="24">考试中心!$A$1:$I$5</definedName>
    <definedName name="_xlnm.Print_Area" localSheetId="17">理化实验室!$A$1:$I$69</definedName>
    <definedName name="_xlnm.Print_Area" localSheetId="18">浦江维修2023!$A$1:$J$89</definedName>
    <definedName name="_xlnm.Print_Area" localSheetId="5">浦江镇!$A$1:$Y$106</definedName>
    <definedName name="_xlnm.Print_Area" localSheetId="22">普教二科!$A$1:$H$11</definedName>
    <definedName name="_xlnm.Print_Area" localSheetId="21">普教一科!$A$1:$G$18</definedName>
    <definedName name="_xlnm.Print_Area" localSheetId="16">设备购置与更新!$A$1:$L$10</definedName>
    <definedName name="_xlnm.Print_Area" localSheetId="20">学前科!$A$1:$I$14</definedName>
    <definedName name="_xlnm.Print_Titles" localSheetId="1">'2022年绩效清算'!$1:$3</definedName>
    <definedName name="_xlnm.Print_Titles" localSheetId="25">教育学院!$1:$2</definedName>
    <definedName name="_xlnm.Print_Titles" localSheetId="24">考试中心!$1:$2</definedName>
    <definedName name="_xlnm.Print_Titles" localSheetId="17">理化实验室!$1:$3</definedName>
    <definedName name="_xlnm.Print_Titles" localSheetId="18">浦江维修2023!$1:$2</definedName>
    <definedName name="_xlnm.Print_Titles" localSheetId="5">浦江镇!$1:$2</definedName>
    <definedName name="_xlnm.Print_Titles" localSheetId="22">普教二科!$1:$2</definedName>
    <definedName name="_xlnm.Print_Titles" localSheetId="21">普教一科!$1:$2</definedName>
    <definedName name="_xlnm.Print_Titles" localSheetId="16">设备购置与更新!$1:$2</definedName>
    <definedName name="_xlnm.Print_Titles" localSheetId="20">学前科!$1:$2</definedName>
  </definedNames>
  <calcPr calcId="124519"/>
</workbook>
</file>

<file path=xl/calcChain.xml><?xml version="1.0" encoding="utf-8"?>
<calcChain xmlns="http://schemas.openxmlformats.org/spreadsheetml/2006/main">
  <c r="C9" i="38"/>
  <c r="AP4" i="39"/>
  <c r="I3"/>
  <c r="I4" s="1"/>
  <c r="C12" i="38"/>
  <c r="C11"/>
  <c r="C10"/>
  <c r="C7"/>
  <c r="C6"/>
  <c r="C5"/>
  <c r="E10" i="36" l="1"/>
  <c r="I10"/>
  <c r="D10"/>
  <c r="H9"/>
  <c r="J9" s="1"/>
  <c r="G8"/>
  <c r="H8" s="1"/>
  <c r="J8" s="1"/>
  <c r="J7"/>
  <c r="H7"/>
  <c r="H6"/>
  <c r="J6" s="1"/>
  <c r="H5"/>
  <c r="J5" s="1"/>
  <c r="H4"/>
  <c r="J4" s="1"/>
  <c r="H3"/>
  <c r="J3" s="1"/>
  <c r="F10" l="1"/>
  <c r="J10"/>
  <c r="G10"/>
  <c r="H10"/>
  <c r="J89" i="30"/>
  <c r="J77"/>
  <c r="J66"/>
  <c r="J55"/>
  <c r="J44"/>
  <c r="J26"/>
  <c r="J17"/>
  <c r="J3"/>
  <c r="H86"/>
  <c r="I81"/>
  <c r="I80"/>
  <c r="I79"/>
  <c r="I78"/>
  <c r="I77"/>
  <c r="I82" s="1"/>
  <c r="H74"/>
  <c r="I68"/>
  <c r="I67"/>
  <c r="I66"/>
  <c r="I69" s="1"/>
  <c r="I63"/>
  <c r="I58"/>
  <c r="I57"/>
  <c r="I56"/>
  <c r="I55"/>
  <c r="I59" s="1"/>
  <c r="I49"/>
  <c r="H48"/>
  <c r="H47"/>
  <c r="G46"/>
  <c r="H46" s="1"/>
  <c r="I45"/>
  <c r="I44"/>
  <c r="I37"/>
  <c r="H36"/>
  <c r="I35"/>
  <c r="I34"/>
  <c r="I33"/>
  <c r="I38" s="1"/>
  <c r="H20"/>
  <c r="I20" s="1"/>
  <c r="I24" s="1"/>
  <c r="I19"/>
  <c r="I17"/>
  <c r="I14"/>
  <c r="H9"/>
  <c r="I7"/>
  <c r="H6"/>
  <c r="I5"/>
  <c r="I10" s="1"/>
  <c r="I4"/>
  <c r="H3"/>
  <c r="AJ9" i="37"/>
  <c r="AE8"/>
  <c r="AD8"/>
  <c r="AE7"/>
  <c r="AD7"/>
  <c r="AE6"/>
  <c r="AA6"/>
  <c r="AD6" s="1"/>
  <c r="Z6"/>
  <c r="AE5"/>
  <c r="AA5"/>
  <c r="AD5" s="1"/>
  <c r="Z5"/>
  <c r="AE4"/>
  <c r="W4"/>
  <c r="T4"/>
  <c r="Q4"/>
  <c r="N4"/>
  <c r="K4"/>
  <c r="H4"/>
  <c r="AD4" s="1"/>
  <c r="G4"/>
  <c r="AE3"/>
  <c r="W3"/>
  <c r="T3"/>
  <c r="Q3"/>
  <c r="N3"/>
  <c r="K3"/>
  <c r="H3"/>
  <c r="AD3" s="1"/>
  <c r="G3"/>
  <c r="J10" i="25"/>
  <c r="H11" i="30" l="1"/>
  <c r="I11" s="1"/>
  <c r="I15" s="1"/>
  <c r="I16" s="1"/>
  <c r="I43"/>
  <c r="H39"/>
  <c r="I39" s="1"/>
  <c r="I42" s="1"/>
  <c r="H70"/>
  <c r="I70" s="1"/>
  <c r="I75" s="1"/>
  <c r="I76" s="1"/>
  <c r="I88"/>
  <c r="H83"/>
  <c r="I83" s="1"/>
  <c r="I87" s="1"/>
  <c r="H60"/>
  <c r="I60" s="1"/>
  <c r="I64" s="1"/>
  <c r="I65" s="1"/>
  <c r="I25"/>
  <c r="I54"/>
  <c r="H50"/>
  <c r="I50" s="1"/>
  <c r="I53" s="1"/>
  <c r="H64" i="26" l="1"/>
  <c r="H63"/>
  <c r="H62"/>
  <c r="H61"/>
  <c r="H59"/>
  <c r="H58"/>
  <c r="H57"/>
  <c r="H56"/>
  <c r="H55"/>
  <c r="H54"/>
  <c r="H53"/>
  <c r="H52"/>
  <c r="H51"/>
  <c r="H50"/>
  <c r="H49"/>
  <c r="H48"/>
  <c r="H47"/>
  <c r="H46"/>
  <c r="H45"/>
  <c r="H44"/>
  <c r="H43"/>
  <c r="H42"/>
  <c r="H41"/>
  <c r="H40"/>
  <c r="H39"/>
  <c r="H38"/>
  <c r="H37"/>
  <c r="H36"/>
  <c r="H35"/>
  <c r="H34"/>
  <c r="H33"/>
  <c r="H32"/>
  <c r="H31"/>
  <c r="H30"/>
  <c r="H29"/>
  <c r="H28"/>
  <c r="H27"/>
  <c r="H26"/>
  <c r="H25"/>
  <c r="H24"/>
  <c r="H23"/>
  <c r="H22"/>
  <c r="H21"/>
  <c r="H20"/>
  <c r="H19"/>
  <c r="H18"/>
  <c r="H17"/>
  <c r="H16"/>
  <c r="H15"/>
  <c r="H14"/>
  <c r="H13"/>
  <c r="H12"/>
  <c r="H11"/>
  <c r="H10"/>
  <c r="H9"/>
  <c r="H8"/>
  <c r="H7"/>
  <c r="H6"/>
  <c r="H5"/>
  <c r="H4"/>
  <c r="K9" i="25"/>
  <c r="K8"/>
  <c r="K7"/>
  <c r="K6"/>
  <c r="K5"/>
  <c r="K4"/>
  <c r="K3"/>
  <c r="G4" i="24"/>
  <c r="G3"/>
  <c r="I4" i="23"/>
  <c r="I3"/>
  <c r="H11" i="22"/>
  <c r="C8" i="38" s="1"/>
  <c r="G17" i="21"/>
  <c r="G16"/>
  <c r="G15"/>
  <c r="G14"/>
  <c r="G13"/>
  <c r="G12"/>
  <c r="G11"/>
  <c r="G10"/>
  <c r="G9"/>
  <c r="G8"/>
  <c r="G7"/>
  <c r="G6"/>
  <c r="G5"/>
  <c r="G4"/>
  <c r="G3"/>
  <c r="I13" i="20"/>
  <c r="I12"/>
  <c r="I11"/>
  <c r="I10"/>
  <c r="I9"/>
  <c r="I8"/>
  <c r="I7"/>
  <c r="I6"/>
  <c r="I5"/>
  <c r="I4"/>
  <c r="I3"/>
  <c r="G5" i="24" l="1"/>
  <c r="I5" i="23"/>
  <c r="G18" i="21"/>
  <c r="I14" i="20"/>
  <c r="F60" i="26"/>
  <c r="H60" s="1"/>
  <c r="F65"/>
  <c r="H65" s="1"/>
  <c r="F66" s="1"/>
  <c r="K10" i="25"/>
  <c r="C4" i="38" s="1"/>
  <c r="C13" s="1"/>
  <c r="H66" i="26" l="1"/>
  <c r="F67"/>
  <c r="H67" s="1"/>
  <c r="H68" l="1"/>
  <c r="H69" s="1"/>
  <c r="G126" i="10" l="1"/>
  <c r="G125"/>
  <c r="G109"/>
  <c r="G101"/>
  <c r="G95"/>
  <c r="G74"/>
  <c r="G54"/>
  <c r="G35"/>
  <c r="G22"/>
  <c r="G13"/>
  <c r="G4"/>
  <c r="G5"/>
  <c r="G6"/>
  <c r="G7"/>
  <c r="G8"/>
  <c r="G9"/>
  <c r="G10"/>
  <c r="G11"/>
  <c r="G12"/>
  <c r="G14"/>
  <c r="G15"/>
  <c r="G16"/>
  <c r="G17"/>
  <c r="G18"/>
  <c r="G19"/>
  <c r="G20"/>
  <c r="G21"/>
  <c r="G23"/>
  <c r="G24"/>
  <c r="G25"/>
  <c r="G26"/>
  <c r="G27"/>
  <c r="G28"/>
  <c r="G29"/>
  <c r="G30"/>
  <c r="G31"/>
  <c r="G32"/>
  <c r="G33"/>
  <c r="G34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55"/>
  <c r="G56"/>
  <c r="G57"/>
  <c r="G58"/>
  <c r="G59"/>
  <c r="G60"/>
  <c r="G61"/>
  <c r="G62"/>
  <c r="G63"/>
  <c r="G64"/>
  <c r="G65"/>
  <c r="G66"/>
  <c r="G67"/>
  <c r="G68"/>
  <c r="G69"/>
  <c r="G70"/>
  <c r="G71"/>
  <c r="G72"/>
  <c r="G73"/>
  <c r="G75"/>
  <c r="G76"/>
  <c r="G77"/>
  <c r="G78"/>
  <c r="G79"/>
  <c r="G80"/>
  <c r="G81"/>
  <c r="G82"/>
  <c r="G83"/>
  <c r="G84"/>
  <c r="G85"/>
  <c r="G86"/>
  <c r="G87"/>
  <c r="G88"/>
  <c r="G89"/>
  <c r="G90"/>
  <c r="G91"/>
  <c r="G92"/>
  <c r="G93"/>
  <c r="G94"/>
  <c r="G96"/>
  <c r="G97"/>
  <c r="G98"/>
  <c r="G99"/>
  <c r="G100"/>
  <c r="G102"/>
  <c r="G103"/>
  <c r="G104"/>
  <c r="G105"/>
  <c r="G106"/>
  <c r="G107"/>
  <c r="G108"/>
  <c r="G110"/>
  <c r="G111"/>
  <c r="G112"/>
  <c r="G113"/>
  <c r="G114"/>
  <c r="G115"/>
  <c r="G116"/>
  <c r="G117"/>
  <c r="G118"/>
  <c r="G119"/>
  <c r="G120"/>
  <c r="G121"/>
  <c r="G122"/>
  <c r="G123"/>
  <c r="G124"/>
  <c r="G3"/>
  <c r="F106" i="18"/>
  <c r="G129" l="1"/>
  <c r="H129"/>
  <c r="J129"/>
  <c r="K129"/>
  <c r="L129"/>
  <c r="M129"/>
  <c r="O129"/>
  <c r="P129"/>
  <c r="G128"/>
  <c r="H128"/>
  <c r="I128"/>
  <c r="J128"/>
  <c r="K128"/>
  <c r="L128"/>
  <c r="M128"/>
  <c r="N128"/>
  <c r="O128"/>
  <c r="P128"/>
  <c r="Q128"/>
  <c r="F128"/>
  <c r="G117"/>
  <c r="H117"/>
  <c r="J117"/>
  <c r="K117"/>
  <c r="L117"/>
  <c r="M117"/>
  <c r="O117"/>
  <c r="P117"/>
  <c r="F117"/>
  <c r="F129" s="1"/>
  <c r="G101"/>
  <c r="H101"/>
  <c r="I101"/>
  <c r="J101"/>
  <c r="K101"/>
  <c r="L101"/>
  <c r="M101"/>
  <c r="N101"/>
  <c r="O101"/>
  <c r="P101"/>
  <c r="Q101"/>
  <c r="F101"/>
  <c r="G92"/>
  <c r="H92"/>
  <c r="I92"/>
  <c r="J92"/>
  <c r="K92"/>
  <c r="L92"/>
  <c r="M92"/>
  <c r="N92"/>
  <c r="O92"/>
  <c r="P92"/>
  <c r="Q92"/>
  <c r="F92"/>
  <c r="G79"/>
  <c r="H79"/>
  <c r="I79"/>
  <c r="J79"/>
  <c r="K79"/>
  <c r="L79"/>
  <c r="M79"/>
  <c r="N79"/>
  <c r="O79"/>
  <c r="P79"/>
  <c r="Q79"/>
  <c r="F79"/>
  <c r="G59"/>
  <c r="H59"/>
  <c r="I59"/>
  <c r="J59"/>
  <c r="K59"/>
  <c r="L59"/>
  <c r="M59"/>
  <c r="N59"/>
  <c r="O59"/>
  <c r="P59"/>
  <c r="Q59"/>
  <c r="F59"/>
  <c r="G38"/>
  <c r="H38"/>
  <c r="I38"/>
  <c r="J38"/>
  <c r="K38"/>
  <c r="L38"/>
  <c r="M38"/>
  <c r="N38"/>
  <c r="O38"/>
  <c r="P38"/>
  <c r="Q38"/>
  <c r="F38"/>
  <c r="G17"/>
  <c r="H17"/>
  <c r="I17"/>
  <c r="J17"/>
  <c r="K17"/>
  <c r="L17"/>
  <c r="M17"/>
  <c r="N17"/>
  <c r="O17"/>
  <c r="P17"/>
  <c r="Q17"/>
  <c r="F17"/>
  <c r="G9"/>
  <c r="H9"/>
  <c r="I9"/>
  <c r="J9"/>
  <c r="K9"/>
  <c r="L9"/>
  <c r="M9"/>
  <c r="N9"/>
  <c r="O9"/>
  <c r="P9"/>
  <c r="Q9"/>
  <c r="F9"/>
  <c r="P5"/>
  <c r="P6"/>
  <c r="P7"/>
  <c r="P8"/>
  <c r="P10"/>
  <c r="P11"/>
  <c r="P12"/>
  <c r="P13"/>
  <c r="P14"/>
  <c r="P15"/>
  <c r="P16"/>
  <c r="P18"/>
  <c r="P19"/>
  <c r="P20"/>
  <c r="P21"/>
  <c r="P22"/>
  <c r="P23"/>
  <c r="P24"/>
  <c r="P25"/>
  <c r="P26"/>
  <c r="P27"/>
  <c r="P28"/>
  <c r="P29"/>
  <c r="P30"/>
  <c r="P31"/>
  <c r="P32"/>
  <c r="P33"/>
  <c r="P34"/>
  <c r="P35"/>
  <c r="P36"/>
  <c r="P37"/>
  <c r="P39"/>
  <c r="P40"/>
  <c r="P41"/>
  <c r="P42"/>
  <c r="P43"/>
  <c r="P44"/>
  <c r="P45"/>
  <c r="P46"/>
  <c r="P47"/>
  <c r="P48"/>
  <c r="P49"/>
  <c r="P50"/>
  <c r="P51"/>
  <c r="P52"/>
  <c r="P53"/>
  <c r="P54"/>
  <c r="P55"/>
  <c r="P56"/>
  <c r="P57"/>
  <c r="P58"/>
  <c r="P60"/>
  <c r="P61"/>
  <c r="P62"/>
  <c r="P63"/>
  <c r="P64"/>
  <c r="P65"/>
  <c r="P66"/>
  <c r="P67"/>
  <c r="P68"/>
  <c r="P69"/>
  <c r="P70"/>
  <c r="P71"/>
  <c r="P72"/>
  <c r="P73"/>
  <c r="P74"/>
  <c r="P75"/>
  <c r="P76"/>
  <c r="P77"/>
  <c r="P78"/>
  <c r="P80"/>
  <c r="P81"/>
  <c r="P82"/>
  <c r="P83"/>
  <c r="P84"/>
  <c r="P85"/>
  <c r="P86"/>
  <c r="P87"/>
  <c r="P88"/>
  <c r="P89"/>
  <c r="P90"/>
  <c r="P91"/>
  <c r="P93"/>
  <c r="P94"/>
  <c r="P95"/>
  <c r="P96"/>
  <c r="P97"/>
  <c r="P98"/>
  <c r="P99"/>
  <c r="P100"/>
  <c r="P102"/>
  <c r="P103"/>
  <c r="P104"/>
  <c r="P105"/>
  <c r="P106"/>
  <c r="P107"/>
  <c r="P108"/>
  <c r="P109"/>
  <c r="P110"/>
  <c r="P111"/>
  <c r="P112"/>
  <c r="P113"/>
  <c r="P114"/>
  <c r="P115"/>
  <c r="P116"/>
  <c r="P118"/>
  <c r="P119"/>
  <c r="P120"/>
  <c r="P121"/>
  <c r="P122"/>
  <c r="P123"/>
  <c r="P124"/>
  <c r="P125"/>
  <c r="P126"/>
  <c r="P127"/>
  <c r="O5"/>
  <c r="O6"/>
  <c r="O7"/>
  <c r="O8"/>
  <c r="O10"/>
  <c r="O11"/>
  <c r="O12"/>
  <c r="O13"/>
  <c r="O14"/>
  <c r="O15"/>
  <c r="O16"/>
  <c r="O18"/>
  <c r="O19"/>
  <c r="O20"/>
  <c r="O21"/>
  <c r="O22"/>
  <c r="O23"/>
  <c r="O24"/>
  <c r="O25"/>
  <c r="O26"/>
  <c r="O27"/>
  <c r="O28"/>
  <c r="O29"/>
  <c r="O30"/>
  <c r="O31"/>
  <c r="O32"/>
  <c r="O33"/>
  <c r="O34"/>
  <c r="O35"/>
  <c r="O36"/>
  <c r="O37"/>
  <c r="O39"/>
  <c r="O40"/>
  <c r="O41"/>
  <c r="O42"/>
  <c r="O43"/>
  <c r="O44"/>
  <c r="O45"/>
  <c r="O46"/>
  <c r="O47"/>
  <c r="O48"/>
  <c r="O49"/>
  <c r="O50"/>
  <c r="O51"/>
  <c r="O52"/>
  <c r="O53"/>
  <c r="O54"/>
  <c r="O55"/>
  <c r="O56"/>
  <c r="O57"/>
  <c r="O58"/>
  <c r="O60"/>
  <c r="O61"/>
  <c r="O62"/>
  <c r="O63"/>
  <c r="O64"/>
  <c r="O65"/>
  <c r="O66"/>
  <c r="O67"/>
  <c r="O68"/>
  <c r="O69"/>
  <c r="O70"/>
  <c r="O71"/>
  <c r="O72"/>
  <c r="O73"/>
  <c r="O74"/>
  <c r="O75"/>
  <c r="O76"/>
  <c r="O77"/>
  <c r="O78"/>
  <c r="O80"/>
  <c r="O81"/>
  <c r="O82"/>
  <c r="O83"/>
  <c r="O84"/>
  <c r="O85"/>
  <c r="O86"/>
  <c r="O87"/>
  <c r="O88"/>
  <c r="O89"/>
  <c r="O90"/>
  <c r="O91"/>
  <c r="O93"/>
  <c r="O94"/>
  <c r="O95"/>
  <c r="O96"/>
  <c r="O97"/>
  <c r="O98"/>
  <c r="O100"/>
  <c r="O102"/>
  <c r="O103"/>
  <c r="O104"/>
  <c r="O105"/>
  <c r="O106"/>
  <c r="O107"/>
  <c r="O108"/>
  <c r="O109"/>
  <c r="O110"/>
  <c r="O111"/>
  <c r="O112"/>
  <c r="O113"/>
  <c r="O114"/>
  <c r="O115"/>
  <c r="O116"/>
  <c r="O118"/>
  <c r="O119"/>
  <c r="O120"/>
  <c r="O121"/>
  <c r="O122"/>
  <c r="O123"/>
  <c r="O124"/>
  <c r="O125"/>
  <c r="O126"/>
  <c r="O127"/>
  <c r="N5"/>
  <c r="N6"/>
  <c r="N7"/>
  <c r="N8"/>
  <c r="N10"/>
  <c r="N11"/>
  <c r="N12"/>
  <c r="N13"/>
  <c r="N14"/>
  <c r="N15"/>
  <c r="N16"/>
  <c r="N18"/>
  <c r="N19"/>
  <c r="N20"/>
  <c r="N21"/>
  <c r="N22"/>
  <c r="N23"/>
  <c r="N24"/>
  <c r="N25"/>
  <c r="N26"/>
  <c r="N27"/>
  <c r="N28"/>
  <c r="N29"/>
  <c r="N30"/>
  <c r="N31"/>
  <c r="N32"/>
  <c r="N33"/>
  <c r="N34"/>
  <c r="N35"/>
  <c r="N36"/>
  <c r="N37"/>
  <c r="N39"/>
  <c r="N40"/>
  <c r="N41"/>
  <c r="N42"/>
  <c r="N43"/>
  <c r="N44"/>
  <c r="N45"/>
  <c r="N46"/>
  <c r="N47"/>
  <c r="N48"/>
  <c r="N49"/>
  <c r="N50"/>
  <c r="N51"/>
  <c r="N52"/>
  <c r="N53"/>
  <c r="N54"/>
  <c r="N55"/>
  <c r="N56"/>
  <c r="N57"/>
  <c r="N58"/>
  <c r="N60"/>
  <c r="N61"/>
  <c r="N62"/>
  <c r="N63"/>
  <c r="N64"/>
  <c r="N65"/>
  <c r="N66"/>
  <c r="N67"/>
  <c r="N68"/>
  <c r="N69"/>
  <c r="N70"/>
  <c r="N71"/>
  <c r="N72"/>
  <c r="N73"/>
  <c r="N74"/>
  <c r="N75"/>
  <c r="N76"/>
  <c r="N77"/>
  <c r="N78"/>
  <c r="N80"/>
  <c r="N81"/>
  <c r="N82"/>
  <c r="N83"/>
  <c r="N84"/>
  <c r="N85"/>
  <c r="N86"/>
  <c r="N87"/>
  <c r="N88"/>
  <c r="N89"/>
  <c r="N90"/>
  <c r="N91"/>
  <c r="N93"/>
  <c r="N94"/>
  <c r="N95"/>
  <c r="N96"/>
  <c r="N97"/>
  <c r="N98"/>
  <c r="N100"/>
  <c r="N102"/>
  <c r="N103"/>
  <c r="N104"/>
  <c r="N105"/>
  <c r="N106"/>
  <c r="N117" s="1"/>
  <c r="N129" s="1"/>
  <c r="N107"/>
  <c r="N108"/>
  <c r="N109"/>
  <c r="N110"/>
  <c r="N111"/>
  <c r="N112"/>
  <c r="N113"/>
  <c r="N114"/>
  <c r="N115"/>
  <c r="N116"/>
  <c r="N118"/>
  <c r="N119"/>
  <c r="N120"/>
  <c r="N121"/>
  <c r="N122"/>
  <c r="N123"/>
  <c r="N124"/>
  <c r="N125"/>
  <c r="N126"/>
  <c r="N127"/>
  <c r="O4"/>
  <c r="P4"/>
  <c r="N4"/>
  <c r="M5"/>
  <c r="M6"/>
  <c r="M7"/>
  <c r="M8"/>
  <c r="M10"/>
  <c r="M11"/>
  <c r="M12"/>
  <c r="M13"/>
  <c r="M14"/>
  <c r="M15"/>
  <c r="M16"/>
  <c r="M18"/>
  <c r="M19"/>
  <c r="M20"/>
  <c r="M21"/>
  <c r="M22"/>
  <c r="M23"/>
  <c r="M24"/>
  <c r="M25"/>
  <c r="M26"/>
  <c r="M27"/>
  <c r="M28"/>
  <c r="M29"/>
  <c r="M30"/>
  <c r="M31"/>
  <c r="M32"/>
  <c r="M33"/>
  <c r="M34"/>
  <c r="M35"/>
  <c r="M36"/>
  <c r="M37"/>
  <c r="M39"/>
  <c r="M40"/>
  <c r="M41"/>
  <c r="M42"/>
  <c r="M43"/>
  <c r="M44"/>
  <c r="M45"/>
  <c r="M46"/>
  <c r="M47"/>
  <c r="M48"/>
  <c r="M49"/>
  <c r="M50"/>
  <c r="M51"/>
  <c r="M52"/>
  <c r="M53"/>
  <c r="M54"/>
  <c r="M55"/>
  <c r="M56"/>
  <c r="M57"/>
  <c r="M58"/>
  <c r="M60"/>
  <c r="M61"/>
  <c r="M62"/>
  <c r="M63"/>
  <c r="M64"/>
  <c r="M65"/>
  <c r="M66"/>
  <c r="M67"/>
  <c r="M68"/>
  <c r="M69"/>
  <c r="M70"/>
  <c r="M71"/>
  <c r="M72"/>
  <c r="M73"/>
  <c r="M74"/>
  <c r="M75"/>
  <c r="M76"/>
  <c r="M77"/>
  <c r="M78"/>
  <c r="M80"/>
  <c r="M81"/>
  <c r="M82"/>
  <c r="M83"/>
  <c r="M84"/>
  <c r="M85"/>
  <c r="M86"/>
  <c r="M87"/>
  <c r="M88"/>
  <c r="M89"/>
  <c r="M90"/>
  <c r="M91"/>
  <c r="M93"/>
  <c r="M94"/>
  <c r="M95"/>
  <c r="M96"/>
  <c r="M97"/>
  <c r="M98"/>
  <c r="M99"/>
  <c r="M100"/>
  <c r="M102"/>
  <c r="M103"/>
  <c r="M104"/>
  <c r="M105"/>
  <c r="M106"/>
  <c r="M107"/>
  <c r="M108"/>
  <c r="M109"/>
  <c r="M110"/>
  <c r="M111"/>
  <c r="M112"/>
  <c r="M113"/>
  <c r="M114"/>
  <c r="M115"/>
  <c r="M116"/>
  <c r="M118"/>
  <c r="M119"/>
  <c r="M120"/>
  <c r="M121"/>
  <c r="M122"/>
  <c r="M123"/>
  <c r="M124"/>
  <c r="M125"/>
  <c r="M126"/>
  <c r="M127"/>
  <c r="M4"/>
  <c r="I5" l="1"/>
  <c r="Q5" s="1"/>
  <c r="I6"/>
  <c r="Q6" s="1"/>
  <c r="I7"/>
  <c r="Q7" s="1"/>
  <c r="I8"/>
  <c r="Q8" s="1"/>
  <c r="I10"/>
  <c r="Q10" s="1"/>
  <c r="I11"/>
  <c r="Q11" s="1"/>
  <c r="I12"/>
  <c r="Q12" s="1"/>
  <c r="I13"/>
  <c r="Q13" s="1"/>
  <c r="I14"/>
  <c r="Q14" s="1"/>
  <c r="I15"/>
  <c r="Q15" s="1"/>
  <c r="I16"/>
  <c r="Q16" s="1"/>
  <c r="I18"/>
  <c r="Q18" s="1"/>
  <c r="I19"/>
  <c r="Q19" s="1"/>
  <c r="I20"/>
  <c r="Q20" s="1"/>
  <c r="I21"/>
  <c r="Q21" s="1"/>
  <c r="I22"/>
  <c r="Q22" s="1"/>
  <c r="I23"/>
  <c r="Q23" s="1"/>
  <c r="I24"/>
  <c r="Q24" s="1"/>
  <c r="I25"/>
  <c r="Q25" s="1"/>
  <c r="I26"/>
  <c r="Q26" s="1"/>
  <c r="I27"/>
  <c r="Q27" s="1"/>
  <c r="I28"/>
  <c r="Q28" s="1"/>
  <c r="I29"/>
  <c r="Q29" s="1"/>
  <c r="I30"/>
  <c r="Q30" s="1"/>
  <c r="I31"/>
  <c r="Q31" s="1"/>
  <c r="I32"/>
  <c r="Q32" s="1"/>
  <c r="I33"/>
  <c r="Q33" s="1"/>
  <c r="I34"/>
  <c r="Q34" s="1"/>
  <c r="I35"/>
  <c r="Q35" s="1"/>
  <c r="I36"/>
  <c r="Q36" s="1"/>
  <c r="I37"/>
  <c r="Q37" s="1"/>
  <c r="I39"/>
  <c r="Q39" s="1"/>
  <c r="I40"/>
  <c r="Q40" s="1"/>
  <c r="I41"/>
  <c r="Q41" s="1"/>
  <c r="I42"/>
  <c r="Q42" s="1"/>
  <c r="I43"/>
  <c r="Q43" s="1"/>
  <c r="I44"/>
  <c r="Q44" s="1"/>
  <c r="I45"/>
  <c r="Q45" s="1"/>
  <c r="I46"/>
  <c r="Q46" s="1"/>
  <c r="I47"/>
  <c r="Q47" s="1"/>
  <c r="I48"/>
  <c r="Q48" s="1"/>
  <c r="I49"/>
  <c r="Q49" s="1"/>
  <c r="I50"/>
  <c r="Q50" s="1"/>
  <c r="I51"/>
  <c r="Q51" s="1"/>
  <c r="I52"/>
  <c r="Q52" s="1"/>
  <c r="I53"/>
  <c r="Q53" s="1"/>
  <c r="I54"/>
  <c r="Q54" s="1"/>
  <c r="I55"/>
  <c r="Q55" s="1"/>
  <c r="I56"/>
  <c r="Q56" s="1"/>
  <c r="I57"/>
  <c r="Q57" s="1"/>
  <c r="I58"/>
  <c r="Q58" s="1"/>
  <c r="I60"/>
  <c r="Q60" s="1"/>
  <c r="I61"/>
  <c r="Q61" s="1"/>
  <c r="I62"/>
  <c r="Q62" s="1"/>
  <c r="I63"/>
  <c r="Q63" s="1"/>
  <c r="I64"/>
  <c r="Q64" s="1"/>
  <c r="I65"/>
  <c r="Q65" s="1"/>
  <c r="I66"/>
  <c r="Q66" s="1"/>
  <c r="I67"/>
  <c r="Q67" s="1"/>
  <c r="I68"/>
  <c r="Q68" s="1"/>
  <c r="I69"/>
  <c r="Q69" s="1"/>
  <c r="I70"/>
  <c r="Q70" s="1"/>
  <c r="I71"/>
  <c r="Q71" s="1"/>
  <c r="I72"/>
  <c r="Q72" s="1"/>
  <c r="I73"/>
  <c r="Q73" s="1"/>
  <c r="I74"/>
  <c r="Q74" s="1"/>
  <c r="I75"/>
  <c r="Q75" s="1"/>
  <c r="I76"/>
  <c r="Q76" s="1"/>
  <c r="I77"/>
  <c r="Q77" s="1"/>
  <c r="I78"/>
  <c r="Q78" s="1"/>
  <c r="I80"/>
  <c r="Q80" s="1"/>
  <c r="I81"/>
  <c r="Q81" s="1"/>
  <c r="I82"/>
  <c r="Q82" s="1"/>
  <c r="I83"/>
  <c r="Q83" s="1"/>
  <c r="I84"/>
  <c r="Q84" s="1"/>
  <c r="I85"/>
  <c r="Q85" s="1"/>
  <c r="I86"/>
  <c r="Q86" s="1"/>
  <c r="I87"/>
  <c r="Q87" s="1"/>
  <c r="I88"/>
  <c r="Q88" s="1"/>
  <c r="I89"/>
  <c r="Q89" s="1"/>
  <c r="I90"/>
  <c r="Q90" s="1"/>
  <c r="I91"/>
  <c r="Q91" s="1"/>
  <c r="I93"/>
  <c r="Q93" s="1"/>
  <c r="I94"/>
  <c r="Q94" s="1"/>
  <c r="I95"/>
  <c r="Q95" s="1"/>
  <c r="I96"/>
  <c r="Q96" s="1"/>
  <c r="I97"/>
  <c r="Q97" s="1"/>
  <c r="I98"/>
  <c r="Q98" s="1"/>
  <c r="I100"/>
  <c r="Q100" s="1"/>
  <c r="I102"/>
  <c r="Q102" s="1"/>
  <c r="I103"/>
  <c r="Q103" s="1"/>
  <c r="I104"/>
  <c r="Q104" s="1"/>
  <c r="I105"/>
  <c r="Q105" s="1"/>
  <c r="I106"/>
  <c r="I107"/>
  <c r="Q107" s="1"/>
  <c r="I108"/>
  <c r="Q108" s="1"/>
  <c r="I109"/>
  <c r="Q109" s="1"/>
  <c r="I110"/>
  <c r="Q110" s="1"/>
  <c r="I111"/>
  <c r="Q111" s="1"/>
  <c r="I112"/>
  <c r="Q112" s="1"/>
  <c r="I113"/>
  <c r="Q113" s="1"/>
  <c r="I114"/>
  <c r="Q114" s="1"/>
  <c r="I115"/>
  <c r="Q115" s="1"/>
  <c r="I116"/>
  <c r="Q116" s="1"/>
  <c r="I118"/>
  <c r="Q118" s="1"/>
  <c r="I119"/>
  <c r="Q119" s="1"/>
  <c r="I120"/>
  <c r="Q120" s="1"/>
  <c r="I121"/>
  <c r="Q121" s="1"/>
  <c r="I122"/>
  <c r="Q122" s="1"/>
  <c r="I123"/>
  <c r="Q123" s="1"/>
  <c r="I124"/>
  <c r="Q124" s="1"/>
  <c r="I125"/>
  <c r="Q125" s="1"/>
  <c r="I126"/>
  <c r="Q126" s="1"/>
  <c r="I127"/>
  <c r="Q127" s="1"/>
  <c r="I4"/>
  <c r="Q4" s="1"/>
  <c r="G99"/>
  <c r="O99" s="1"/>
  <c r="F99"/>
  <c r="N99" s="1"/>
  <c r="S4" i="17"/>
  <c r="Q5"/>
  <c r="P5"/>
  <c r="O5"/>
  <c r="N5"/>
  <c r="L5"/>
  <c r="K5"/>
  <c r="J5"/>
  <c r="I5"/>
  <c r="G5"/>
  <c r="F5"/>
  <c r="E5"/>
  <c r="D5"/>
  <c r="R4"/>
  <c r="U4" s="1"/>
  <c r="U5" s="1"/>
  <c r="M4"/>
  <c r="M5" s="1"/>
  <c r="H4"/>
  <c r="H5" s="1"/>
  <c r="Q106" i="18" l="1"/>
  <c r="Q117" s="1"/>
  <c r="I117"/>
  <c r="I129" s="1"/>
  <c r="I99"/>
  <c r="Q99" s="1"/>
  <c r="S5" i="17"/>
  <c r="T4"/>
  <c r="T5" s="1"/>
  <c r="R5"/>
  <c r="X4"/>
  <c r="X5" s="1"/>
  <c r="W4"/>
  <c r="W5" s="1"/>
  <c r="V4"/>
  <c r="V5" s="1"/>
  <c r="Y4"/>
  <c r="Y5" s="1"/>
  <c r="Q129" i="18" l="1"/>
  <c r="Z4" i="17"/>
  <c r="Z5"/>
  <c r="AA4" l="1"/>
  <c r="AA5" s="1"/>
  <c r="F107" i="16" l="1"/>
  <c r="G107"/>
  <c r="H107"/>
  <c r="I107"/>
  <c r="J107"/>
  <c r="K107"/>
  <c r="L107"/>
  <c r="M107"/>
  <c r="E107"/>
  <c r="O12" i="8"/>
  <c r="P12"/>
  <c r="Q12"/>
  <c r="R12"/>
  <c r="S12"/>
  <c r="F12"/>
  <c r="G12"/>
  <c r="H12"/>
  <c r="I12"/>
  <c r="J12"/>
  <c r="K12"/>
  <c r="L12"/>
  <c r="M12"/>
  <c r="N12"/>
  <c r="E12"/>
  <c r="F12" i="3"/>
  <c r="G12"/>
  <c r="H12"/>
  <c r="I12"/>
  <c r="J12"/>
  <c r="K12"/>
  <c r="L12"/>
  <c r="E12"/>
  <c r="N106" i="16"/>
  <c r="N105"/>
  <c r="N104"/>
  <c r="N103"/>
  <c r="N102"/>
  <c r="N101"/>
  <c r="N100"/>
  <c r="N99"/>
  <c r="N98"/>
  <c r="N97"/>
  <c r="N96"/>
  <c r="N95"/>
  <c r="N94"/>
  <c r="N93"/>
  <c r="N92"/>
  <c r="N91"/>
  <c r="N90"/>
  <c r="N89"/>
  <c r="N88"/>
  <c r="N87"/>
  <c r="N86"/>
  <c r="N85"/>
  <c r="N84"/>
  <c r="N83"/>
  <c r="N82"/>
  <c r="N81"/>
  <c r="N80"/>
  <c r="N79"/>
  <c r="N78"/>
  <c r="N77"/>
  <c r="N76"/>
  <c r="N75"/>
  <c r="N74"/>
  <c r="N73"/>
  <c r="N72"/>
  <c r="N71"/>
  <c r="N70"/>
  <c r="N69"/>
  <c r="N68"/>
  <c r="N67"/>
  <c r="N66"/>
  <c r="N65"/>
  <c r="N64"/>
  <c r="N63"/>
  <c r="N62"/>
  <c r="N61"/>
  <c r="N60"/>
  <c r="N59"/>
  <c r="N58"/>
  <c r="N57"/>
  <c r="N56"/>
  <c r="N55"/>
  <c r="N54"/>
  <c r="N53"/>
  <c r="N52"/>
  <c r="N51"/>
  <c r="N50"/>
  <c r="N49"/>
  <c r="N48"/>
  <c r="N47"/>
  <c r="N46"/>
  <c r="N45"/>
  <c r="N44"/>
  <c r="N43"/>
  <c r="N42"/>
  <c r="N41"/>
  <c r="N40"/>
  <c r="N39"/>
  <c r="N38"/>
  <c r="N37"/>
  <c r="N36"/>
  <c r="N35"/>
  <c r="N34"/>
  <c r="N33"/>
  <c r="N32"/>
  <c r="N31"/>
  <c r="N30"/>
  <c r="N29"/>
  <c r="N28"/>
  <c r="N27"/>
  <c r="N26"/>
  <c r="N25"/>
  <c r="N24"/>
  <c r="N23"/>
  <c r="N22"/>
  <c r="N21"/>
  <c r="N20"/>
  <c r="N19"/>
  <c r="N18"/>
  <c r="N17"/>
  <c r="N16"/>
  <c r="N15"/>
  <c r="N14"/>
  <c r="N13"/>
  <c r="N12"/>
  <c r="N11"/>
  <c r="N10"/>
  <c r="N9"/>
  <c r="N8"/>
  <c r="N7"/>
  <c r="N6"/>
  <c r="N5"/>
  <c r="N4"/>
  <c r="N3"/>
  <c r="F30" i="2"/>
  <c r="G30"/>
  <c r="H30"/>
  <c r="I30"/>
  <c r="J30"/>
  <c r="K30"/>
  <c r="L30"/>
  <c r="M30"/>
  <c r="N30"/>
  <c r="E30"/>
  <c r="N30" i="8"/>
  <c r="O30"/>
  <c r="P30"/>
  <c r="Q30"/>
  <c r="R30"/>
  <c r="S30"/>
  <c r="F30"/>
  <c r="G30"/>
  <c r="H30"/>
  <c r="I30"/>
  <c r="J30"/>
  <c r="K30"/>
  <c r="L30"/>
  <c r="M30"/>
  <c r="E30"/>
  <c r="F30" i="3"/>
  <c r="G30"/>
  <c r="H30"/>
  <c r="I30"/>
  <c r="J30"/>
  <c r="K30"/>
  <c r="L30"/>
  <c r="E30"/>
  <c r="O30" i="4"/>
  <c r="P30"/>
  <c r="F30"/>
  <c r="G30"/>
  <c r="H30"/>
  <c r="I30"/>
  <c r="J30"/>
  <c r="K30"/>
  <c r="L30"/>
  <c r="M30"/>
  <c r="N30"/>
  <c r="E30"/>
  <c r="T30" i="5"/>
  <c r="U30"/>
  <c r="V30"/>
  <c r="N30"/>
  <c r="O30"/>
  <c r="P30"/>
  <c r="Q30"/>
  <c r="R30"/>
  <c r="S30"/>
  <c r="F30"/>
  <c r="G30"/>
  <c r="H30"/>
  <c r="I30"/>
  <c r="J30"/>
  <c r="K30"/>
  <c r="L30"/>
  <c r="M30"/>
  <c r="E30"/>
  <c r="S30" i="11"/>
  <c r="T30"/>
  <c r="U30"/>
  <c r="V30"/>
  <c r="W30"/>
  <c r="F30"/>
  <c r="G30"/>
  <c r="H30"/>
  <c r="I30"/>
  <c r="J30"/>
  <c r="K30"/>
  <c r="L30"/>
  <c r="M30"/>
  <c r="N30"/>
  <c r="O30"/>
  <c r="P30"/>
  <c r="Q30"/>
  <c r="R30"/>
  <c r="E30"/>
  <c r="E30" i="1"/>
  <c r="F30"/>
  <c r="G30"/>
  <c r="H30"/>
  <c r="I30"/>
  <c r="J30"/>
  <c r="K30"/>
  <c r="L30"/>
  <c r="M30"/>
  <c r="N30"/>
  <c r="O30"/>
  <c r="P30"/>
  <c r="Q30"/>
  <c r="S30"/>
  <c r="T30"/>
  <c r="U30"/>
  <c r="V30"/>
  <c r="W30"/>
  <c r="X30"/>
  <c r="R30"/>
  <c r="F30" i="7"/>
  <c r="G30"/>
  <c r="H30"/>
  <c r="I30"/>
  <c r="J30"/>
  <c r="K30"/>
  <c r="E30"/>
  <c r="F30" i="6"/>
  <c r="G30"/>
  <c r="H30"/>
  <c r="I30"/>
  <c r="E30"/>
  <c r="C126" i="15"/>
  <c r="C125"/>
  <c r="C114"/>
  <c r="C98"/>
  <c r="C89"/>
  <c r="C76"/>
  <c r="C57"/>
  <c r="C37"/>
  <c r="C16"/>
  <c r="C8"/>
  <c r="I7" i="14"/>
  <c r="I6"/>
  <c r="I4"/>
  <c r="I3"/>
  <c r="N107" i="16" l="1"/>
  <c r="Y106" i="1" l="1"/>
  <c r="F16" i="11"/>
  <c r="G16"/>
  <c r="H16"/>
  <c r="I16"/>
  <c r="J16"/>
  <c r="K16"/>
  <c r="L16"/>
  <c r="M16"/>
  <c r="N16"/>
  <c r="O16"/>
  <c r="P16"/>
  <c r="Q16"/>
  <c r="R16"/>
  <c r="S16"/>
  <c r="T16"/>
  <c r="U16"/>
  <c r="W16"/>
  <c r="E16"/>
  <c r="X106"/>
  <c r="X105"/>
  <c r="X104"/>
  <c r="X103"/>
  <c r="X102"/>
  <c r="X101"/>
  <c r="X100"/>
  <c r="X99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X97"/>
  <c r="X96"/>
  <c r="X95"/>
  <c r="X94"/>
  <c r="W93"/>
  <c r="V93"/>
  <c r="U93"/>
  <c r="U77" s="1"/>
  <c r="U76" s="1"/>
  <c r="T93"/>
  <c r="T77" s="1"/>
  <c r="T76" s="1"/>
  <c r="S93"/>
  <c r="R93"/>
  <c r="Q93"/>
  <c r="Q77" s="1"/>
  <c r="Q76" s="1"/>
  <c r="P93"/>
  <c r="P77" s="1"/>
  <c r="P76" s="1"/>
  <c r="O93"/>
  <c r="N93"/>
  <c r="M93"/>
  <c r="M77" s="1"/>
  <c r="M76" s="1"/>
  <c r="L93"/>
  <c r="L77" s="1"/>
  <c r="L76" s="1"/>
  <c r="K93"/>
  <c r="J93"/>
  <c r="I93"/>
  <c r="I77" s="1"/>
  <c r="I76" s="1"/>
  <c r="H93"/>
  <c r="G93"/>
  <c r="F93"/>
  <c r="F77" s="1"/>
  <c r="F76" s="1"/>
  <c r="E93"/>
  <c r="E77" s="1"/>
  <c r="X92"/>
  <c r="X91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X89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W87"/>
  <c r="V87"/>
  <c r="U87"/>
  <c r="T87"/>
  <c r="T86" s="1"/>
  <c r="S87"/>
  <c r="S86" s="1"/>
  <c r="S82" s="1"/>
  <c r="R87"/>
  <c r="Q87"/>
  <c r="P87"/>
  <c r="P86" s="1"/>
  <c r="O87"/>
  <c r="N87"/>
  <c r="M87"/>
  <c r="L87"/>
  <c r="L86" s="1"/>
  <c r="K87"/>
  <c r="K86" s="1"/>
  <c r="K82" s="1"/>
  <c r="J87"/>
  <c r="I87"/>
  <c r="H87"/>
  <c r="H86" s="1"/>
  <c r="G87"/>
  <c r="F87"/>
  <c r="E87"/>
  <c r="W86"/>
  <c r="W82" s="1"/>
  <c r="O86"/>
  <c r="O82" s="1"/>
  <c r="G86"/>
  <c r="G82" s="1"/>
  <c r="X85"/>
  <c r="X84"/>
  <c r="W83"/>
  <c r="V83"/>
  <c r="U83"/>
  <c r="T83"/>
  <c r="S83"/>
  <c r="R83"/>
  <c r="Q83"/>
  <c r="P83"/>
  <c r="O83"/>
  <c r="N83"/>
  <c r="M83"/>
  <c r="L83"/>
  <c r="K83"/>
  <c r="J83"/>
  <c r="I83"/>
  <c r="H83"/>
  <c r="G83"/>
  <c r="F83"/>
  <c r="E83"/>
  <c r="X81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W78" s="1"/>
  <c r="V79"/>
  <c r="T79"/>
  <c r="T78" s="1"/>
  <c r="Q79"/>
  <c r="Q78" s="1"/>
  <c r="P79"/>
  <c r="O79"/>
  <c r="M79"/>
  <c r="M78" s="1"/>
  <c r="L79"/>
  <c r="L78" s="1"/>
  <c r="K79"/>
  <c r="K78" s="1"/>
  <c r="J79"/>
  <c r="I79"/>
  <c r="I78" s="1"/>
  <c r="H79"/>
  <c r="H78" s="1"/>
  <c r="E79"/>
  <c r="V78"/>
  <c r="P78"/>
  <c r="O78"/>
  <c r="J78"/>
  <c r="E78"/>
  <c r="W77"/>
  <c r="W76" s="1"/>
  <c r="V77"/>
  <c r="S77"/>
  <c r="S76" s="1"/>
  <c r="R77"/>
  <c r="O77"/>
  <c r="O76" s="1"/>
  <c r="N77"/>
  <c r="K77"/>
  <c r="K76" s="1"/>
  <c r="J77"/>
  <c r="J76" s="1"/>
  <c r="G77"/>
  <c r="G76" s="1"/>
  <c r="V76"/>
  <c r="R76"/>
  <c r="N76"/>
  <c r="X75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3"/>
  <c r="V73"/>
  <c r="U73"/>
  <c r="U72" s="1"/>
  <c r="T73"/>
  <c r="T72" s="1"/>
  <c r="S73"/>
  <c r="S72" s="1"/>
  <c r="R73"/>
  <c r="Q73"/>
  <c r="Q72" s="1"/>
  <c r="P73"/>
  <c r="P72" s="1"/>
  <c r="O73"/>
  <c r="O72" s="1"/>
  <c r="N73"/>
  <c r="N72" s="1"/>
  <c r="M73"/>
  <c r="M72" s="1"/>
  <c r="L73"/>
  <c r="K73"/>
  <c r="J73"/>
  <c r="I73"/>
  <c r="I72" s="1"/>
  <c r="H73"/>
  <c r="H72" s="1"/>
  <c r="G73"/>
  <c r="F73"/>
  <c r="E73"/>
  <c r="W72"/>
  <c r="V72"/>
  <c r="R72"/>
  <c r="L72"/>
  <c r="K72"/>
  <c r="J72"/>
  <c r="G72"/>
  <c r="F72"/>
  <c r="W71"/>
  <c r="W70" s="1"/>
  <c r="V71"/>
  <c r="U71"/>
  <c r="U70" s="1"/>
  <c r="T71"/>
  <c r="T70" s="1"/>
  <c r="S71"/>
  <c r="S70" s="1"/>
  <c r="R71"/>
  <c r="Q71"/>
  <c r="Q70" s="1"/>
  <c r="P71"/>
  <c r="P70" s="1"/>
  <c r="O71"/>
  <c r="O70" s="1"/>
  <c r="N71"/>
  <c r="M71"/>
  <c r="L71"/>
  <c r="K71"/>
  <c r="K70" s="1"/>
  <c r="J71"/>
  <c r="I71"/>
  <c r="I70" s="1"/>
  <c r="H71"/>
  <c r="G71"/>
  <c r="G70" s="1"/>
  <c r="F71"/>
  <c r="E71"/>
  <c r="E70" s="1"/>
  <c r="V70"/>
  <c r="R70"/>
  <c r="N70"/>
  <c r="M70"/>
  <c r="L70"/>
  <c r="J70"/>
  <c r="H70"/>
  <c r="F70"/>
  <c r="W69"/>
  <c r="V69"/>
  <c r="V68" s="1"/>
  <c r="U69"/>
  <c r="U68" s="1"/>
  <c r="T69"/>
  <c r="S69"/>
  <c r="R69"/>
  <c r="R68" s="1"/>
  <c r="Q69"/>
  <c r="Q68" s="1"/>
  <c r="P69"/>
  <c r="P68" s="1"/>
  <c r="O69"/>
  <c r="N69"/>
  <c r="M69"/>
  <c r="M68" s="1"/>
  <c r="L69"/>
  <c r="K69"/>
  <c r="J69"/>
  <c r="I69"/>
  <c r="I68" s="1"/>
  <c r="H69"/>
  <c r="G69"/>
  <c r="F69"/>
  <c r="F68" s="1"/>
  <c r="E69"/>
  <c r="X69" s="1"/>
  <c r="W68"/>
  <c r="T68"/>
  <c r="S68"/>
  <c r="O68"/>
  <c r="N68"/>
  <c r="L68"/>
  <c r="K68"/>
  <c r="J68"/>
  <c r="H68"/>
  <c r="G68"/>
  <c r="X67"/>
  <c r="X66"/>
  <c r="X65"/>
  <c r="X64"/>
  <c r="X63"/>
  <c r="X62"/>
  <c r="X61"/>
  <c r="X60"/>
  <c r="X59"/>
  <c r="X58"/>
  <c r="X57"/>
  <c r="X56"/>
  <c r="X55"/>
  <c r="X54"/>
  <c r="X53"/>
  <c r="X52"/>
  <c r="X51"/>
  <c r="X50"/>
  <c r="X48"/>
  <c r="X47"/>
  <c r="X46"/>
  <c r="U45"/>
  <c r="U44" s="1"/>
  <c r="Q45"/>
  <c r="N45"/>
  <c r="G45"/>
  <c r="X45" s="1"/>
  <c r="W44"/>
  <c r="V44"/>
  <c r="T44"/>
  <c r="S44"/>
  <c r="R44"/>
  <c r="Q44"/>
  <c r="P44"/>
  <c r="O44"/>
  <c r="N44"/>
  <c r="M44"/>
  <c r="L44"/>
  <c r="K44"/>
  <c r="J44"/>
  <c r="I44"/>
  <c r="H44"/>
  <c r="F44"/>
  <c r="E44"/>
  <c r="U43"/>
  <c r="S43"/>
  <c r="S42" s="1"/>
  <c r="P43"/>
  <c r="P42" s="1"/>
  <c r="G43"/>
  <c r="G42" s="1"/>
  <c r="F43"/>
  <c r="F42" s="1"/>
  <c r="E43"/>
  <c r="W42"/>
  <c r="V42"/>
  <c r="U42"/>
  <c r="T42"/>
  <c r="R42"/>
  <c r="Q42"/>
  <c r="O42"/>
  <c r="N42"/>
  <c r="M42"/>
  <c r="L42"/>
  <c r="K42"/>
  <c r="J42"/>
  <c r="I42"/>
  <c r="H42"/>
  <c r="E42"/>
  <c r="X41"/>
  <c r="X40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X38"/>
  <c r="X37"/>
  <c r="X36"/>
  <c r="X35"/>
  <c r="X34"/>
  <c r="X33"/>
  <c r="X32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X29"/>
  <c r="U28"/>
  <c r="U79" s="1"/>
  <c r="U78" s="1"/>
  <c r="S28"/>
  <c r="S79" s="1"/>
  <c r="S78" s="1"/>
  <c r="R28"/>
  <c r="R79" s="1"/>
  <c r="R78" s="1"/>
  <c r="N28"/>
  <c r="N79" s="1"/>
  <c r="N78" s="1"/>
  <c r="G28"/>
  <c r="G79" s="1"/>
  <c r="G78" s="1"/>
  <c r="F28"/>
  <c r="F26" s="1"/>
  <c r="F25" s="1"/>
  <c r="W27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W26"/>
  <c r="V26"/>
  <c r="T26"/>
  <c r="T25" s="1"/>
  <c r="S26"/>
  <c r="Q26"/>
  <c r="Q25" s="1"/>
  <c r="P26"/>
  <c r="P25" s="1"/>
  <c r="O26"/>
  <c r="M26"/>
  <c r="M25" s="1"/>
  <c r="L26"/>
  <c r="L25" s="1"/>
  <c r="K26"/>
  <c r="K25" s="1"/>
  <c r="J26"/>
  <c r="I26"/>
  <c r="I25" s="1"/>
  <c r="H26"/>
  <c r="H25" s="1"/>
  <c r="E26"/>
  <c r="W25"/>
  <c r="V25"/>
  <c r="S25"/>
  <c r="O25"/>
  <c r="J25"/>
  <c r="E25"/>
  <c r="W24"/>
  <c r="V24"/>
  <c r="V23" s="1"/>
  <c r="T24"/>
  <c r="R24"/>
  <c r="R23" s="1"/>
  <c r="Q24"/>
  <c r="P24"/>
  <c r="P23" s="1"/>
  <c r="O24"/>
  <c r="O23" s="1"/>
  <c r="N24"/>
  <c r="N23" s="1"/>
  <c r="M24"/>
  <c r="L24"/>
  <c r="K24"/>
  <c r="K23" s="1"/>
  <c r="J24"/>
  <c r="J23" s="1"/>
  <c r="I24"/>
  <c r="H24"/>
  <c r="F24"/>
  <c r="F23" s="1"/>
  <c r="E24"/>
  <c r="W23"/>
  <c r="T23"/>
  <c r="Q23"/>
  <c r="M23"/>
  <c r="L23"/>
  <c r="I23"/>
  <c r="H23"/>
  <c r="E23"/>
  <c r="W22"/>
  <c r="V22"/>
  <c r="T22"/>
  <c r="S22"/>
  <c r="R22"/>
  <c r="Q22"/>
  <c r="P22"/>
  <c r="O22"/>
  <c r="N22"/>
  <c r="M22"/>
  <c r="L22"/>
  <c r="K22"/>
  <c r="J22"/>
  <c r="I22"/>
  <c r="H22"/>
  <c r="E22"/>
  <c r="E20" s="1"/>
  <c r="W21"/>
  <c r="W20" s="1"/>
  <c r="V21"/>
  <c r="T21"/>
  <c r="S21"/>
  <c r="S20" s="1"/>
  <c r="R21"/>
  <c r="Q21"/>
  <c r="P21"/>
  <c r="O21"/>
  <c r="O20" s="1"/>
  <c r="N21"/>
  <c r="N20" s="1"/>
  <c r="M21"/>
  <c r="L21"/>
  <c r="K21"/>
  <c r="K20" s="1"/>
  <c r="J21"/>
  <c r="I21"/>
  <c r="H21"/>
  <c r="G21"/>
  <c r="F21"/>
  <c r="E21"/>
  <c r="V20"/>
  <c r="R20"/>
  <c r="Q20"/>
  <c r="M20"/>
  <c r="J20"/>
  <c r="I20"/>
  <c r="W19"/>
  <c r="V19"/>
  <c r="U19"/>
  <c r="U18" s="1"/>
  <c r="T19"/>
  <c r="R19"/>
  <c r="R18" s="1"/>
  <c r="Q19"/>
  <c r="Q18" s="1"/>
  <c r="P19"/>
  <c r="O19"/>
  <c r="N19"/>
  <c r="N18" s="1"/>
  <c r="M19"/>
  <c r="M18" s="1"/>
  <c r="L19"/>
  <c r="L18" s="1"/>
  <c r="K19"/>
  <c r="J19"/>
  <c r="J18" s="1"/>
  <c r="I19"/>
  <c r="I18" s="1"/>
  <c r="H19"/>
  <c r="E19"/>
  <c r="W18"/>
  <c r="V18"/>
  <c r="T18"/>
  <c r="P18"/>
  <c r="O18"/>
  <c r="K18"/>
  <c r="H18"/>
  <c r="V17"/>
  <c r="V16" s="1"/>
  <c r="X15"/>
  <c r="W14"/>
  <c r="V14"/>
  <c r="T14"/>
  <c r="R14"/>
  <c r="Q14"/>
  <c r="P14"/>
  <c r="O14"/>
  <c r="N14"/>
  <c r="M14"/>
  <c r="L14"/>
  <c r="K14"/>
  <c r="J14"/>
  <c r="I14"/>
  <c r="H14"/>
  <c r="F14"/>
  <c r="E14"/>
  <c r="W13"/>
  <c r="W12" s="1"/>
  <c r="V13"/>
  <c r="V12" s="1"/>
  <c r="U13"/>
  <c r="T13"/>
  <c r="T12" s="1"/>
  <c r="R13"/>
  <c r="R12" s="1"/>
  <c r="Q13"/>
  <c r="P13"/>
  <c r="P12" s="1"/>
  <c r="O13"/>
  <c r="O12" s="1"/>
  <c r="N13"/>
  <c r="N12" s="1"/>
  <c r="M13"/>
  <c r="L13"/>
  <c r="L12" s="1"/>
  <c r="K13"/>
  <c r="K12" s="1"/>
  <c r="J13"/>
  <c r="J12" s="1"/>
  <c r="I13"/>
  <c r="H13"/>
  <c r="H12" s="1"/>
  <c r="E13"/>
  <c r="E12" s="1"/>
  <c r="W11"/>
  <c r="W10" s="1"/>
  <c r="W8" s="1"/>
  <c r="V11"/>
  <c r="S11"/>
  <c r="S10" s="1"/>
  <c r="S8" s="1"/>
  <c r="R11"/>
  <c r="O11"/>
  <c r="O10" s="1"/>
  <c r="O8" s="1"/>
  <c r="N11"/>
  <c r="K11"/>
  <c r="K10" s="1"/>
  <c r="K8" s="1"/>
  <c r="J11"/>
  <c r="J10" s="1"/>
  <c r="J8" s="1"/>
  <c r="G11"/>
  <c r="G10" s="1"/>
  <c r="F11"/>
  <c r="V10"/>
  <c r="V8" s="1"/>
  <c r="R10"/>
  <c r="R8" s="1"/>
  <c r="N10"/>
  <c r="F10"/>
  <c r="U9"/>
  <c r="S9"/>
  <c r="R9"/>
  <c r="P9"/>
  <c r="N9"/>
  <c r="L9"/>
  <c r="G9"/>
  <c r="F9"/>
  <c r="F8" s="1"/>
  <c r="E9"/>
  <c r="N8"/>
  <c r="U7"/>
  <c r="S7"/>
  <c r="P7"/>
  <c r="N7"/>
  <c r="G7"/>
  <c r="F7"/>
  <c r="F5" s="1"/>
  <c r="E7"/>
  <c r="U6"/>
  <c r="U5" s="1"/>
  <c r="S6"/>
  <c r="P6"/>
  <c r="N6"/>
  <c r="G6"/>
  <c r="F6"/>
  <c r="E6"/>
  <c r="W5"/>
  <c r="V5"/>
  <c r="T5"/>
  <c r="S5"/>
  <c r="R5"/>
  <c r="Q5"/>
  <c r="O5"/>
  <c r="M5"/>
  <c r="L5"/>
  <c r="K5"/>
  <c r="J5"/>
  <c r="I5"/>
  <c r="H5"/>
  <c r="G5"/>
  <c r="P16" i="8"/>
  <c r="F16" i="7"/>
  <c r="G16"/>
  <c r="H16"/>
  <c r="I16"/>
  <c r="J16"/>
  <c r="K16"/>
  <c r="E16"/>
  <c r="F16" i="6"/>
  <c r="G16"/>
  <c r="H16"/>
  <c r="I16"/>
  <c r="E16"/>
  <c r="F16" i="1"/>
  <c r="G16"/>
  <c r="H16"/>
  <c r="I16"/>
  <c r="J16"/>
  <c r="K16"/>
  <c r="L16"/>
  <c r="M16"/>
  <c r="N16"/>
  <c r="O16"/>
  <c r="P16"/>
  <c r="R16"/>
  <c r="S16"/>
  <c r="T16"/>
  <c r="U16"/>
  <c r="V16"/>
  <c r="W16"/>
  <c r="X16"/>
  <c r="E16"/>
  <c r="F16" i="5"/>
  <c r="G16"/>
  <c r="H16"/>
  <c r="I16"/>
  <c r="J16"/>
  <c r="K16"/>
  <c r="L16"/>
  <c r="M16"/>
  <c r="N16"/>
  <c r="O16"/>
  <c r="P16"/>
  <c r="Q16"/>
  <c r="R16"/>
  <c r="S16"/>
  <c r="T16"/>
  <c r="U16"/>
  <c r="V16"/>
  <c r="E16"/>
  <c r="O16" i="4"/>
  <c r="P16"/>
  <c r="F16"/>
  <c r="G16"/>
  <c r="H16"/>
  <c r="I16"/>
  <c r="J16"/>
  <c r="K16"/>
  <c r="L16"/>
  <c r="M16"/>
  <c r="N16"/>
  <c r="E16"/>
  <c r="F16" i="3"/>
  <c r="G16"/>
  <c r="H16"/>
  <c r="I16"/>
  <c r="J16"/>
  <c r="K16"/>
  <c r="L16"/>
  <c r="E16"/>
  <c r="N16" i="2"/>
  <c r="F16"/>
  <c r="G16"/>
  <c r="H16"/>
  <c r="I16"/>
  <c r="J16"/>
  <c r="K16"/>
  <c r="L16"/>
  <c r="M16"/>
  <c r="E16"/>
  <c r="O106"/>
  <c r="O105"/>
  <c r="O104"/>
  <c r="O103"/>
  <c r="O102"/>
  <c r="O101"/>
  <c r="O100"/>
  <c r="O99"/>
  <c r="N98"/>
  <c r="M98"/>
  <c r="L98"/>
  <c r="K98"/>
  <c r="J98"/>
  <c r="I98"/>
  <c r="H98"/>
  <c r="G98"/>
  <c r="F98"/>
  <c r="E98"/>
  <c r="O97"/>
  <c r="O96"/>
  <c r="O95"/>
  <c r="O94"/>
  <c r="N93"/>
  <c r="N77" s="1"/>
  <c r="N76" s="1"/>
  <c r="M93"/>
  <c r="L93"/>
  <c r="L77" s="1"/>
  <c r="L76" s="1"/>
  <c r="K93"/>
  <c r="K11" s="1"/>
  <c r="K10" s="1"/>
  <c r="K8" s="1"/>
  <c r="J93"/>
  <c r="J77" s="1"/>
  <c r="J76" s="1"/>
  <c r="I93"/>
  <c r="H93"/>
  <c r="G93"/>
  <c r="G11" s="1"/>
  <c r="G10" s="1"/>
  <c r="G8" s="1"/>
  <c r="F93"/>
  <c r="F77" s="1"/>
  <c r="F76" s="1"/>
  <c r="E93"/>
  <c r="E69" s="1"/>
  <c r="E68" s="1"/>
  <c r="O92"/>
  <c r="O91"/>
  <c r="N90"/>
  <c r="M90"/>
  <c r="L90"/>
  <c r="K90"/>
  <c r="J90"/>
  <c r="I90"/>
  <c r="H90"/>
  <c r="G90"/>
  <c r="F90"/>
  <c r="E90"/>
  <c r="O89"/>
  <c r="N88"/>
  <c r="M88"/>
  <c r="L88"/>
  <c r="K88"/>
  <c r="J88"/>
  <c r="I88"/>
  <c r="H88"/>
  <c r="G88"/>
  <c r="F88"/>
  <c r="E88"/>
  <c r="N87"/>
  <c r="N86" s="1"/>
  <c r="M87"/>
  <c r="M86" s="1"/>
  <c r="L87"/>
  <c r="K87"/>
  <c r="J87"/>
  <c r="I87"/>
  <c r="H87"/>
  <c r="G87"/>
  <c r="F87"/>
  <c r="F86" s="1"/>
  <c r="E87"/>
  <c r="E86" s="1"/>
  <c r="I86"/>
  <c r="O85"/>
  <c r="O84"/>
  <c r="N83"/>
  <c r="M83"/>
  <c r="L83"/>
  <c r="K83"/>
  <c r="J83"/>
  <c r="I83"/>
  <c r="I82" s="1"/>
  <c r="H83"/>
  <c r="G83"/>
  <c r="F83"/>
  <c r="E83"/>
  <c r="O81"/>
  <c r="N80"/>
  <c r="M80"/>
  <c r="L80"/>
  <c r="K80"/>
  <c r="J80"/>
  <c r="I80"/>
  <c r="H80"/>
  <c r="G80"/>
  <c r="F80"/>
  <c r="E80"/>
  <c r="N79"/>
  <c r="N78" s="1"/>
  <c r="M79"/>
  <c r="M78" s="1"/>
  <c r="L79"/>
  <c r="K79"/>
  <c r="J79"/>
  <c r="I79"/>
  <c r="I78" s="1"/>
  <c r="H79"/>
  <c r="G79"/>
  <c r="F79"/>
  <c r="F78" s="1"/>
  <c r="E79"/>
  <c r="E78" s="1"/>
  <c r="L78"/>
  <c r="K78"/>
  <c r="J78"/>
  <c r="H78"/>
  <c r="G78"/>
  <c r="M77"/>
  <c r="K77"/>
  <c r="K76" s="1"/>
  <c r="I77"/>
  <c r="I76" s="1"/>
  <c r="H77"/>
  <c r="H76" s="1"/>
  <c r="E77"/>
  <c r="E76" s="1"/>
  <c r="M76"/>
  <c r="O75"/>
  <c r="N74"/>
  <c r="M74"/>
  <c r="L74"/>
  <c r="K74"/>
  <c r="J74"/>
  <c r="I74"/>
  <c r="H74"/>
  <c r="G74"/>
  <c r="F74"/>
  <c r="E74"/>
  <c r="N73"/>
  <c r="N72" s="1"/>
  <c r="M73"/>
  <c r="M72" s="1"/>
  <c r="L73"/>
  <c r="L72" s="1"/>
  <c r="K73"/>
  <c r="J73"/>
  <c r="I73"/>
  <c r="I72" s="1"/>
  <c r="H73"/>
  <c r="H72" s="1"/>
  <c r="G73"/>
  <c r="F73"/>
  <c r="E73"/>
  <c r="E72" s="1"/>
  <c r="K72"/>
  <c r="J72"/>
  <c r="G72"/>
  <c r="F72"/>
  <c r="N71"/>
  <c r="N70" s="1"/>
  <c r="M71"/>
  <c r="L71"/>
  <c r="L70" s="1"/>
  <c r="K71"/>
  <c r="K70" s="1"/>
  <c r="J71"/>
  <c r="J70" s="1"/>
  <c r="I71"/>
  <c r="I70" s="1"/>
  <c r="H71"/>
  <c r="H70" s="1"/>
  <c r="G71"/>
  <c r="G70" s="1"/>
  <c r="F71"/>
  <c r="F70" s="1"/>
  <c r="E71"/>
  <c r="M70"/>
  <c r="E70"/>
  <c r="M69"/>
  <c r="M68" s="1"/>
  <c r="L69"/>
  <c r="L68" s="1"/>
  <c r="J69"/>
  <c r="J68" s="1"/>
  <c r="I69"/>
  <c r="I68" s="1"/>
  <c r="H69"/>
  <c r="F69"/>
  <c r="F68" s="1"/>
  <c r="H68"/>
  <c r="O67"/>
  <c r="O66"/>
  <c r="O65"/>
  <c r="O64"/>
  <c r="O63"/>
  <c r="O62"/>
  <c r="O61"/>
  <c r="O60"/>
  <c r="O59"/>
  <c r="O58"/>
  <c r="O57"/>
  <c r="O56"/>
  <c r="O55"/>
  <c r="O54"/>
  <c r="O53"/>
  <c r="O52"/>
  <c r="O51"/>
  <c r="O50"/>
  <c r="O48"/>
  <c r="O47"/>
  <c r="O46"/>
  <c r="O45"/>
  <c r="N44"/>
  <c r="M44"/>
  <c r="L44"/>
  <c r="K44"/>
  <c r="J44"/>
  <c r="I44"/>
  <c r="H44"/>
  <c r="G44"/>
  <c r="F44"/>
  <c r="E44"/>
  <c r="O43"/>
  <c r="N42"/>
  <c r="M42"/>
  <c r="L42"/>
  <c r="K42"/>
  <c r="J42"/>
  <c r="I42"/>
  <c r="H42"/>
  <c r="G42"/>
  <c r="F42"/>
  <c r="E42"/>
  <c r="O41"/>
  <c r="O40"/>
  <c r="N39"/>
  <c r="M39"/>
  <c r="L39"/>
  <c r="K39"/>
  <c r="J39"/>
  <c r="I39"/>
  <c r="H39"/>
  <c r="G39"/>
  <c r="F39"/>
  <c r="E39"/>
  <c r="O38"/>
  <c r="O37"/>
  <c r="O36"/>
  <c r="O35"/>
  <c r="O34"/>
  <c r="O33"/>
  <c r="O32"/>
  <c r="N31"/>
  <c r="M31"/>
  <c r="L31"/>
  <c r="K31"/>
  <c r="J31"/>
  <c r="I31"/>
  <c r="H31"/>
  <c r="G31"/>
  <c r="F31"/>
  <c r="E31"/>
  <c r="O29"/>
  <c r="O28"/>
  <c r="N27"/>
  <c r="M27"/>
  <c r="L27"/>
  <c r="J27"/>
  <c r="I27"/>
  <c r="H27"/>
  <c r="F27"/>
  <c r="E27"/>
  <c r="N26"/>
  <c r="N25" s="1"/>
  <c r="M26"/>
  <c r="M25" s="1"/>
  <c r="L26"/>
  <c r="K26"/>
  <c r="J26"/>
  <c r="J25" s="1"/>
  <c r="I26"/>
  <c r="I25" s="1"/>
  <c r="H26"/>
  <c r="H25" s="1"/>
  <c r="G26"/>
  <c r="G25" s="1"/>
  <c r="F26"/>
  <c r="F25" s="1"/>
  <c r="E26"/>
  <c r="L25"/>
  <c r="K25"/>
  <c r="E25"/>
  <c r="N24"/>
  <c r="N23" s="1"/>
  <c r="M24"/>
  <c r="M23" s="1"/>
  <c r="L24"/>
  <c r="L23" s="1"/>
  <c r="K24"/>
  <c r="J24"/>
  <c r="I24"/>
  <c r="H24"/>
  <c r="H23" s="1"/>
  <c r="G24"/>
  <c r="G23" s="1"/>
  <c r="F24"/>
  <c r="F23" s="1"/>
  <c r="E24"/>
  <c r="K23"/>
  <c r="J23"/>
  <c r="I23"/>
  <c r="E23"/>
  <c r="N22"/>
  <c r="M22"/>
  <c r="L22"/>
  <c r="L20" s="1"/>
  <c r="K22"/>
  <c r="K20" s="1"/>
  <c r="J22"/>
  <c r="I22"/>
  <c r="H22"/>
  <c r="G22"/>
  <c r="G20" s="1"/>
  <c r="F22"/>
  <c r="E22"/>
  <c r="N21"/>
  <c r="M21"/>
  <c r="L21"/>
  <c r="K21"/>
  <c r="J21"/>
  <c r="I21"/>
  <c r="H21"/>
  <c r="G21"/>
  <c r="F21"/>
  <c r="E21"/>
  <c r="N19"/>
  <c r="N18" s="1"/>
  <c r="M19"/>
  <c r="M18" s="1"/>
  <c r="L19"/>
  <c r="L18" s="1"/>
  <c r="K19"/>
  <c r="K18" s="1"/>
  <c r="J19"/>
  <c r="I19"/>
  <c r="H19"/>
  <c r="G19"/>
  <c r="G18" s="1"/>
  <c r="F19"/>
  <c r="F18" s="1"/>
  <c r="E19"/>
  <c r="J18"/>
  <c r="I18"/>
  <c r="H18"/>
  <c r="E18"/>
  <c r="O17"/>
  <c r="O15"/>
  <c r="N14"/>
  <c r="M14"/>
  <c r="L14"/>
  <c r="K14"/>
  <c r="J14"/>
  <c r="I14"/>
  <c r="H14"/>
  <c r="G14"/>
  <c r="F14"/>
  <c r="E14"/>
  <c r="N13"/>
  <c r="N12" s="1"/>
  <c r="M13"/>
  <c r="L13"/>
  <c r="K13"/>
  <c r="K12" s="1"/>
  <c r="J13"/>
  <c r="J12" s="1"/>
  <c r="I13"/>
  <c r="H13"/>
  <c r="G13"/>
  <c r="G12" s="1"/>
  <c r="F13"/>
  <c r="F12" s="1"/>
  <c r="E13"/>
  <c r="N11"/>
  <c r="N10" s="1"/>
  <c r="N8" s="1"/>
  <c r="M11"/>
  <c r="M10" s="1"/>
  <c r="M8" s="1"/>
  <c r="L11"/>
  <c r="J11"/>
  <c r="J10" s="1"/>
  <c r="J8" s="1"/>
  <c r="I11"/>
  <c r="I10" s="1"/>
  <c r="I8" s="1"/>
  <c r="H11"/>
  <c r="H10" s="1"/>
  <c r="H8" s="1"/>
  <c r="F11"/>
  <c r="F10" s="1"/>
  <c r="F8" s="1"/>
  <c r="E11"/>
  <c r="L10"/>
  <c r="L8" s="1"/>
  <c r="E10"/>
  <c r="E8" s="1"/>
  <c r="O9"/>
  <c r="O7"/>
  <c r="O6"/>
  <c r="N5"/>
  <c r="M5"/>
  <c r="L5"/>
  <c r="K5"/>
  <c r="J5"/>
  <c r="I5"/>
  <c r="H5"/>
  <c r="G5"/>
  <c r="F5"/>
  <c r="E5"/>
  <c r="N93" i="5"/>
  <c r="E125" i="10"/>
  <c r="E109"/>
  <c r="E101"/>
  <c r="E95"/>
  <c r="E74"/>
  <c r="E54"/>
  <c r="E35"/>
  <c r="E22"/>
  <c r="E13"/>
  <c r="E12" i="2" l="1"/>
  <c r="M12"/>
  <c r="M4" s="1"/>
  <c r="H12"/>
  <c r="L12"/>
  <c r="G27"/>
  <c r="K27"/>
  <c r="K4" s="1"/>
  <c r="O39"/>
  <c r="O42"/>
  <c r="G77"/>
  <c r="G76" s="1"/>
  <c r="G86"/>
  <c r="O86" s="1"/>
  <c r="K86"/>
  <c r="F82"/>
  <c r="N82"/>
  <c r="I12"/>
  <c r="E82"/>
  <c r="M82"/>
  <c r="J86"/>
  <c r="J82" s="1"/>
  <c r="O98"/>
  <c r="O4" i="11"/>
  <c r="O107" s="1"/>
  <c r="G8"/>
  <c r="I12"/>
  <c r="M12"/>
  <c r="Q12"/>
  <c r="V4"/>
  <c r="V3" s="1"/>
  <c r="X17"/>
  <c r="N26"/>
  <c r="N25" s="1"/>
  <c r="R26"/>
  <c r="R25" s="1"/>
  <c r="X73"/>
  <c r="X87"/>
  <c r="I86"/>
  <c r="M86"/>
  <c r="Q86"/>
  <c r="U86"/>
  <c r="F86"/>
  <c r="F82" s="1"/>
  <c r="J86"/>
  <c r="J82" s="1"/>
  <c r="N86"/>
  <c r="N82" s="1"/>
  <c r="R86"/>
  <c r="R82" s="1"/>
  <c r="V86"/>
  <c r="V82" s="1"/>
  <c r="H20"/>
  <c r="L20"/>
  <c r="P20"/>
  <c r="T20"/>
  <c r="O49"/>
  <c r="O3" s="1"/>
  <c r="X6"/>
  <c r="X7"/>
  <c r="P5"/>
  <c r="I49"/>
  <c r="Q49"/>
  <c r="V49"/>
  <c r="X83"/>
  <c r="I82"/>
  <c r="M82"/>
  <c r="M49" s="1"/>
  <c r="Q82"/>
  <c r="U82"/>
  <c r="U49" s="1"/>
  <c r="J49"/>
  <c r="H82"/>
  <c r="L82"/>
  <c r="L49" s="1"/>
  <c r="P82"/>
  <c r="T82"/>
  <c r="T49" s="1"/>
  <c r="F49" i="2"/>
  <c r="J49"/>
  <c r="L4"/>
  <c r="M20"/>
  <c r="H20"/>
  <c r="J20"/>
  <c r="J4" s="1"/>
  <c r="N69"/>
  <c r="N68" s="1"/>
  <c r="N49" s="1"/>
  <c r="O74"/>
  <c r="O80"/>
  <c r="H86"/>
  <c r="H82" s="1"/>
  <c r="L86"/>
  <c r="L82" s="1"/>
  <c r="L49" s="1"/>
  <c r="O90"/>
  <c r="M49"/>
  <c r="O76"/>
  <c r="O72"/>
  <c r="I20"/>
  <c r="O44"/>
  <c r="O88"/>
  <c r="E76" i="11"/>
  <c r="W4"/>
  <c r="W107" s="1"/>
  <c r="K4"/>
  <c r="J4"/>
  <c r="R4"/>
  <c r="R107" s="1"/>
  <c r="P49"/>
  <c r="V107"/>
  <c r="K49"/>
  <c r="G49"/>
  <c r="X42"/>
  <c r="G22"/>
  <c r="G20" s="1"/>
  <c r="U24"/>
  <c r="U23" s="1"/>
  <c r="S49"/>
  <c r="X39"/>
  <c r="X43"/>
  <c r="G44"/>
  <c r="X30" s="1"/>
  <c r="X70"/>
  <c r="X80"/>
  <c r="X16"/>
  <c r="E5"/>
  <c r="X9"/>
  <c r="E11"/>
  <c r="I11"/>
  <c r="I10" s="1"/>
  <c r="I8" s="1"/>
  <c r="I4" s="1"/>
  <c r="M11"/>
  <c r="M10" s="1"/>
  <c r="M8" s="1"/>
  <c r="Q11"/>
  <c r="Q10" s="1"/>
  <c r="Q8" s="1"/>
  <c r="Q4" s="1"/>
  <c r="U11"/>
  <c r="U10" s="1"/>
  <c r="U8" s="1"/>
  <c r="G13"/>
  <c r="G12" s="1"/>
  <c r="S13"/>
  <c r="G19"/>
  <c r="G18" s="1"/>
  <c r="S19"/>
  <c r="S18" s="1"/>
  <c r="U21"/>
  <c r="F22"/>
  <c r="F20" s="1"/>
  <c r="R49"/>
  <c r="X71"/>
  <c r="X98"/>
  <c r="N5"/>
  <c r="N4" s="1"/>
  <c r="N107" s="1"/>
  <c r="U14"/>
  <c r="U12" s="1"/>
  <c r="G26"/>
  <c r="G25" s="1"/>
  <c r="X28"/>
  <c r="X74"/>
  <c r="W49"/>
  <c r="X88"/>
  <c r="X90"/>
  <c r="X93"/>
  <c r="H11"/>
  <c r="H10" s="1"/>
  <c r="H8" s="1"/>
  <c r="H4" s="1"/>
  <c r="L11"/>
  <c r="L10" s="1"/>
  <c r="L8" s="1"/>
  <c r="L4" s="1"/>
  <c r="P11"/>
  <c r="P10" s="1"/>
  <c r="P8" s="1"/>
  <c r="T11"/>
  <c r="T10" s="1"/>
  <c r="T8" s="1"/>
  <c r="T4" s="1"/>
  <c r="F13"/>
  <c r="F12" s="1"/>
  <c r="G14"/>
  <c r="S14"/>
  <c r="E18"/>
  <c r="F19"/>
  <c r="F18" s="1"/>
  <c r="U22"/>
  <c r="G24"/>
  <c r="G23" s="1"/>
  <c r="S24"/>
  <c r="S23" s="1"/>
  <c r="U26"/>
  <c r="U25" s="1"/>
  <c r="N49"/>
  <c r="X31"/>
  <c r="X44"/>
  <c r="E68"/>
  <c r="E72"/>
  <c r="X72" s="1"/>
  <c r="H77"/>
  <c r="H76" s="1"/>
  <c r="H49" s="1"/>
  <c r="E86"/>
  <c r="X79"/>
  <c r="F79"/>
  <c r="F78" s="1"/>
  <c r="F49" s="1"/>
  <c r="O5" i="2"/>
  <c r="O24"/>
  <c r="N20"/>
  <c r="O14"/>
  <c r="O22"/>
  <c r="O23"/>
  <c r="O25"/>
  <c r="H4"/>
  <c r="H107" s="1"/>
  <c r="O13"/>
  <c r="H49"/>
  <c r="O78"/>
  <c r="O26"/>
  <c r="E20"/>
  <c r="F4"/>
  <c r="F20"/>
  <c r="O16"/>
  <c r="G4"/>
  <c r="G107" s="1"/>
  <c r="I49"/>
  <c r="K82"/>
  <c r="O8"/>
  <c r="E49"/>
  <c r="O68"/>
  <c r="O11"/>
  <c r="O10" s="1"/>
  <c r="I4"/>
  <c r="I107" s="1"/>
  <c r="O18"/>
  <c r="O70"/>
  <c r="O71"/>
  <c r="O77"/>
  <c r="O83"/>
  <c r="O87"/>
  <c r="O93"/>
  <c r="O21"/>
  <c r="G69"/>
  <c r="G68" s="1"/>
  <c r="K69"/>
  <c r="K68" s="1"/>
  <c r="O73"/>
  <c r="O79"/>
  <c r="O19"/>
  <c r="O31"/>
  <c r="E126" i="10"/>
  <c r="O69" i="2" l="1"/>
  <c r="G82"/>
  <c r="G49" s="1"/>
  <c r="S12" i="11"/>
  <c r="X12" s="1"/>
  <c r="X25"/>
  <c r="U20"/>
  <c r="X76"/>
  <c r="X86"/>
  <c r="X26"/>
  <c r="X22"/>
  <c r="X14"/>
  <c r="P4"/>
  <c r="P107" s="1"/>
  <c r="X20"/>
  <c r="M4"/>
  <c r="M107" s="1"/>
  <c r="X23"/>
  <c r="X19"/>
  <c r="J3" i="2"/>
  <c r="J107"/>
  <c r="L3"/>
  <c r="L107"/>
  <c r="O27"/>
  <c r="M3"/>
  <c r="M107"/>
  <c r="K49"/>
  <c r="O30"/>
  <c r="O82"/>
  <c r="K3"/>
  <c r="K107"/>
  <c r="W3" i="11"/>
  <c r="U4"/>
  <c r="U107" s="1"/>
  <c r="T107"/>
  <c r="T3"/>
  <c r="H107"/>
  <c r="H3"/>
  <c r="X11"/>
  <c r="X10" s="1"/>
  <c r="E10"/>
  <c r="E8" s="1"/>
  <c r="X8" s="1"/>
  <c r="L107"/>
  <c r="L3"/>
  <c r="I3"/>
  <c r="I107"/>
  <c r="J107"/>
  <c r="J3"/>
  <c r="E82"/>
  <c r="X82" s="1"/>
  <c r="N3"/>
  <c r="X18"/>
  <c r="X13"/>
  <c r="F4"/>
  <c r="F107" s="1"/>
  <c r="R3"/>
  <c r="X21"/>
  <c r="G4"/>
  <c r="G107" s="1"/>
  <c r="X24"/>
  <c r="X77"/>
  <c r="X5"/>
  <c r="E4"/>
  <c r="X68"/>
  <c r="Q3"/>
  <c r="Q107"/>
  <c r="K3"/>
  <c r="K107"/>
  <c r="X27"/>
  <c r="X78"/>
  <c r="N4" i="2"/>
  <c r="N107" s="1"/>
  <c r="H3"/>
  <c r="F3"/>
  <c r="F107"/>
  <c r="O20"/>
  <c r="E4"/>
  <c r="E107" s="1"/>
  <c r="O12"/>
  <c r="I3"/>
  <c r="P3" i="11" l="1"/>
  <c r="U3"/>
  <c r="M3"/>
  <c r="G3" i="2"/>
  <c r="O49"/>
  <c r="E49" i="11"/>
  <c r="X49" s="1"/>
  <c r="S4"/>
  <c r="E107"/>
  <c r="E3"/>
  <c r="G3"/>
  <c r="F3"/>
  <c r="N3" i="2"/>
  <c r="E3"/>
  <c r="O4"/>
  <c r="O107" l="1"/>
  <c r="S107" i="11"/>
  <c r="S3"/>
  <c r="X3" s="1"/>
  <c r="X4"/>
  <c r="O3" i="2"/>
  <c r="K106" i="8"/>
  <c r="K73" s="1"/>
  <c r="K72" s="1"/>
  <c r="S105"/>
  <c r="S71" s="1"/>
  <c r="S70" s="1"/>
  <c r="K105"/>
  <c r="T104"/>
  <c r="T103"/>
  <c r="T102"/>
  <c r="S101"/>
  <c r="S98" s="1"/>
  <c r="Q101"/>
  <c r="N101"/>
  <c r="M101"/>
  <c r="M98" s="1"/>
  <c r="L101"/>
  <c r="L98" s="1"/>
  <c r="K101"/>
  <c r="O100"/>
  <c r="J100"/>
  <c r="J98" s="1"/>
  <c r="I100"/>
  <c r="R99"/>
  <c r="R98" s="1"/>
  <c r="O99"/>
  <c r="Q98"/>
  <c r="P98"/>
  <c r="N98"/>
  <c r="K98"/>
  <c r="H98"/>
  <c r="G98"/>
  <c r="F98"/>
  <c r="E98"/>
  <c r="T97"/>
  <c r="T96"/>
  <c r="T95"/>
  <c r="T94"/>
  <c r="S93"/>
  <c r="R93"/>
  <c r="Q93"/>
  <c r="Q77" s="1"/>
  <c r="Q76" s="1"/>
  <c r="P93"/>
  <c r="P77" s="1"/>
  <c r="P76" s="1"/>
  <c r="O93"/>
  <c r="O77" s="1"/>
  <c r="O76" s="1"/>
  <c r="N93"/>
  <c r="M93"/>
  <c r="M77" s="1"/>
  <c r="M76" s="1"/>
  <c r="L93"/>
  <c r="L69" s="1"/>
  <c r="L68" s="1"/>
  <c r="K93"/>
  <c r="J93"/>
  <c r="I93"/>
  <c r="I77" s="1"/>
  <c r="I76" s="1"/>
  <c r="H93"/>
  <c r="H11" s="1"/>
  <c r="H10" s="1"/>
  <c r="H8" s="1"/>
  <c r="G93"/>
  <c r="F93"/>
  <c r="E93"/>
  <c r="E77" s="1"/>
  <c r="T92"/>
  <c r="T91"/>
  <c r="S90"/>
  <c r="R90"/>
  <c r="Q90"/>
  <c r="P90"/>
  <c r="O90"/>
  <c r="N90"/>
  <c r="M90"/>
  <c r="L90"/>
  <c r="K90"/>
  <c r="J90"/>
  <c r="I90"/>
  <c r="H90"/>
  <c r="G90"/>
  <c r="F90"/>
  <c r="E90"/>
  <c r="T89"/>
  <c r="S88"/>
  <c r="R88"/>
  <c r="Q88"/>
  <c r="P88"/>
  <c r="O88"/>
  <c r="N88"/>
  <c r="M88"/>
  <c r="L88"/>
  <c r="K88"/>
  <c r="J88"/>
  <c r="I88"/>
  <c r="H88"/>
  <c r="G88"/>
  <c r="F88"/>
  <c r="E88"/>
  <c r="S87"/>
  <c r="S86" s="1"/>
  <c r="R87"/>
  <c r="Q87"/>
  <c r="P87"/>
  <c r="O87"/>
  <c r="O86" s="1"/>
  <c r="N87"/>
  <c r="M87"/>
  <c r="L87"/>
  <c r="L86" s="1"/>
  <c r="L82" s="1"/>
  <c r="K87"/>
  <c r="K86" s="1"/>
  <c r="J87"/>
  <c r="I87"/>
  <c r="H87"/>
  <c r="H86" s="1"/>
  <c r="H82" s="1"/>
  <c r="G87"/>
  <c r="G86" s="1"/>
  <c r="F87"/>
  <c r="E87"/>
  <c r="P86"/>
  <c r="T85"/>
  <c r="T84"/>
  <c r="S83"/>
  <c r="S82" s="1"/>
  <c r="R83"/>
  <c r="Q83"/>
  <c r="P83"/>
  <c r="O83"/>
  <c r="N83"/>
  <c r="M83"/>
  <c r="L83"/>
  <c r="K83"/>
  <c r="K82" s="1"/>
  <c r="J83"/>
  <c r="I83"/>
  <c r="H83"/>
  <c r="G83"/>
  <c r="F83"/>
  <c r="E83"/>
  <c r="T81"/>
  <c r="S80"/>
  <c r="R80"/>
  <c r="Q80"/>
  <c r="P80"/>
  <c r="O80"/>
  <c r="N80"/>
  <c r="M80"/>
  <c r="L80"/>
  <c r="K80"/>
  <c r="J80"/>
  <c r="I80"/>
  <c r="H80"/>
  <c r="G80"/>
  <c r="F80"/>
  <c r="E80"/>
  <c r="S77"/>
  <c r="S76" s="1"/>
  <c r="R77"/>
  <c r="R76" s="1"/>
  <c r="N77"/>
  <c r="N76" s="1"/>
  <c r="K77"/>
  <c r="J77"/>
  <c r="J76" s="1"/>
  <c r="H77"/>
  <c r="H76" s="1"/>
  <c r="G77"/>
  <c r="G76" s="1"/>
  <c r="F77"/>
  <c r="K76"/>
  <c r="F76"/>
  <c r="T75"/>
  <c r="S74"/>
  <c r="R74"/>
  <c r="Q74"/>
  <c r="P74"/>
  <c r="O74"/>
  <c r="N74"/>
  <c r="M74"/>
  <c r="L74"/>
  <c r="K74"/>
  <c r="J74"/>
  <c r="I74"/>
  <c r="H74"/>
  <c r="G74"/>
  <c r="F74"/>
  <c r="E74"/>
  <c r="S73"/>
  <c r="S72" s="1"/>
  <c r="R73"/>
  <c r="R72" s="1"/>
  <c r="Q73"/>
  <c r="Q72" s="1"/>
  <c r="P73"/>
  <c r="O73"/>
  <c r="N73"/>
  <c r="N72" s="1"/>
  <c r="M73"/>
  <c r="M72" s="1"/>
  <c r="L73"/>
  <c r="L72" s="1"/>
  <c r="J73"/>
  <c r="J72" s="1"/>
  <c r="I73"/>
  <c r="I72" s="1"/>
  <c r="H73"/>
  <c r="G73"/>
  <c r="F73"/>
  <c r="E73"/>
  <c r="E72" s="1"/>
  <c r="P72"/>
  <c r="O72"/>
  <c r="G72"/>
  <c r="F72"/>
  <c r="R71"/>
  <c r="R70" s="1"/>
  <c r="Q71"/>
  <c r="Q70" s="1"/>
  <c r="P71"/>
  <c r="P70" s="1"/>
  <c r="O71"/>
  <c r="O70" s="1"/>
  <c r="N71"/>
  <c r="N70" s="1"/>
  <c r="M71"/>
  <c r="L71"/>
  <c r="L70" s="1"/>
  <c r="K71"/>
  <c r="J71"/>
  <c r="J70" s="1"/>
  <c r="I71"/>
  <c r="I70" s="1"/>
  <c r="H71"/>
  <c r="H70" s="1"/>
  <c r="G71"/>
  <c r="G70" s="1"/>
  <c r="F71"/>
  <c r="F70" s="1"/>
  <c r="E71"/>
  <c r="M70"/>
  <c r="K70"/>
  <c r="E70"/>
  <c r="S69"/>
  <c r="R69"/>
  <c r="R68" s="1"/>
  <c r="O69"/>
  <c r="O68" s="1"/>
  <c r="N69"/>
  <c r="N68" s="1"/>
  <c r="K69"/>
  <c r="J69"/>
  <c r="J68" s="1"/>
  <c r="G69"/>
  <c r="G68" s="1"/>
  <c r="F69"/>
  <c r="S68"/>
  <c r="K68"/>
  <c r="F68"/>
  <c r="S67"/>
  <c r="R67"/>
  <c r="Q67"/>
  <c r="P67"/>
  <c r="O67"/>
  <c r="N67"/>
  <c r="M67"/>
  <c r="L67"/>
  <c r="K67"/>
  <c r="J67"/>
  <c r="I67"/>
  <c r="H67"/>
  <c r="G67"/>
  <c r="F67"/>
  <c r="E67"/>
  <c r="T66"/>
  <c r="T65"/>
  <c r="T64"/>
  <c r="T63"/>
  <c r="T62"/>
  <c r="T61"/>
  <c r="T60"/>
  <c r="T59"/>
  <c r="T58"/>
  <c r="T57"/>
  <c r="T56"/>
  <c r="T55"/>
  <c r="T54"/>
  <c r="T53"/>
  <c r="T52"/>
  <c r="T51"/>
  <c r="T50"/>
  <c r="T48"/>
  <c r="T47"/>
  <c r="T46"/>
  <c r="T45"/>
  <c r="S44"/>
  <c r="R44"/>
  <c r="Q44"/>
  <c r="P44"/>
  <c r="O44"/>
  <c r="N44"/>
  <c r="M44"/>
  <c r="L44"/>
  <c r="K44"/>
  <c r="J44"/>
  <c r="I44"/>
  <c r="H44"/>
  <c r="G44"/>
  <c r="F44"/>
  <c r="E44"/>
  <c r="S43"/>
  <c r="S42" s="1"/>
  <c r="R43"/>
  <c r="Q43"/>
  <c r="Q42" s="1"/>
  <c r="O43"/>
  <c r="O42" s="1"/>
  <c r="N43"/>
  <c r="N42" s="1"/>
  <c r="M43"/>
  <c r="M42" s="1"/>
  <c r="L43"/>
  <c r="L42" s="1"/>
  <c r="K43"/>
  <c r="K42" s="1"/>
  <c r="J43"/>
  <c r="I43"/>
  <c r="H43"/>
  <c r="H42" s="1"/>
  <c r="G43"/>
  <c r="G42" s="1"/>
  <c r="F43"/>
  <c r="F42" s="1"/>
  <c r="E43"/>
  <c r="E42" s="1"/>
  <c r="R42"/>
  <c r="P42"/>
  <c r="J42"/>
  <c r="I42"/>
  <c r="T41"/>
  <c r="T40"/>
  <c r="S39"/>
  <c r="R39"/>
  <c r="Q39"/>
  <c r="P39"/>
  <c r="O39"/>
  <c r="N39"/>
  <c r="M39"/>
  <c r="L39"/>
  <c r="K39"/>
  <c r="J39"/>
  <c r="I39"/>
  <c r="H39"/>
  <c r="G39"/>
  <c r="F39"/>
  <c r="E39"/>
  <c r="T38"/>
  <c r="T37"/>
  <c r="T36"/>
  <c r="T35"/>
  <c r="T34"/>
  <c r="T33"/>
  <c r="T32"/>
  <c r="S31"/>
  <c r="R31"/>
  <c r="Q31"/>
  <c r="P31"/>
  <c r="O31"/>
  <c r="N31"/>
  <c r="M31"/>
  <c r="L31"/>
  <c r="K31"/>
  <c r="J31"/>
  <c r="I31"/>
  <c r="H31"/>
  <c r="G31"/>
  <c r="F31"/>
  <c r="E31"/>
  <c r="T29"/>
  <c r="S28"/>
  <c r="S79" s="1"/>
  <c r="S78" s="1"/>
  <c r="R28"/>
  <c r="R79" s="1"/>
  <c r="R78" s="1"/>
  <c r="Q28"/>
  <c r="Q79" s="1"/>
  <c r="Q78" s="1"/>
  <c r="P28"/>
  <c r="P79" s="1"/>
  <c r="P78" s="1"/>
  <c r="O28"/>
  <c r="O79" s="1"/>
  <c r="O78" s="1"/>
  <c r="N28"/>
  <c r="N79" s="1"/>
  <c r="N78" s="1"/>
  <c r="M28"/>
  <c r="M79" s="1"/>
  <c r="M78" s="1"/>
  <c r="L28"/>
  <c r="L79" s="1"/>
  <c r="L78" s="1"/>
  <c r="K28"/>
  <c r="K79" s="1"/>
  <c r="K78" s="1"/>
  <c r="J28"/>
  <c r="J79" s="1"/>
  <c r="J78" s="1"/>
  <c r="I28"/>
  <c r="I79" s="1"/>
  <c r="I78" s="1"/>
  <c r="H28"/>
  <c r="H79" s="1"/>
  <c r="H78" s="1"/>
  <c r="G28"/>
  <c r="G79" s="1"/>
  <c r="G78" s="1"/>
  <c r="F28"/>
  <c r="F79" s="1"/>
  <c r="F78" s="1"/>
  <c r="E28"/>
  <c r="E79" s="1"/>
  <c r="S27"/>
  <c r="R27"/>
  <c r="O27"/>
  <c r="N27"/>
  <c r="K27"/>
  <c r="J27"/>
  <c r="G27"/>
  <c r="F27"/>
  <c r="S26"/>
  <c r="S25" s="1"/>
  <c r="R26"/>
  <c r="R25" s="1"/>
  <c r="P26"/>
  <c r="P25" s="1"/>
  <c r="O26"/>
  <c r="O25" s="1"/>
  <c r="N26"/>
  <c r="L26"/>
  <c r="L25" s="1"/>
  <c r="K26"/>
  <c r="K25" s="1"/>
  <c r="J26"/>
  <c r="H26"/>
  <c r="H25" s="1"/>
  <c r="G26"/>
  <c r="G25" s="1"/>
  <c r="F26"/>
  <c r="N25"/>
  <c r="J25"/>
  <c r="F25"/>
  <c r="S24"/>
  <c r="R24"/>
  <c r="R23" s="1"/>
  <c r="P24"/>
  <c r="P23" s="1"/>
  <c r="O24"/>
  <c r="N24"/>
  <c r="N23" s="1"/>
  <c r="L24"/>
  <c r="K24"/>
  <c r="J24"/>
  <c r="J23" s="1"/>
  <c r="H24"/>
  <c r="H23" s="1"/>
  <c r="G24"/>
  <c r="G23" s="1"/>
  <c r="F24"/>
  <c r="F23" s="1"/>
  <c r="S23"/>
  <c r="O23"/>
  <c r="L23"/>
  <c r="K23"/>
  <c r="S22"/>
  <c r="R22"/>
  <c r="P22"/>
  <c r="O22"/>
  <c r="N22"/>
  <c r="L22"/>
  <c r="K22"/>
  <c r="J22"/>
  <c r="H22"/>
  <c r="G22"/>
  <c r="F22"/>
  <c r="S21"/>
  <c r="S20" s="1"/>
  <c r="R21"/>
  <c r="R20" s="1"/>
  <c r="P21"/>
  <c r="O21"/>
  <c r="O20" s="1"/>
  <c r="N21"/>
  <c r="N20" s="1"/>
  <c r="L21"/>
  <c r="K21"/>
  <c r="K20" s="1"/>
  <c r="J21"/>
  <c r="H21"/>
  <c r="G21"/>
  <c r="F21"/>
  <c r="F20" s="1"/>
  <c r="P20"/>
  <c r="L20"/>
  <c r="H20"/>
  <c r="S19"/>
  <c r="S18" s="1"/>
  <c r="R19"/>
  <c r="P19"/>
  <c r="P18" s="1"/>
  <c r="O19"/>
  <c r="O18" s="1"/>
  <c r="N19"/>
  <c r="N18" s="1"/>
  <c r="L19"/>
  <c r="L18" s="1"/>
  <c r="K19"/>
  <c r="K18" s="1"/>
  <c r="J19"/>
  <c r="H19"/>
  <c r="H18" s="1"/>
  <c r="G19"/>
  <c r="G18" s="1"/>
  <c r="F19"/>
  <c r="F18" s="1"/>
  <c r="R18"/>
  <c r="J18"/>
  <c r="S17"/>
  <c r="S16" s="1"/>
  <c r="R17"/>
  <c r="R16" s="1"/>
  <c r="Q17"/>
  <c r="Q16" s="1"/>
  <c r="O17"/>
  <c r="O16" s="1"/>
  <c r="N17"/>
  <c r="M17"/>
  <c r="M16" s="1"/>
  <c r="L17"/>
  <c r="L16" s="1"/>
  <c r="K17"/>
  <c r="K16" s="1"/>
  <c r="J17"/>
  <c r="I17"/>
  <c r="I16" s="1"/>
  <c r="H17"/>
  <c r="H16" s="1"/>
  <c r="G17"/>
  <c r="G16" s="1"/>
  <c r="F17"/>
  <c r="E17"/>
  <c r="T15"/>
  <c r="S14"/>
  <c r="R14"/>
  <c r="P14"/>
  <c r="O14"/>
  <c r="N14"/>
  <c r="L14"/>
  <c r="K14"/>
  <c r="J14"/>
  <c r="H14"/>
  <c r="G14"/>
  <c r="F14"/>
  <c r="S13"/>
  <c r="R13"/>
  <c r="P13"/>
  <c r="O13"/>
  <c r="N13"/>
  <c r="L13"/>
  <c r="K13"/>
  <c r="J13"/>
  <c r="H13"/>
  <c r="G13"/>
  <c r="F13"/>
  <c r="S11"/>
  <c r="R11"/>
  <c r="R10" s="1"/>
  <c r="P11"/>
  <c r="P10" s="1"/>
  <c r="P8" s="1"/>
  <c r="O11"/>
  <c r="O10" s="1"/>
  <c r="N11"/>
  <c r="K11"/>
  <c r="K10" s="1"/>
  <c r="J11"/>
  <c r="G11"/>
  <c r="G10" s="1"/>
  <c r="G8" s="1"/>
  <c r="F11"/>
  <c r="F10" s="1"/>
  <c r="F8" s="1"/>
  <c r="S10"/>
  <c r="N10"/>
  <c r="J10"/>
  <c r="S9"/>
  <c r="R9"/>
  <c r="Q9"/>
  <c r="P9"/>
  <c r="O9"/>
  <c r="N9"/>
  <c r="N8" s="1"/>
  <c r="M9"/>
  <c r="L9"/>
  <c r="K9"/>
  <c r="J9"/>
  <c r="I9"/>
  <c r="H9"/>
  <c r="G9"/>
  <c r="F9"/>
  <c r="E9"/>
  <c r="S7"/>
  <c r="R7"/>
  <c r="R5" s="1"/>
  <c r="Q7"/>
  <c r="P7"/>
  <c r="O7"/>
  <c r="N7"/>
  <c r="M7"/>
  <c r="L7"/>
  <c r="K7"/>
  <c r="J7"/>
  <c r="J5" s="1"/>
  <c r="I7"/>
  <c r="H7"/>
  <c r="G7"/>
  <c r="F7"/>
  <c r="E7"/>
  <c r="T7" s="1"/>
  <c r="S6"/>
  <c r="R6"/>
  <c r="Q6"/>
  <c r="P6"/>
  <c r="P5" s="1"/>
  <c r="O6"/>
  <c r="O5" s="1"/>
  <c r="N6"/>
  <c r="M6"/>
  <c r="L6"/>
  <c r="L5" s="1"/>
  <c r="K6"/>
  <c r="J6"/>
  <c r="I6"/>
  <c r="H6"/>
  <c r="H5" s="1"/>
  <c r="G6"/>
  <c r="G5" s="1"/>
  <c r="F6"/>
  <c r="E6"/>
  <c r="S5"/>
  <c r="N5"/>
  <c r="K5"/>
  <c r="F5"/>
  <c r="X107" i="11" l="1"/>
  <c r="E5" i="8"/>
  <c r="I5"/>
  <c r="M5"/>
  <c r="T5" s="1"/>
  <c r="Q5"/>
  <c r="J8"/>
  <c r="J4" s="1"/>
  <c r="L11"/>
  <c r="L10" s="1"/>
  <c r="L8" s="1"/>
  <c r="R8"/>
  <c r="R4" s="1"/>
  <c r="R107" s="1"/>
  <c r="G4"/>
  <c r="L4"/>
  <c r="L107" s="1"/>
  <c r="P4"/>
  <c r="P107" s="1"/>
  <c r="E19"/>
  <c r="E18" s="1"/>
  <c r="I19"/>
  <c r="I18" s="1"/>
  <c r="T18" s="1"/>
  <c r="M19"/>
  <c r="M18" s="1"/>
  <c r="Q19"/>
  <c r="Q18" s="1"/>
  <c r="P27"/>
  <c r="T31"/>
  <c r="P69"/>
  <c r="P68" s="1"/>
  <c r="P49" s="1"/>
  <c r="T80"/>
  <c r="T83"/>
  <c r="E86"/>
  <c r="E82" s="1"/>
  <c r="I86"/>
  <c r="I82" s="1"/>
  <c r="M86"/>
  <c r="T86" s="1"/>
  <c r="Q86"/>
  <c r="Q82" s="1"/>
  <c r="F86"/>
  <c r="F82" s="1"/>
  <c r="F49" s="1"/>
  <c r="J86"/>
  <c r="J82" s="1"/>
  <c r="N86"/>
  <c r="N82" s="1"/>
  <c r="N49" s="1"/>
  <c r="R86"/>
  <c r="R82" s="1"/>
  <c r="R49" s="1"/>
  <c r="T99"/>
  <c r="E13"/>
  <c r="T12" s="1"/>
  <c r="I13"/>
  <c r="M13"/>
  <c r="Q13"/>
  <c r="J20"/>
  <c r="E24"/>
  <c r="E23" s="1"/>
  <c r="T23" s="1"/>
  <c r="I24"/>
  <c r="I23" s="1"/>
  <c r="M24"/>
  <c r="M23" s="1"/>
  <c r="Q24"/>
  <c r="Q23" s="1"/>
  <c r="H27"/>
  <c r="H4" s="1"/>
  <c r="H107" s="1"/>
  <c r="H69"/>
  <c r="H68" s="1"/>
  <c r="L77"/>
  <c r="L76" s="1"/>
  <c r="L49" s="1"/>
  <c r="G82"/>
  <c r="G49" s="1"/>
  <c r="O82"/>
  <c r="O49" s="1"/>
  <c r="T100"/>
  <c r="T105"/>
  <c r="P82"/>
  <c r="O8"/>
  <c r="O4" s="1"/>
  <c r="S8"/>
  <c r="S4" s="1"/>
  <c r="S107" s="1"/>
  <c r="E14"/>
  <c r="I14"/>
  <c r="M14"/>
  <c r="T14" s="1"/>
  <c r="Q14"/>
  <c r="E21"/>
  <c r="I21"/>
  <c r="M21"/>
  <c r="Q21"/>
  <c r="Q20" s="1"/>
  <c r="G20"/>
  <c r="Q22"/>
  <c r="L27"/>
  <c r="K8"/>
  <c r="K4" s="1"/>
  <c r="K107" s="1"/>
  <c r="M20"/>
  <c r="T70"/>
  <c r="F4"/>
  <c r="F107" s="1"/>
  <c r="F16"/>
  <c r="J16"/>
  <c r="N4"/>
  <c r="N107" s="1"/>
  <c r="N16"/>
  <c r="E22"/>
  <c r="I22"/>
  <c r="I20" s="1"/>
  <c r="M22"/>
  <c r="T44"/>
  <c r="T73"/>
  <c r="T87"/>
  <c r="T90"/>
  <c r="I98"/>
  <c r="T101"/>
  <c r="T17"/>
  <c r="E16"/>
  <c r="T9"/>
  <c r="E26"/>
  <c r="I26"/>
  <c r="I25" s="1"/>
  <c r="M26"/>
  <c r="M25" s="1"/>
  <c r="Q26"/>
  <c r="Q25" s="1"/>
  <c r="T39"/>
  <c r="T67"/>
  <c r="T71"/>
  <c r="T88"/>
  <c r="T6"/>
  <c r="J49"/>
  <c r="T43"/>
  <c r="H72"/>
  <c r="T72" s="1"/>
  <c r="T74"/>
  <c r="S49"/>
  <c r="K49"/>
  <c r="E78"/>
  <c r="T78" s="1"/>
  <c r="T79"/>
  <c r="E76"/>
  <c r="T28"/>
  <c r="E69"/>
  <c r="I69"/>
  <c r="I68" s="1"/>
  <c r="M69"/>
  <c r="M68" s="1"/>
  <c r="Q69"/>
  <c r="Q68" s="1"/>
  <c r="T106"/>
  <c r="T42"/>
  <c r="T93"/>
  <c r="E11"/>
  <c r="I11"/>
  <c r="I10" s="1"/>
  <c r="I8" s="1"/>
  <c r="M11"/>
  <c r="M10" s="1"/>
  <c r="M8" s="1"/>
  <c r="Q11"/>
  <c r="Q10" s="1"/>
  <c r="Q8" s="1"/>
  <c r="E27"/>
  <c r="I27"/>
  <c r="M27"/>
  <c r="Q27"/>
  <c r="O98"/>
  <c r="L3" l="1"/>
  <c r="F3"/>
  <c r="J107"/>
  <c r="J3"/>
  <c r="O107"/>
  <c r="O3"/>
  <c r="M82"/>
  <c r="T82" s="1"/>
  <c r="T76"/>
  <c r="T98"/>
  <c r="I49"/>
  <c r="N3"/>
  <c r="T77"/>
  <c r="K3"/>
  <c r="T19"/>
  <c r="T21"/>
  <c r="M4"/>
  <c r="T22"/>
  <c r="Q49"/>
  <c r="S3"/>
  <c r="P3"/>
  <c r="T24"/>
  <c r="T13"/>
  <c r="T26"/>
  <c r="E25"/>
  <c r="T25" s="1"/>
  <c r="G3"/>
  <c r="G107"/>
  <c r="T16"/>
  <c r="R3"/>
  <c r="H49"/>
  <c r="H3" s="1"/>
  <c r="E20"/>
  <c r="T20" s="1"/>
  <c r="T30"/>
  <c r="T27"/>
  <c r="T69"/>
  <c r="E68"/>
  <c r="E10"/>
  <c r="E8" s="1"/>
  <c r="T11"/>
  <c r="T10" s="1"/>
  <c r="Q4"/>
  <c r="I4"/>
  <c r="M107" l="1"/>
  <c r="M3"/>
  <c r="M49"/>
  <c r="Q3"/>
  <c r="Q107"/>
  <c r="I3"/>
  <c r="I107"/>
  <c r="E49"/>
  <c r="T68"/>
  <c r="E4"/>
  <c r="E107" s="1"/>
  <c r="T8"/>
  <c r="T49" l="1"/>
  <c r="E3"/>
  <c r="T3" s="1"/>
  <c r="T4"/>
  <c r="T107" l="1"/>
  <c r="L106" i="7"/>
  <c r="L105"/>
  <c r="L104"/>
  <c r="L103"/>
  <c r="L102"/>
  <c r="L101"/>
  <c r="L100"/>
  <c r="L99"/>
  <c r="K98"/>
  <c r="J98"/>
  <c r="I98"/>
  <c r="H98"/>
  <c r="G98"/>
  <c r="F98"/>
  <c r="E98"/>
  <c r="L97"/>
  <c r="L96"/>
  <c r="L95"/>
  <c r="L94"/>
  <c r="K93"/>
  <c r="K77" s="1"/>
  <c r="K76" s="1"/>
  <c r="J93"/>
  <c r="J77" s="1"/>
  <c r="J76" s="1"/>
  <c r="I93"/>
  <c r="H93"/>
  <c r="G93"/>
  <c r="G77" s="1"/>
  <c r="G76" s="1"/>
  <c r="F93"/>
  <c r="F77" s="1"/>
  <c r="F76" s="1"/>
  <c r="E93"/>
  <c r="L92"/>
  <c r="L91"/>
  <c r="K90"/>
  <c r="J90"/>
  <c r="I90"/>
  <c r="H90"/>
  <c r="G90"/>
  <c r="F90"/>
  <c r="E90"/>
  <c r="L90" s="1"/>
  <c r="L89"/>
  <c r="K88"/>
  <c r="J88"/>
  <c r="I88"/>
  <c r="H88"/>
  <c r="G88"/>
  <c r="F88"/>
  <c r="E88"/>
  <c r="L88" s="1"/>
  <c r="K87"/>
  <c r="J87"/>
  <c r="I87"/>
  <c r="H87"/>
  <c r="H86" s="1"/>
  <c r="G87"/>
  <c r="F87"/>
  <c r="E87"/>
  <c r="K86"/>
  <c r="J86"/>
  <c r="I86"/>
  <c r="G86"/>
  <c r="F86"/>
  <c r="E86"/>
  <c r="L85"/>
  <c r="L84"/>
  <c r="K83"/>
  <c r="J83"/>
  <c r="I83"/>
  <c r="H83"/>
  <c r="H82" s="1"/>
  <c r="G83"/>
  <c r="F83"/>
  <c r="E83"/>
  <c r="K82"/>
  <c r="G82"/>
  <c r="L81"/>
  <c r="K80"/>
  <c r="J80"/>
  <c r="I80"/>
  <c r="H80"/>
  <c r="G80"/>
  <c r="F80"/>
  <c r="E80"/>
  <c r="L80" s="1"/>
  <c r="K79"/>
  <c r="J79"/>
  <c r="I79"/>
  <c r="I78" s="1"/>
  <c r="H79"/>
  <c r="G79"/>
  <c r="G78" s="1"/>
  <c r="F79"/>
  <c r="F78" s="1"/>
  <c r="E79"/>
  <c r="K78"/>
  <c r="J78"/>
  <c r="H78"/>
  <c r="I77"/>
  <c r="H77"/>
  <c r="H76" s="1"/>
  <c r="E77"/>
  <c r="L77" s="1"/>
  <c r="I76"/>
  <c r="L75"/>
  <c r="K74"/>
  <c r="J74"/>
  <c r="I74"/>
  <c r="H74"/>
  <c r="G74"/>
  <c r="F74"/>
  <c r="E74"/>
  <c r="K73"/>
  <c r="J73"/>
  <c r="J72" s="1"/>
  <c r="I73"/>
  <c r="H73"/>
  <c r="H72" s="1"/>
  <c r="G73"/>
  <c r="F73"/>
  <c r="E73"/>
  <c r="E72" s="1"/>
  <c r="K72"/>
  <c r="I72"/>
  <c r="G72"/>
  <c r="F72"/>
  <c r="K71"/>
  <c r="K70" s="1"/>
  <c r="J71"/>
  <c r="J70" s="1"/>
  <c r="I71"/>
  <c r="I70" s="1"/>
  <c r="H71"/>
  <c r="G71"/>
  <c r="F71"/>
  <c r="F70" s="1"/>
  <c r="E71"/>
  <c r="E70" s="1"/>
  <c r="H70"/>
  <c r="G70"/>
  <c r="J69"/>
  <c r="J68" s="1"/>
  <c r="I69"/>
  <c r="I68" s="1"/>
  <c r="H69"/>
  <c r="H68" s="1"/>
  <c r="F69"/>
  <c r="F68" s="1"/>
  <c r="E69"/>
  <c r="E68" s="1"/>
  <c r="L67"/>
  <c r="L66"/>
  <c r="L65"/>
  <c r="L64"/>
  <c r="L63"/>
  <c r="L62"/>
  <c r="L61"/>
  <c r="L60"/>
  <c r="L59"/>
  <c r="L58"/>
  <c r="L57"/>
  <c r="L56"/>
  <c r="L55"/>
  <c r="L54"/>
  <c r="L53"/>
  <c r="L52"/>
  <c r="L51"/>
  <c r="L50"/>
  <c r="L48"/>
  <c r="L47"/>
  <c r="L46"/>
  <c r="L45"/>
  <c r="K44"/>
  <c r="J44"/>
  <c r="I44"/>
  <c r="H44"/>
  <c r="G44"/>
  <c r="F44"/>
  <c r="E44"/>
  <c r="L43"/>
  <c r="K42"/>
  <c r="J42"/>
  <c r="I42"/>
  <c r="H42"/>
  <c r="G42"/>
  <c r="F42"/>
  <c r="E42"/>
  <c r="L41"/>
  <c r="L40"/>
  <c r="K39"/>
  <c r="J39"/>
  <c r="I39"/>
  <c r="H39"/>
  <c r="G39"/>
  <c r="F39"/>
  <c r="E39"/>
  <c r="L38"/>
  <c r="L37"/>
  <c r="L36"/>
  <c r="L35"/>
  <c r="L34"/>
  <c r="L33"/>
  <c r="L32"/>
  <c r="K31"/>
  <c r="J31"/>
  <c r="I31"/>
  <c r="H31"/>
  <c r="G31"/>
  <c r="F31"/>
  <c r="E31"/>
  <c r="L29"/>
  <c r="L28"/>
  <c r="J27"/>
  <c r="I27"/>
  <c r="H27"/>
  <c r="F27"/>
  <c r="E27"/>
  <c r="K26"/>
  <c r="K25" s="1"/>
  <c r="J26"/>
  <c r="I26"/>
  <c r="I25" s="1"/>
  <c r="H26"/>
  <c r="H25" s="1"/>
  <c r="G26"/>
  <c r="G25" s="1"/>
  <c r="F26"/>
  <c r="E26"/>
  <c r="E25" s="1"/>
  <c r="J25"/>
  <c r="F25"/>
  <c r="K24"/>
  <c r="K23" s="1"/>
  <c r="J24"/>
  <c r="J23" s="1"/>
  <c r="I24"/>
  <c r="I23" s="1"/>
  <c r="H24"/>
  <c r="G24"/>
  <c r="G23" s="1"/>
  <c r="F24"/>
  <c r="F23" s="1"/>
  <c r="E24"/>
  <c r="E23" s="1"/>
  <c r="H23"/>
  <c r="K22"/>
  <c r="J22"/>
  <c r="I22"/>
  <c r="H22"/>
  <c r="G22"/>
  <c r="F22"/>
  <c r="E22"/>
  <c r="K21"/>
  <c r="K20" s="1"/>
  <c r="J21"/>
  <c r="J20" s="1"/>
  <c r="I21"/>
  <c r="H21"/>
  <c r="G21"/>
  <c r="F21"/>
  <c r="F20" s="1"/>
  <c r="E21"/>
  <c r="I20"/>
  <c r="H20"/>
  <c r="K19"/>
  <c r="J19"/>
  <c r="J18" s="1"/>
  <c r="I19"/>
  <c r="I18" s="1"/>
  <c r="H19"/>
  <c r="H18" s="1"/>
  <c r="G19"/>
  <c r="G18" s="1"/>
  <c r="F19"/>
  <c r="E19"/>
  <c r="K18"/>
  <c r="F18"/>
  <c r="L17"/>
  <c r="L16"/>
  <c r="L15"/>
  <c r="K14"/>
  <c r="J14"/>
  <c r="I14"/>
  <c r="H14"/>
  <c r="G14"/>
  <c r="F14"/>
  <c r="E14"/>
  <c r="K13"/>
  <c r="K12" s="1"/>
  <c r="J13"/>
  <c r="I13"/>
  <c r="H13"/>
  <c r="H12" s="1"/>
  <c r="G13"/>
  <c r="G12" s="1"/>
  <c r="F13"/>
  <c r="E13"/>
  <c r="E12" s="1"/>
  <c r="K11"/>
  <c r="K10" s="1"/>
  <c r="K8" s="1"/>
  <c r="J11"/>
  <c r="J10" s="1"/>
  <c r="J8" s="1"/>
  <c r="I11"/>
  <c r="H11"/>
  <c r="H10" s="1"/>
  <c r="G11"/>
  <c r="G10" s="1"/>
  <c r="G8" s="1"/>
  <c r="F11"/>
  <c r="F10" s="1"/>
  <c r="F8" s="1"/>
  <c r="E11"/>
  <c r="I10"/>
  <c r="I8" s="1"/>
  <c r="E10"/>
  <c r="E8" s="1"/>
  <c r="H9"/>
  <c r="H7"/>
  <c r="L7" s="1"/>
  <c r="H6"/>
  <c r="H5" s="1"/>
  <c r="K5"/>
  <c r="J5"/>
  <c r="I5"/>
  <c r="G5"/>
  <c r="F5"/>
  <c r="E5"/>
  <c r="J106" i="6"/>
  <c r="J105"/>
  <c r="J104"/>
  <c r="J103"/>
  <c r="J102"/>
  <c r="J101"/>
  <c r="J100"/>
  <c r="J99"/>
  <c r="I98"/>
  <c r="H98"/>
  <c r="G98"/>
  <c r="F98"/>
  <c r="E98"/>
  <c r="J98" s="1"/>
  <c r="J97"/>
  <c r="J96"/>
  <c r="J95"/>
  <c r="J94"/>
  <c r="I93"/>
  <c r="H93"/>
  <c r="G93"/>
  <c r="G77" s="1"/>
  <c r="G76" s="1"/>
  <c r="F93"/>
  <c r="F27" s="1"/>
  <c r="E93"/>
  <c r="J92"/>
  <c r="J91"/>
  <c r="I90"/>
  <c r="H90"/>
  <c r="G90"/>
  <c r="F90"/>
  <c r="E90"/>
  <c r="J90" s="1"/>
  <c r="J89"/>
  <c r="I88"/>
  <c r="H88"/>
  <c r="G88"/>
  <c r="F88"/>
  <c r="E88"/>
  <c r="I87"/>
  <c r="I86" s="1"/>
  <c r="H87"/>
  <c r="H86" s="1"/>
  <c r="H82" s="1"/>
  <c r="G87"/>
  <c r="F87"/>
  <c r="E87"/>
  <c r="E86" s="1"/>
  <c r="G86"/>
  <c r="F86"/>
  <c r="J85"/>
  <c r="J84"/>
  <c r="I83"/>
  <c r="H83"/>
  <c r="G83"/>
  <c r="F83"/>
  <c r="F82" s="1"/>
  <c r="E83"/>
  <c r="J81"/>
  <c r="I80"/>
  <c r="H80"/>
  <c r="G80"/>
  <c r="F80"/>
  <c r="E80"/>
  <c r="I79"/>
  <c r="I78" s="1"/>
  <c r="H79"/>
  <c r="H78" s="1"/>
  <c r="G79"/>
  <c r="F79"/>
  <c r="E79"/>
  <c r="E78" s="1"/>
  <c r="G78"/>
  <c r="F78"/>
  <c r="I77"/>
  <c r="I76" s="1"/>
  <c r="H77"/>
  <c r="H76" s="1"/>
  <c r="E77"/>
  <c r="E76" s="1"/>
  <c r="J75"/>
  <c r="I74"/>
  <c r="H74"/>
  <c r="G74"/>
  <c r="F74"/>
  <c r="E74"/>
  <c r="I73"/>
  <c r="I72" s="1"/>
  <c r="H73"/>
  <c r="H72" s="1"/>
  <c r="G73"/>
  <c r="G72" s="1"/>
  <c r="F73"/>
  <c r="E73"/>
  <c r="E72" s="1"/>
  <c r="F72"/>
  <c r="I71"/>
  <c r="H71"/>
  <c r="H70" s="1"/>
  <c r="G71"/>
  <c r="G70" s="1"/>
  <c r="F71"/>
  <c r="E71"/>
  <c r="I70"/>
  <c r="F70"/>
  <c r="E70"/>
  <c r="I69"/>
  <c r="H69"/>
  <c r="H68" s="1"/>
  <c r="E69"/>
  <c r="E68" s="1"/>
  <c r="I68"/>
  <c r="J67"/>
  <c r="J66"/>
  <c r="J65"/>
  <c r="J64"/>
  <c r="J63"/>
  <c r="J62"/>
  <c r="J61"/>
  <c r="J60"/>
  <c r="J59"/>
  <c r="J58"/>
  <c r="J57"/>
  <c r="J56"/>
  <c r="J55"/>
  <c r="J54"/>
  <c r="J53"/>
  <c r="J52"/>
  <c r="J51"/>
  <c r="J50"/>
  <c r="J48"/>
  <c r="J47"/>
  <c r="J46"/>
  <c r="J45"/>
  <c r="I44"/>
  <c r="H44"/>
  <c r="G44"/>
  <c r="F44"/>
  <c r="E44"/>
  <c r="J43"/>
  <c r="I42"/>
  <c r="H42"/>
  <c r="G42"/>
  <c r="F42"/>
  <c r="E42"/>
  <c r="J41"/>
  <c r="J40"/>
  <c r="I39"/>
  <c r="H39"/>
  <c r="G39"/>
  <c r="F39"/>
  <c r="E39"/>
  <c r="J38"/>
  <c r="J37"/>
  <c r="J36"/>
  <c r="J35"/>
  <c r="J34"/>
  <c r="J33"/>
  <c r="J32"/>
  <c r="I31"/>
  <c r="H31"/>
  <c r="G31"/>
  <c r="F31"/>
  <c r="E31"/>
  <c r="J29"/>
  <c r="J28"/>
  <c r="I27"/>
  <c r="H27"/>
  <c r="E27"/>
  <c r="I26"/>
  <c r="H26"/>
  <c r="G26"/>
  <c r="G25" s="1"/>
  <c r="F26"/>
  <c r="F25" s="1"/>
  <c r="E26"/>
  <c r="I25"/>
  <c r="H25"/>
  <c r="E25"/>
  <c r="I24"/>
  <c r="H24"/>
  <c r="G24"/>
  <c r="G23" s="1"/>
  <c r="F24"/>
  <c r="E24"/>
  <c r="I23"/>
  <c r="H23"/>
  <c r="F23"/>
  <c r="E23"/>
  <c r="I22"/>
  <c r="H22"/>
  <c r="H20" s="1"/>
  <c r="G22"/>
  <c r="F22"/>
  <c r="E22"/>
  <c r="I21"/>
  <c r="I20" s="1"/>
  <c r="H21"/>
  <c r="G21"/>
  <c r="F21"/>
  <c r="E21"/>
  <c r="E20" s="1"/>
  <c r="G20"/>
  <c r="F20"/>
  <c r="I19"/>
  <c r="I18" s="1"/>
  <c r="H19"/>
  <c r="G19"/>
  <c r="F19"/>
  <c r="E19"/>
  <c r="E18" s="1"/>
  <c r="J18" s="1"/>
  <c r="H18"/>
  <c r="G18"/>
  <c r="F18"/>
  <c r="J17"/>
  <c r="J16"/>
  <c r="J15"/>
  <c r="I14"/>
  <c r="H14"/>
  <c r="G14"/>
  <c r="F14"/>
  <c r="E14"/>
  <c r="I13"/>
  <c r="I12" s="1"/>
  <c r="H13"/>
  <c r="G13"/>
  <c r="G12" s="1"/>
  <c r="F13"/>
  <c r="F12" s="1"/>
  <c r="E13"/>
  <c r="I11"/>
  <c r="I10" s="1"/>
  <c r="I8" s="1"/>
  <c r="H11"/>
  <c r="H10" s="1"/>
  <c r="H8" s="1"/>
  <c r="E11"/>
  <c r="E10" s="1"/>
  <c r="E8" s="1"/>
  <c r="J9"/>
  <c r="J7"/>
  <c r="J6"/>
  <c r="I5"/>
  <c r="H5"/>
  <c r="G5"/>
  <c r="F5"/>
  <c r="E5"/>
  <c r="W106" i="5"/>
  <c r="W105"/>
  <c r="W104"/>
  <c r="W103"/>
  <c r="W102"/>
  <c r="W101"/>
  <c r="W100"/>
  <c r="W99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W98" s="1"/>
  <c r="W97"/>
  <c r="W96"/>
  <c r="W95"/>
  <c r="W94"/>
  <c r="V93"/>
  <c r="U93"/>
  <c r="U69" s="1"/>
  <c r="U68" s="1"/>
  <c r="T93"/>
  <c r="S93"/>
  <c r="R93"/>
  <c r="Q93"/>
  <c r="Q69" s="1"/>
  <c r="Q68" s="1"/>
  <c r="P93"/>
  <c r="O93"/>
  <c r="M93"/>
  <c r="M69" s="1"/>
  <c r="M68" s="1"/>
  <c r="L93"/>
  <c r="K93"/>
  <c r="J93"/>
  <c r="I93"/>
  <c r="I69" s="1"/>
  <c r="I68" s="1"/>
  <c r="H93"/>
  <c r="G93"/>
  <c r="F93"/>
  <c r="E93"/>
  <c r="W92"/>
  <c r="W91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W90" s="1"/>
  <c r="W89"/>
  <c r="V88"/>
  <c r="U88"/>
  <c r="T88"/>
  <c r="T86" s="1"/>
  <c r="T82" s="1"/>
  <c r="S88"/>
  <c r="R88"/>
  <c r="Q88"/>
  <c r="P88"/>
  <c r="O88"/>
  <c r="N88"/>
  <c r="M88"/>
  <c r="L88"/>
  <c r="L86" s="1"/>
  <c r="L82" s="1"/>
  <c r="K88"/>
  <c r="J88"/>
  <c r="I88"/>
  <c r="H88"/>
  <c r="G88"/>
  <c r="F88"/>
  <c r="E88"/>
  <c r="V87"/>
  <c r="U87"/>
  <c r="U86" s="1"/>
  <c r="T87"/>
  <c r="S87"/>
  <c r="R87"/>
  <c r="Q87"/>
  <c r="Q86" s="1"/>
  <c r="P87"/>
  <c r="O87"/>
  <c r="N87"/>
  <c r="M87"/>
  <c r="M86" s="1"/>
  <c r="L87"/>
  <c r="K87"/>
  <c r="J87"/>
  <c r="I87"/>
  <c r="I86" s="1"/>
  <c r="H87"/>
  <c r="G87"/>
  <c r="F87"/>
  <c r="E87"/>
  <c r="W87" s="1"/>
  <c r="S86"/>
  <c r="P86"/>
  <c r="O86"/>
  <c r="K86"/>
  <c r="H86"/>
  <c r="G86"/>
  <c r="W85"/>
  <c r="W84"/>
  <c r="V83"/>
  <c r="U83"/>
  <c r="U82" s="1"/>
  <c r="T83"/>
  <c r="S83"/>
  <c r="R83"/>
  <c r="Q83"/>
  <c r="Q82" s="1"/>
  <c r="P83"/>
  <c r="O83"/>
  <c r="N83"/>
  <c r="M83"/>
  <c r="M82" s="1"/>
  <c r="L83"/>
  <c r="K83"/>
  <c r="J83"/>
  <c r="I83"/>
  <c r="I82" s="1"/>
  <c r="H83"/>
  <c r="G83"/>
  <c r="F83"/>
  <c r="E83"/>
  <c r="W83" s="1"/>
  <c r="S82"/>
  <c r="P82"/>
  <c r="O82"/>
  <c r="K82"/>
  <c r="H82"/>
  <c r="G82"/>
  <c r="W81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V79"/>
  <c r="U79"/>
  <c r="T79"/>
  <c r="S79"/>
  <c r="S78" s="1"/>
  <c r="R79"/>
  <c r="Q79"/>
  <c r="P79"/>
  <c r="O79"/>
  <c r="O78" s="1"/>
  <c r="N79"/>
  <c r="M79"/>
  <c r="L79"/>
  <c r="K79"/>
  <c r="K78" s="1"/>
  <c r="J79"/>
  <c r="I79"/>
  <c r="H79"/>
  <c r="G79"/>
  <c r="F79"/>
  <c r="F78" s="1"/>
  <c r="E79"/>
  <c r="V78"/>
  <c r="U78"/>
  <c r="T78"/>
  <c r="R78"/>
  <c r="Q78"/>
  <c r="P78"/>
  <c r="N78"/>
  <c r="M78"/>
  <c r="L78"/>
  <c r="J78"/>
  <c r="I78"/>
  <c r="H78"/>
  <c r="E78"/>
  <c r="V77"/>
  <c r="U77"/>
  <c r="U76" s="1"/>
  <c r="T77"/>
  <c r="S77"/>
  <c r="R77"/>
  <c r="Q77"/>
  <c r="Q76" s="1"/>
  <c r="P77"/>
  <c r="O77"/>
  <c r="N77"/>
  <c r="N76" s="1"/>
  <c r="M77"/>
  <c r="M76" s="1"/>
  <c r="L77"/>
  <c r="K77"/>
  <c r="J77"/>
  <c r="I77"/>
  <c r="I76" s="1"/>
  <c r="H77"/>
  <c r="G77"/>
  <c r="F77"/>
  <c r="E77"/>
  <c r="V76"/>
  <c r="T76"/>
  <c r="S76"/>
  <c r="R76"/>
  <c r="P76"/>
  <c r="O76"/>
  <c r="L76"/>
  <c r="K76"/>
  <c r="J76"/>
  <c r="H76"/>
  <c r="G76"/>
  <c r="F76"/>
  <c r="W75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4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W73" s="1"/>
  <c r="F73"/>
  <c r="E73"/>
  <c r="V72"/>
  <c r="U72"/>
  <c r="T72"/>
  <c r="R72"/>
  <c r="Q72"/>
  <c r="P72"/>
  <c r="N72"/>
  <c r="M72"/>
  <c r="L72"/>
  <c r="J72"/>
  <c r="I72"/>
  <c r="H72"/>
  <c r="F72"/>
  <c r="E72"/>
  <c r="V71"/>
  <c r="U71"/>
  <c r="U70" s="1"/>
  <c r="T71"/>
  <c r="S71"/>
  <c r="R71"/>
  <c r="Q71"/>
  <c r="Q70" s="1"/>
  <c r="P71"/>
  <c r="O71"/>
  <c r="N71"/>
  <c r="M71"/>
  <c r="M70" s="1"/>
  <c r="L71"/>
  <c r="K71"/>
  <c r="K70" s="1"/>
  <c r="J71"/>
  <c r="I71"/>
  <c r="I70" s="1"/>
  <c r="H71"/>
  <c r="G71"/>
  <c r="F71"/>
  <c r="E71"/>
  <c r="W71" s="1"/>
  <c r="V70"/>
  <c r="T70"/>
  <c r="S70"/>
  <c r="R70"/>
  <c r="P70"/>
  <c r="O70"/>
  <c r="N70"/>
  <c r="L70"/>
  <c r="J70"/>
  <c r="H70"/>
  <c r="G70"/>
  <c r="F70"/>
  <c r="V69"/>
  <c r="T69"/>
  <c r="S69"/>
  <c r="S68" s="1"/>
  <c r="S49" s="1"/>
  <c r="R69"/>
  <c r="P69"/>
  <c r="O69"/>
  <c r="O68" s="1"/>
  <c r="N69"/>
  <c r="N68" s="1"/>
  <c r="L69"/>
  <c r="K69"/>
  <c r="K68" s="1"/>
  <c r="J69"/>
  <c r="H69"/>
  <c r="H68" s="1"/>
  <c r="G69"/>
  <c r="G68" s="1"/>
  <c r="F69"/>
  <c r="V68"/>
  <c r="T68"/>
  <c r="R68"/>
  <c r="P68"/>
  <c r="L68"/>
  <c r="J68"/>
  <c r="F68"/>
  <c r="W67"/>
  <c r="W66"/>
  <c r="W65"/>
  <c r="W64"/>
  <c r="W63"/>
  <c r="W62"/>
  <c r="W61"/>
  <c r="W60"/>
  <c r="W59"/>
  <c r="W58"/>
  <c r="W57"/>
  <c r="W56"/>
  <c r="W55"/>
  <c r="W54"/>
  <c r="W53"/>
  <c r="W52"/>
  <c r="W51"/>
  <c r="W50"/>
  <c r="W48"/>
  <c r="W47"/>
  <c r="W46"/>
  <c r="W45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W43"/>
  <c r="V42"/>
  <c r="U42"/>
  <c r="T42"/>
  <c r="S42"/>
  <c r="R42"/>
  <c r="Q42"/>
  <c r="P42"/>
  <c r="O42"/>
  <c r="N42"/>
  <c r="M42"/>
  <c r="L42"/>
  <c r="K42"/>
  <c r="J42"/>
  <c r="I42"/>
  <c r="H42"/>
  <c r="G42"/>
  <c r="F42"/>
  <c r="E42"/>
  <c r="W41"/>
  <c r="W40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W38"/>
  <c r="W37"/>
  <c r="W36"/>
  <c r="W35"/>
  <c r="W34"/>
  <c r="W33"/>
  <c r="W32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W29"/>
  <c r="W28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V26"/>
  <c r="V25" s="1"/>
  <c r="U26"/>
  <c r="T26"/>
  <c r="S26"/>
  <c r="R26"/>
  <c r="R25" s="1"/>
  <c r="Q26"/>
  <c r="P26"/>
  <c r="O26"/>
  <c r="N26"/>
  <c r="N25" s="1"/>
  <c r="M26"/>
  <c r="L26"/>
  <c r="K26"/>
  <c r="J26"/>
  <c r="J25" s="1"/>
  <c r="I26"/>
  <c r="I25" s="1"/>
  <c r="H26"/>
  <c r="H25" s="1"/>
  <c r="G26"/>
  <c r="G25" s="1"/>
  <c r="F26"/>
  <c r="F25" s="1"/>
  <c r="E26"/>
  <c r="U25"/>
  <c r="T25"/>
  <c r="S25"/>
  <c r="Q25"/>
  <c r="P25"/>
  <c r="O25"/>
  <c r="M25"/>
  <c r="L25"/>
  <c r="K25"/>
  <c r="V24"/>
  <c r="U24"/>
  <c r="T24"/>
  <c r="T23" s="1"/>
  <c r="S24"/>
  <c r="R24"/>
  <c r="Q24"/>
  <c r="P24"/>
  <c r="P23" s="1"/>
  <c r="O24"/>
  <c r="N24"/>
  <c r="M24"/>
  <c r="L24"/>
  <c r="L23" s="1"/>
  <c r="K24"/>
  <c r="J24"/>
  <c r="J23" s="1"/>
  <c r="I24"/>
  <c r="I23" s="1"/>
  <c r="H24"/>
  <c r="H23" s="1"/>
  <c r="G24"/>
  <c r="F24"/>
  <c r="E24"/>
  <c r="E23" s="1"/>
  <c r="V23"/>
  <c r="U23"/>
  <c r="S23"/>
  <c r="R23"/>
  <c r="Q23"/>
  <c r="O23"/>
  <c r="N23"/>
  <c r="M23"/>
  <c r="K23"/>
  <c r="G23"/>
  <c r="F23"/>
  <c r="V22"/>
  <c r="U22"/>
  <c r="T22"/>
  <c r="S22"/>
  <c r="R22"/>
  <c r="Q22"/>
  <c r="P22"/>
  <c r="O22"/>
  <c r="N22"/>
  <c r="M22"/>
  <c r="L22"/>
  <c r="K22"/>
  <c r="J22"/>
  <c r="I22"/>
  <c r="H22"/>
  <c r="G22"/>
  <c r="F22"/>
  <c r="E22"/>
  <c r="V21"/>
  <c r="U21"/>
  <c r="U20" s="1"/>
  <c r="T21"/>
  <c r="S21"/>
  <c r="R21"/>
  <c r="Q21"/>
  <c r="Q20" s="1"/>
  <c r="P21"/>
  <c r="O21"/>
  <c r="N21"/>
  <c r="M21"/>
  <c r="M20" s="1"/>
  <c r="L21"/>
  <c r="K21"/>
  <c r="J21"/>
  <c r="I21"/>
  <c r="I20" s="1"/>
  <c r="H21"/>
  <c r="G21"/>
  <c r="G20" s="1"/>
  <c r="F21"/>
  <c r="E21"/>
  <c r="T20"/>
  <c r="S20"/>
  <c r="P20"/>
  <c r="O20"/>
  <c r="L20"/>
  <c r="K20"/>
  <c r="H20"/>
  <c r="V19"/>
  <c r="V18" s="1"/>
  <c r="U19"/>
  <c r="T19"/>
  <c r="S19"/>
  <c r="S18" s="1"/>
  <c r="R19"/>
  <c r="Q19"/>
  <c r="P19"/>
  <c r="O19"/>
  <c r="O18" s="1"/>
  <c r="N19"/>
  <c r="M19"/>
  <c r="L19"/>
  <c r="K19"/>
  <c r="K18" s="1"/>
  <c r="J19"/>
  <c r="J18" s="1"/>
  <c r="I19"/>
  <c r="H19"/>
  <c r="G19"/>
  <c r="F19"/>
  <c r="F18" s="1"/>
  <c r="E19"/>
  <c r="U18"/>
  <c r="T18"/>
  <c r="R18"/>
  <c r="Q18"/>
  <c r="P18"/>
  <c r="N18"/>
  <c r="M18"/>
  <c r="L18"/>
  <c r="I18"/>
  <c r="H18"/>
  <c r="E18"/>
  <c r="W17"/>
  <c r="W16"/>
  <c r="W15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V13"/>
  <c r="V12" s="1"/>
  <c r="U13"/>
  <c r="U12" s="1"/>
  <c r="T13"/>
  <c r="T12" s="1"/>
  <c r="S13"/>
  <c r="S12" s="1"/>
  <c r="R13"/>
  <c r="R12" s="1"/>
  <c r="Q13"/>
  <c r="Q12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V11"/>
  <c r="V10" s="1"/>
  <c r="V8" s="1"/>
  <c r="U11"/>
  <c r="U10" s="1"/>
  <c r="U8" s="1"/>
  <c r="T11"/>
  <c r="S11"/>
  <c r="R11"/>
  <c r="R10" s="1"/>
  <c r="R8" s="1"/>
  <c r="Q11"/>
  <c r="P11"/>
  <c r="O11"/>
  <c r="N11"/>
  <c r="N10" s="1"/>
  <c r="N8" s="1"/>
  <c r="M11"/>
  <c r="L11"/>
  <c r="K11"/>
  <c r="K10" s="1"/>
  <c r="K8" s="1"/>
  <c r="J11"/>
  <c r="J10" s="1"/>
  <c r="J8" s="1"/>
  <c r="I11"/>
  <c r="I10" s="1"/>
  <c r="I8" s="1"/>
  <c r="H11"/>
  <c r="G11"/>
  <c r="G10" s="1"/>
  <c r="G8" s="1"/>
  <c r="F11"/>
  <c r="F10" s="1"/>
  <c r="F8" s="1"/>
  <c r="E11"/>
  <c r="T10"/>
  <c r="T8" s="1"/>
  <c r="S10"/>
  <c r="S8" s="1"/>
  <c r="Q10"/>
  <c r="P10"/>
  <c r="O10"/>
  <c r="O8" s="1"/>
  <c r="M10"/>
  <c r="M8" s="1"/>
  <c r="L10"/>
  <c r="H10"/>
  <c r="H8" s="1"/>
  <c r="E10"/>
  <c r="E8" s="1"/>
  <c r="W9"/>
  <c r="Q8"/>
  <c r="P8"/>
  <c r="L8"/>
  <c r="W7"/>
  <c r="W6"/>
  <c r="V5"/>
  <c r="U5"/>
  <c r="T5"/>
  <c r="S5"/>
  <c r="R5"/>
  <c r="Q5"/>
  <c r="P5"/>
  <c r="O5"/>
  <c r="N5"/>
  <c r="M5"/>
  <c r="L5"/>
  <c r="K5"/>
  <c r="J5"/>
  <c r="I5"/>
  <c r="H5"/>
  <c r="G5"/>
  <c r="F5"/>
  <c r="E5"/>
  <c r="Q106" i="4"/>
  <c r="Q105"/>
  <c r="Q104"/>
  <c r="Q103"/>
  <c r="Q102"/>
  <c r="Q101"/>
  <c r="Q100"/>
  <c r="Q99"/>
  <c r="P98"/>
  <c r="O98"/>
  <c r="N98"/>
  <c r="M98"/>
  <c r="L98"/>
  <c r="K98"/>
  <c r="J98"/>
  <c r="I98"/>
  <c r="H98"/>
  <c r="G98"/>
  <c r="F98"/>
  <c r="E98"/>
  <c r="Q97"/>
  <c r="Q96"/>
  <c r="Q95"/>
  <c r="Q94"/>
  <c r="P93"/>
  <c r="O93"/>
  <c r="O77" s="1"/>
  <c r="O76" s="1"/>
  <c r="N93"/>
  <c r="M93"/>
  <c r="M11" s="1"/>
  <c r="M10" s="1"/>
  <c r="M8" s="1"/>
  <c r="L93"/>
  <c r="K93"/>
  <c r="K77" s="1"/>
  <c r="K76" s="1"/>
  <c r="J93"/>
  <c r="I93"/>
  <c r="I11" s="1"/>
  <c r="I10" s="1"/>
  <c r="I8" s="1"/>
  <c r="H93"/>
  <c r="G93"/>
  <c r="G77" s="1"/>
  <c r="G76" s="1"/>
  <c r="F93"/>
  <c r="E93"/>
  <c r="Q92"/>
  <c r="Q91"/>
  <c r="P90"/>
  <c r="O90"/>
  <c r="N90"/>
  <c r="M90"/>
  <c r="L90"/>
  <c r="K90"/>
  <c r="J90"/>
  <c r="I90"/>
  <c r="H90"/>
  <c r="G90"/>
  <c r="F90"/>
  <c r="E90"/>
  <c r="Q89"/>
  <c r="P88"/>
  <c r="O88"/>
  <c r="N88"/>
  <c r="M88"/>
  <c r="L88"/>
  <c r="K88"/>
  <c r="J88"/>
  <c r="I88"/>
  <c r="H88"/>
  <c r="G88"/>
  <c r="F88"/>
  <c r="E88"/>
  <c r="P87"/>
  <c r="O87"/>
  <c r="O86" s="1"/>
  <c r="N87"/>
  <c r="M87"/>
  <c r="M86" s="1"/>
  <c r="L87"/>
  <c r="L86" s="1"/>
  <c r="L82" s="1"/>
  <c r="K87"/>
  <c r="K86" s="1"/>
  <c r="J87"/>
  <c r="I87"/>
  <c r="I86" s="1"/>
  <c r="H87"/>
  <c r="H86" s="1"/>
  <c r="H82" s="1"/>
  <c r="G87"/>
  <c r="G86" s="1"/>
  <c r="F87"/>
  <c r="E87"/>
  <c r="P86"/>
  <c r="P82" s="1"/>
  <c r="Q85"/>
  <c r="Q84"/>
  <c r="P83"/>
  <c r="O83"/>
  <c r="O82" s="1"/>
  <c r="N83"/>
  <c r="M83"/>
  <c r="L83"/>
  <c r="K83"/>
  <c r="K82" s="1"/>
  <c r="J83"/>
  <c r="I83"/>
  <c r="H83"/>
  <c r="G83"/>
  <c r="G82" s="1"/>
  <c r="F83"/>
  <c r="E83"/>
  <c r="Q83" s="1"/>
  <c r="Q81"/>
  <c r="P80"/>
  <c r="O80"/>
  <c r="N80"/>
  <c r="M80"/>
  <c r="L80"/>
  <c r="K80"/>
  <c r="J80"/>
  <c r="I80"/>
  <c r="H80"/>
  <c r="G80"/>
  <c r="F80"/>
  <c r="E80"/>
  <c r="P79"/>
  <c r="O79"/>
  <c r="O78" s="1"/>
  <c r="N79"/>
  <c r="M79"/>
  <c r="M78" s="1"/>
  <c r="L79"/>
  <c r="K79"/>
  <c r="K78" s="1"/>
  <c r="J79"/>
  <c r="I79"/>
  <c r="I78" s="1"/>
  <c r="H79"/>
  <c r="G79"/>
  <c r="G78" s="1"/>
  <c r="F79"/>
  <c r="E79"/>
  <c r="P78"/>
  <c r="N78"/>
  <c r="L78"/>
  <c r="J78"/>
  <c r="H78"/>
  <c r="F78"/>
  <c r="P77"/>
  <c r="N77"/>
  <c r="M77"/>
  <c r="M76" s="1"/>
  <c r="L77"/>
  <c r="J77"/>
  <c r="I77"/>
  <c r="I76" s="1"/>
  <c r="H77"/>
  <c r="F77"/>
  <c r="E77"/>
  <c r="P76"/>
  <c r="N76"/>
  <c r="L76"/>
  <c r="J76"/>
  <c r="H76"/>
  <c r="F76"/>
  <c r="Q75"/>
  <c r="P74"/>
  <c r="O74"/>
  <c r="N74"/>
  <c r="M74"/>
  <c r="L74"/>
  <c r="K74"/>
  <c r="J74"/>
  <c r="I74"/>
  <c r="H74"/>
  <c r="G74"/>
  <c r="F74"/>
  <c r="E74"/>
  <c r="P73"/>
  <c r="O73"/>
  <c r="O72" s="1"/>
  <c r="N73"/>
  <c r="N72" s="1"/>
  <c r="M73"/>
  <c r="M72" s="1"/>
  <c r="L73"/>
  <c r="L72" s="1"/>
  <c r="K73"/>
  <c r="K72" s="1"/>
  <c r="J73"/>
  <c r="I73"/>
  <c r="I72" s="1"/>
  <c r="H73"/>
  <c r="G73"/>
  <c r="G72" s="1"/>
  <c r="F73"/>
  <c r="F72" s="1"/>
  <c r="E73"/>
  <c r="P72"/>
  <c r="J72"/>
  <c r="H72"/>
  <c r="P71"/>
  <c r="O71"/>
  <c r="O70" s="1"/>
  <c r="N71"/>
  <c r="N70" s="1"/>
  <c r="M71"/>
  <c r="M70" s="1"/>
  <c r="L71"/>
  <c r="K71"/>
  <c r="K70" s="1"/>
  <c r="J71"/>
  <c r="J70" s="1"/>
  <c r="I71"/>
  <c r="I70" s="1"/>
  <c r="H71"/>
  <c r="G71"/>
  <c r="G70" s="1"/>
  <c r="F71"/>
  <c r="F70" s="1"/>
  <c r="E71"/>
  <c r="P70"/>
  <c r="L70"/>
  <c r="H70"/>
  <c r="P69"/>
  <c r="N69"/>
  <c r="N68" s="1"/>
  <c r="M69"/>
  <c r="M68" s="1"/>
  <c r="L69"/>
  <c r="L68" s="1"/>
  <c r="J69"/>
  <c r="I69"/>
  <c r="I68" s="1"/>
  <c r="H69"/>
  <c r="F69"/>
  <c r="F68" s="1"/>
  <c r="E69"/>
  <c r="P68"/>
  <c r="J68"/>
  <c r="H68"/>
  <c r="Q67"/>
  <c r="Q66"/>
  <c r="Q65"/>
  <c r="Q64"/>
  <c r="Q63"/>
  <c r="Q62"/>
  <c r="Q61"/>
  <c r="Q60"/>
  <c r="Q59"/>
  <c r="Q58"/>
  <c r="Q57"/>
  <c r="Q56"/>
  <c r="Q55"/>
  <c r="Q54"/>
  <c r="Q53"/>
  <c r="Q52"/>
  <c r="Q51"/>
  <c r="Q48"/>
  <c r="Q47"/>
  <c r="Q46"/>
  <c r="Q45"/>
  <c r="P44"/>
  <c r="O44"/>
  <c r="N44"/>
  <c r="M44"/>
  <c r="L44"/>
  <c r="K44"/>
  <c r="J44"/>
  <c r="I44"/>
  <c r="H44"/>
  <c r="G44"/>
  <c r="F44"/>
  <c r="E44"/>
  <c r="Q43"/>
  <c r="P42"/>
  <c r="O42"/>
  <c r="N42"/>
  <c r="M42"/>
  <c r="L42"/>
  <c r="K42"/>
  <c r="J42"/>
  <c r="I42"/>
  <c r="H42"/>
  <c r="G42"/>
  <c r="F42"/>
  <c r="E42"/>
  <c r="Q41"/>
  <c r="Q40"/>
  <c r="P39"/>
  <c r="O39"/>
  <c r="N39"/>
  <c r="M39"/>
  <c r="L39"/>
  <c r="K39"/>
  <c r="J39"/>
  <c r="I39"/>
  <c r="H39"/>
  <c r="G39"/>
  <c r="F39"/>
  <c r="E39"/>
  <c r="Q38"/>
  <c r="Q37"/>
  <c r="Q36"/>
  <c r="Q35"/>
  <c r="Q34"/>
  <c r="Q33"/>
  <c r="Q32"/>
  <c r="P31"/>
  <c r="O31"/>
  <c r="N31"/>
  <c r="M31"/>
  <c r="L31"/>
  <c r="K31"/>
  <c r="J31"/>
  <c r="I31"/>
  <c r="H31"/>
  <c r="G31"/>
  <c r="F31"/>
  <c r="E31"/>
  <c r="Q29"/>
  <c r="Q28"/>
  <c r="P27"/>
  <c r="O27"/>
  <c r="N27"/>
  <c r="M27"/>
  <c r="L27"/>
  <c r="K27"/>
  <c r="J27"/>
  <c r="I27"/>
  <c r="H27"/>
  <c r="G27"/>
  <c r="F27"/>
  <c r="E27"/>
  <c r="P26"/>
  <c r="P25" s="1"/>
  <c r="O26"/>
  <c r="O25" s="1"/>
  <c r="N26"/>
  <c r="N25" s="1"/>
  <c r="M26"/>
  <c r="M25" s="1"/>
  <c r="L26"/>
  <c r="L25" s="1"/>
  <c r="K26"/>
  <c r="J26"/>
  <c r="J25" s="1"/>
  <c r="I26"/>
  <c r="H26"/>
  <c r="H25" s="1"/>
  <c r="G26"/>
  <c r="G25" s="1"/>
  <c r="F26"/>
  <c r="F25" s="1"/>
  <c r="E26"/>
  <c r="K25"/>
  <c r="I25"/>
  <c r="E25"/>
  <c r="P24"/>
  <c r="P23" s="1"/>
  <c r="O24"/>
  <c r="O23" s="1"/>
  <c r="N24"/>
  <c r="N23" s="1"/>
  <c r="M24"/>
  <c r="L24"/>
  <c r="L23" s="1"/>
  <c r="K24"/>
  <c r="J24"/>
  <c r="J23" s="1"/>
  <c r="I24"/>
  <c r="I23" s="1"/>
  <c r="H24"/>
  <c r="H23" s="1"/>
  <c r="G24"/>
  <c r="G23" s="1"/>
  <c r="F24"/>
  <c r="F23" s="1"/>
  <c r="E24"/>
  <c r="M23"/>
  <c r="K23"/>
  <c r="E23"/>
  <c r="P22"/>
  <c r="O22"/>
  <c r="N22"/>
  <c r="M22"/>
  <c r="L22"/>
  <c r="K22"/>
  <c r="J22"/>
  <c r="I22"/>
  <c r="H22"/>
  <c r="G22"/>
  <c r="F22"/>
  <c r="E22"/>
  <c r="P21"/>
  <c r="O21"/>
  <c r="O20" s="1"/>
  <c r="N21"/>
  <c r="M21"/>
  <c r="M20" s="1"/>
  <c r="L21"/>
  <c r="L20" s="1"/>
  <c r="K21"/>
  <c r="K20" s="1"/>
  <c r="J21"/>
  <c r="I21"/>
  <c r="I20" s="1"/>
  <c r="H21"/>
  <c r="H20" s="1"/>
  <c r="G21"/>
  <c r="G20" s="1"/>
  <c r="F21"/>
  <c r="E21"/>
  <c r="P20"/>
  <c r="P19"/>
  <c r="O19"/>
  <c r="O18" s="1"/>
  <c r="N19"/>
  <c r="N18" s="1"/>
  <c r="M19"/>
  <c r="M18" s="1"/>
  <c r="L19"/>
  <c r="K19"/>
  <c r="K18" s="1"/>
  <c r="J19"/>
  <c r="J18" s="1"/>
  <c r="I19"/>
  <c r="I18" s="1"/>
  <c r="H19"/>
  <c r="G19"/>
  <c r="G18" s="1"/>
  <c r="F19"/>
  <c r="F18" s="1"/>
  <c r="E19"/>
  <c r="E18" s="1"/>
  <c r="P18"/>
  <c r="L18"/>
  <c r="H18"/>
  <c r="Q17"/>
  <c r="Q16"/>
  <c r="Q15"/>
  <c r="P14"/>
  <c r="O14"/>
  <c r="N14"/>
  <c r="M14"/>
  <c r="L14"/>
  <c r="K14"/>
  <c r="J14"/>
  <c r="I14"/>
  <c r="H14"/>
  <c r="G14"/>
  <c r="F14"/>
  <c r="E14"/>
  <c r="Q14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E12" s="1"/>
  <c r="P11"/>
  <c r="P10" s="1"/>
  <c r="P8" s="1"/>
  <c r="N11"/>
  <c r="N10" s="1"/>
  <c r="N8" s="1"/>
  <c r="L11"/>
  <c r="L10" s="1"/>
  <c r="L8" s="1"/>
  <c r="J11"/>
  <c r="J10" s="1"/>
  <c r="J8" s="1"/>
  <c r="H11"/>
  <c r="H10" s="1"/>
  <c r="H8" s="1"/>
  <c r="G11"/>
  <c r="G10" s="1"/>
  <c r="G8" s="1"/>
  <c r="F11"/>
  <c r="F10" s="1"/>
  <c r="F8" s="1"/>
  <c r="Q9"/>
  <c r="Q7"/>
  <c r="Q6"/>
  <c r="P5"/>
  <c r="O5"/>
  <c r="N5"/>
  <c r="M5"/>
  <c r="L5"/>
  <c r="K5"/>
  <c r="J5"/>
  <c r="I5"/>
  <c r="H5"/>
  <c r="G5"/>
  <c r="F5"/>
  <c r="E5"/>
  <c r="M106" i="3"/>
  <c r="M105"/>
  <c r="M104"/>
  <c r="M103"/>
  <c r="M102"/>
  <c r="M101"/>
  <c r="M100"/>
  <c r="M99"/>
  <c r="L98"/>
  <c r="K98"/>
  <c r="J98"/>
  <c r="I98"/>
  <c r="H98"/>
  <c r="G98"/>
  <c r="F98"/>
  <c r="E98"/>
  <c r="M98" s="1"/>
  <c r="M97"/>
  <c r="M96"/>
  <c r="M95"/>
  <c r="M94"/>
  <c r="L93"/>
  <c r="K93"/>
  <c r="J93"/>
  <c r="I93"/>
  <c r="H93"/>
  <c r="G93"/>
  <c r="F93"/>
  <c r="E93"/>
  <c r="M93" s="1"/>
  <c r="M92"/>
  <c r="M91"/>
  <c r="L90"/>
  <c r="K90"/>
  <c r="J90"/>
  <c r="I90"/>
  <c r="H90"/>
  <c r="G90"/>
  <c r="F90"/>
  <c r="E90"/>
  <c r="M89"/>
  <c r="L88"/>
  <c r="K88"/>
  <c r="J88"/>
  <c r="I88"/>
  <c r="H88"/>
  <c r="G88"/>
  <c r="F88"/>
  <c r="E88"/>
  <c r="L87"/>
  <c r="K87"/>
  <c r="K86" s="1"/>
  <c r="J87"/>
  <c r="I87"/>
  <c r="I86" s="1"/>
  <c r="H87"/>
  <c r="H86" s="1"/>
  <c r="H82" s="1"/>
  <c r="G87"/>
  <c r="G86" s="1"/>
  <c r="F87"/>
  <c r="E87"/>
  <c r="L86"/>
  <c r="M85"/>
  <c r="M84"/>
  <c r="L83"/>
  <c r="K83"/>
  <c r="K82" s="1"/>
  <c r="J83"/>
  <c r="I83"/>
  <c r="I82" s="1"/>
  <c r="H83"/>
  <c r="G83"/>
  <c r="G82" s="1"/>
  <c r="F83"/>
  <c r="E83"/>
  <c r="M83" s="1"/>
  <c r="L82"/>
  <c r="M81"/>
  <c r="L80"/>
  <c r="K80"/>
  <c r="J80"/>
  <c r="I80"/>
  <c r="H80"/>
  <c r="G80"/>
  <c r="F80"/>
  <c r="E80"/>
  <c r="L79"/>
  <c r="K79"/>
  <c r="K78" s="1"/>
  <c r="J79"/>
  <c r="I79"/>
  <c r="H79"/>
  <c r="G79"/>
  <c r="G78" s="1"/>
  <c r="F79"/>
  <c r="E79"/>
  <c r="L78"/>
  <c r="J78"/>
  <c r="I78"/>
  <c r="H78"/>
  <c r="F78"/>
  <c r="E78"/>
  <c r="M78" s="1"/>
  <c r="L77"/>
  <c r="K77"/>
  <c r="J77"/>
  <c r="I77"/>
  <c r="I76" s="1"/>
  <c r="H77"/>
  <c r="G77"/>
  <c r="F77"/>
  <c r="E77"/>
  <c r="E76" s="1"/>
  <c r="L76"/>
  <c r="K76"/>
  <c r="J76"/>
  <c r="H76"/>
  <c r="G76"/>
  <c r="F76"/>
  <c r="M75"/>
  <c r="L74"/>
  <c r="K74"/>
  <c r="J74"/>
  <c r="I74"/>
  <c r="H74"/>
  <c r="G74"/>
  <c r="F74"/>
  <c r="E74"/>
  <c r="L73"/>
  <c r="K73"/>
  <c r="J73"/>
  <c r="I73"/>
  <c r="I72" s="1"/>
  <c r="H73"/>
  <c r="G73"/>
  <c r="F73"/>
  <c r="E73"/>
  <c r="E72" s="1"/>
  <c r="L72"/>
  <c r="K72"/>
  <c r="J72"/>
  <c r="H72"/>
  <c r="G72"/>
  <c r="F72"/>
  <c r="L71"/>
  <c r="K71"/>
  <c r="K70" s="1"/>
  <c r="J71"/>
  <c r="I71"/>
  <c r="H71"/>
  <c r="G71"/>
  <c r="G70" s="1"/>
  <c r="F71"/>
  <c r="F70" s="1"/>
  <c r="E71"/>
  <c r="E70" s="1"/>
  <c r="L70"/>
  <c r="J70"/>
  <c r="I70"/>
  <c r="H70"/>
  <c r="L69"/>
  <c r="K69"/>
  <c r="J69"/>
  <c r="I69"/>
  <c r="I68" s="1"/>
  <c r="H69"/>
  <c r="H68" s="1"/>
  <c r="H49" s="1"/>
  <c r="G69"/>
  <c r="F69"/>
  <c r="E69"/>
  <c r="E68" s="1"/>
  <c r="L68"/>
  <c r="K68"/>
  <c r="J68"/>
  <c r="G68"/>
  <c r="F68"/>
  <c r="M67"/>
  <c r="M66"/>
  <c r="M65"/>
  <c r="M64"/>
  <c r="M63"/>
  <c r="M62"/>
  <c r="M61"/>
  <c r="M60"/>
  <c r="M59"/>
  <c r="M58"/>
  <c r="M57"/>
  <c r="M56"/>
  <c r="M55"/>
  <c r="M54"/>
  <c r="M53"/>
  <c r="M52"/>
  <c r="M51"/>
  <c r="I49"/>
  <c r="L49"/>
  <c r="M48"/>
  <c r="M47"/>
  <c r="M46"/>
  <c r="M45"/>
  <c r="L44"/>
  <c r="K44"/>
  <c r="J44"/>
  <c r="I44"/>
  <c r="H44"/>
  <c r="G44"/>
  <c r="F44"/>
  <c r="E44"/>
  <c r="M43"/>
  <c r="L42"/>
  <c r="K42"/>
  <c r="J42"/>
  <c r="I42"/>
  <c r="H42"/>
  <c r="G42"/>
  <c r="F42"/>
  <c r="E42"/>
  <c r="M41"/>
  <c r="M40"/>
  <c r="L39"/>
  <c r="K39"/>
  <c r="J39"/>
  <c r="I39"/>
  <c r="H39"/>
  <c r="G39"/>
  <c r="F39"/>
  <c r="E39"/>
  <c r="M38"/>
  <c r="M37"/>
  <c r="M36"/>
  <c r="M35"/>
  <c r="M34"/>
  <c r="M33"/>
  <c r="M32"/>
  <c r="L31"/>
  <c r="K31"/>
  <c r="J31"/>
  <c r="I31"/>
  <c r="H31"/>
  <c r="G31"/>
  <c r="F31"/>
  <c r="E31"/>
  <c r="M29"/>
  <c r="M28"/>
  <c r="L27"/>
  <c r="K27"/>
  <c r="J27"/>
  <c r="I27"/>
  <c r="H27"/>
  <c r="G27"/>
  <c r="F27"/>
  <c r="E27"/>
  <c r="L26"/>
  <c r="K26"/>
  <c r="J26"/>
  <c r="I26"/>
  <c r="H26"/>
  <c r="G26"/>
  <c r="F26"/>
  <c r="E26"/>
  <c r="L25"/>
  <c r="K25"/>
  <c r="J25"/>
  <c r="I25"/>
  <c r="H25"/>
  <c r="G25"/>
  <c r="F25"/>
  <c r="E25"/>
  <c r="L24"/>
  <c r="K24"/>
  <c r="J24"/>
  <c r="I24"/>
  <c r="H24"/>
  <c r="G24"/>
  <c r="F24"/>
  <c r="E24"/>
  <c r="L23"/>
  <c r="K23"/>
  <c r="J23"/>
  <c r="I23"/>
  <c r="H23"/>
  <c r="G23"/>
  <c r="F23"/>
  <c r="E23"/>
  <c r="L22"/>
  <c r="K22"/>
  <c r="J22"/>
  <c r="I22"/>
  <c r="H22"/>
  <c r="G22"/>
  <c r="F22"/>
  <c r="E22"/>
  <c r="L21"/>
  <c r="K21"/>
  <c r="J21"/>
  <c r="I21"/>
  <c r="H21"/>
  <c r="G21"/>
  <c r="F21"/>
  <c r="E21"/>
  <c r="M21" s="1"/>
  <c r="L20"/>
  <c r="K20"/>
  <c r="J20"/>
  <c r="I20"/>
  <c r="H20"/>
  <c r="G20"/>
  <c r="F20"/>
  <c r="E20"/>
  <c r="M20" s="1"/>
  <c r="L19"/>
  <c r="K19"/>
  <c r="J19"/>
  <c r="I19"/>
  <c r="H19"/>
  <c r="H18" s="1"/>
  <c r="G19"/>
  <c r="F19"/>
  <c r="F18" s="1"/>
  <c r="E19"/>
  <c r="M19" s="1"/>
  <c r="L18"/>
  <c r="K18"/>
  <c r="J18"/>
  <c r="I18"/>
  <c r="G18"/>
  <c r="M17"/>
  <c r="M16"/>
  <c r="M15"/>
  <c r="L14"/>
  <c r="K14"/>
  <c r="J14"/>
  <c r="I14"/>
  <c r="H14"/>
  <c r="G14"/>
  <c r="F14"/>
  <c r="E14"/>
  <c r="L13"/>
  <c r="K13"/>
  <c r="J13"/>
  <c r="I13"/>
  <c r="H13"/>
  <c r="G13"/>
  <c r="F13"/>
  <c r="E13"/>
  <c r="M12"/>
  <c r="L11"/>
  <c r="K11"/>
  <c r="J11"/>
  <c r="I11"/>
  <c r="I10" s="1"/>
  <c r="I8" s="1"/>
  <c r="H11"/>
  <c r="G11"/>
  <c r="F11"/>
  <c r="F10" s="1"/>
  <c r="F8" s="1"/>
  <c r="E11"/>
  <c r="M11" s="1"/>
  <c r="M10" s="1"/>
  <c r="L10"/>
  <c r="L8" s="1"/>
  <c r="K10"/>
  <c r="J10"/>
  <c r="J8" s="1"/>
  <c r="H10"/>
  <c r="H8" s="1"/>
  <c r="G10"/>
  <c r="G8" s="1"/>
  <c r="E9"/>
  <c r="M9" s="1"/>
  <c r="K8"/>
  <c r="M7"/>
  <c r="M6"/>
  <c r="L5"/>
  <c r="K5"/>
  <c r="J5"/>
  <c r="I5"/>
  <c r="H5"/>
  <c r="G5"/>
  <c r="F5"/>
  <c r="E5"/>
  <c r="Y105" i="1"/>
  <c r="Y104"/>
  <c r="Y103"/>
  <c r="Y102"/>
  <c r="Y101"/>
  <c r="Y100"/>
  <c r="Y99"/>
  <c r="X98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Y97"/>
  <c r="Y96"/>
  <c r="Y95"/>
  <c r="Y94"/>
  <c r="X93"/>
  <c r="X27" s="1"/>
  <c r="W93"/>
  <c r="W27" s="1"/>
  <c r="V93"/>
  <c r="U93"/>
  <c r="T93"/>
  <c r="T69" s="1"/>
  <c r="T68" s="1"/>
  <c r="S93"/>
  <c r="S27" s="1"/>
  <c r="R93"/>
  <c r="Q93"/>
  <c r="P93"/>
  <c r="P69" s="1"/>
  <c r="P68" s="1"/>
  <c r="O93"/>
  <c r="O27" s="1"/>
  <c r="N93"/>
  <c r="M93"/>
  <c r="L93"/>
  <c r="L69" s="1"/>
  <c r="L68" s="1"/>
  <c r="K93"/>
  <c r="K27" s="1"/>
  <c r="J93"/>
  <c r="I93"/>
  <c r="H93"/>
  <c r="H27" s="1"/>
  <c r="G93"/>
  <c r="G27" s="1"/>
  <c r="F93"/>
  <c r="E93"/>
  <c r="Y92"/>
  <c r="Y91"/>
  <c r="X90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Y89"/>
  <c r="X88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X87"/>
  <c r="X86" s="1"/>
  <c r="W87"/>
  <c r="V87"/>
  <c r="V86" s="1"/>
  <c r="U87"/>
  <c r="U86" s="1"/>
  <c r="T87"/>
  <c r="T86" s="1"/>
  <c r="S87"/>
  <c r="R87"/>
  <c r="R86" s="1"/>
  <c r="R82" s="1"/>
  <c r="Q87"/>
  <c r="Q86" s="1"/>
  <c r="P87"/>
  <c r="P86" s="1"/>
  <c r="O87"/>
  <c r="N87"/>
  <c r="N86" s="1"/>
  <c r="N82" s="1"/>
  <c r="M87"/>
  <c r="M86" s="1"/>
  <c r="L87"/>
  <c r="L86" s="1"/>
  <c r="K87"/>
  <c r="J87"/>
  <c r="I87"/>
  <c r="I86" s="1"/>
  <c r="H87"/>
  <c r="H86" s="1"/>
  <c r="G87"/>
  <c r="G86" s="1"/>
  <c r="F87"/>
  <c r="F86" s="1"/>
  <c r="F82" s="1"/>
  <c r="E87"/>
  <c r="J86"/>
  <c r="Y85"/>
  <c r="Y84"/>
  <c r="X83"/>
  <c r="X82" s="1"/>
  <c r="W83"/>
  <c r="V83"/>
  <c r="U83"/>
  <c r="U82" s="1"/>
  <c r="T83"/>
  <c r="T82" s="1"/>
  <c r="S83"/>
  <c r="R83"/>
  <c r="Q83"/>
  <c r="Q82" s="1"/>
  <c r="P83"/>
  <c r="P82" s="1"/>
  <c r="O83"/>
  <c r="N83"/>
  <c r="M83"/>
  <c r="M82" s="1"/>
  <c r="L83"/>
  <c r="L82" s="1"/>
  <c r="K83"/>
  <c r="J83"/>
  <c r="I83"/>
  <c r="I82" s="1"/>
  <c r="H83"/>
  <c r="H82" s="1"/>
  <c r="G83"/>
  <c r="F83"/>
  <c r="E83"/>
  <c r="J82"/>
  <c r="Y81"/>
  <c r="X80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V79"/>
  <c r="U79"/>
  <c r="U78" s="1"/>
  <c r="Q79"/>
  <c r="Q78" s="1"/>
  <c r="P79"/>
  <c r="P78" s="1"/>
  <c r="O79"/>
  <c r="W78"/>
  <c r="V78"/>
  <c r="O78"/>
  <c r="W77"/>
  <c r="W76" s="1"/>
  <c r="V77"/>
  <c r="U77"/>
  <c r="S77"/>
  <c r="S76" s="1"/>
  <c r="R77"/>
  <c r="Q77"/>
  <c r="O77"/>
  <c r="O76" s="1"/>
  <c r="N77"/>
  <c r="M77"/>
  <c r="K77"/>
  <c r="K76" s="1"/>
  <c r="J77"/>
  <c r="I77"/>
  <c r="G77"/>
  <c r="G76" s="1"/>
  <c r="F77"/>
  <c r="E77"/>
  <c r="V76"/>
  <c r="U76"/>
  <c r="R76"/>
  <c r="Q76"/>
  <c r="N76"/>
  <c r="M76"/>
  <c r="J76"/>
  <c r="I76"/>
  <c r="F76"/>
  <c r="E76"/>
  <c r="Y75"/>
  <c r="X74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X73"/>
  <c r="W73"/>
  <c r="W72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G72" s="1"/>
  <c r="F73"/>
  <c r="E73"/>
  <c r="X72"/>
  <c r="V72"/>
  <c r="U72"/>
  <c r="T72"/>
  <c r="R72"/>
  <c r="Q72"/>
  <c r="P72"/>
  <c r="N72"/>
  <c r="M72"/>
  <c r="L72"/>
  <c r="J72"/>
  <c r="I72"/>
  <c r="H72"/>
  <c r="F72"/>
  <c r="E72"/>
  <c r="X71"/>
  <c r="W71"/>
  <c r="V71"/>
  <c r="U71"/>
  <c r="U70" s="1"/>
  <c r="T71"/>
  <c r="S71"/>
  <c r="R71"/>
  <c r="R70" s="1"/>
  <c r="Q71"/>
  <c r="Q70" s="1"/>
  <c r="P71"/>
  <c r="O71"/>
  <c r="N71"/>
  <c r="N70" s="1"/>
  <c r="M71"/>
  <c r="M70" s="1"/>
  <c r="L71"/>
  <c r="K71"/>
  <c r="J71"/>
  <c r="J70" s="1"/>
  <c r="I71"/>
  <c r="I70" s="1"/>
  <c r="H71"/>
  <c r="G71"/>
  <c r="F71"/>
  <c r="F70" s="1"/>
  <c r="E71"/>
  <c r="X70"/>
  <c r="W70"/>
  <c r="V70"/>
  <c r="T70"/>
  <c r="S70"/>
  <c r="P70"/>
  <c r="O70"/>
  <c r="L70"/>
  <c r="K70"/>
  <c r="H70"/>
  <c r="G70"/>
  <c r="W69"/>
  <c r="W68" s="1"/>
  <c r="V69"/>
  <c r="U69"/>
  <c r="U68" s="1"/>
  <c r="S69"/>
  <c r="S68" s="1"/>
  <c r="R69"/>
  <c r="Q69"/>
  <c r="Q68" s="1"/>
  <c r="O69"/>
  <c r="O68" s="1"/>
  <c r="N69"/>
  <c r="N68" s="1"/>
  <c r="M69"/>
  <c r="M68" s="1"/>
  <c r="K69"/>
  <c r="K68" s="1"/>
  <c r="J69"/>
  <c r="I69"/>
  <c r="G69"/>
  <c r="G68" s="1"/>
  <c r="F69"/>
  <c r="E69"/>
  <c r="E68" s="1"/>
  <c r="V68"/>
  <c r="R68"/>
  <c r="J68"/>
  <c r="I68"/>
  <c r="F68"/>
  <c r="Y67"/>
  <c r="Y66"/>
  <c r="Y65"/>
  <c r="Y64"/>
  <c r="Y63"/>
  <c r="Y62"/>
  <c r="Y61"/>
  <c r="Y60"/>
  <c r="Y59"/>
  <c r="Y58"/>
  <c r="Y57"/>
  <c r="Y56"/>
  <c r="Y55"/>
  <c r="Y54"/>
  <c r="Y53"/>
  <c r="Y52"/>
  <c r="Y51"/>
  <c r="Y50"/>
  <c r="Y48"/>
  <c r="Y47"/>
  <c r="Y46"/>
  <c r="Y45"/>
  <c r="X44"/>
  <c r="W44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N43"/>
  <c r="M43"/>
  <c r="L43"/>
  <c r="L42" s="1"/>
  <c r="K43"/>
  <c r="K42" s="1"/>
  <c r="J43"/>
  <c r="I43"/>
  <c r="H43"/>
  <c r="H42" s="1"/>
  <c r="G43"/>
  <c r="G42" s="1"/>
  <c r="X42"/>
  <c r="W42"/>
  <c r="V42"/>
  <c r="U42"/>
  <c r="T42"/>
  <c r="S42"/>
  <c r="R42"/>
  <c r="Q42"/>
  <c r="P42"/>
  <c r="O42"/>
  <c r="N42"/>
  <c r="M42"/>
  <c r="J42"/>
  <c r="I42"/>
  <c r="F42"/>
  <c r="E42"/>
  <c r="Y41"/>
  <c r="Y40"/>
  <c r="X39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Y38"/>
  <c r="Y37"/>
  <c r="Y36"/>
  <c r="Y35"/>
  <c r="Y34"/>
  <c r="Y33"/>
  <c r="Y32"/>
  <c r="X31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Y29"/>
  <c r="X28"/>
  <c r="X79" s="1"/>
  <c r="X78" s="1"/>
  <c r="T28"/>
  <c r="T79" s="1"/>
  <c r="T78" s="1"/>
  <c r="S28"/>
  <c r="S26" s="1"/>
  <c r="S25" s="1"/>
  <c r="R28"/>
  <c r="R79" s="1"/>
  <c r="R78" s="1"/>
  <c r="N28"/>
  <c r="N79" s="1"/>
  <c r="N78" s="1"/>
  <c r="M28"/>
  <c r="M79" s="1"/>
  <c r="M78" s="1"/>
  <c r="L28"/>
  <c r="L21" s="1"/>
  <c r="K28"/>
  <c r="K79" s="1"/>
  <c r="K78" s="1"/>
  <c r="J28"/>
  <c r="J79" s="1"/>
  <c r="J78" s="1"/>
  <c r="I28"/>
  <c r="I79" s="1"/>
  <c r="I78" s="1"/>
  <c r="H28"/>
  <c r="H21" s="1"/>
  <c r="G28"/>
  <c r="G79" s="1"/>
  <c r="G78" s="1"/>
  <c r="F28"/>
  <c r="F79" s="1"/>
  <c r="F78" s="1"/>
  <c r="E28"/>
  <c r="V27"/>
  <c r="U27"/>
  <c r="R27"/>
  <c r="Q27"/>
  <c r="P27"/>
  <c r="N27"/>
  <c r="M27"/>
  <c r="J27"/>
  <c r="I27"/>
  <c r="F27"/>
  <c r="E27"/>
  <c r="W26"/>
  <c r="V26"/>
  <c r="V25" s="1"/>
  <c r="U26"/>
  <c r="T26"/>
  <c r="R26"/>
  <c r="R25" s="1"/>
  <c r="Q26"/>
  <c r="P26"/>
  <c r="P25" s="1"/>
  <c r="O26"/>
  <c r="O25" s="1"/>
  <c r="M26"/>
  <c r="M25" s="1"/>
  <c r="K26"/>
  <c r="K25" s="1"/>
  <c r="I26"/>
  <c r="G26"/>
  <c r="G25" s="1"/>
  <c r="F26"/>
  <c r="F25" s="1"/>
  <c r="E26"/>
  <c r="W25"/>
  <c r="U25"/>
  <c r="T25"/>
  <c r="Q25"/>
  <c r="I25"/>
  <c r="E25"/>
  <c r="W24"/>
  <c r="V24"/>
  <c r="V23" s="1"/>
  <c r="U24"/>
  <c r="T24"/>
  <c r="T23" s="1"/>
  <c r="R24"/>
  <c r="Q24"/>
  <c r="Q23" s="1"/>
  <c r="P24"/>
  <c r="P23" s="1"/>
  <c r="O24"/>
  <c r="M24"/>
  <c r="L24"/>
  <c r="L23" s="1"/>
  <c r="K24"/>
  <c r="K23" s="1"/>
  <c r="I24"/>
  <c r="I23" s="1"/>
  <c r="H24"/>
  <c r="H23" s="1"/>
  <c r="G24"/>
  <c r="E24"/>
  <c r="E23" s="1"/>
  <c r="W23"/>
  <c r="U23"/>
  <c r="R23"/>
  <c r="O23"/>
  <c r="M23"/>
  <c r="G23"/>
  <c r="W22"/>
  <c r="V22"/>
  <c r="U22"/>
  <c r="T22"/>
  <c r="R22"/>
  <c r="Q22"/>
  <c r="P22"/>
  <c r="O22"/>
  <c r="N22"/>
  <c r="M22"/>
  <c r="K22"/>
  <c r="I22"/>
  <c r="G22"/>
  <c r="E22"/>
  <c r="X21"/>
  <c r="W21"/>
  <c r="V21"/>
  <c r="U21"/>
  <c r="T21"/>
  <c r="S21"/>
  <c r="R21"/>
  <c r="Q21"/>
  <c r="P21"/>
  <c r="P20" s="1"/>
  <c r="O21"/>
  <c r="O20" s="1"/>
  <c r="M21"/>
  <c r="K21"/>
  <c r="K20" s="1"/>
  <c r="I21"/>
  <c r="G21"/>
  <c r="G20" s="1"/>
  <c r="F21"/>
  <c r="E21"/>
  <c r="U20"/>
  <c r="T20"/>
  <c r="Q20"/>
  <c r="M20"/>
  <c r="I20"/>
  <c r="E20"/>
  <c r="W19"/>
  <c r="V19"/>
  <c r="V18" s="1"/>
  <c r="U19"/>
  <c r="U18" s="1"/>
  <c r="T19"/>
  <c r="R19"/>
  <c r="Q19"/>
  <c r="Q18" s="1"/>
  <c r="P19"/>
  <c r="O19"/>
  <c r="M19"/>
  <c r="M18" s="1"/>
  <c r="K19"/>
  <c r="K18" s="1"/>
  <c r="I19"/>
  <c r="I18" s="1"/>
  <c r="G19"/>
  <c r="G18" s="1"/>
  <c r="E19"/>
  <c r="W18"/>
  <c r="T18"/>
  <c r="R18"/>
  <c r="P18"/>
  <c r="O18"/>
  <c r="Q17"/>
  <c r="Y15"/>
  <c r="W14"/>
  <c r="V14"/>
  <c r="U14"/>
  <c r="T14"/>
  <c r="S14"/>
  <c r="R14"/>
  <c r="Q14"/>
  <c r="P14"/>
  <c r="O14"/>
  <c r="N14"/>
  <c r="M14"/>
  <c r="K14"/>
  <c r="I14"/>
  <c r="G14"/>
  <c r="E14"/>
  <c r="X13"/>
  <c r="W13"/>
  <c r="W12" s="1"/>
  <c r="V13"/>
  <c r="V12" s="1"/>
  <c r="U13"/>
  <c r="U12" s="1"/>
  <c r="T13"/>
  <c r="T12" s="1"/>
  <c r="R13"/>
  <c r="R12" s="1"/>
  <c r="Q13"/>
  <c r="Q12" s="1"/>
  <c r="P13"/>
  <c r="P12" s="1"/>
  <c r="O13"/>
  <c r="O12" s="1"/>
  <c r="M13"/>
  <c r="M12" s="1"/>
  <c r="L13"/>
  <c r="K13"/>
  <c r="K12" s="1"/>
  <c r="I13"/>
  <c r="I12" s="1"/>
  <c r="H13"/>
  <c r="G13"/>
  <c r="G12" s="1"/>
  <c r="E13"/>
  <c r="E12" s="1"/>
  <c r="X11"/>
  <c r="W11"/>
  <c r="W10" s="1"/>
  <c r="W8" s="1"/>
  <c r="V11"/>
  <c r="U11"/>
  <c r="U10" s="1"/>
  <c r="U8" s="1"/>
  <c r="T11"/>
  <c r="T10" s="1"/>
  <c r="S11"/>
  <c r="S10" s="1"/>
  <c r="R11"/>
  <c r="Q11"/>
  <c r="P11"/>
  <c r="P10" s="1"/>
  <c r="P8" s="1"/>
  <c r="O11"/>
  <c r="O10" s="1"/>
  <c r="O8" s="1"/>
  <c r="N11"/>
  <c r="M11"/>
  <c r="L11"/>
  <c r="L10" s="1"/>
  <c r="K11"/>
  <c r="K10" s="1"/>
  <c r="J11"/>
  <c r="I11"/>
  <c r="H11"/>
  <c r="G11"/>
  <c r="G10" s="1"/>
  <c r="F11"/>
  <c r="E11"/>
  <c r="X10"/>
  <c r="X8" s="1"/>
  <c r="V10"/>
  <c r="V8" s="1"/>
  <c r="R10"/>
  <c r="Q10"/>
  <c r="N10"/>
  <c r="M10"/>
  <c r="M8" s="1"/>
  <c r="J10"/>
  <c r="I10"/>
  <c r="H10"/>
  <c r="F10"/>
  <c r="X9"/>
  <c r="T9"/>
  <c r="S9"/>
  <c r="R9"/>
  <c r="N9"/>
  <c r="M9"/>
  <c r="L9"/>
  <c r="K9"/>
  <c r="J9"/>
  <c r="J8" s="1"/>
  <c r="I9"/>
  <c r="I8" s="1"/>
  <c r="H9"/>
  <c r="H8" s="1"/>
  <c r="G9"/>
  <c r="F9"/>
  <c r="E9"/>
  <c r="Q8"/>
  <c r="N8"/>
  <c r="F8"/>
  <c r="X7"/>
  <c r="T7"/>
  <c r="S7"/>
  <c r="R7"/>
  <c r="N7"/>
  <c r="M7"/>
  <c r="L7"/>
  <c r="K7"/>
  <c r="J7"/>
  <c r="I7"/>
  <c r="H7"/>
  <c r="G7"/>
  <c r="F7"/>
  <c r="E7"/>
  <c r="X6"/>
  <c r="W6"/>
  <c r="V6"/>
  <c r="V5" s="1"/>
  <c r="U6"/>
  <c r="U5" s="1"/>
  <c r="U4" s="1"/>
  <c r="U107" s="1"/>
  <c r="T6"/>
  <c r="S6"/>
  <c r="R6"/>
  <c r="Q6"/>
  <c r="Q5" s="1"/>
  <c r="Q4" s="1"/>
  <c r="Q107" s="1"/>
  <c r="P6"/>
  <c r="P5" s="1"/>
  <c r="O6"/>
  <c r="N6"/>
  <c r="M6"/>
  <c r="M5" s="1"/>
  <c r="L6"/>
  <c r="L5" s="1"/>
  <c r="K6"/>
  <c r="J6"/>
  <c r="I6"/>
  <c r="I5" s="1"/>
  <c r="I4" s="1"/>
  <c r="I107" s="1"/>
  <c r="H6"/>
  <c r="H5" s="1"/>
  <c r="G6"/>
  <c r="F6"/>
  <c r="E6"/>
  <c r="Y6" s="1"/>
  <c r="W5"/>
  <c r="S5"/>
  <c r="O5"/>
  <c r="N5"/>
  <c r="J5"/>
  <c r="F5"/>
  <c r="E5"/>
  <c r="F4" i="3" l="1"/>
  <c r="F107" s="1"/>
  <c r="J4"/>
  <c r="J107" s="1"/>
  <c r="K4"/>
  <c r="K107" s="1"/>
  <c r="M80"/>
  <c r="M22"/>
  <c r="M23"/>
  <c r="G49"/>
  <c r="M87"/>
  <c r="P49" i="4"/>
  <c r="Q77"/>
  <c r="L4"/>
  <c r="L3" s="1"/>
  <c r="Q21"/>
  <c r="Q22"/>
  <c r="Q24"/>
  <c r="Q44"/>
  <c r="Q73"/>
  <c r="Q74"/>
  <c r="K11"/>
  <c r="K10" s="1"/>
  <c r="K8" s="1"/>
  <c r="K4" s="1"/>
  <c r="K107" s="1"/>
  <c r="Q31"/>
  <c r="G69"/>
  <c r="G68" s="1"/>
  <c r="G49" s="1"/>
  <c r="K69"/>
  <c r="K68" s="1"/>
  <c r="O69"/>
  <c r="O68" s="1"/>
  <c r="O11"/>
  <c r="O10" s="1"/>
  <c r="O8" s="1"/>
  <c r="Q79"/>
  <c r="Q80"/>
  <c r="H49"/>
  <c r="L49"/>
  <c r="Q93"/>
  <c r="Q98"/>
  <c r="W26" i="5"/>
  <c r="W42"/>
  <c r="W5"/>
  <c r="W13"/>
  <c r="E12"/>
  <c r="W22"/>
  <c r="W79"/>
  <c r="X5" i="1"/>
  <c r="L8"/>
  <c r="T8"/>
  <c r="V82"/>
  <c r="R20"/>
  <c r="N49"/>
  <c r="L11" i="7"/>
  <c r="L10" s="1"/>
  <c r="F12"/>
  <c r="J12"/>
  <c r="L86"/>
  <c r="I12"/>
  <c r="H49"/>
  <c r="H8"/>
  <c r="L39"/>
  <c r="L44"/>
  <c r="F4"/>
  <c r="F107" s="1"/>
  <c r="J4"/>
  <c r="J107" s="1"/>
  <c r="L74"/>
  <c r="E76"/>
  <c r="J20" i="6"/>
  <c r="H49"/>
  <c r="H12"/>
  <c r="J25"/>
  <c r="J31"/>
  <c r="F69"/>
  <c r="F68" s="1"/>
  <c r="F49" s="1"/>
  <c r="F77"/>
  <c r="F76" s="1"/>
  <c r="H4"/>
  <c r="G82"/>
  <c r="J13"/>
  <c r="E12"/>
  <c r="F11"/>
  <c r="F10" s="1"/>
  <c r="F8" s="1"/>
  <c r="J22"/>
  <c r="M27" i="3"/>
  <c r="I4"/>
  <c r="I107" s="1"/>
  <c r="M13"/>
  <c r="M14"/>
  <c r="M30"/>
  <c r="M31"/>
  <c r="M39"/>
  <c r="M76"/>
  <c r="L4"/>
  <c r="E18"/>
  <c r="M18" s="1"/>
  <c r="M44"/>
  <c r="M71"/>
  <c r="M5"/>
  <c r="G4"/>
  <c r="G107" s="1"/>
  <c r="M24"/>
  <c r="M25"/>
  <c r="M26"/>
  <c r="M42"/>
  <c r="M79"/>
  <c r="F86"/>
  <c r="F82" s="1"/>
  <c r="F49" s="1"/>
  <c r="J86"/>
  <c r="J82" s="1"/>
  <c r="J49" s="1"/>
  <c r="M90"/>
  <c r="M68"/>
  <c r="M70"/>
  <c r="K49"/>
  <c r="M72"/>
  <c r="M74"/>
  <c r="M88"/>
  <c r="Q42" i="4"/>
  <c r="F20"/>
  <c r="F4" s="1"/>
  <c r="F107" s="1"/>
  <c r="J20"/>
  <c r="J4" s="1"/>
  <c r="N20"/>
  <c r="N4" s="1"/>
  <c r="N107" s="1"/>
  <c r="F86"/>
  <c r="F82" s="1"/>
  <c r="J86"/>
  <c r="J82" s="1"/>
  <c r="J49" s="1"/>
  <c r="N86"/>
  <c r="N82" s="1"/>
  <c r="N49" s="1"/>
  <c r="Q90"/>
  <c r="Q5"/>
  <c r="Q13"/>
  <c r="Q39"/>
  <c r="Q71"/>
  <c r="Q87"/>
  <c r="Q88"/>
  <c r="H4"/>
  <c r="P4"/>
  <c r="P107" s="1"/>
  <c r="G4"/>
  <c r="G107" s="1"/>
  <c r="Q26"/>
  <c r="H4" i="5"/>
  <c r="H107" s="1"/>
  <c r="I4"/>
  <c r="I107" s="1"/>
  <c r="M4"/>
  <c r="M107" s="1"/>
  <c r="Q4"/>
  <c r="Q107" s="1"/>
  <c r="U4"/>
  <c r="U107" s="1"/>
  <c r="L49"/>
  <c r="W88"/>
  <c r="W8"/>
  <c r="S4"/>
  <c r="S107" s="1"/>
  <c r="T4"/>
  <c r="T107" s="1"/>
  <c r="V4"/>
  <c r="W19"/>
  <c r="W21"/>
  <c r="E25"/>
  <c r="W39"/>
  <c r="P49"/>
  <c r="W80"/>
  <c r="W93"/>
  <c r="O4"/>
  <c r="O107" s="1"/>
  <c r="P4"/>
  <c r="P107" s="1"/>
  <c r="W14"/>
  <c r="F20"/>
  <c r="J20"/>
  <c r="J4" s="1"/>
  <c r="N20"/>
  <c r="N4" s="1"/>
  <c r="R20"/>
  <c r="R4" s="1"/>
  <c r="V20"/>
  <c r="W44"/>
  <c r="T49"/>
  <c r="K4"/>
  <c r="K107" s="1"/>
  <c r="L4"/>
  <c r="L107" s="1"/>
  <c r="W23"/>
  <c r="W24"/>
  <c r="W31"/>
  <c r="H49"/>
  <c r="F86"/>
  <c r="F82" s="1"/>
  <c r="F49" s="1"/>
  <c r="J86"/>
  <c r="J82" s="1"/>
  <c r="J49" s="1"/>
  <c r="N86"/>
  <c r="N82" s="1"/>
  <c r="R86"/>
  <c r="R82" s="1"/>
  <c r="R49" s="1"/>
  <c r="V86"/>
  <c r="V82" s="1"/>
  <c r="V49" s="1"/>
  <c r="G82" i="1"/>
  <c r="Y17"/>
  <c r="Q16"/>
  <c r="Y16" s="1"/>
  <c r="O86"/>
  <c r="O82" s="1"/>
  <c r="Y11"/>
  <c r="Y10" s="1"/>
  <c r="J14"/>
  <c r="N19"/>
  <c r="N18" s="1"/>
  <c r="J22"/>
  <c r="X22"/>
  <c r="X20" s="1"/>
  <c r="F24"/>
  <c r="F23" s="1"/>
  <c r="J24"/>
  <c r="J23" s="1"/>
  <c r="N24"/>
  <c r="N23" s="1"/>
  <c r="L27"/>
  <c r="Y42"/>
  <c r="H77"/>
  <c r="H76" s="1"/>
  <c r="L77"/>
  <c r="L76" s="1"/>
  <c r="P77"/>
  <c r="P76" s="1"/>
  <c r="P49" s="1"/>
  <c r="T77"/>
  <c r="T76" s="1"/>
  <c r="X77"/>
  <c r="X76" s="1"/>
  <c r="Y93"/>
  <c r="Y98"/>
  <c r="S86"/>
  <c r="S82" s="1"/>
  <c r="S8"/>
  <c r="F13"/>
  <c r="J13"/>
  <c r="J12" s="1"/>
  <c r="N13"/>
  <c r="N12" s="1"/>
  <c r="F19"/>
  <c r="F18" s="1"/>
  <c r="J21"/>
  <c r="W20"/>
  <c r="W4" s="1"/>
  <c r="V20"/>
  <c r="J26"/>
  <c r="J25" s="1"/>
  <c r="X26"/>
  <c r="X25" s="1"/>
  <c r="T27"/>
  <c r="Y28"/>
  <c r="Y31"/>
  <c r="Y44"/>
  <c r="H69"/>
  <c r="H68" s="1"/>
  <c r="X69"/>
  <c r="X68" s="1"/>
  <c r="Y71"/>
  <c r="Y72"/>
  <c r="Y80"/>
  <c r="Y90"/>
  <c r="M4"/>
  <c r="M107" s="1"/>
  <c r="V49"/>
  <c r="K86"/>
  <c r="K82" s="1"/>
  <c r="W86"/>
  <c r="W82" s="1"/>
  <c r="W49" s="1"/>
  <c r="T5"/>
  <c r="T4" s="1"/>
  <c r="G5"/>
  <c r="K5"/>
  <c r="R5"/>
  <c r="R4" s="1"/>
  <c r="R107" s="1"/>
  <c r="Y9"/>
  <c r="K8"/>
  <c r="R8"/>
  <c r="E10"/>
  <c r="E8" s="1"/>
  <c r="F14"/>
  <c r="X14"/>
  <c r="X12" s="1"/>
  <c r="J19"/>
  <c r="J18" s="1"/>
  <c r="X19"/>
  <c r="X18" s="1"/>
  <c r="N21"/>
  <c r="N20" s="1"/>
  <c r="F22"/>
  <c r="F20" s="1"/>
  <c r="X24"/>
  <c r="X23" s="1"/>
  <c r="N26"/>
  <c r="N25" s="1"/>
  <c r="O49"/>
  <c r="Y73"/>
  <c r="Y74"/>
  <c r="Y77"/>
  <c r="E79"/>
  <c r="Y83"/>
  <c r="Y87"/>
  <c r="Y88"/>
  <c r="L13" i="7"/>
  <c r="L31"/>
  <c r="L73"/>
  <c r="I82"/>
  <c r="I49" s="1"/>
  <c r="L14"/>
  <c r="G20"/>
  <c r="L76"/>
  <c r="L87"/>
  <c r="L93"/>
  <c r="L71"/>
  <c r="L83"/>
  <c r="L98"/>
  <c r="I4"/>
  <c r="L21"/>
  <c r="L72"/>
  <c r="F82"/>
  <c r="F49" s="1"/>
  <c r="F3" s="1"/>
  <c r="J82"/>
  <c r="H107" i="6"/>
  <c r="E82"/>
  <c r="E49" s="1"/>
  <c r="F4"/>
  <c r="F107" s="1"/>
  <c r="J72"/>
  <c r="J76"/>
  <c r="J80"/>
  <c r="J86"/>
  <c r="J88"/>
  <c r="J93"/>
  <c r="J26"/>
  <c r="J44"/>
  <c r="J73"/>
  <c r="J78"/>
  <c r="J12"/>
  <c r="J24"/>
  <c r="J39"/>
  <c r="J71"/>
  <c r="J87"/>
  <c r="I82"/>
  <c r="J14"/>
  <c r="J42"/>
  <c r="I49"/>
  <c r="J70"/>
  <c r="J74"/>
  <c r="L12" i="7"/>
  <c r="L23"/>
  <c r="L19"/>
  <c r="L22"/>
  <c r="L25"/>
  <c r="L79"/>
  <c r="L5"/>
  <c r="Q12" i="4"/>
  <c r="N49" i="5"/>
  <c r="W77"/>
  <c r="W11"/>
  <c r="W10" s="1"/>
  <c r="L8" i="7"/>
  <c r="L70"/>
  <c r="H4"/>
  <c r="J49"/>
  <c r="J3" s="1"/>
  <c r="E20"/>
  <c r="L20" s="1"/>
  <c r="L6"/>
  <c r="L9"/>
  <c r="G69"/>
  <c r="G68" s="1"/>
  <c r="G49" s="1"/>
  <c r="K69"/>
  <c r="K68" s="1"/>
  <c r="K49" s="1"/>
  <c r="E82"/>
  <c r="E18"/>
  <c r="E78"/>
  <c r="L78" s="1"/>
  <c r="L24"/>
  <c r="L26"/>
  <c r="L42"/>
  <c r="G27"/>
  <c r="G4" s="1"/>
  <c r="K27"/>
  <c r="K4" s="1"/>
  <c r="E4" i="6"/>
  <c r="E107" s="1"/>
  <c r="I4"/>
  <c r="J23"/>
  <c r="J5"/>
  <c r="J19"/>
  <c r="J21"/>
  <c r="J77"/>
  <c r="J79"/>
  <c r="G69"/>
  <c r="G68" s="1"/>
  <c r="G49" s="1"/>
  <c r="J83"/>
  <c r="G11"/>
  <c r="G10" s="1"/>
  <c r="G8" s="1"/>
  <c r="G4" s="1"/>
  <c r="G27"/>
  <c r="G4" i="5"/>
  <c r="G107" s="1"/>
  <c r="S3"/>
  <c r="K49"/>
  <c r="K3" s="1"/>
  <c r="F4"/>
  <c r="W25"/>
  <c r="O49"/>
  <c r="I49"/>
  <c r="M49"/>
  <c r="Q49"/>
  <c r="Q3" s="1"/>
  <c r="U49"/>
  <c r="U3" s="1"/>
  <c r="G18"/>
  <c r="W18" s="1"/>
  <c r="E20"/>
  <c r="E70"/>
  <c r="W70" s="1"/>
  <c r="G72"/>
  <c r="E76"/>
  <c r="W76" s="1"/>
  <c r="G78"/>
  <c r="W78" s="1"/>
  <c r="E86"/>
  <c r="E69"/>
  <c r="O4" i="4"/>
  <c r="O107" s="1"/>
  <c r="Q23"/>
  <c r="F49"/>
  <c r="K49"/>
  <c r="O49"/>
  <c r="Q25"/>
  <c r="I49"/>
  <c r="Q18"/>
  <c r="I82"/>
  <c r="M82"/>
  <c r="M49" s="1"/>
  <c r="I4"/>
  <c r="I107" s="1"/>
  <c r="M4"/>
  <c r="M107" s="1"/>
  <c r="E20"/>
  <c r="E70"/>
  <c r="Q70" s="1"/>
  <c r="E78"/>
  <c r="Q78" s="1"/>
  <c r="E86"/>
  <c r="Q19"/>
  <c r="E11"/>
  <c r="Q30"/>
  <c r="E68"/>
  <c r="E72"/>
  <c r="Q72" s="1"/>
  <c r="E76"/>
  <c r="Q76" s="1"/>
  <c r="J3" i="3"/>
  <c r="H4"/>
  <c r="E10"/>
  <c r="E8" s="1"/>
  <c r="E82"/>
  <c r="M82" s="1"/>
  <c r="E86"/>
  <c r="M50"/>
  <c r="M69"/>
  <c r="M73"/>
  <c r="M77"/>
  <c r="F49" i="1"/>
  <c r="P4"/>
  <c r="O4"/>
  <c r="V4"/>
  <c r="X49"/>
  <c r="J49"/>
  <c r="I49"/>
  <c r="M49"/>
  <c r="Q49"/>
  <c r="Q3" s="1"/>
  <c r="U49"/>
  <c r="U3" s="1"/>
  <c r="G49"/>
  <c r="K49"/>
  <c r="Y68"/>
  <c r="R49"/>
  <c r="Y39"/>
  <c r="G8"/>
  <c r="S13"/>
  <c r="S12" s="1"/>
  <c r="E18"/>
  <c r="H19"/>
  <c r="H18" s="1"/>
  <c r="L19"/>
  <c r="L18" s="1"/>
  <c r="S24"/>
  <c r="S23" s="1"/>
  <c r="E70"/>
  <c r="E78"/>
  <c r="H79"/>
  <c r="H78" s="1"/>
  <c r="L79"/>
  <c r="L78" s="1"/>
  <c r="L49" s="1"/>
  <c r="E86"/>
  <c r="E82" s="1"/>
  <c r="Y82" s="1"/>
  <c r="Y7"/>
  <c r="Y43"/>
  <c r="S19"/>
  <c r="S18" s="1"/>
  <c r="H22"/>
  <c r="H20" s="1"/>
  <c r="L22"/>
  <c r="L20" s="1"/>
  <c r="H26"/>
  <c r="H25" s="1"/>
  <c r="L26"/>
  <c r="L25" s="1"/>
  <c r="S79"/>
  <c r="S78" s="1"/>
  <c r="H14"/>
  <c r="H12" s="1"/>
  <c r="L14"/>
  <c r="L12" s="1"/>
  <c r="S22"/>
  <c r="S20" s="1"/>
  <c r="K3" i="4" l="1"/>
  <c r="M3" i="5"/>
  <c r="H3"/>
  <c r="O3"/>
  <c r="L107" i="4"/>
  <c r="G3"/>
  <c r="F3" i="3"/>
  <c r="G3"/>
  <c r="K3"/>
  <c r="Q68" i="4"/>
  <c r="Q86"/>
  <c r="Q69"/>
  <c r="Q27"/>
  <c r="P3" i="5"/>
  <c r="W20"/>
  <c r="T3"/>
  <c r="Y30" i="1"/>
  <c r="Y76"/>
  <c r="J20"/>
  <c r="H49"/>
  <c r="X4"/>
  <c r="X107" s="1"/>
  <c r="F12"/>
  <c r="F4" s="1"/>
  <c r="L68" i="7"/>
  <c r="J8" i="6"/>
  <c r="H3"/>
  <c r="H3" i="3"/>
  <c r="H107"/>
  <c r="M86"/>
  <c r="I3"/>
  <c r="L3"/>
  <c r="L107"/>
  <c r="J3" i="4"/>
  <c r="J107"/>
  <c r="Q20"/>
  <c r="P3"/>
  <c r="H3"/>
  <c r="H107"/>
  <c r="R3" i="5"/>
  <c r="R107"/>
  <c r="J3"/>
  <c r="J107"/>
  <c r="V3"/>
  <c r="V107"/>
  <c r="W86"/>
  <c r="G49"/>
  <c r="I3"/>
  <c r="W72"/>
  <c r="L3"/>
  <c r="W27"/>
  <c r="F3"/>
  <c r="F107"/>
  <c r="N3"/>
  <c r="N107"/>
  <c r="T107" i="1"/>
  <c r="W3"/>
  <c r="W107"/>
  <c r="N4"/>
  <c r="V3"/>
  <c r="V107"/>
  <c r="Y18"/>
  <c r="R3"/>
  <c r="Y25"/>
  <c r="Y23"/>
  <c r="Y13"/>
  <c r="Y5"/>
  <c r="M3"/>
  <c r="Y21"/>
  <c r="T49"/>
  <c r="T3" s="1"/>
  <c r="K4"/>
  <c r="K107" s="1"/>
  <c r="J4"/>
  <c r="Y69"/>
  <c r="O3"/>
  <c r="O107"/>
  <c r="P3"/>
  <c r="P107"/>
  <c r="Y27"/>
  <c r="Y20"/>
  <c r="S49"/>
  <c r="Y86"/>
  <c r="Y8"/>
  <c r="Y14"/>
  <c r="I3"/>
  <c r="K3" i="7"/>
  <c r="K107"/>
  <c r="H3"/>
  <c r="H107"/>
  <c r="L27"/>
  <c r="L30"/>
  <c r="L82"/>
  <c r="L69"/>
  <c r="I3"/>
  <c r="I107"/>
  <c r="F3" i="6"/>
  <c r="G3"/>
  <c r="G107"/>
  <c r="I3"/>
  <c r="I107"/>
  <c r="J11"/>
  <c r="J10" s="1"/>
  <c r="J49"/>
  <c r="J27"/>
  <c r="J68"/>
  <c r="J82"/>
  <c r="G3" i="7"/>
  <c r="G107"/>
  <c r="E4"/>
  <c r="E107" s="1"/>
  <c r="L18"/>
  <c r="E49"/>
  <c r="L49" s="1"/>
  <c r="J4" i="6"/>
  <c r="E3"/>
  <c r="J30"/>
  <c r="J69"/>
  <c r="W30" i="5"/>
  <c r="G3"/>
  <c r="W12"/>
  <c r="E4"/>
  <c r="E107" s="1"/>
  <c r="E68"/>
  <c r="W69"/>
  <c r="E82"/>
  <c r="W82" s="1"/>
  <c r="Q50" i="4"/>
  <c r="E10"/>
  <c r="E8" s="1"/>
  <c r="Q11"/>
  <c r="Q10" s="1"/>
  <c r="I3"/>
  <c r="N3"/>
  <c r="M3"/>
  <c r="O3"/>
  <c r="E82"/>
  <c r="Q82" s="1"/>
  <c r="F3"/>
  <c r="M8" i="3"/>
  <c r="E4"/>
  <c r="E107" s="1"/>
  <c r="E49"/>
  <c r="M49" s="1"/>
  <c r="E49" i="1"/>
  <c r="Y70"/>
  <c r="Y79"/>
  <c r="S4"/>
  <c r="G4"/>
  <c r="Y24"/>
  <c r="Y78"/>
  <c r="H4"/>
  <c r="Y22"/>
  <c r="E4"/>
  <c r="E107" s="1"/>
  <c r="L4"/>
  <c r="Y19"/>
  <c r="Y26"/>
  <c r="J107" i="6" l="1"/>
  <c r="K3" i="1"/>
  <c r="X3"/>
  <c r="J107"/>
  <c r="J3"/>
  <c r="L3"/>
  <c r="L107"/>
  <c r="H3"/>
  <c r="H107"/>
  <c r="S3"/>
  <c r="S107"/>
  <c r="N3"/>
  <c r="N107"/>
  <c r="G3"/>
  <c r="G107"/>
  <c r="F107"/>
  <c r="F3"/>
  <c r="Y49"/>
  <c r="J3" i="6"/>
  <c r="L4" i="7"/>
  <c r="E3"/>
  <c r="L3" s="1"/>
  <c r="W4" i="5"/>
  <c r="E49"/>
  <c r="W49" s="1"/>
  <c r="W68"/>
  <c r="Q8" i="4"/>
  <c r="E4"/>
  <c r="E107" s="1"/>
  <c r="E49"/>
  <c r="Q49" s="1"/>
  <c r="M4" i="3"/>
  <c r="E3"/>
  <c r="M3" s="1"/>
  <c r="E3" i="1"/>
  <c r="Y4"/>
  <c r="Y12"/>
  <c r="L107" i="7" l="1"/>
  <c r="Y3" i="1"/>
  <c r="Y107"/>
  <c r="W107" i="5"/>
  <c r="M107" i="3"/>
  <c r="E3" i="5"/>
  <c r="W3" s="1"/>
  <c r="Q4" i="4"/>
  <c r="E3"/>
  <c r="Q3" s="1"/>
  <c r="Q107" l="1"/>
</calcChain>
</file>

<file path=xl/sharedStrings.xml><?xml version="1.0" encoding="utf-8"?>
<sst xmlns="http://schemas.openxmlformats.org/spreadsheetml/2006/main" count="5748" uniqueCount="1092">
  <si>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4" type="noConversion"/>
  </si>
  <si>
    <t>序号</t>
  </si>
  <si>
    <t>项目名称</t>
  </si>
  <si>
    <t>功能分类</t>
  </si>
  <si>
    <t>口径</t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</si>
  <si>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</si>
  <si>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</si>
  <si>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</si>
  <si>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</si>
  <si>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</si>
  <si>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</si>
  <si>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</si>
  <si>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明强小学</t>
    <phoneticPr fontId="4" type="noConversion"/>
  </si>
  <si>
    <t>七宝实验幼儿园</t>
    <phoneticPr fontId="4" type="noConversion"/>
  </si>
  <si>
    <t>航华二幼</t>
    <phoneticPr fontId="4" type="noConversion"/>
  </si>
  <si>
    <t>七宝三中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</si>
  <si>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</si>
  <si>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</si>
  <si>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</si>
  <si>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</si>
  <si>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黎明小学</t>
    <phoneticPr fontId="4" type="noConversion"/>
  </si>
  <si>
    <t>航华中学</t>
    <phoneticPr fontId="4" type="noConversion"/>
  </si>
  <si>
    <t>社区学校</t>
    <phoneticPr fontId="4" type="noConversion"/>
  </si>
  <si>
    <t>春欣幼儿园</t>
    <phoneticPr fontId="4" type="noConversion"/>
  </si>
  <si>
    <t>合计</t>
  </si>
  <si>
    <t>备注</t>
  </si>
  <si>
    <t>1</t>
  </si>
  <si>
    <t>基本支出总预算数</t>
  </si>
  <si>
    <t>公式计算</t>
  </si>
  <si>
    <t>2</t>
  </si>
  <si>
    <t>工资福利支出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</si>
  <si>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</si>
  <si>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</si>
  <si>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</si>
  <si>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</si>
  <si>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</si>
  <si>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</si>
  <si>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</si>
  <si>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</si>
  <si>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</si>
  <si>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</si>
  <si>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</si>
  <si>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</si>
  <si>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</si>
  <si>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</si>
  <si>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</si>
  <si>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　　　　　　(1)上下班交通费补贴</t>
    <phoneticPr fontId="4" type="noConversion"/>
  </si>
  <si>
    <t>10</t>
  </si>
  <si>
    <t>　　其他社会保障缴费</t>
  </si>
  <si>
    <t>注：社保缴费基数应该相同</t>
  </si>
  <si>
    <t>11</t>
  </si>
  <si>
    <t>公式计算（请检查）</t>
  </si>
  <si>
    <t>12</t>
  </si>
  <si>
    <t>13</t>
  </si>
  <si>
    <t>14</t>
  </si>
  <si>
    <t>　　绩效工资</t>
  </si>
  <si>
    <t>15</t>
  </si>
  <si>
    <t>　　　　1、绩效工资</t>
  </si>
  <si>
    <t>根据人保科数字编制（待下发）</t>
  </si>
  <si>
    <t>16</t>
  </si>
  <si>
    <t>　　　　2、校长职级制</t>
  </si>
  <si>
    <t>根据校长职级制按实编制</t>
  </si>
  <si>
    <t>17</t>
  </si>
  <si>
    <t xml:space="preserve">   城镇职工基本医疗保险缴费</t>
  </si>
  <si>
    <t>18</t>
  </si>
  <si>
    <t xml:space="preserve">        1、医疗保险费10.5%</t>
    <phoneticPr fontId="4" type="noConversion"/>
  </si>
  <si>
    <t>事业单位医疗</t>
  </si>
  <si>
    <t>19</t>
  </si>
  <si>
    <t xml:space="preserve">   公务员医疗补助缴费</t>
  </si>
  <si>
    <t>20</t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</si>
  <si>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</si>
  <si>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t>公务员医疗补助</t>
  </si>
  <si>
    <t>21</t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</si>
  <si>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</si>
  <si>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22</t>
  </si>
  <si>
    <t>　　事业单位基本养老保险缴费</t>
  </si>
  <si>
    <t>23</t>
  </si>
  <si>
    <t>　　　　1、基本养老保险16%</t>
    <phoneticPr fontId="4" type="noConversion"/>
  </si>
  <si>
    <t>养老保险</t>
  </si>
  <si>
    <t>24</t>
  </si>
  <si>
    <t>　　职业年金缴纳</t>
  </si>
  <si>
    <t>25</t>
  </si>
  <si>
    <t>　　　　1、职业年金8%</t>
  </si>
  <si>
    <t>职业年金</t>
  </si>
  <si>
    <t>26</t>
  </si>
  <si>
    <t>伙食补助费</t>
  </si>
  <si>
    <t>教职工人数*6000元（公式计算）</t>
    <phoneticPr fontId="4" type="noConversion"/>
  </si>
  <si>
    <t>27</t>
  </si>
  <si>
    <t>公积金</t>
  </si>
  <si>
    <t>根据人事口径按实编制</t>
    <phoneticPr fontId="4" type="noConversion"/>
  </si>
  <si>
    <t>28</t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</si>
  <si>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</si>
  <si>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</si>
  <si>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</si>
  <si>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>29</t>
  </si>
  <si>
    <t>对个人和家庭补助</t>
  </si>
  <si>
    <t>30</t>
  </si>
  <si>
    <t>　　离休费</t>
  </si>
  <si>
    <t>31</t>
  </si>
  <si>
    <t>　　　　1、交通费</t>
  </si>
  <si>
    <t>离退休</t>
  </si>
  <si>
    <t>根据离休人员情况按实编制</t>
  </si>
  <si>
    <t>32</t>
  </si>
  <si>
    <t>　　　　2、护理费</t>
  </si>
  <si>
    <t>33</t>
  </si>
  <si>
    <t>　　　　3、体检费(仅老干部局填写)</t>
  </si>
  <si>
    <t>不填</t>
  </si>
  <si>
    <t>34</t>
  </si>
  <si>
    <t>　　　　4、电话费</t>
  </si>
  <si>
    <t>35</t>
  </si>
  <si>
    <t>　　　　5、特殊生活补助</t>
  </si>
  <si>
    <t>36</t>
  </si>
  <si>
    <t>　　　　6、离休干部补贴费</t>
  </si>
  <si>
    <t>37</t>
  </si>
  <si>
    <t>　　　　7、护工费</t>
  </si>
  <si>
    <t>38</t>
  </si>
  <si>
    <t>39</t>
  </si>
  <si>
    <t>年初预算为0</t>
  </si>
  <si>
    <t>40</t>
  </si>
  <si>
    <t>　　生活补助</t>
  </si>
  <si>
    <t>41</t>
  </si>
  <si>
    <t>　　　　1、长期赡养补助</t>
  </si>
  <si>
    <t>42</t>
  </si>
  <si>
    <t>　　　　2、退职补助</t>
  </si>
  <si>
    <t>43</t>
  </si>
  <si>
    <t>　　奖励金</t>
  </si>
  <si>
    <t>44</t>
  </si>
  <si>
    <t>　　　　1、独生子女奖励费▲</t>
  </si>
  <si>
    <t>45</t>
  </si>
  <si>
    <t>　　其他支出对个人和家庭补助</t>
  </si>
  <si>
    <t>46</t>
  </si>
  <si>
    <t>　　　　1、子女幼托费</t>
  </si>
  <si>
    <t>按实预测</t>
  </si>
  <si>
    <t>47</t>
  </si>
  <si>
    <t>　　　　2、补贴性人员经费</t>
  </si>
  <si>
    <t>没有，填0</t>
  </si>
  <si>
    <t>48</t>
  </si>
  <si>
    <t>　　　　3、带薪休假费</t>
  </si>
  <si>
    <t>49</t>
  </si>
  <si>
    <t>　　　　4、其他</t>
  </si>
  <si>
    <t>除罗阳小学3人及七宝二中1人的退休共享费外，其他学校填0</t>
  </si>
  <si>
    <t>50</t>
  </si>
  <si>
    <t>商品和服务支出和其他资本性支出</t>
  </si>
  <si>
    <t>51</t>
  </si>
  <si>
    <t>　　(一)公用定额</t>
  </si>
  <si>
    <t>学生人数*定额</t>
  </si>
  <si>
    <t>52</t>
  </si>
  <si>
    <t>　　　　1、办公费</t>
  </si>
  <si>
    <t>53</t>
  </si>
  <si>
    <t xml:space="preserve">        2、印刷费</t>
  </si>
  <si>
    <t>54</t>
  </si>
  <si>
    <t xml:space="preserve">        3、咨询费</t>
  </si>
  <si>
    <t>55</t>
  </si>
  <si>
    <t xml:space="preserve">        4、水费</t>
  </si>
  <si>
    <t>56</t>
  </si>
  <si>
    <t xml:space="preserve">       5、电费</t>
  </si>
  <si>
    <t>57</t>
  </si>
  <si>
    <t xml:space="preserve">       6、邮电费</t>
  </si>
  <si>
    <t>58</t>
  </si>
  <si>
    <t xml:space="preserve">       7、差旅费  </t>
  </si>
  <si>
    <t>59</t>
  </si>
  <si>
    <t xml:space="preserve">       8、维修（护）费</t>
  </si>
  <si>
    <t>60</t>
  </si>
  <si>
    <t xml:space="preserve">       9、会议费</t>
  </si>
  <si>
    <t>61</t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</si>
  <si>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</si>
  <si>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</si>
  <si>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</si>
  <si>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>62</t>
  </si>
  <si>
    <t xml:space="preserve">       11、公务接待费★</t>
  </si>
  <si>
    <t>63</t>
  </si>
  <si>
    <t xml:space="preserve">       12、专用材料费</t>
  </si>
  <si>
    <t>64</t>
  </si>
  <si>
    <t xml:space="preserve">       13、劳务费</t>
  </si>
  <si>
    <t>65</t>
  </si>
  <si>
    <t xml:space="preserve">       14、委托业务费</t>
  </si>
  <si>
    <t>66</t>
  </si>
  <si>
    <t xml:space="preserve">       15、其他商品和服务支出</t>
  </si>
  <si>
    <t>67</t>
  </si>
  <si>
    <t xml:space="preserve">       16、办公设备配置</t>
  </si>
  <si>
    <t>68</t>
  </si>
  <si>
    <t xml:space="preserve">       17、专用设备</t>
  </si>
  <si>
    <t>69</t>
  </si>
  <si>
    <t>　　(二)培训费</t>
  </si>
  <si>
    <t>70</t>
  </si>
  <si>
    <t>　　　　1、进修、培训 400元/年教师</t>
  </si>
  <si>
    <t>教职工人数*400元（公式计算）</t>
  </si>
  <si>
    <t>71</t>
  </si>
  <si>
    <t>　　(三)维修(护)费</t>
  </si>
  <si>
    <t>72</t>
  </si>
  <si>
    <t>　　　　1、房屋维修费 15元/年平方米</t>
  </si>
  <si>
    <t>房屋面积*15元（公式计算）</t>
  </si>
  <si>
    <t>73</t>
  </si>
  <si>
    <t>　　(四)物业管理费</t>
  </si>
  <si>
    <t>74</t>
  </si>
  <si>
    <t>　　　　1、绿化维护费 8元/年平方米</t>
  </si>
  <si>
    <t>绿化面积*8元（公式计算）</t>
  </si>
  <si>
    <t>75</t>
  </si>
  <si>
    <t>　　(五)租赁费</t>
  </si>
  <si>
    <t>76</t>
  </si>
  <si>
    <t>　　　　1、租赁房租费</t>
  </si>
  <si>
    <t>77</t>
  </si>
  <si>
    <t>　　(六)福利费</t>
  </si>
  <si>
    <t>78</t>
  </si>
  <si>
    <t>　　　　1、福利费</t>
  </si>
  <si>
    <t>教职工人数*4320元（公式计算）</t>
  </si>
  <si>
    <t>79</t>
  </si>
  <si>
    <t>　　(七)工会经费</t>
  </si>
  <si>
    <t>80</t>
  </si>
  <si>
    <t>　　　　1、工会经费2%</t>
  </si>
  <si>
    <t>81</t>
  </si>
  <si>
    <t>　　(八)公务用车运行维护费★</t>
  </si>
  <si>
    <t>82</t>
  </si>
  <si>
    <t>　　　　1、教育系统，校/辆</t>
  </si>
  <si>
    <t>机关局有编制的车辆数*32000元/年（分园及分校预算在其他交通费中编制）</t>
  </si>
  <si>
    <t>83</t>
  </si>
  <si>
    <t>　　(九)其他商品和服务支出</t>
  </si>
  <si>
    <t>84</t>
  </si>
  <si>
    <t>　　　　1、离休公用支出</t>
  </si>
  <si>
    <t>85</t>
  </si>
  <si>
    <t>　　　　　　(1)十四级以上(含参局级、享受局级、正局级、副局级)</t>
  </si>
  <si>
    <t>86</t>
  </si>
  <si>
    <t>　　　　　　(2)十四级以下</t>
  </si>
  <si>
    <t>人数*4320元/年</t>
  </si>
  <si>
    <t>87</t>
  </si>
  <si>
    <t>　　　　2、退休公用支出</t>
  </si>
  <si>
    <t>88</t>
  </si>
  <si>
    <t>　　　　　　(1)活动费(活动费+活动费(托管))</t>
  </si>
  <si>
    <t>退休人数*400元/年（公式计算）</t>
  </si>
  <si>
    <t>89</t>
  </si>
  <si>
    <t>　　　　　　(2)福利费(福利费+福利费(托管)</t>
  </si>
  <si>
    <t>退休人数*4320元/年（公式计算）</t>
  </si>
  <si>
    <t>90</t>
  </si>
  <si>
    <t>　　　　3、其他</t>
  </si>
  <si>
    <t>91</t>
  </si>
  <si>
    <t>　　(十)其他交通费用</t>
  </si>
  <si>
    <t>92</t>
  </si>
  <si>
    <t>　　　　2、教育系统</t>
  </si>
  <si>
    <t xml:space="preserve">
机关局无编制车辆的学校按32000元编制预算
机关局有编制的车辆，每分校增加10000元，每个分园增加5000元编制预算</t>
    <phoneticPr fontId="4" type="noConversion"/>
  </si>
  <si>
    <t>93</t>
  </si>
  <si>
    <t>学校基本情况：</t>
  </si>
  <si>
    <t>94</t>
  </si>
  <si>
    <t>1、教职工(人数)</t>
  </si>
  <si>
    <t>填写2022年9月在编教职工人数</t>
    <phoneticPr fontId="4" type="noConversion"/>
  </si>
  <si>
    <t>95</t>
  </si>
  <si>
    <t xml:space="preserve">       初中</t>
  </si>
  <si>
    <t>96</t>
  </si>
  <si>
    <t xml:space="preserve">       小学</t>
  </si>
  <si>
    <t>97</t>
  </si>
  <si>
    <t xml:space="preserve">       幼儿园</t>
  </si>
  <si>
    <t>98</t>
  </si>
  <si>
    <t xml:space="preserve">       其他</t>
  </si>
  <si>
    <t>99</t>
  </si>
  <si>
    <t>2、学生(人数)</t>
  </si>
  <si>
    <t>填写2022年秋季学期学生人数，以招办人数为准</t>
    <phoneticPr fontId="4" type="noConversion"/>
  </si>
  <si>
    <t>100</t>
  </si>
  <si>
    <t>101</t>
  </si>
  <si>
    <t>102</t>
  </si>
  <si>
    <t>103</t>
  </si>
  <si>
    <t>104</t>
  </si>
  <si>
    <t>3、事业离休人员人数</t>
  </si>
  <si>
    <t>4、事业退休人员人数</t>
  </si>
  <si>
    <t>5、教育单位房屋（面积）</t>
  </si>
  <si>
    <t>6、教育单位绿化（面积）</t>
  </si>
  <si>
    <t>2023年基本支出预算表（七宝镇）</t>
    <phoneticPr fontId="4" type="noConversion"/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</si>
  <si>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</si>
  <si>
    <t>上虹中学</t>
  </si>
  <si>
    <t>龙柏中学</t>
  </si>
  <si>
    <t>金汇实验</t>
  </si>
  <si>
    <t>虹桥小学</t>
  </si>
  <si>
    <t>龙柏一小</t>
  </si>
  <si>
    <t>中心幼儿园</t>
  </si>
  <si>
    <t>虹鹿幼儿园</t>
  </si>
  <si>
    <t>龙柏一幼</t>
  </si>
  <si>
    <t>龙柏二幼</t>
  </si>
  <si>
    <t>社区学校</t>
  </si>
  <si>
    <t>　　　　　　(1)上下班交通费补贴</t>
  </si>
  <si>
    <t xml:space="preserve">        1、医疗保险费10.5%</t>
  </si>
  <si>
    <t>　　　　1、基本养老保险16%</t>
  </si>
  <si>
    <t>教职工人数*6000元（公式计算）</t>
  </si>
  <si>
    <t>其他工资福利</t>
  </si>
  <si>
    <t>其他</t>
  </si>
  <si>
    <t xml:space="preserve">       10、培训费</t>
  </si>
  <si>
    <t>生均定额5%</t>
  </si>
  <si>
    <t xml:space="preserve">
机关局无编制车辆的学校按32000元编制预算
机关局有编制的车辆，每分校增加10000元，每个分园增加5000元编制预算</t>
  </si>
  <si>
    <t>填写2022年9月在编教职工人数</t>
  </si>
  <si>
    <t>填写2022年秋季学期学生人数，以招办人数为准</t>
  </si>
  <si>
    <t>华漕幼儿园</t>
    <phoneticPr fontId="4" type="noConversion"/>
  </si>
  <si>
    <t>华漕学校</t>
    <phoneticPr fontId="4" type="noConversion"/>
  </si>
  <si>
    <t>诸翟学校</t>
    <phoneticPr fontId="4" type="noConversion"/>
  </si>
  <si>
    <t>金色幼儿园</t>
    <phoneticPr fontId="4" type="noConversion"/>
  </si>
  <si>
    <t>纪王幼儿园</t>
    <phoneticPr fontId="4" type="noConversion"/>
  </si>
  <si>
    <t>纪王学校</t>
    <phoneticPr fontId="4" type="noConversion"/>
  </si>
  <si>
    <t>诸翟幼儿园</t>
    <phoneticPr fontId="4" type="noConversion"/>
  </si>
  <si>
    <t>马桥社区学校</t>
  </si>
  <si>
    <t>马桥强恕学校</t>
  </si>
  <si>
    <t>交大马桥实验学校</t>
  </si>
  <si>
    <t>马桥复旦万科实中</t>
  </si>
  <si>
    <t>马桥文来外小</t>
  </si>
  <si>
    <t>马桥中心幼</t>
  </si>
  <si>
    <t>马桥元祥幼</t>
  </si>
  <si>
    <t>马桥实验幼</t>
  </si>
  <si>
    <t>马桥启英幼</t>
  </si>
  <si>
    <t>马桥富杰幼</t>
  </si>
  <si>
    <t>马桥富卓幼</t>
  </si>
  <si>
    <t>马桥富国幼</t>
  </si>
  <si>
    <t>上海市闵行区梅陇中学</t>
  </si>
  <si>
    <t>上海市七宝中学附属闵行金都实验中学</t>
    <phoneticPr fontId="4" type="noConversion"/>
  </si>
  <si>
    <t>上海中医药大学附属闵行晶城中学</t>
  </si>
  <si>
    <t>闵行区梅陇中心小学</t>
  </si>
  <si>
    <t>上海市闵行区曹行小学</t>
  </si>
  <si>
    <t>闵行区罗阳小学</t>
  </si>
  <si>
    <t>上海中医药大学附属闵行蔷薇小学</t>
  </si>
  <si>
    <t>闵行区梅陇镇中心幼儿园</t>
  </si>
  <si>
    <t>闵行区曹行中心幼儿园</t>
  </si>
  <si>
    <t>上海市闵行区春申景城幼儿园</t>
  </si>
  <si>
    <t>上海市闵行区晶采坊幼儿园</t>
  </si>
  <si>
    <t>上海市闵行区罗阳河畔幼儿园</t>
  </si>
  <si>
    <t>上海市闵行区晶华坊幼儿园</t>
  </si>
  <si>
    <t>上海市闵行区梅陇金都幼儿园</t>
  </si>
  <si>
    <t>上海市闵行区梅陇梅锦幼儿园</t>
  </si>
  <si>
    <t>上海市闵行区梅陇永联幼儿园</t>
    <phoneticPr fontId="4" type="noConversion"/>
  </si>
  <si>
    <t>上海市闵行区梅陇镇社区学校</t>
  </si>
  <si>
    <t>上海市罗阳中学</t>
    <phoneticPr fontId="4" type="noConversion"/>
  </si>
  <si>
    <t>佳佳幼儿园</t>
    <phoneticPr fontId="4" type="noConversion"/>
  </si>
  <si>
    <t>康城幼儿园</t>
  </si>
  <si>
    <t>明星学校</t>
  </si>
  <si>
    <t>实验幼儿园</t>
  </si>
  <si>
    <t>上海市闵行区教育学院附属友爱实验中学</t>
    <phoneticPr fontId="4" type="noConversion"/>
  </si>
  <si>
    <t>上海市闵行区景东小学</t>
  </si>
  <si>
    <t>华东师范大学闵行永德实验小学</t>
  </si>
  <si>
    <t>闵行区塘湾中心幼儿园</t>
  </si>
  <si>
    <t>上海市闵行区吴泾第三幼儿园</t>
  </si>
  <si>
    <t>华东师范大学闵行永德实验幼儿园</t>
  </si>
  <si>
    <t>上海市闵行区吴泾镇社区学校</t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</si>
  <si>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11" type="noConversion"/>
  </si>
  <si>
    <t>颛桥中学</t>
  </si>
  <si>
    <t>北桥中学</t>
  </si>
  <si>
    <t>颛桥小学</t>
  </si>
  <si>
    <t>北桥小学</t>
  </si>
  <si>
    <t>田园外小</t>
  </si>
  <si>
    <t>田园二外小</t>
  </si>
  <si>
    <t>颛桥一幼</t>
  </si>
  <si>
    <t>颛桥镇幼</t>
  </si>
  <si>
    <t>君莲幼儿园</t>
  </si>
  <si>
    <t>上师大幼</t>
  </si>
  <si>
    <t>君莲学校</t>
  </si>
  <si>
    <t>颛桥镇二幼</t>
    <phoneticPr fontId="11" type="noConversion"/>
  </si>
  <si>
    <t>田园中学</t>
    <phoneticPr fontId="11" type="noConversion"/>
  </si>
  <si>
    <t>田园幼儿园</t>
    <phoneticPr fontId="11" type="noConversion"/>
  </si>
  <si>
    <t>　　　　　　(1)上下班交通费补贴</t>
    <phoneticPr fontId="11" type="noConversion"/>
  </si>
  <si>
    <t xml:space="preserve">        1、医疗保险费10.5%</t>
    <phoneticPr fontId="11" type="noConversion"/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</si>
  <si>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</si>
  <si>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</si>
  <si>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　　　　1、基本养老保险16%</t>
    <phoneticPr fontId="11" type="noConversion"/>
  </si>
  <si>
    <t>教职工人数*6000元（公式计算）</t>
    <phoneticPr fontId="11" type="noConversion"/>
  </si>
  <si>
    <t>根据人事口径按实编制</t>
    <phoneticPr fontId="11" type="noConversion"/>
  </si>
  <si>
    <t>其他工资福利</t>
    <phoneticPr fontId="11" type="noConversion"/>
  </si>
  <si>
    <t>其他</t>
    <phoneticPr fontId="11" type="noConversion"/>
  </si>
  <si>
    <t>年初预算为0</t>
    <phoneticPr fontId="11" type="noConversion"/>
  </si>
  <si>
    <t xml:space="preserve">       10、培训费</t>
    <phoneticPr fontId="11" type="noConversion"/>
  </si>
  <si>
    <t>主款项</t>
    <phoneticPr fontId="11" type="noConversion"/>
  </si>
  <si>
    <t>生均定额5%</t>
    <phoneticPr fontId="11" type="noConversion"/>
  </si>
  <si>
    <t xml:space="preserve">
机关局无编制车辆的学校按32000元编制预算
机关局有编制的车辆，每分校增加10000元，每个分园增加5000元编制预算</t>
    <phoneticPr fontId="11" type="noConversion"/>
  </si>
  <si>
    <t>填写2022年9月在编教职工人数</t>
    <phoneticPr fontId="11" type="noConversion"/>
  </si>
  <si>
    <t>填写2022年秋季学期学生人数，以招办人数为准</t>
    <phoneticPr fontId="11" type="noConversion"/>
  </si>
  <si>
    <t>单位名称</t>
  </si>
  <si>
    <t>属性</t>
  </si>
  <si>
    <t>类别</t>
  </si>
  <si>
    <t>人数</t>
  </si>
  <si>
    <t>估计标准</t>
  </si>
  <si>
    <t>估计金额</t>
  </si>
  <si>
    <t>上海市闵行区上虹中学</t>
  </si>
  <si>
    <t>镇管-虹桥</t>
  </si>
  <si>
    <t>初中</t>
  </si>
  <si>
    <t>上海市龙柏中学</t>
  </si>
  <si>
    <t>上海市金汇实验学校</t>
  </si>
  <si>
    <t>九年一贯</t>
  </si>
  <si>
    <t>闵行区虹桥中心小学</t>
  </si>
  <si>
    <t>小学</t>
  </si>
  <si>
    <t>闵行区龙柏第一小学</t>
  </si>
  <si>
    <t>闵行区虹桥中心幼儿园</t>
  </si>
  <si>
    <t>幼儿园</t>
  </si>
  <si>
    <t>上海市闵行区虹鹿幼儿园</t>
  </si>
  <si>
    <t>闵行区龙柏第一幼儿园</t>
  </si>
  <si>
    <t>闵行区龙柏第二幼儿园</t>
  </si>
  <si>
    <t>上海市闵行区虹桥镇社区学校</t>
  </si>
  <si>
    <t>镇管-虹桥 汇总</t>
  </si>
  <si>
    <t>上海市闵行区纪王学校</t>
  </si>
  <si>
    <t>镇管-华漕</t>
  </si>
  <si>
    <t>上海市闵行区诸翟学校</t>
  </si>
  <si>
    <t>上海市闵行区华漕学校</t>
  </si>
  <si>
    <t>闵行区华漕镇纪王幼儿园</t>
  </si>
  <si>
    <t>上海市闵行区诸翟中心幼儿园</t>
  </si>
  <si>
    <t>闵行区华漕镇中心幼儿园</t>
  </si>
  <si>
    <t>上海市闵行区华漕镇金色幼儿园</t>
  </si>
  <si>
    <t>上海市闵行区华漕镇社区学校</t>
  </si>
  <si>
    <t>镇管-华漕 汇总</t>
  </si>
  <si>
    <t>上海市闵行区马桥复旦万科实验中学</t>
  </si>
  <si>
    <t>镇管-马桥</t>
  </si>
  <si>
    <t>上海市马桥强恕学校</t>
  </si>
  <si>
    <t>上海市闵行区马桥实验学校</t>
  </si>
  <si>
    <t>上海市闵行区马桥文来外国语小学</t>
  </si>
  <si>
    <t>闵行区马桥中心幼儿园</t>
  </si>
  <si>
    <t>上海市闵行区马桥富国幼儿园</t>
  </si>
  <si>
    <t>上海市闵行区马桥元祥幼儿园</t>
  </si>
  <si>
    <t>上海市闵行区马桥实验幼儿园</t>
  </si>
  <si>
    <t>上海市闵行区马桥富杰幼儿园</t>
  </si>
  <si>
    <t>上海市闵行区马桥启英幼儿园</t>
  </si>
  <si>
    <t>上海市闵行区马桥富卓幼儿园</t>
  </si>
  <si>
    <t>上海市闵行区马桥镇社区学校</t>
  </si>
  <si>
    <t>镇管-马桥 汇总</t>
  </si>
  <si>
    <t>镇管-梅陇</t>
  </si>
  <si>
    <t>上海市罗阳中学</t>
  </si>
  <si>
    <t>上海市闵行区曹行中学(金都）</t>
    <phoneticPr fontId="3" type="noConversion"/>
  </si>
  <si>
    <t>上海市闵行区梅陇永联幼儿园</t>
    <phoneticPr fontId="3" type="noConversion"/>
  </si>
  <si>
    <t>镇管-梅陇 汇总</t>
  </si>
  <si>
    <t>上海市闵行区浦江第二中学</t>
  </si>
  <si>
    <t>镇管-浦江</t>
  </si>
  <si>
    <t>上海市闵行区浦江第三中学</t>
  </si>
  <si>
    <t>上海市闵行区浦航实验中学</t>
  </si>
  <si>
    <t>上海世外教育附属浦江外国语学校</t>
  </si>
  <si>
    <t>上海市闵行区浦江第二小学</t>
  </si>
  <si>
    <t>上海市闵行区浦江第三小学</t>
  </si>
  <si>
    <t>上海戏剧学院闵行附属学校</t>
  </si>
  <si>
    <t>上海市闵行区浦汇小学</t>
  </si>
  <si>
    <t>上海市闵行区浦江汇秀小学</t>
  </si>
  <si>
    <t>上海市闵行区浦江镇第二幼儿园</t>
  </si>
  <si>
    <t>闵行区浦江镇第三幼儿园</t>
  </si>
  <si>
    <t>上海市闵行区浦江闸航路幼儿园</t>
  </si>
  <si>
    <t>上海市闵行区浦江宝邸幼儿园</t>
  </si>
  <si>
    <t>上海市闵行区浦莲幼儿园</t>
  </si>
  <si>
    <t>上海市闵行区浦江瑞和城幼儿园</t>
  </si>
  <si>
    <t>上海市闵行区浦航幼儿园</t>
  </si>
  <si>
    <t>上海市闵行区浦瑞幼儿园</t>
  </si>
  <si>
    <t>上海师范大学附属中学闵行实验学校</t>
  </si>
  <si>
    <t>上海市闵行区浦江镇社区学校</t>
  </si>
  <si>
    <t>镇管-浦江 汇总</t>
  </si>
  <si>
    <t>上海市航华中学</t>
  </si>
  <si>
    <t>镇管-七宝</t>
  </si>
  <si>
    <t>上海市闵行区文来学校</t>
  </si>
  <si>
    <t>上海市闵行区七宝第二中学</t>
  </si>
  <si>
    <t>上海市七宝实验中学</t>
  </si>
  <si>
    <t>上海市闵行区七宝第三中学</t>
  </si>
  <si>
    <t>闵行区航华第二小学</t>
  </si>
  <si>
    <t>闵行区七宝镇明强小学</t>
  </si>
  <si>
    <t>闵行区黎明小学</t>
  </si>
  <si>
    <t>上海市七宝实验小学</t>
  </si>
  <si>
    <t>上海市闵行区七宝明强第二小学</t>
  </si>
  <si>
    <t>闵行区航华第二幼儿园</t>
  </si>
  <si>
    <t>闵行区七宝中心幼儿园</t>
  </si>
  <si>
    <t>上海市闵行区星辰幼儿园</t>
  </si>
  <si>
    <t>上海市闵行区春欣幼儿园</t>
  </si>
  <si>
    <t>上海市闵行区七宝皇都幼儿园</t>
  </si>
  <si>
    <t>上海市闵行区七宝实验幼儿园</t>
  </si>
  <si>
    <t>上海市闵行区明强幼儿园</t>
  </si>
  <si>
    <t>上海市闵行区七宝幼儿园</t>
  </si>
  <si>
    <t>上海市闵行区启英宝盛幼儿园</t>
  </si>
  <si>
    <t>上海市闵行区七宝镇社区学校</t>
  </si>
  <si>
    <t>镇管-七宝 汇总</t>
  </si>
  <si>
    <t>上海市闵行区明星学校</t>
  </si>
  <si>
    <t>镇管-莘庄</t>
  </si>
  <si>
    <t>闵行区佳佳中心幼儿园</t>
  </si>
  <si>
    <t>上海市闵行区康城幼儿园</t>
  </si>
  <si>
    <t>上海市闵行区实验幼儿园</t>
  </si>
  <si>
    <t>上海市闵行区莘庄镇社区学校</t>
  </si>
  <si>
    <t>镇管-莘庄 汇总</t>
  </si>
  <si>
    <t>上海市闵行区教育学院附属友爱实验中学</t>
  </si>
  <si>
    <t>镇管-吴泾</t>
  </si>
  <si>
    <t>镇管-吴泾 汇总</t>
  </si>
  <si>
    <t>上海市闵行区颛桥中学</t>
  </si>
  <si>
    <t>镇管-颛桥</t>
  </si>
  <si>
    <t>上海市闵行区北桥中学</t>
  </si>
  <si>
    <t>上海市闵行区田园外国语中学</t>
  </si>
  <si>
    <t>上海市闵行区君莲学校</t>
  </si>
  <si>
    <t>闵行区颛桥中心小学</t>
  </si>
  <si>
    <t>上海市闵行区田园外语实验小学</t>
  </si>
  <si>
    <t>闵行区北桥中心小学</t>
  </si>
  <si>
    <t>上海市闵行区田园第二外语实验小学</t>
  </si>
  <si>
    <t>上海市闵行区颛桥镇幼儿园</t>
  </si>
  <si>
    <t>上海市闵行区颛桥镇第一幼儿园</t>
  </si>
  <si>
    <t>上海市闵行区君莲幼儿园</t>
  </si>
  <si>
    <t>上海师范大学闵行实验幼儿园</t>
  </si>
  <si>
    <t>上海市闵行区颛桥镇田园都市幼儿园</t>
  </si>
  <si>
    <t>上海市闵行区颛桥镇第二幼儿园</t>
  </si>
  <si>
    <t>上海市闵行区颛桥镇社区学校</t>
  </si>
  <si>
    <t>镇管-颛桥 汇总</t>
  </si>
  <si>
    <t>总计</t>
  </si>
  <si>
    <t>2023年绩效预估（在编人员）</t>
    <phoneticPr fontId="3" type="noConversion"/>
  </si>
  <si>
    <t>世外浦江</t>
  </si>
  <si>
    <t>二小</t>
  </si>
  <si>
    <t>浦江三小</t>
  </si>
  <si>
    <t>上戏附校</t>
  </si>
  <si>
    <t>浦江三幼</t>
  </si>
  <si>
    <t>浦莲</t>
  </si>
  <si>
    <t>浦江二中</t>
    <phoneticPr fontId="4" type="noConversion"/>
  </si>
  <si>
    <t>浦江三中</t>
    <phoneticPr fontId="4" type="noConversion"/>
  </si>
  <si>
    <t>浦航实中</t>
    <phoneticPr fontId="4" type="noConversion"/>
  </si>
  <si>
    <t>上师闵实验</t>
    <phoneticPr fontId="4" type="noConversion"/>
  </si>
  <si>
    <t>浦汇小学</t>
    <phoneticPr fontId="4" type="noConversion"/>
  </si>
  <si>
    <t>汇秀（福山）</t>
    <phoneticPr fontId="4" type="noConversion"/>
  </si>
  <si>
    <t>浦江二幼</t>
    <phoneticPr fontId="4" type="noConversion"/>
  </si>
  <si>
    <t>宝邸幼儿园</t>
    <phoneticPr fontId="4" type="noConversion"/>
  </si>
  <si>
    <t>闸航路幼儿园</t>
    <phoneticPr fontId="4" type="noConversion"/>
  </si>
  <si>
    <t>瑞和城幼儿园</t>
    <phoneticPr fontId="4" type="noConversion"/>
  </si>
  <si>
    <t>浦瑞幼儿园</t>
    <phoneticPr fontId="4" type="noConversion"/>
  </si>
  <si>
    <t xml:space="preserve">     浦航幼儿园</t>
    <phoneticPr fontId="4" type="noConversion"/>
  </si>
  <si>
    <t>浦江镇社区学校</t>
    <phoneticPr fontId="4" type="noConversion"/>
  </si>
  <si>
    <t>　　　　　　(1)上下班交通费补贴</t>
    <phoneticPr fontId="4" type="noConversion"/>
  </si>
  <si>
    <t xml:space="preserve">        1、医疗保险费10.5%</t>
    <phoneticPr fontId="4" type="noConversion"/>
  </si>
  <si>
    <t>　　　　1、基本养老保险16%</t>
    <phoneticPr fontId="4" type="noConversion"/>
  </si>
  <si>
    <t>教职工人数*6000元（公式计算）</t>
    <phoneticPr fontId="4" type="noConversion"/>
  </si>
  <si>
    <t>根据人事口径按实编制</t>
    <phoneticPr fontId="4" type="noConversion"/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</si>
  <si>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</si>
  <si>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</si>
  <si>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</si>
  <si>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</si>
  <si>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</si>
  <si>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</si>
  <si>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 xml:space="preserve">
机关局无编制车辆的学校按32000元编制预算
机关局有编制的车辆，每分校增加10000元，每个分园增加5000元编制预算</t>
    <phoneticPr fontId="4" type="noConversion"/>
  </si>
  <si>
    <t>填写2022年9月在编教职工人数</t>
    <phoneticPr fontId="4" type="noConversion"/>
  </si>
  <si>
    <t>填写2022年秋季学期学生人数，以招办人数为准</t>
    <phoneticPr fontId="4" type="noConversion"/>
  </si>
  <si>
    <t>七宝镇</t>
    <phoneticPr fontId="3" type="noConversion"/>
  </si>
  <si>
    <t>虹桥镇</t>
    <phoneticPr fontId="3" type="noConversion"/>
  </si>
  <si>
    <t>华漕镇</t>
    <phoneticPr fontId="3" type="noConversion"/>
  </si>
  <si>
    <t>马桥镇</t>
    <phoneticPr fontId="3" type="noConversion"/>
  </si>
  <si>
    <t>梅陇镇</t>
    <phoneticPr fontId="3" type="noConversion"/>
  </si>
  <si>
    <t>莘庄镇</t>
    <phoneticPr fontId="3" type="noConversion"/>
  </si>
  <si>
    <t>吴泾镇</t>
    <phoneticPr fontId="3" type="noConversion"/>
  </si>
  <si>
    <t>颛桥镇</t>
    <phoneticPr fontId="3" type="noConversion"/>
  </si>
  <si>
    <t>浦江镇</t>
    <phoneticPr fontId="3" type="noConversion"/>
  </si>
  <si>
    <t>合计</t>
    <phoneticPr fontId="3" type="noConversion"/>
  </si>
  <si>
    <t>2023年基本支出预算表</t>
    <phoneticPr fontId="4" type="noConversion"/>
  </si>
  <si>
    <t>单位</t>
  </si>
  <si>
    <t>莘庄</t>
  </si>
  <si>
    <t>吴泾</t>
  </si>
  <si>
    <t>七宝</t>
  </si>
  <si>
    <t>浦江</t>
  </si>
  <si>
    <t>梅陇</t>
  </si>
  <si>
    <t>马桥</t>
  </si>
  <si>
    <t>华漕</t>
  </si>
  <si>
    <t>颛桥</t>
  </si>
  <si>
    <t>虹桥</t>
  </si>
  <si>
    <t>2023年镇管学校校区保安经费预算表</t>
    <phoneticPr fontId="3" type="noConversion"/>
  </si>
  <si>
    <t>莘庄社区学校</t>
    <phoneticPr fontId="4" type="noConversion"/>
  </si>
  <si>
    <t>闵行实验幼儿园</t>
    <phoneticPr fontId="3" type="noConversion"/>
  </si>
  <si>
    <t>七宝实验中学</t>
    <phoneticPr fontId="4" type="noConversion"/>
  </si>
  <si>
    <t>莘庄</t>
    <phoneticPr fontId="3" type="noConversion"/>
  </si>
  <si>
    <t>吴泾</t>
    <phoneticPr fontId="3" type="noConversion"/>
  </si>
  <si>
    <t>七宝</t>
    <phoneticPr fontId="3" type="noConversion"/>
  </si>
  <si>
    <t>浦江</t>
    <phoneticPr fontId="3" type="noConversion"/>
  </si>
  <si>
    <t>梅陇</t>
    <phoneticPr fontId="3" type="noConversion"/>
  </si>
  <si>
    <t>马桥</t>
    <phoneticPr fontId="3" type="noConversion"/>
  </si>
  <si>
    <t>华漕</t>
    <phoneticPr fontId="3" type="noConversion"/>
  </si>
  <si>
    <t>颛桥</t>
    <phoneticPr fontId="3" type="noConversion"/>
  </si>
  <si>
    <t>虹桥</t>
    <phoneticPr fontId="3" type="noConversion"/>
  </si>
  <si>
    <t>镇属</t>
    <phoneticPr fontId="3" type="noConversion"/>
  </si>
  <si>
    <t>单位</t>
    <phoneticPr fontId="3" type="noConversion"/>
  </si>
  <si>
    <t>金额</t>
    <phoneticPr fontId="3" type="noConversion"/>
  </si>
  <si>
    <t>莘庄 汇总</t>
  </si>
  <si>
    <t>吴泾 汇总</t>
  </si>
  <si>
    <t>七宝 汇总</t>
  </si>
  <si>
    <t>浦江 汇总</t>
  </si>
  <si>
    <t>梅陇 汇总</t>
  </si>
  <si>
    <t>马桥 汇总</t>
  </si>
  <si>
    <t>华漕 汇总</t>
  </si>
  <si>
    <t>颛桥 汇总</t>
  </si>
  <si>
    <t>虹桥 汇总</t>
  </si>
  <si>
    <t>莘庄社区学校</t>
    <phoneticPr fontId="4" type="noConversion"/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</si>
  <si>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</si>
  <si>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</si>
  <si>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</si>
  <si>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</si>
  <si>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</si>
  <si>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</si>
  <si>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</si>
  <si>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七宝实验幼儿园</t>
    <phoneticPr fontId="4" type="noConversion"/>
  </si>
  <si>
    <t>航华二幼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</si>
  <si>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</si>
  <si>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</si>
  <si>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</si>
  <si>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</si>
  <si>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航华中学</t>
    <phoneticPr fontId="4" type="noConversion"/>
  </si>
  <si>
    <t>春欣幼儿园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</si>
  <si>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</si>
  <si>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</si>
  <si>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</si>
  <si>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</si>
  <si>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  1、工伤保险费0.256%</t>
    <phoneticPr fontId="4" type="noConversion"/>
  </si>
  <si>
    <t>　　　　1、工伤保险费0.256%</t>
    <phoneticPr fontId="11" type="noConversion"/>
  </si>
  <si>
    <t>　　　　2、失业保险0.5%</t>
    <phoneticPr fontId="11" type="noConversion"/>
  </si>
  <si>
    <t>　　　　1、工伤保险费0.256%</t>
    <phoneticPr fontId="3" type="noConversion"/>
  </si>
  <si>
    <t>　　　　2、失业保险0.5%</t>
    <phoneticPr fontId="3" type="noConversion"/>
  </si>
  <si>
    <t>镇属</t>
  </si>
  <si>
    <t>学校</t>
  </si>
  <si>
    <t>学段</t>
    <phoneticPr fontId="3" type="noConversion"/>
  </si>
  <si>
    <t>教育教辅后勤应配用工人数(2022人保提供）</t>
    <phoneticPr fontId="3" type="noConversion"/>
  </si>
  <si>
    <t>现有辅助用工人数（2022年人保科提供）</t>
    <phoneticPr fontId="3" type="noConversion"/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</si>
  <si>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</si>
  <si>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</si>
  <si>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</si>
  <si>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</si>
  <si>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</si>
  <si>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</si>
  <si>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</si>
  <si>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</si>
  <si>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</si>
  <si>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</si>
  <si>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奖金</t>
    <phoneticPr fontId="3" type="noConversion"/>
  </si>
  <si>
    <t>社保公积金（35.756%）</t>
    <phoneticPr fontId="3" type="noConversion"/>
  </si>
  <si>
    <t>闵行区吴泾镇社区学校</t>
  </si>
  <si>
    <t>社区学校</t>
    <phoneticPr fontId="3" type="noConversion"/>
  </si>
  <si>
    <t>吴泾合计</t>
  </si>
  <si>
    <t>管理费
（2023年全年）</t>
    <phoneticPr fontId="3" type="noConversion"/>
  </si>
  <si>
    <t>2023年预算金额（学校实际执行按人事部门规定标准执行，严禁超标准发放）</t>
    <phoneticPr fontId="3" type="noConversion"/>
  </si>
  <si>
    <t>虹桥社区学校</t>
    <phoneticPr fontId="3" type="noConversion"/>
  </si>
  <si>
    <t>颛桥社区学校</t>
    <phoneticPr fontId="3" type="noConversion"/>
  </si>
  <si>
    <t>华漕社区学校</t>
    <phoneticPr fontId="4" type="noConversion"/>
  </si>
  <si>
    <t>七宝社区学校</t>
    <phoneticPr fontId="4" type="noConversion"/>
  </si>
  <si>
    <t>2023年镇管学校残疾就业保障金预算表</t>
    <phoneticPr fontId="3" type="noConversion"/>
  </si>
  <si>
    <t>序号</t>
    <phoneticPr fontId="11" type="noConversion"/>
  </si>
  <si>
    <t>学校名称</t>
    <phoneticPr fontId="11" type="noConversion"/>
  </si>
  <si>
    <t>所属街镇</t>
    <phoneticPr fontId="11" type="noConversion"/>
  </si>
  <si>
    <t>校区               门数</t>
    <phoneticPr fontId="11" type="noConversion"/>
  </si>
  <si>
    <t>在岗人数</t>
    <phoneticPr fontId="11" type="noConversion"/>
  </si>
  <si>
    <t>值班单价</t>
    <phoneticPr fontId="11" type="noConversion"/>
  </si>
  <si>
    <t>值班金额</t>
    <phoneticPr fontId="11" type="noConversion"/>
  </si>
  <si>
    <t>浦江镇</t>
    <phoneticPr fontId="11" type="noConversion"/>
  </si>
  <si>
    <t>浦江合计</t>
    <phoneticPr fontId="3" type="noConversion"/>
  </si>
  <si>
    <t>吴泾社区学校</t>
    <phoneticPr fontId="3" type="noConversion"/>
  </si>
  <si>
    <t>吴泾镇</t>
    <phoneticPr fontId="3" type="noConversion"/>
  </si>
  <si>
    <t>吴泾合计</t>
    <phoneticPr fontId="3" type="noConversion"/>
  </si>
  <si>
    <t>镇级合计</t>
    <phoneticPr fontId="3" type="noConversion"/>
  </si>
  <si>
    <t>浦江社区学校</t>
    <phoneticPr fontId="3" type="noConversion"/>
  </si>
  <si>
    <t>单 位</t>
  </si>
  <si>
    <t>属性2</t>
  </si>
  <si>
    <t>学段</t>
  </si>
  <si>
    <t>课后延时</t>
  </si>
  <si>
    <t>总绩效</t>
  </si>
  <si>
    <t>义务</t>
  </si>
  <si>
    <t>非义务</t>
  </si>
  <si>
    <t>社校</t>
  </si>
  <si>
    <t>上海市闵行区七宝文来学校</t>
  </si>
  <si>
    <t>上海市闵行区七宝明强幼儿园</t>
  </si>
  <si>
    <t>汇秀（新福山）</t>
  </si>
  <si>
    <t>上海市七宝中学附属闵行金都实验中学</t>
  </si>
  <si>
    <t>复旦大学附属闵行实验学校</t>
  </si>
  <si>
    <t>上海市闵行区梅陇永联幼儿园</t>
  </si>
  <si>
    <t>上海交通大学附属闵行马桥实验学校</t>
  </si>
  <si>
    <t>示范幼儿园</t>
  </si>
  <si>
    <t>其中：校长绩效工资项目</t>
    <phoneticPr fontId="3" type="noConversion"/>
  </si>
  <si>
    <t>2022年分配金额</t>
    <phoneticPr fontId="3" type="noConversion"/>
  </si>
  <si>
    <t>2022年核定金额</t>
    <phoneticPr fontId="3" type="noConversion"/>
  </si>
  <si>
    <t>合计（常规）</t>
    <phoneticPr fontId="3" type="noConversion"/>
  </si>
  <si>
    <t>莘庄小计</t>
    <phoneticPr fontId="3" type="noConversion"/>
  </si>
  <si>
    <t>吴泾小计</t>
    <phoneticPr fontId="3" type="noConversion"/>
  </si>
  <si>
    <t>浦江小计</t>
    <phoneticPr fontId="3" type="noConversion"/>
  </si>
  <si>
    <t>梅陇小计</t>
    <phoneticPr fontId="3" type="noConversion"/>
  </si>
  <si>
    <t>马桥小计</t>
    <phoneticPr fontId="3" type="noConversion"/>
  </si>
  <si>
    <t>华漕小计</t>
    <phoneticPr fontId="3" type="noConversion"/>
  </si>
  <si>
    <t>颛桥小计</t>
    <phoneticPr fontId="3" type="noConversion"/>
  </si>
  <si>
    <t>虹桥小计</t>
    <phoneticPr fontId="3" type="noConversion"/>
  </si>
  <si>
    <t>镇级合计</t>
    <phoneticPr fontId="3" type="noConversion"/>
  </si>
  <si>
    <r>
      <t>2022年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3" type="noConversion"/>
  </si>
  <si>
    <t>七宝小计</t>
    <phoneticPr fontId="3" type="noConversion"/>
  </si>
  <si>
    <t>清算金额</t>
    <phoneticPr fontId="3" type="noConversion"/>
  </si>
  <si>
    <t xml:space="preserve">  浦航幼儿园</t>
    <phoneticPr fontId="4" type="noConversion"/>
  </si>
  <si>
    <t>浦江社区学校</t>
    <phoneticPr fontId="4" type="noConversion"/>
  </si>
  <si>
    <t>2023年基本支出预算表(浦江镇）</t>
    <phoneticPr fontId="4" type="noConversion"/>
  </si>
  <si>
    <t>梅陇中学</t>
    <phoneticPr fontId="3" type="noConversion"/>
  </si>
  <si>
    <t>金都实验中学</t>
    <phoneticPr fontId="4" type="noConversion"/>
  </si>
  <si>
    <t>晶城中学</t>
    <phoneticPr fontId="3" type="noConversion"/>
  </si>
  <si>
    <t>梅陇小学</t>
    <phoneticPr fontId="3" type="noConversion"/>
  </si>
  <si>
    <t>曹行小学</t>
    <phoneticPr fontId="3" type="noConversion"/>
  </si>
  <si>
    <t>罗阳小学</t>
    <phoneticPr fontId="3" type="noConversion"/>
  </si>
  <si>
    <t>蔷薇小学</t>
    <phoneticPr fontId="3" type="noConversion"/>
  </si>
  <si>
    <t>梅陇中心幼</t>
    <phoneticPr fontId="3" type="noConversion"/>
  </si>
  <si>
    <t>曹行中心幼</t>
    <phoneticPr fontId="3" type="noConversion"/>
  </si>
  <si>
    <t>春申景城幼</t>
    <phoneticPr fontId="3" type="noConversion"/>
  </si>
  <si>
    <t>晶采坊幼</t>
    <phoneticPr fontId="3" type="noConversion"/>
  </si>
  <si>
    <t>罗阳河畔幼</t>
    <phoneticPr fontId="3" type="noConversion"/>
  </si>
  <si>
    <t>晶华坊幼</t>
    <phoneticPr fontId="3" type="noConversion"/>
  </si>
  <si>
    <t>金都幼儿园</t>
    <phoneticPr fontId="3" type="noConversion"/>
  </si>
  <si>
    <t>梅锦幼儿园</t>
    <phoneticPr fontId="3" type="noConversion"/>
  </si>
  <si>
    <t>永联幼儿园</t>
    <phoneticPr fontId="4" type="noConversion"/>
  </si>
  <si>
    <t>梅陇社区学校</t>
    <phoneticPr fontId="3" type="noConversion"/>
  </si>
  <si>
    <t>罗阳中学</t>
    <phoneticPr fontId="4" type="noConversion"/>
  </si>
  <si>
    <t>单位</t>
    <phoneticPr fontId="4" type="noConversion"/>
  </si>
  <si>
    <t>项目内容</t>
  </si>
  <si>
    <t>项目明细</t>
  </si>
  <si>
    <t>数量</t>
  </si>
  <si>
    <t>单价</t>
  </si>
  <si>
    <t>金额</t>
  </si>
  <si>
    <t>办别</t>
    <phoneticPr fontId="4" type="noConversion"/>
  </si>
  <si>
    <t>项目级别</t>
    <phoneticPr fontId="4" type="noConversion"/>
  </si>
  <si>
    <t>教育支出代码</t>
  </si>
  <si>
    <t>教育支出</t>
  </si>
  <si>
    <t>审批机构代码</t>
  </si>
  <si>
    <t>维修地址</t>
  </si>
  <si>
    <t>类别代码</t>
  </si>
  <si>
    <t>主键</t>
  </si>
  <si>
    <t>任务编码</t>
  </si>
  <si>
    <t>浦汇小学灵动课程管理平台</t>
    <phoneticPr fontId="4" type="noConversion"/>
  </si>
  <si>
    <t>灵动课程管理平台</t>
    <phoneticPr fontId="4" type="noConversion"/>
  </si>
  <si>
    <t>浦江镇 汇总</t>
  </si>
  <si>
    <t>2023年镇管单位幼儿教育教学项目（学前科）</t>
    <phoneticPr fontId="3" type="noConversion"/>
  </si>
  <si>
    <t>性质</t>
    <phoneticPr fontId="3" type="noConversion"/>
  </si>
  <si>
    <t>公办</t>
    <phoneticPr fontId="3" type="noConversion"/>
  </si>
  <si>
    <t>优质幼儿园创建</t>
    <phoneticPr fontId="4" type="noConversion"/>
  </si>
  <si>
    <t>幼儿园办学等级创建</t>
    <phoneticPr fontId="4" type="noConversion"/>
  </si>
  <si>
    <t>一级幼儿园创建经费（镇管）</t>
    <phoneticPr fontId="4" type="noConversion"/>
  </si>
  <si>
    <t>幼儿园课程基地建设</t>
    <phoneticPr fontId="4" type="noConversion"/>
  </si>
  <si>
    <t>幼儿园课程建设经费（镇管）</t>
    <phoneticPr fontId="4" type="noConversion"/>
  </si>
  <si>
    <t>幼儿发展</t>
    <phoneticPr fontId="4" type="noConversion"/>
  </si>
  <si>
    <t>全国足球特色幼儿园</t>
    <phoneticPr fontId="4" type="noConversion"/>
  </si>
  <si>
    <t>活动费（镇管）</t>
    <phoneticPr fontId="4" type="noConversion"/>
  </si>
  <si>
    <t>民办</t>
    <phoneticPr fontId="3" type="noConversion"/>
  </si>
  <si>
    <t>普惠性民办幼儿园维修专项补贴</t>
    <phoneticPr fontId="3" type="noConversion"/>
  </si>
  <si>
    <t>浦江三幼</t>
    <phoneticPr fontId="3" type="noConversion"/>
  </si>
  <si>
    <t>浦莲幼儿园</t>
    <phoneticPr fontId="3" type="noConversion"/>
  </si>
  <si>
    <t>浦航幼儿园</t>
    <phoneticPr fontId="3" type="noConversion"/>
  </si>
  <si>
    <t>浦江瑞和城幼儿园</t>
    <phoneticPr fontId="3" type="noConversion"/>
  </si>
  <si>
    <t>浦江宝坻幼儿园</t>
    <phoneticPr fontId="3" type="noConversion"/>
  </si>
  <si>
    <t>上海闵行区乐海幼儿园</t>
    <phoneticPr fontId="60" type="noConversion"/>
  </si>
  <si>
    <t>上海闵行区浦江之星幼儿园</t>
    <phoneticPr fontId="60" type="noConversion"/>
  </si>
  <si>
    <t>乐海幼儿园</t>
    <phoneticPr fontId="3" type="noConversion"/>
  </si>
  <si>
    <t>2023年镇管单位科艺体德项目（普教一科）</t>
    <phoneticPr fontId="3" type="noConversion"/>
  </si>
  <si>
    <t>预算单位</t>
  </si>
  <si>
    <t>学校体育工作</t>
  </si>
  <si>
    <t>技能等级测试</t>
  </si>
  <si>
    <t>学校少年宫</t>
  </si>
  <si>
    <t>运营管理补贴费</t>
  </si>
  <si>
    <t>美育特色联盟</t>
  </si>
  <si>
    <t>师资培训、专家指导、学生艺术团建设等</t>
  </si>
  <si>
    <t>闵行区福山实验学校</t>
  </si>
  <si>
    <t>闵行区浦汇小学</t>
  </si>
  <si>
    <t>闵行区浦江第二小学</t>
  </si>
  <si>
    <t>闵行区浦江第三小学</t>
  </si>
  <si>
    <t>上海市闵行区浦江第三中学</t>
    <phoneticPr fontId="3" type="noConversion"/>
  </si>
  <si>
    <t>上海市闵行区浦汇小学</t>
    <phoneticPr fontId="3" type="noConversion"/>
  </si>
  <si>
    <t>上海市德育实训基地</t>
    <phoneticPr fontId="3" type="noConversion"/>
  </si>
  <si>
    <t>教师培训</t>
    <phoneticPr fontId="3" type="noConversion"/>
  </si>
  <si>
    <t>校园足球精英基地校建设</t>
  </si>
  <si>
    <t>上海戏剧学院闵行附属学校</t>
    <phoneticPr fontId="3" type="noConversion"/>
  </si>
  <si>
    <r>
      <t>2023</t>
    </r>
    <r>
      <rPr>
        <sz val="14"/>
        <rFont val="宋体"/>
        <family val="3"/>
        <charset val="134"/>
      </rPr>
      <t>年镇级单位中小学教育教学项目（普教二科）</t>
    </r>
    <phoneticPr fontId="4" type="noConversion"/>
  </si>
  <si>
    <t>所属街镇</t>
    <phoneticPr fontId="4" type="noConversion"/>
  </si>
  <si>
    <t>审核金额</t>
    <phoneticPr fontId="4" type="noConversion"/>
  </si>
  <si>
    <t>学区化集团化建设</t>
  </si>
  <si>
    <t>已沟通</t>
    <phoneticPr fontId="4" type="noConversion"/>
  </si>
  <si>
    <t>教育均衡发展－优质资源引进（中小学）</t>
  </si>
  <si>
    <t>有协议</t>
    <phoneticPr fontId="4" type="noConversion"/>
  </si>
  <si>
    <t>强校工程</t>
    <phoneticPr fontId="4" type="noConversion"/>
  </si>
  <si>
    <t>市级实验校（第二轮）</t>
    <phoneticPr fontId="4" type="noConversion"/>
  </si>
  <si>
    <t>教师课程领导力提升、课程建设及展示活动、校园育人空间提升</t>
    <phoneticPr fontId="4" type="noConversion"/>
  </si>
  <si>
    <t>第二轮市级实验校</t>
    <phoneticPr fontId="4" type="noConversion"/>
  </si>
  <si>
    <t>浦江</t>
    <phoneticPr fontId="4" type="noConversion"/>
  </si>
  <si>
    <t>闵行区浦江镇教育委员会</t>
    <phoneticPr fontId="4" type="noConversion"/>
  </si>
  <si>
    <t>世外合作项目</t>
  </si>
  <si>
    <t>初中学校携手共进计划</t>
  </si>
  <si>
    <t>世外项目评估经费</t>
  </si>
  <si>
    <t xml:space="preserve">与上师大附属中学合作 </t>
  </si>
  <si>
    <t xml:space="preserve">与上师大附属中学合作项目 </t>
  </si>
  <si>
    <t>紧密型学区建设教育专项-初中教育联盟</t>
    <phoneticPr fontId="4" type="noConversion"/>
  </si>
  <si>
    <t>初中教育联盟</t>
    <phoneticPr fontId="4" type="noConversion"/>
  </si>
  <si>
    <t>紧密型学区建设教育专项-浦江戏剧教育园区</t>
    <phoneticPr fontId="4" type="noConversion"/>
  </si>
  <si>
    <t>浦江戏剧教育园区</t>
    <phoneticPr fontId="4" type="noConversion"/>
  </si>
  <si>
    <t>紧密型学区建设教育专项-小学教育联盟</t>
    <phoneticPr fontId="4" type="noConversion"/>
  </si>
  <si>
    <t>小学教育联盟</t>
    <phoneticPr fontId="4" type="noConversion"/>
  </si>
  <si>
    <t>紧密型学区建设教育专项-学前教育联盟</t>
    <phoneticPr fontId="4" type="noConversion"/>
  </si>
  <si>
    <t>学前教育联盟</t>
    <phoneticPr fontId="4" type="noConversion"/>
  </si>
  <si>
    <t>上海市闵行区浦江第二中学</t>
    <phoneticPr fontId="4" type="noConversion"/>
  </si>
  <si>
    <t>2023年镇管单位标准化考场项目（考试中心）</t>
    <phoneticPr fontId="3" type="noConversion"/>
  </si>
  <si>
    <t>标准化考场重大考试支持服务费</t>
  </si>
  <si>
    <t>重大考试保障服务费</t>
    <phoneticPr fontId="3" type="noConversion"/>
  </si>
  <si>
    <t>标准化考场网上视频巡查系统（2022运维）</t>
    <phoneticPr fontId="3" type="noConversion"/>
  </si>
  <si>
    <t>初中</t>
    <phoneticPr fontId="3" type="noConversion"/>
  </si>
  <si>
    <t>浦江三中</t>
    <phoneticPr fontId="3" type="noConversion"/>
  </si>
  <si>
    <t>项目明细</t>
    <phoneticPr fontId="3" type="noConversion"/>
  </si>
  <si>
    <t>镇级金额</t>
  </si>
  <si>
    <t>区骨干系列培养项目</t>
  </si>
  <si>
    <t>第六届骨干基地所在学校</t>
    <phoneticPr fontId="3" type="noConversion"/>
  </si>
  <si>
    <t>第二届种子基地所在学校</t>
    <phoneticPr fontId="3" type="noConversion"/>
  </si>
  <si>
    <t>浦江第三中学</t>
  </si>
  <si>
    <t>浦江宝邸幼儿园</t>
  </si>
  <si>
    <r>
      <t>2023</t>
    </r>
    <r>
      <rPr>
        <b/>
        <sz val="12"/>
        <rFont val="宋体"/>
        <family val="3"/>
        <charset val="134"/>
      </rPr>
      <t>年闵行教育系统镇管学校设备专项申请汇总表</t>
    </r>
    <phoneticPr fontId="3" type="noConversion"/>
  </si>
  <si>
    <r>
      <rPr>
        <b/>
        <sz val="10"/>
        <rFont val="宋体"/>
        <family val="3"/>
        <charset val="134"/>
      </rPr>
      <t>序号</t>
    </r>
  </si>
  <si>
    <t>所属街镇</t>
    <phoneticPr fontId="3" type="noConversion"/>
  </si>
  <si>
    <r>
      <rPr>
        <b/>
        <sz val="10"/>
        <rFont val="宋体"/>
        <family val="3"/>
        <charset val="134"/>
      </rPr>
      <t>办学类型</t>
    </r>
    <phoneticPr fontId="4" type="noConversion"/>
  </si>
  <si>
    <t>学校名称</t>
    <phoneticPr fontId="3" type="noConversion"/>
  </si>
  <si>
    <r>
      <rPr>
        <b/>
        <sz val="10"/>
        <rFont val="宋体"/>
        <family val="3"/>
        <charset val="134"/>
      </rPr>
      <t>项目名称</t>
    </r>
  </si>
  <si>
    <r>
      <rPr>
        <b/>
        <sz val="10"/>
        <rFont val="宋体"/>
        <family val="3"/>
        <charset val="134"/>
      </rPr>
      <t>项目内容</t>
    </r>
  </si>
  <si>
    <r>
      <rPr>
        <b/>
        <sz val="10"/>
        <rFont val="宋体"/>
        <family val="3"/>
        <charset val="134"/>
      </rPr>
      <t>项目明细</t>
    </r>
  </si>
  <si>
    <t>规格
型号</t>
    <phoneticPr fontId="3" type="noConversion"/>
  </si>
  <si>
    <r>
      <rPr>
        <b/>
        <sz val="10"/>
        <rFont val="宋体"/>
        <family val="3"/>
        <charset val="134"/>
      </rPr>
      <t>单价</t>
    </r>
  </si>
  <si>
    <r>
      <rPr>
        <b/>
        <sz val="10"/>
        <rFont val="宋体"/>
        <family val="3"/>
        <charset val="134"/>
      </rPr>
      <t>数量</t>
    </r>
  </si>
  <si>
    <r>
      <rPr>
        <b/>
        <sz val="10"/>
        <rFont val="宋体"/>
        <family val="3"/>
        <charset val="134"/>
      </rPr>
      <t>金额</t>
    </r>
  </si>
  <si>
    <r>
      <rPr>
        <b/>
        <sz val="10"/>
        <rFont val="宋体"/>
        <family val="3"/>
        <charset val="134"/>
      </rPr>
      <t>备注</t>
    </r>
  </si>
  <si>
    <r>
      <rPr>
        <sz val="10"/>
        <rFont val="宋体"/>
        <family val="3"/>
        <charset val="134"/>
      </rPr>
      <t>小学</t>
    </r>
    <phoneticPr fontId="4" type="noConversion"/>
  </si>
  <si>
    <t>幼儿园</t>
    <phoneticPr fontId="4" type="noConversion"/>
  </si>
  <si>
    <r>
      <rPr>
        <sz val="10"/>
        <rFont val="宋体"/>
        <family val="3"/>
        <charset val="134"/>
      </rPr>
      <t>设备购置与更新</t>
    </r>
  </si>
  <si>
    <r>
      <rPr>
        <sz val="10"/>
        <rFont val="宋体"/>
        <family val="3"/>
        <charset val="134"/>
      </rPr>
      <t>交互式多媒体设备更新</t>
    </r>
    <phoneticPr fontId="3" type="noConversion"/>
  </si>
  <si>
    <r>
      <rPr>
        <sz val="10"/>
        <rFont val="宋体"/>
        <family val="3"/>
        <charset val="134"/>
      </rPr>
      <t>教室</t>
    </r>
    <r>
      <rPr>
        <sz val="10"/>
        <rFont val="Times New Roman"/>
        <family val="1"/>
      </rPr>
      <t>55</t>
    </r>
    <r>
      <rPr>
        <sz val="10"/>
        <rFont val="宋体"/>
        <family val="3"/>
        <charset val="134"/>
      </rPr>
      <t>寸交互式触控一体机</t>
    </r>
    <phoneticPr fontId="3" type="noConversion"/>
  </si>
  <si>
    <t>套</t>
  </si>
  <si>
    <r>
      <rPr>
        <sz val="10"/>
        <rFont val="宋体"/>
        <family val="3"/>
        <charset val="134"/>
      </rPr>
      <t>批</t>
    </r>
    <phoneticPr fontId="3" type="noConversion"/>
  </si>
  <si>
    <r>
      <rPr>
        <sz val="10"/>
        <rFont val="宋体"/>
        <family val="3"/>
        <charset val="134"/>
      </rPr>
      <t>九年制</t>
    </r>
    <phoneticPr fontId="4" type="noConversion"/>
  </si>
  <si>
    <r>
      <rPr>
        <sz val="10"/>
        <rFont val="宋体"/>
        <family val="3"/>
        <charset val="134"/>
      </rPr>
      <t>初中</t>
    </r>
    <phoneticPr fontId="4" type="noConversion"/>
  </si>
  <si>
    <r>
      <t>80</t>
    </r>
    <r>
      <rPr>
        <sz val="10"/>
        <rFont val="宋体"/>
        <family val="3"/>
        <charset val="134"/>
      </rPr>
      <t>寸及以上交互式智能一体白板</t>
    </r>
    <phoneticPr fontId="3" type="noConversion"/>
  </si>
  <si>
    <r>
      <rPr>
        <sz val="10"/>
        <rFont val="宋体"/>
        <family val="3"/>
        <charset val="134"/>
      </rPr>
      <t>浦江镇</t>
    </r>
    <phoneticPr fontId="4" type="noConversion"/>
  </si>
  <si>
    <r>
      <rPr>
        <sz val="10"/>
        <rFont val="宋体"/>
        <family val="3"/>
        <charset val="134"/>
      </rPr>
      <t>上海市闵行区浦航实验中学</t>
    </r>
  </si>
  <si>
    <r>
      <rPr>
        <sz val="10"/>
        <rFont val="宋体"/>
        <family val="3"/>
        <charset val="134"/>
      </rPr>
      <t>上海市闵行区浦江第三小学</t>
    </r>
  </si>
  <si>
    <r>
      <t>70</t>
    </r>
    <r>
      <rPr>
        <sz val="10"/>
        <rFont val="宋体"/>
        <family val="3"/>
        <charset val="134"/>
      </rPr>
      <t>寸及以上智能交互式平板电视机</t>
    </r>
  </si>
  <si>
    <r>
      <rPr>
        <sz val="10"/>
        <rFont val="宋体"/>
        <family val="3"/>
        <charset val="134"/>
      </rPr>
      <t>上海世外教育附属浦江外国语学校</t>
    </r>
  </si>
  <si>
    <t>劳技教室设备配置</t>
    <phoneticPr fontId="3" type="noConversion"/>
  </si>
  <si>
    <r>
      <rPr>
        <sz val="10"/>
        <rFont val="宋体"/>
        <family val="3"/>
        <charset val="134"/>
      </rPr>
      <t>劳技教室仪器</t>
    </r>
    <phoneticPr fontId="3" type="noConversion"/>
  </si>
  <si>
    <t>化学实验室设备配置</t>
    <phoneticPr fontId="3" type="noConversion"/>
  </si>
  <si>
    <t>化学吊装实验室设备配置</t>
    <phoneticPr fontId="3" type="noConversion"/>
  </si>
  <si>
    <r>
      <rPr>
        <sz val="10"/>
        <rFont val="宋体"/>
        <family val="3"/>
        <charset val="134"/>
      </rPr>
      <t>化学实验室仪器</t>
    </r>
    <phoneticPr fontId="3" type="noConversion"/>
  </si>
  <si>
    <t>浦江镇</t>
    <phoneticPr fontId="4" type="noConversion"/>
  </si>
  <si>
    <r>
      <rPr>
        <sz val="10"/>
        <rFont val="宋体"/>
        <family val="3"/>
        <charset val="134"/>
      </rPr>
      <t>上海市闵行区浦瑞幼儿园</t>
    </r>
    <r>
      <rPr>
        <sz val="10"/>
        <rFont val="Times New Roman"/>
        <family val="1"/>
      </rPr>
      <t xml:space="preserve"> </t>
    </r>
  </si>
  <si>
    <r>
      <t>2023</t>
    </r>
    <r>
      <rPr>
        <b/>
        <sz val="14"/>
        <color indexed="8"/>
        <rFont val="宋体"/>
        <family val="3"/>
        <charset val="134"/>
      </rPr>
      <t>年闵行教育系统镇管学校设备专项申请汇总表（理化实验室</t>
    </r>
    <r>
      <rPr>
        <b/>
        <sz val="14"/>
        <color indexed="8"/>
        <rFont val="Times New Roman"/>
        <family val="1"/>
      </rPr>
      <t>:</t>
    </r>
    <r>
      <rPr>
        <b/>
        <sz val="14"/>
        <color indexed="8"/>
        <rFont val="宋体"/>
        <family val="3"/>
        <charset val="134"/>
      </rPr>
      <t>除家具乡镇自行采购，其他教育局统一采购）</t>
    </r>
    <phoneticPr fontId="3" type="noConversion"/>
  </si>
  <si>
    <r>
      <rPr>
        <b/>
        <sz val="9"/>
        <color indexed="8"/>
        <rFont val="宋体"/>
        <family val="3"/>
        <charset val="134"/>
      </rPr>
      <t>单位名称</t>
    </r>
  </si>
  <si>
    <r>
      <rPr>
        <b/>
        <sz val="9"/>
        <color indexed="8"/>
        <rFont val="宋体"/>
        <family val="3"/>
        <charset val="134"/>
      </rPr>
      <t>项目名称</t>
    </r>
  </si>
  <si>
    <r>
      <rPr>
        <b/>
        <sz val="9"/>
        <color indexed="8"/>
        <rFont val="宋体"/>
        <family val="3"/>
        <charset val="134"/>
      </rPr>
      <t>项目内容</t>
    </r>
  </si>
  <si>
    <r>
      <rPr>
        <b/>
        <sz val="9"/>
        <color indexed="8"/>
        <rFont val="宋体"/>
        <family val="3"/>
        <charset val="134"/>
      </rPr>
      <t>项目明细</t>
    </r>
  </si>
  <si>
    <r>
      <rPr>
        <b/>
        <sz val="9"/>
        <color indexed="8"/>
        <rFont val="宋体"/>
        <family val="3"/>
        <charset val="134"/>
      </rPr>
      <t>规格型号</t>
    </r>
    <phoneticPr fontId="4" type="noConversion"/>
  </si>
  <si>
    <r>
      <rPr>
        <b/>
        <sz val="9"/>
        <color indexed="8"/>
        <rFont val="宋体"/>
        <family val="3"/>
        <charset val="134"/>
      </rPr>
      <t>单价</t>
    </r>
    <phoneticPr fontId="4" type="noConversion"/>
  </si>
  <si>
    <r>
      <rPr>
        <b/>
        <sz val="9"/>
        <color indexed="8"/>
        <rFont val="宋体"/>
        <family val="3"/>
        <charset val="134"/>
      </rPr>
      <t>数量</t>
    </r>
    <phoneticPr fontId="4" type="noConversion"/>
  </si>
  <si>
    <r>
      <rPr>
        <b/>
        <sz val="9"/>
        <color indexed="8"/>
        <rFont val="宋体"/>
        <family val="3"/>
        <charset val="134"/>
      </rPr>
      <t>金额</t>
    </r>
    <phoneticPr fontId="4" type="noConversion"/>
  </si>
  <si>
    <t>参考依据</t>
    <phoneticPr fontId="4" type="noConversion"/>
  </si>
  <si>
    <t>闵行区初中理化实验操作考试标准化考场设备</t>
    <phoneticPr fontId="4" type="noConversion"/>
  </si>
  <si>
    <t>理化实验室视频采集系统</t>
    <phoneticPr fontId="4" type="noConversion"/>
  </si>
  <si>
    <t>便携式可移动实验操作视频采集系统</t>
  </si>
  <si>
    <t>/</t>
    <phoneticPr fontId="4" type="noConversion"/>
  </si>
  <si>
    <t>参考财政局评审报告：《单个实验室“视频采集系统”预算明细及审核情况》</t>
    <phoneticPr fontId="4" type="noConversion"/>
  </si>
  <si>
    <t>闵行区初中理化实验操作考试标准化考场设备</t>
  </si>
  <si>
    <t>理化实验室视频采集系统</t>
  </si>
  <si>
    <t>学生视频采集终端</t>
  </si>
  <si>
    <t>显示器</t>
  </si>
  <si>
    <t>可拆卸挡板</t>
  </si>
  <si>
    <t>定制</t>
    <phoneticPr fontId="4" type="noConversion"/>
  </si>
  <si>
    <t>工控控制系统</t>
  </si>
  <si>
    <t>内置交换机</t>
  </si>
  <si>
    <t>华三Mini S8</t>
  </si>
  <si>
    <t>教师监考工作站</t>
  </si>
  <si>
    <t>联想ThinkStation K</t>
  </si>
  <si>
    <t>标准化考场视频巡查系统建设</t>
    <phoneticPr fontId="4" type="noConversion"/>
  </si>
  <si>
    <t>高清红外半球摄像机(实验室、侯考室、考务室和保密室）</t>
  </si>
  <si>
    <t>参考科委评审报告</t>
    <phoneticPr fontId="4" type="noConversion"/>
  </si>
  <si>
    <t>高清红外半球摄像机(通道、楼梯）</t>
  </si>
  <si>
    <t>高清红外筒形摄像机（通道）</t>
  </si>
  <si>
    <t>高清球形网络摄像机（校门口）</t>
  </si>
  <si>
    <t>拾音器</t>
  </si>
  <si>
    <t>校级三合一SIP服务器</t>
  </si>
  <si>
    <t>液晶显示器</t>
  </si>
  <si>
    <t>数字高清解码器</t>
  </si>
  <si>
    <t>网上巡查存储服务器</t>
  </si>
  <si>
    <t>存储硬盘</t>
  </si>
  <si>
    <t>希捷6T</t>
  </si>
  <si>
    <t>网上巡查平台管理软件</t>
  </si>
  <si>
    <t>管理终端</t>
  </si>
  <si>
    <t>联想启天M430-B473</t>
  </si>
  <si>
    <t>24口汇聚交换机</t>
  </si>
  <si>
    <t>华为S5735-L24T4X-A1</t>
  </si>
  <si>
    <t>24口接入交换机</t>
  </si>
  <si>
    <t>华为S5735-L24T4S-A1</t>
  </si>
  <si>
    <t>千兆光模块</t>
  </si>
  <si>
    <t>华为SFP-GE-SX-C</t>
  </si>
  <si>
    <t>万兆光模块</t>
  </si>
  <si>
    <t>华为OMXD30000</t>
  </si>
  <si>
    <t>网上巡查专网光缆</t>
  </si>
  <si>
    <t>22U网络机柜</t>
  </si>
  <si>
    <t>UPS（3KVA ）</t>
  </si>
  <si>
    <t>网上巡查网络点位</t>
  </si>
  <si>
    <t>网上巡查供电点位</t>
  </si>
  <si>
    <t>网上巡查音频点位</t>
  </si>
  <si>
    <t>网上巡查点位配套PVC管、线槽</t>
  </si>
  <si>
    <t>摄像机电源</t>
  </si>
  <si>
    <t>监控室外箱</t>
  </si>
  <si>
    <t xml:space="preserve">高清视频会议硬件终端 </t>
  </si>
  <si>
    <t>华为Box 300</t>
  </si>
  <si>
    <t>高清视频会议摄像机</t>
  </si>
  <si>
    <t>华为Camera 200</t>
  </si>
  <si>
    <t>全向麦克风</t>
  </si>
  <si>
    <t>华为Mic 500</t>
  </si>
  <si>
    <t>音箱</t>
  </si>
  <si>
    <t>飞利浦SPA5270B</t>
  </si>
  <si>
    <t>无线信号屏蔽终端</t>
  </si>
  <si>
    <t>金属探测仪</t>
  </si>
  <si>
    <t>考试网络环境建设</t>
    <phoneticPr fontId="4" type="noConversion"/>
  </si>
  <si>
    <t>考试网络环境建设</t>
  </si>
  <si>
    <t>考点实验室设备综合布线</t>
  </si>
  <si>
    <t>备份网络监控一体机</t>
  </si>
  <si>
    <r>
      <rPr>
        <sz val="9"/>
        <rFont val="宋体"/>
        <family val="3"/>
        <charset val="134"/>
      </rPr>
      <t>参考附件</t>
    </r>
    <r>
      <rPr>
        <sz val="9"/>
        <rFont val="Times New Roman"/>
        <family val="1"/>
      </rPr>
      <t>6</t>
    </r>
    <phoneticPr fontId="4" type="noConversion"/>
  </si>
  <si>
    <t>项目安装调试费1（含理化考试技术保障费）</t>
    <phoneticPr fontId="4" type="noConversion"/>
  </si>
  <si>
    <t>参考科委评审报告</t>
  </si>
  <si>
    <t>考试和评卷管理主要软件系统建设</t>
    <phoneticPr fontId="4" type="noConversion"/>
  </si>
  <si>
    <t>校端存储服务器</t>
  </si>
  <si>
    <t>考试和评卷管理主要软件系统建设</t>
  </si>
  <si>
    <t>初中理化实验实验操作考试考务抽签子系统</t>
  </si>
  <si>
    <t>初中理化实验操作考试教学教务系统</t>
  </si>
  <si>
    <t>考评系统辅助终端</t>
  </si>
  <si>
    <t>项目安装调试费2（含理化考试技术保障费）</t>
    <phoneticPr fontId="4" type="noConversion"/>
  </si>
  <si>
    <t>项目整体监理费</t>
    <phoneticPr fontId="4" type="noConversion"/>
  </si>
  <si>
    <t>项目监理费</t>
  </si>
  <si>
    <t>项目监理费（1%）</t>
    <phoneticPr fontId="4" type="noConversion"/>
  </si>
  <si>
    <t>财务监理费</t>
  </si>
  <si>
    <t>财务监理费（1%）</t>
    <phoneticPr fontId="4" type="noConversion"/>
  </si>
  <si>
    <t>小计</t>
    <phoneticPr fontId="3" type="noConversion"/>
  </si>
  <si>
    <t>化学实验室家具</t>
    <phoneticPr fontId="4" type="noConversion"/>
  </si>
  <si>
    <t>多功能柱</t>
  </si>
  <si>
    <t>340*200*720mm</t>
  </si>
  <si>
    <t>参考财政局评审报告：《单个实验室“实验室家具”预算明细及审核情况》</t>
    <phoneticPr fontId="4" type="noConversion"/>
  </si>
  <si>
    <t>教师演示讲台</t>
  </si>
  <si>
    <t>3000*700*900mm</t>
  </si>
  <si>
    <t>学生实验桌</t>
  </si>
  <si>
    <t>1200*600*780mm</t>
  </si>
  <si>
    <t>实践专用凳</t>
  </si>
  <si>
    <t>Φ315*450-500mm</t>
  </si>
  <si>
    <t>全新钢塑水槽柜（含龙头）</t>
  </si>
  <si>
    <t>450*580*790mm</t>
  </si>
  <si>
    <t>教师演示电源</t>
  </si>
  <si>
    <t>500mm*260mm</t>
  </si>
  <si>
    <t>学生安全电源</t>
  </si>
  <si>
    <t>270mm*70mm*45mm（±）</t>
  </si>
  <si>
    <t>物理实验室家具</t>
    <phoneticPr fontId="4" type="noConversion"/>
  </si>
  <si>
    <t>浦江三中</t>
  </si>
  <si>
    <t>浦江镇合计</t>
    <phoneticPr fontId="3" type="noConversion"/>
  </si>
  <si>
    <t>2022年镇管单位专项预算（培训专项）</t>
    <phoneticPr fontId="3" type="noConversion"/>
  </si>
  <si>
    <t>2023年镇级单位抚恤金专项预算（1-4月）</t>
    <phoneticPr fontId="3" type="noConversion"/>
  </si>
  <si>
    <t>序号</t>
    <phoneticPr fontId="4" type="noConversion"/>
  </si>
  <si>
    <t>性质</t>
  </si>
  <si>
    <t>学校名称</t>
    <phoneticPr fontId="4" type="noConversion"/>
  </si>
  <si>
    <t>学前（班级）</t>
    <phoneticPr fontId="4" type="noConversion"/>
  </si>
  <si>
    <t>学前（人数）</t>
    <phoneticPr fontId="4" type="noConversion"/>
  </si>
  <si>
    <t>小学（班级）</t>
    <phoneticPr fontId="4" type="noConversion"/>
  </si>
  <si>
    <t>小学（人数）</t>
    <phoneticPr fontId="4" type="noConversion"/>
  </si>
  <si>
    <t>一年级</t>
  </si>
  <si>
    <t>二年级</t>
  </si>
  <si>
    <t>三年级</t>
  </si>
  <si>
    <t>四年级</t>
  </si>
  <si>
    <t>五年级</t>
  </si>
  <si>
    <t>辅读班</t>
  </si>
  <si>
    <t>初中（班级）</t>
    <phoneticPr fontId="4" type="noConversion"/>
  </si>
  <si>
    <t>初中（人数）</t>
    <phoneticPr fontId="4" type="noConversion"/>
  </si>
  <si>
    <t>高中（班级）</t>
  </si>
  <si>
    <t>高中（人数）</t>
  </si>
  <si>
    <t>学生数合计</t>
    <phoneticPr fontId="4" type="noConversion"/>
  </si>
  <si>
    <t>教职工（人数）</t>
  </si>
  <si>
    <t>其中校长书记</t>
    <phoneticPr fontId="4" type="noConversion"/>
  </si>
  <si>
    <t>绩效</t>
    <phoneticPr fontId="4" type="noConversion"/>
  </si>
  <si>
    <t>分校</t>
    <phoneticPr fontId="4" type="noConversion"/>
  </si>
  <si>
    <t>公务车</t>
    <phoneticPr fontId="4" type="noConversion"/>
  </si>
  <si>
    <t>1-4月抚恤金</t>
    <phoneticPr fontId="3" type="noConversion"/>
  </si>
  <si>
    <t>初级中学</t>
  </si>
  <si>
    <t>幼儿园</t>
    <phoneticPr fontId="4" type="noConversion"/>
  </si>
  <si>
    <t>上海市闵行区浦江镇第三幼儿园</t>
  </si>
  <si>
    <t>修缮内容</t>
  </si>
  <si>
    <t>工程量</t>
  </si>
  <si>
    <t>合价</t>
  </si>
  <si>
    <t>㎡</t>
  </si>
  <si>
    <t>项</t>
  </si>
  <si>
    <t>樘</t>
  </si>
  <si>
    <t>m</t>
  </si>
  <si>
    <t>招标代理费（含工程量清单编制）</t>
  </si>
  <si>
    <t>设计费</t>
  </si>
  <si>
    <t>工程监理费（含审价费/投资监理费）</t>
  </si>
  <si>
    <t>审图费</t>
  </si>
  <si>
    <t>空气检测费</t>
  </si>
  <si>
    <t>建筑物名称</t>
  </si>
  <si>
    <t>场地</t>
  </si>
  <si>
    <t>排水沟</t>
  </si>
  <si>
    <t>（一）建安费合计</t>
  </si>
  <si>
    <t>场地检测费</t>
  </si>
  <si>
    <t>（二）工程建设其他费合计</t>
  </si>
  <si>
    <t>总投资（一）+（二）</t>
  </si>
  <si>
    <t>教学楼</t>
  </si>
  <si>
    <t>地面防水</t>
  </si>
  <si>
    <t>地面地砖</t>
  </si>
  <si>
    <t>墙面防水</t>
  </si>
  <si>
    <t>墙面面砖</t>
  </si>
  <si>
    <t>铝合金方板吊顶</t>
  </si>
  <si>
    <t>拆除及零星</t>
  </si>
  <si>
    <t>浦江二中</t>
  </si>
  <si>
    <t>体育馆</t>
  </si>
  <si>
    <t>屋面防水卷材（防水涂膜）</t>
  </si>
  <si>
    <t>更换屋面成品天沟</t>
  </si>
  <si>
    <t>更换雨水管</t>
  </si>
  <si>
    <t>清理体育馆楼梯间屋面及疏通雨水管</t>
  </si>
  <si>
    <t>更换隔音护墙板</t>
  </si>
  <si>
    <t>更换室外PE80给水管（含路面开挖、修复）</t>
  </si>
  <si>
    <t>不锈钢闸阀及水表阀组</t>
  </si>
  <si>
    <t>福山实验学校</t>
  </si>
  <si>
    <t>外墙（修补、涂料、脚手架）</t>
  </si>
  <si>
    <t>规划皮划艇校内配套设施</t>
  </si>
  <si>
    <t>围墙开门、行政楼一层卫生间改造</t>
  </si>
  <si>
    <t>浦航幼儿园</t>
  </si>
  <si>
    <t>5间卫生间改造</t>
  </si>
  <si>
    <t>m2</t>
  </si>
  <si>
    <t>洁具拆装（含损坏换新、附属设施、局部水管）</t>
  </si>
  <si>
    <t>厨房吊顶</t>
  </si>
  <si>
    <t>公共洗消间、保健室吊顶</t>
  </si>
  <si>
    <t>成人厕所吊顶</t>
  </si>
  <si>
    <t>窗维修</t>
  </si>
  <si>
    <t>门维修</t>
  </si>
  <si>
    <t>浦江镇第三幼儿园</t>
  </si>
  <si>
    <t>食堂</t>
  </si>
  <si>
    <t>更换300*300地砖</t>
  </si>
  <si>
    <t>更换600*600红缸砖</t>
  </si>
  <si>
    <t>地面防潮层</t>
  </si>
  <si>
    <t>重做排水沟</t>
  </si>
  <si>
    <t>开裂墙砖处修复</t>
  </si>
  <si>
    <t>浦莲幼儿园（佳兴园）</t>
  </si>
  <si>
    <t>楼梯铺阻燃PVC地板</t>
  </si>
  <si>
    <t>走廊铺阻燃PVC地板</t>
  </si>
  <si>
    <t>新做铝板装饰护墙板</t>
  </si>
  <si>
    <t>护墙板上方墙面涂料</t>
  </si>
  <si>
    <t>浦江宝邸幼儿园（瑞和园）</t>
  </si>
  <si>
    <t>外墙涂料（含脚手架）</t>
  </si>
  <si>
    <t>围墙涂漆（涂料、无脚手架）</t>
  </si>
  <si>
    <t>塑胶场地</t>
  </si>
  <si>
    <t>浦汇小学</t>
  </si>
  <si>
    <t>顶棚涂料</t>
  </si>
  <si>
    <t>屋面伸缩缝维修30米</t>
  </si>
  <si>
    <t>室内排水管防水构造修缮</t>
  </si>
  <si>
    <t>篮球场、网球场场地修缮（沥青基层）</t>
  </si>
  <si>
    <r>
      <t>2023年</t>
    </r>
    <r>
      <rPr>
        <b/>
        <u/>
        <sz val="12"/>
        <rFont val="宋体"/>
        <family val="3"/>
        <charset val="134"/>
      </rPr>
      <t>浦江镇</t>
    </r>
    <r>
      <rPr>
        <b/>
        <sz val="12"/>
        <rFont val="宋体"/>
        <family val="3"/>
        <charset val="134"/>
      </rPr>
      <t>校舍修缮专项细化表</t>
    </r>
  </si>
  <si>
    <t>总计</t>
    <phoneticPr fontId="3" type="noConversion"/>
  </si>
  <si>
    <t>上海市闵行区浦江第三中</t>
  </si>
  <si>
    <t>上海市闵行区浦江第三中学校舍维修项目</t>
  </si>
  <si>
    <t>上海市闵行区浦江第二小学校舍维修项目</t>
  </si>
  <si>
    <t>上海市闵行区浦汇小学校舍维修项目</t>
  </si>
  <si>
    <t>上海市闵行区浦莲幼儿园（佳兴分园）校舍维修项目</t>
  </si>
  <si>
    <t>上海市闵行区浦航幼儿园（中城分园）</t>
  </si>
  <si>
    <t>上海市闵行区浦航幼儿园（中城分园）校舍维修项目</t>
  </si>
  <si>
    <t>上海市闵行区浦江宝邸幼儿园（瑞和分园）</t>
  </si>
  <si>
    <t>上海市闵行区浦江宝邸幼儿园（瑞和分园）校舍维修项目</t>
  </si>
  <si>
    <t>上海市闵行区浦江第二中学校舍维修项目</t>
  </si>
  <si>
    <t>浦江小计</t>
    <phoneticPr fontId="3" type="noConversion"/>
  </si>
  <si>
    <t>总投资</t>
    <phoneticPr fontId="3" type="noConversion"/>
  </si>
  <si>
    <t>施工合同价</t>
    <phoneticPr fontId="3" type="noConversion"/>
  </si>
  <si>
    <t>工程审定价</t>
    <phoneticPr fontId="3" type="noConversion"/>
  </si>
  <si>
    <t>二类费用</t>
    <phoneticPr fontId="3" type="noConversion"/>
  </si>
  <si>
    <t>应执行金额费用</t>
    <phoneticPr fontId="3" type="noConversion"/>
  </si>
  <si>
    <t>已执行金额费用</t>
    <phoneticPr fontId="3" type="noConversion"/>
  </si>
  <si>
    <t>尾款清算金额费用</t>
    <phoneticPr fontId="3" type="noConversion"/>
  </si>
  <si>
    <t>2022年镇管学校部分校舍维修尾款清算</t>
    <phoneticPr fontId="3" type="noConversion"/>
  </si>
  <si>
    <t>实际下达
8折</t>
    <phoneticPr fontId="3" type="noConversion"/>
  </si>
  <si>
    <t>学校
名称</t>
    <phoneticPr fontId="3" type="noConversion"/>
  </si>
  <si>
    <t>项目</t>
    <phoneticPr fontId="4" type="noConversion"/>
  </si>
  <si>
    <t>合计</t>
    <phoneticPr fontId="4" type="noConversion"/>
  </si>
  <si>
    <t>设备购置与更新</t>
    <phoneticPr fontId="3" type="noConversion"/>
  </si>
  <si>
    <t>校舍维修</t>
    <phoneticPr fontId="3" type="noConversion"/>
  </si>
  <si>
    <t>幼儿教育教学</t>
    <phoneticPr fontId="3" type="noConversion"/>
  </si>
  <si>
    <t>科艺体德专项</t>
    <phoneticPr fontId="3" type="noConversion"/>
  </si>
  <si>
    <t>中小学教育教学</t>
    <phoneticPr fontId="3" type="noConversion"/>
  </si>
  <si>
    <t>标准化考场服务</t>
    <phoneticPr fontId="3" type="noConversion"/>
  </si>
  <si>
    <t>培训专项</t>
    <phoneticPr fontId="3" type="noConversion"/>
  </si>
  <si>
    <t>抚恤金</t>
    <phoneticPr fontId="3" type="noConversion"/>
  </si>
  <si>
    <t>2023年教育统筹经费第二次分配明细表</t>
    <phoneticPr fontId="3" type="noConversion"/>
  </si>
  <si>
    <t>二次分配</t>
    <phoneticPr fontId="3" type="noConversion"/>
  </si>
  <si>
    <t>单位：元</t>
    <phoneticPr fontId="3" type="noConversion"/>
  </si>
  <si>
    <t>浦江镇：</t>
    <phoneticPr fontId="4" type="noConversion"/>
  </si>
  <si>
    <t>2023年闵行教育信息化项目预算表（镇管单位）</t>
    <phoneticPr fontId="4" type="noConversion"/>
  </si>
  <si>
    <t>镇属</t>
    <phoneticPr fontId="4" type="noConversion"/>
  </si>
  <si>
    <t>规格型号或数量单位</t>
    <phoneticPr fontId="4" type="noConversion"/>
  </si>
  <si>
    <t>二上金额</t>
    <phoneticPr fontId="4" type="noConversion"/>
  </si>
  <si>
    <t>二上核准金额</t>
    <phoneticPr fontId="4" type="noConversion"/>
  </si>
  <si>
    <t>项目说明</t>
    <phoneticPr fontId="4" type="noConversion"/>
  </si>
  <si>
    <t>项目类别</t>
    <phoneticPr fontId="4" type="noConversion"/>
  </si>
  <si>
    <t>审核单位</t>
    <phoneticPr fontId="4" type="noConversion"/>
  </si>
  <si>
    <t>项目批次</t>
    <phoneticPr fontId="4" type="noConversion"/>
  </si>
  <si>
    <t>项目类型</t>
    <phoneticPr fontId="4" type="noConversion"/>
  </si>
  <si>
    <t>项目一级分类</t>
    <phoneticPr fontId="4" type="noConversion"/>
  </si>
  <si>
    <t>项目二级分类</t>
    <phoneticPr fontId="4" type="noConversion"/>
  </si>
  <si>
    <t>学段</t>
    <phoneticPr fontId="4" type="noConversion"/>
  </si>
  <si>
    <t>资金来源</t>
    <phoneticPr fontId="4" type="noConversion"/>
  </si>
  <si>
    <t>初审意见</t>
    <phoneticPr fontId="4" type="noConversion"/>
  </si>
  <si>
    <t>审核情况</t>
    <phoneticPr fontId="4" type="noConversion"/>
  </si>
  <si>
    <t>项目定位</t>
    <phoneticPr fontId="4" type="noConversion"/>
  </si>
  <si>
    <t>项目职能</t>
    <phoneticPr fontId="4" type="noConversion"/>
  </si>
  <si>
    <t>备注</t>
    <phoneticPr fontId="4" type="noConversion"/>
  </si>
  <si>
    <t>一上结果</t>
    <phoneticPr fontId="4" type="noConversion"/>
  </si>
  <si>
    <t>核准金额</t>
    <phoneticPr fontId="4" type="noConversion"/>
  </si>
  <si>
    <t>二上申报金额</t>
    <phoneticPr fontId="4" type="noConversion"/>
  </si>
  <si>
    <t>二上结果</t>
    <phoneticPr fontId="4" type="noConversion"/>
  </si>
  <si>
    <t>后续操作</t>
    <phoneticPr fontId="4" type="noConversion"/>
  </si>
  <si>
    <t>审批机构</t>
    <phoneticPr fontId="4" type="noConversion"/>
  </si>
  <si>
    <t>03新增项目</t>
    <phoneticPr fontId="4" type="noConversion"/>
  </si>
  <si>
    <t>个性化学习服务</t>
    <phoneticPr fontId="4" type="noConversion"/>
  </si>
  <si>
    <t>个性化学习实践</t>
    <phoneticPr fontId="4" type="noConversion"/>
  </si>
  <si>
    <t>浦江镇</t>
    <phoneticPr fontId="3" type="noConversion"/>
  </si>
  <si>
    <t>信息化项目</t>
    <phoneticPr fontId="3" type="noConversion"/>
  </si>
</sst>
</file>

<file path=xl/styles.xml><?xml version="1.0" encoding="utf-8"?>
<styleSheet xmlns="http://schemas.openxmlformats.org/spreadsheetml/2006/main">
  <numFmts count="11">
    <numFmt numFmtId="41" formatCode="_ * #,##0_ ;_ * \-#,##0_ ;_ * &quot;-&quot;_ ;_ @_ "/>
    <numFmt numFmtId="43" formatCode="_ * #,##0.00_ ;_ * \-#,##0.00_ ;_ * &quot;-&quot;??_ ;_ @_ "/>
    <numFmt numFmtId="176" formatCode="0.00_ ;\-0.00;;"/>
    <numFmt numFmtId="177" formatCode="0.00_);[Red]\(0.00\)"/>
    <numFmt numFmtId="178" formatCode="0.00_ "/>
    <numFmt numFmtId="179" formatCode="0.000_ ;\-0;;"/>
    <numFmt numFmtId="180" formatCode="0.0_ "/>
    <numFmt numFmtId="181" formatCode="[$-409]d/mmm/yy;@"/>
    <numFmt numFmtId="182" formatCode="0_);[Red]\(0\)"/>
    <numFmt numFmtId="183" formatCode="0_ "/>
    <numFmt numFmtId="184" formatCode="[$-F800]dddd\,\ mmmm\ dd\,\ yyyy"/>
  </numFmts>
  <fonts count="109">
    <font>
      <sz val="11"/>
      <color theme="1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b/>
      <sz val="20"/>
      <color indexed="8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9"/>
      <name val="宋体"/>
      <family val="3"/>
      <charset val="134"/>
    </font>
    <font>
      <b/>
      <sz val="20"/>
      <color indexed="8"/>
      <name val="宋体"/>
      <family val="3"/>
      <charset val="134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16"/>
      <color theme="1"/>
      <name val="宋体"/>
      <family val="3"/>
      <charset val="134"/>
      <scheme val="minor"/>
    </font>
    <font>
      <sz val="8"/>
      <color theme="1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8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charset val="134"/>
    </font>
    <font>
      <sz val="11"/>
      <color theme="1"/>
      <name val="等线"/>
      <charset val="134"/>
    </font>
    <font>
      <sz val="11"/>
      <color rgb="FF006100"/>
      <name val="宋体"/>
      <family val="3"/>
      <charset val="134"/>
      <scheme val="minor"/>
    </font>
    <font>
      <b/>
      <sz val="9"/>
      <name val="宋体"/>
      <family val="3"/>
      <charset val="134"/>
    </font>
    <font>
      <sz val="22"/>
      <color theme="1"/>
      <name val="宋体"/>
      <family val="2"/>
      <charset val="134"/>
      <scheme val="minor"/>
    </font>
    <font>
      <sz val="22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9"/>
      <name val="宋体"/>
      <family val="2"/>
      <charset val="134"/>
    </font>
    <font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color indexed="8"/>
      <name val="宋体"/>
      <family val="3"/>
      <charset val="134"/>
      <scheme val="minor"/>
    </font>
    <font>
      <sz val="9"/>
      <color theme="1"/>
      <name val="宋体"/>
      <family val="2"/>
      <charset val="134"/>
      <scheme val="minor"/>
    </font>
    <font>
      <sz val="9"/>
      <name val="黑体"/>
      <family val="3"/>
      <charset val="134"/>
    </font>
    <font>
      <u/>
      <sz val="11"/>
      <color theme="10"/>
      <name val="宋体"/>
      <family val="2"/>
      <charset val="134"/>
      <scheme val="minor"/>
    </font>
    <font>
      <u/>
      <sz val="9"/>
      <color rgb="FFFF0000"/>
      <name val="宋体"/>
      <family val="3"/>
      <charset val="134"/>
      <scheme val="minor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11"/>
      <color theme="1"/>
      <name val="宋体"/>
      <family val="2"/>
      <charset val="134"/>
      <scheme val="minor"/>
    </font>
    <font>
      <sz val="18"/>
      <name val="黑体"/>
      <family val="3"/>
      <charset val="134"/>
    </font>
    <font>
      <sz val="14"/>
      <name val="宋体"/>
      <family val="3"/>
      <charset val="134"/>
    </font>
    <font>
      <b/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sz val="18"/>
      <name val="宋体"/>
      <family val="3"/>
      <charset val="134"/>
      <scheme val="major"/>
    </font>
    <font>
      <sz val="9"/>
      <name val="仿宋"/>
      <family val="3"/>
      <charset val="134"/>
    </font>
    <font>
      <sz val="9"/>
      <color theme="1"/>
      <name val="仿宋"/>
      <family val="3"/>
      <charset val="134"/>
    </font>
    <font>
      <b/>
      <sz val="9"/>
      <name val="仿宋"/>
      <family val="3"/>
      <charset val="134"/>
    </font>
    <font>
      <sz val="14"/>
      <name val="宋体"/>
      <family val="3"/>
      <charset val="134"/>
      <scheme val="minor"/>
    </font>
    <font>
      <b/>
      <sz val="9"/>
      <color theme="1"/>
      <name val="仿宋"/>
      <family val="3"/>
      <charset val="134"/>
    </font>
    <font>
      <sz val="14"/>
      <name val="Arial"/>
      <family val="2"/>
    </font>
    <font>
      <sz val="9"/>
      <name val="Arial"/>
      <family val="2"/>
    </font>
    <font>
      <sz val="9"/>
      <color rgb="FFFF0000"/>
      <name val="宋体"/>
      <family val="3"/>
      <charset val="134"/>
    </font>
    <font>
      <b/>
      <sz val="18"/>
      <color indexed="8"/>
      <name val="宋体"/>
      <family val="3"/>
      <charset val="134"/>
    </font>
    <font>
      <sz val="18"/>
      <color theme="1"/>
      <name val="宋体"/>
      <family val="3"/>
      <charset val="134"/>
      <scheme val="minor"/>
    </font>
    <font>
      <b/>
      <sz val="16"/>
      <color indexed="8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0"/>
      <name val="宋体"/>
      <family val="3"/>
      <charset val="134"/>
    </font>
    <font>
      <sz val="10"/>
      <name val="Times New Roman"/>
      <family val="1"/>
    </font>
    <font>
      <b/>
      <sz val="14"/>
      <color indexed="8"/>
      <name val="Times New Roman"/>
      <family val="1"/>
    </font>
    <font>
      <b/>
      <sz val="14"/>
      <color indexed="8"/>
      <name val="宋体"/>
      <family val="3"/>
      <charset val="134"/>
    </font>
    <font>
      <b/>
      <sz val="9"/>
      <color indexed="8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sz val="16"/>
      <name val="宋体"/>
      <family val="3"/>
      <charset val="134"/>
    </font>
    <font>
      <sz val="10"/>
      <name val="仿宋_GB2312"/>
      <charset val="134"/>
    </font>
    <font>
      <sz val="11"/>
      <name val="宋体"/>
      <family val="3"/>
      <charset val="134"/>
      <scheme val="minor"/>
    </font>
    <font>
      <b/>
      <u/>
      <sz val="12"/>
      <name val="宋体"/>
      <family val="3"/>
      <charset val="134"/>
    </font>
    <font>
      <b/>
      <sz val="11"/>
      <name val="宋体"/>
      <family val="3"/>
      <charset val="134"/>
      <scheme val="minor"/>
    </font>
    <font>
      <sz val="16"/>
      <color theme="1"/>
      <name val="宋体"/>
      <family val="2"/>
      <charset val="134"/>
      <scheme val="minor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  <font>
      <sz val="14"/>
      <color theme="1"/>
      <name val="仿宋"/>
      <family val="3"/>
      <charset val="134"/>
    </font>
  </fonts>
  <fills count="3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FF"/>
        <bgColor rgb="FFFFFFFF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</borders>
  <cellStyleXfs count="2015">
    <xf numFmtId="0" fontId="0" fillId="0" borderId="0">
      <alignment vertical="center"/>
    </xf>
    <xf numFmtId="0" fontId="20" fillId="0" borderId="0"/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7" fillId="0" borderId="0"/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6" fillId="0" borderId="0"/>
    <xf numFmtId="0" fontId="26" fillId="0" borderId="0"/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9" fillId="0" borderId="0" applyNumberFormat="0" applyFill="0" applyBorder="0" applyAlignment="0" applyProtection="0">
      <alignment vertical="top"/>
      <protection locked="0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50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8" fillId="0" borderId="0" applyFont="0" applyFill="0" applyBorder="0" applyAlignment="0" applyProtection="0">
      <alignment vertical="center"/>
    </xf>
    <xf numFmtId="43" fontId="28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50" fillId="0" borderId="0" applyFont="0" applyFill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27" fillId="0" borderId="0"/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43" fontId="68" fillId="0" borderId="0" applyFont="0" applyFill="0" applyBorder="0" applyAlignment="0" applyProtection="0">
      <alignment vertical="center"/>
    </xf>
    <xf numFmtId="0" fontId="27" fillId="0" borderId="0"/>
    <xf numFmtId="176" fontId="68" fillId="0" borderId="0">
      <alignment vertical="center"/>
    </xf>
    <xf numFmtId="176" fontId="18" fillId="0" borderId="0">
      <alignment vertical="center"/>
    </xf>
    <xf numFmtId="176" fontId="68" fillId="0" borderId="0">
      <alignment vertical="center"/>
    </xf>
    <xf numFmtId="176" fontId="68" fillId="0" borderId="0">
      <alignment vertical="center"/>
    </xf>
    <xf numFmtId="43" fontId="23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0" fontId="23" fillId="0" borderId="0"/>
    <xf numFmtId="0" fontId="59" fillId="0" borderId="0" applyBorder="0"/>
    <xf numFmtId="180" fontId="23" fillId="0" borderId="0" applyFont="0" applyFill="0" applyBorder="0" applyAlignment="0" applyProtection="0">
      <alignment vertical="center"/>
    </xf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</cellStyleXfs>
  <cellXfs count="462">
    <xf numFmtId="0" fontId="0" fillId="0" borderId="0" xfId="0">
      <alignment vertical="center"/>
    </xf>
    <xf numFmtId="0" fontId="4" fillId="2" borderId="0" xfId="0" applyFont="1" applyFill="1" applyAlignment="1" applyProtection="1">
      <protection locked="0"/>
    </xf>
    <xf numFmtId="0" fontId="6" fillId="2" borderId="1" xfId="0" applyNumberFormat="1" applyFont="1" applyFill="1" applyBorder="1" applyAlignment="1" applyProtection="1">
      <alignment horizontal="center" vertical="center"/>
      <protection locked="0"/>
    </xf>
    <xf numFmtId="0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2" borderId="1" xfId="0" applyNumberFormat="1" applyFont="1" applyFill="1" applyBorder="1" applyAlignment="1" applyProtection="1">
      <alignment horizontal="center"/>
      <protection locked="0"/>
    </xf>
    <xf numFmtId="49" fontId="7" fillId="2" borderId="1" xfId="0" applyNumberFormat="1" applyFont="1" applyFill="1" applyBorder="1" applyAlignment="1" applyProtection="1">
      <protection locked="0"/>
    </xf>
    <xf numFmtId="49" fontId="7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/>
    <xf numFmtId="49" fontId="8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>
      <protection locked="0"/>
    </xf>
    <xf numFmtId="49" fontId="8" fillId="2" borderId="1" xfId="0" applyNumberFormat="1" applyFont="1" applyFill="1" applyBorder="1" applyAlignment="1" applyProtection="1">
      <alignment horizontal="left" wrapText="1"/>
      <protection locked="0"/>
    </xf>
    <xf numFmtId="49" fontId="8" fillId="2" borderId="1" xfId="0" applyNumberFormat="1" applyFont="1" applyFill="1" applyBorder="1" applyAlignment="1" applyProtection="1">
      <protection locked="0"/>
    </xf>
    <xf numFmtId="0" fontId="8" fillId="2" borderId="0" xfId="0" applyFont="1" applyFill="1" applyAlignment="1" applyProtection="1">
      <protection locked="0"/>
    </xf>
    <xf numFmtId="49" fontId="4" fillId="2" borderId="1" xfId="0" applyNumberFormat="1" applyFont="1" applyFill="1" applyBorder="1" applyAlignment="1" applyProtection="1">
      <protection locked="0"/>
    </xf>
    <xf numFmtId="49" fontId="4" fillId="2" borderId="1" xfId="0" applyNumberFormat="1" applyFont="1" applyFill="1" applyBorder="1" applyAlignment="1" applyProtection="1">
      <alignment wrapText="1"/>
      <protection locked="0"/>
    </xf>
    <xf numFmtId="176" fontId="4" fillId="2" borderId="1" xfId="0" applyNumberFormat="1" applyFont="1" applyFill="1" applyBorder="1" applyAlignment="1" applyProtection="1">
      <protection locked="0"/>
    </xf>
    <xf numFmtId="176" fontId="4" fillId="2" borderId="1" xfId="0" applyNumberFormat="1" applyFont="1" applyFill="1" applyBorder="1" applyAlignment="1" applyProtection="1"/>
    <xf numFmtId="177" fontId="8" fillId="2" borderId="1" xfId="0" applyNumberFormat="1" applyFont="1" applyFill="1" applyBorder="1" applyAlignment="1" applyProtection="1">
      <protection locked="0"/>
    </xf>
    <xf numFmtId="176" fontId="8" fillId="3" borderId="1" xfId="0" applyNumberFormat="1" applyFont="1" applyFill="1" applyBorder="1" applyAlignment="1" applyProtection="1"/>
    <xf numFmtId="0" fontId="4" fillId="2" borderId="1" xfId="0" applyFont="1" applyFill="1" applyBorder="1" applyAlignment="1" applyProtection="1">
      <alignment wrapText="1"/>
      <protection locked="0"/>
    </xf>
    <xf numFmtId="0" fontId="8" fillId="2" borderId="1" xfId="0" applyFont="1" applyFill="1" applyBorder="1" applyAlignment="1" applyProtection="1">
      <alignment wrapText="1"/>
      <protection locked="0"/>
    </xf>
    <xf numFmtId="176" fontId="8" fillId="3" borderId="1" xfId="0" applyNumberFormat="1" applyFont="1" applyFill="1" applyBorder="1" applyAlignment="1" applyProtection="1">
      <protection locked="0"/>
    </xf>
    <xf numFmtId="177" fontId="4" fillId="2" borderId="1" xfId="0" applyNumberFormat="1" applyFont="1" applyFill="1" applyBorder="1" applyAlignment="1" applyProtection="1">
      <protection locked="0"/>
    </xf>
    <xf numFmtId="49" fontId="7" fillId="2" borderId="2" xfId="0" applyNumberFormat="1" applyFont="1" applyFill="1" applyBorder="1" applyAlignment="1" applyProtection="1">
      <alignment vertical="center"/>
      <protection locked="0"/>
    </xf>
    <xf numFmtId="0" fontId="4" fillId="2" borderId="2" xfId="0" applyFont="1" applyFill="1" applyBorder="1" applyAlignment="1" applyProtection="1">
      <alignment wrapText="1"/>
      <protection locked="0"/>
    </xf>
    <xf numFmtId="176" fontId="4" fillId="2" borderId="2" xfId="0" applyNumberFormat="1" applyFont="1" applyFill="1" applyBorder="1" applyAlignment="1" applyProtection="1">
      <protection locked="0"/>
    </xf>
    <xf numFmtId="49" fontId="4" fillId="2" borderId="2" xfId="0" applyNumberFormat="1" applyFont="1" applyFill="1" applyBorder="1" applyAlignment="1" applyProtection="1">
      <alignment wrapText="1"/>
      <protection locked="0"/>
    </xf>
    <xf numFmtId="49" fontId="7" fillId="2" borderId="3" xfId="0" applyNumberFormat="1" applyFont="1" applyFill="1" applyBorder="1" applyAlignment="1" applyProtection="1">
      <alignment vertical="center"/>
      <protection locked="0"/>
    </xf>
    <xf numFmtId="0" fontId="4" fillId="2" borderId="3" xfId="0" applyFont="1" applyFill="1" applyBorder="1" applyAlignment="1" applyProtection="1">
      <alignment wrapText="1"/>
      <protection locked="0"/>
    </xf>
    <xf numFmtId="176" fontId="4" fillId="2" borderId="3" xfId="0" applyNumberFormat="1" applyFont="1" applyFill="1" applyBorder="1" applyAlignment="1" applyProtection="1">
      <protection locked="0"/>
    </xf>
    <xf numFmtId="49" fontId="4" fillId="2" borderId="3" xfId="0" applyNumberFormat="1" applyFont="1" applyFill="1" applyBorder="1" applyAlignment="1" applyProtection="1">
      <alignment wrapText="1"/>
      <protection locked="0"/>
    </xf>
    <xf numFmtId="49" fontId="7" fillId="2" borderId="1" xfId="0" applyNumberFormat="1" applyFont="1" applyFill="1" applyBorder="1" applyAlignment="1" applyProtection="1">
      <alignment horizontal="left"/>
      <protection locked="0"/>
    </xf>
    <xf numFmtId="178" fontId="4" fillId="2" borderId="1" xfId="0" applyNumberFormat="1" applyFont="1" applyFill="1" applyBorder="1" applyAlignment="1" applyProtection="1">
      <protection locked="0"/>
    </xf>
    <xf numFmtId="0" fontId="4" fillId="2" borderId="0" xfId="0" applyFont="1" applyFill="1" applyAlignment="1" applyProtection="1">
      <alignment horizontal="center"/>
      <protection locked="0"/>
    </xf>
    <xf numFmtId="0" fontId="4" fillId="2" borderId="0" xfId="0" applyFont="1" applyFill="1" applyAlignment="1" applyProtection="1">
      <alignment wrapText="1"/>
      <protection locked="0"/>
    </xf>
    <xf numFmtId="176" fontId="4" fillId="2" borderId="0" xfId="0" applyNumberFormat="1" applyFont="1" applyFill="1" applyAlignment="1" applyProtection="1">
      <protection locked="0"/>
    </xf>
    <xf numFmtId="0" fontId="9" fillId="3" borderId="1" xfId="0" applyNumberFormat="1" applyFont="1" applyFill="1" applyBorder="1" applyAlignment="1" applyProtection="1">
      <alignment horizontal="center" vertical="center"/>
      <protection locked="0"/>
    </xf>
    <xf numFmtId="0" fontId="11" fillId="2" borderId="0" xfId="0" applyFont="1" applyFill="1" applyAlignment="1" applyProtection="1">
      <protection locked="0"/>
    </xf>
    <xf numFmtId="0" fontId="13" fillId="2" borderId="1" xfId="0" applyNumberFormat="1" applyFont="1" applyFill="1" applyBorder="1" applyAlignment="1" applyProtection="1">
      <alignment horizontal="center" vertical="center"/>
      <protection locked="0"/>
    </xf>
    <xf numFmtId="0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4" fillId="2" borderId="1" xfId="0" applyNumberFormat="1" applyFont="1" applyFill="1" applyBorder="1" applyAlignment="1" applyProtection="1">
      <alignment horizontal="center"/>
      <protection locked="0"/>
    </xf>
    <xf numFmtId="49" fontId="14" fillId="2" borderId="1" xfId="0" applyNumberFormat="1" applyFont="1" applyFill="1" applyBorder="1" applyAlignment="1" applyProtection="1">
      <protection locked="0"/>
    </xf>
    <xf numFmtId="49" fontId="14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/>
    <xf numFmtId="49" fontId="15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>
      <protection locked="0"/>
    </xf>
    <xf numFmtId="49" fontId="15" fillId="2" borderId="1" xfId="0" applyNumberFormat="1" applyFont="1" applyFill="1" applyBorder="1" applyAlignment="1" applyProtection="1">
      <alignment horizontal="left" wrapText="1"/>
      <protection locked="0"/>
    </xf>
    <xf numFmtId="49" fontId="15" fillId="2" borderId="1" xfId="0" applyNumberFormat="1" applyFont="1" applyFill="1" applyBorder="1" applyAlignment="1" applyProtection="1">
      <protection locked="0"/>
    </xf>
    <xf numFmtId="0" fontId="15" fillId="2" borderId="0" xfId="0" applyFont="1" applyFill="1" applyAlignment="1" applyProtection="1">
      <protection locked="0"/>
    </xf>
    <xf numFmtId="49" fontId="11" fillId="2" borderId="1" xfId="0" applyNumberFormat="1" applyFont="1" applyFill="1" applyBorder="1" applyAlignment="1" applyProtection="1">
      <protection locked="0"/>
    </xf>
    <xf numFmtId="49" fontId="11" fillId="2" borderId="1" xfId="0" applyNumberFormat="1" applyFont="1" applyFill="1" applyBorder="1" applyAlignment="1" applyProtection="1">
      <alignment wrapText="1"/>
      <protection locked="0"/>
    </xf>
    <xf numFmtId="176" fontId="11" fillId="2" borderId="1" xfId="0" applyNumberFormat="1" applyFont="1" applyFill="1" applyBorder="1" applyAlignment="1" applyProtection="1">
      <protection locked="0"/>
    </xf>
    <xf numFmtId="176" fontId="11" fillId="2" borderId="1" xfId="0" applyNumberFormat="1" applyFont="1" applyFill="1" applyBorder="1" applyAlignment="1" applyProtection="1"/>
    <xf numFmtId="177" fontId="15" fillId="2" borderId="1" xfId="0" applyNumberFormat="1" applyFont="1" applyFill="1" applyBorder="1" applyAlignment="1" applyProtection="1">
      <protection locked="0"/>
    </xf>
    <xf numFmtId="0" fontId="11" fillId="2" borderId="1" xfId="0" applyFont="1" applyFill="1" applyBorder="1" applyAlignment="1" applyProtection="1">
      <alignment wrapText="1"/>
      <protection locked="0"/>
    </xf>
    <xf numFmtId="0" fontId="15" fillId="2" borderId="1" xfId="0" applyFont="1" applyFill="1" applyBorder="1" applyAlignment="1" applyProtection="1">
      <alignment wrapText="1"/>
      <protection locked="0"/>
    </xf>
    <xf numFmtId="177" fontId="11" fillId="2" borderId="1" xfId="0" applyNumberFormat="1" applyFont="1" applyFill="1" applyBorder="1" applyAlignment="1" applyProtection="1">
      <protection locked="0"/>
    </xf>
    <xf numFmtId="49" fontId="14" fillId="2" borderId="2" xfId="0" applyNumberFormat="1" applyFont="1" applyFill="1" applyBorder="1" applyAlignment="1" applyProtection="1">
      <alignment vertical="center"/>
      <protection locked="0"/>
    </xf>
    <xf numFmtId="0" fontId="11" fillId="2" borderId="2" xfId="0" applyFont="1" applyFill="1" applyBorder="1" applyAlignment="1" applyProtection="1">
      <alignment wrapText="1"/>
      <protection locked="0"/>
    </xf>
    <xf numFmtId="176" fontId="11" fillId="2" borderId="2" xfId="0" applyNumberFormat="1" applyFont="1" applyFill="1" applyBorder="1" applyAlignment="1" applyProtection="1">
      <protection locked="0"/>
    </xf>
    <xf numFmtId="49" fontId="11" fillId="2" borderId="2" xfId="0" applyNumberFormat="1" applyFont="1" applyFill="1" applyBorder="1" applyAlignment="1" applyProtection="1">
      <alignment wrapText="1"/>
      <protection locked="0"/>
    </xf>
    <xf numFmtId="49" fontId="14" fillId="2" borderId="3" xfId="0" applyNumberFormat="1" applyFont="1" applyFill="1" applyBorder="1" applyAlignment="1" applyProtection="1">
      <alignment vertical="center"/>
      <protection locked="0"/>
    </xf>
    <xf numFmtId="0" fontId="11" fillId="2" borderId="3" xfId="0" applyFont="1" applyFill="1" applyBorder="1" applyAlignment="1" applyProtection="1">
      <alignment wrapText="1"/>
      <protection locked="0"/>
    </xf>
    <xf numFmtId="176" fontId="11" fillId="2" borderId="3" xfId="0" applyNumberFormat="1" applyFont="1" applyFill="1" applyBorder="1" applyAlignment="1" applyProtection="1">
      <protection locked="0"/>
    </xf>
    <xf numFmtId="49" fontId="11" fillId="2" borderId="3" xfId="0" applyNumberFormat="1" applyFont="1" applyFill="1" applyBorder="1" applyAlignment="1" applyProtection="1">
      <alignment wrapText="1"/>
      <protection locked="0"/>
    </xf>
    <xf numFmtId="49" fontId="14" fillId="2" borderId="1" xfId="0" applyNumberFormat="1" applyFont="1" applyFill="1" applyBorder="1" applyAlignment="1" applyProtection="1">
      <alignment horizontal="left"/>
      <protection locked="0"/>
    </xf>
    <xf numFmtId="178" fontId="11" fillId="2" borderId="1" xfId="0" applyNumberFormat="1" applyFont="1" applyFill="1" applyBorder="1" applyAlignment="1" applyProtection="1">
      <protection locked="0"/>
    </xf>
    <xf numFmtId="0" fontId="11" fillId="2" borderId="0" xfId="0" applyFont="1" applyFill="1" applyAlignment="1" applyProtection="1">
      <alignment horizontal="center"/>
      <protection locked="0"/>
    </xf>
    <xf numFmtId="0" fontId="11" fillId="2" borderId="0" xfId="0" applyFont="1" applyFill="1" applyAlignment="1" applyProtection="1">
      <alignment wrapTex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0" fontId="19" fillId="0" borderId="1" xfId="0" applyFont="1" applyBorder="1">
      <alignment vertical="center"/>
    </xf>
    <xf numFmtId="0" fontId="0" fillId="0" borderId="1" xfId="0" applyBorder="1">
      <alignment vertical="center"/>
    </xf>
    <xf numFmtId="0" fontId="1" fillId="0" borderId="1" xfId="0" applyNumberFormat="1" applyFont="1" applyBorder="1">
      <alignment vertical="center"/>
    </xf>
    <xf numFmtId="0" fontId="1" fillId="0" borderId="1" xfId="0" applyFont="1" applyBorder="1">
      <alignment vertical="center"/>
    </xf>
    <xf numFmtId="0" fontId="0" fillId="0" borderId="0" xfId="0" applyAlignment="1">
      <alignment horizontal="center" vertical="center"/>
    </xf>
    <xf numFmtId="178" fontId="0" fillId="0" borderId="0" xfId="0" applyNumberFormat="1" applyAlignment="1">
      <alignment horizontal="right" vertical="center"/>
    </xf>
    <xf numFmtId="0" fontId="17" fillId="0" borderId="1" xfId="0" applyFont="1" applyBorder="1" applyAlignment="1">
      <alignment horizontal="center" vertical="center"/>
    </xf>
    <xf numFmtId="178" fontId="18" fillId="0" borderId="1" xfId="0" applyNumberFormat="1" applyFont="1" applyBorder="1" applyAlignment="1">
      <alignment horizontal="center" vertical="center"/>
    </xf>
    <xf numFmtId="0" fontId="0" fillId="3" borderId="1" xfId="0" applyNumberFormat="1" applyFill="1" applyBorder="1">
      <alignment vertical="center"/>
    </xf>
    <xf numFmtId="0" fontId="0" fillId="0" borderId="1" xfId="0" applyNumberFormat="1" applyBorder="1" applyAlignment="1">
      <alignment horizontal="right" vertical="center"/>
    </xf>
    <xf numFmtId="0" fontId="0" fillId="0" borderId="1" xfId="0" applyNumberFormat="1" applyBorder="1" applyAlignment="1">
      <alignment vertical="center"/>
    </xf>
    <xf numFmtId="0" fontId="4" fillId="3" borderId="0" xfId="0" applyFont="1" applyFill="1" applyAlignment="1" applyProtection="1">
      <protection locked="0"/>
    </xf>
    <xf numFmtId="0" fontId="6" fillId="3" borderId="1" xfId="0" applyNumberFormat="1" applyFont="1" applyFill="1" applyBorder="1" applyAlignment="1" applyProtection="1">
      <alignment horizontal="center" vertical="center"/>
      <protection locked="0"/>
    </xf>
    <xf numFmtId="0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3" borderId="1" xfId="0" applyNumberFormat="1" applyFont="1" applyFill="1" applyBorder="1" applyAlignment="1" applyProtection="1">
      <alignment horizontal="center"/>
      <protection locked="0"/>
    </xf>
    <xf numFmtId="49" fontId="7" fillId="3" borderId="1" xfId="0" applyNumberFormat="1" applyFont="1" applyFill="1" applyBorder="1" applyAlignment="1" applyProtection="1">
      <protection locked="0"/>
    </xf>
    <xf numFmtId="49" fontId="7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horizontal="left" wrapText="1"/>
      <protection locked="0"/>
    </xf>
    <xf numFmtId="49" fontId="8" fillId="3" borderId="1" xfId="0" applyNumberFormat="1" applyFont="1" applyFill="1" applyBorder="1" applyAlignment="1" applyProtection="1">
      <protection locked="0"/>
    </xf>
    <xf numFmtId="0" fontId="8" fillId="3" borderId="0" xfId="0" applyFont="1" applyFill="1" applyAlignment="1" applyProtection="1">
      <protection locked="0"/>
    </xf>
    <xf numFmtId="49" fontId="4" fillId="3" borderId="1" xfId="0" applyNumberFormat="1" applyFont="1" applyFill="1" applyBorder="1" applyAlignment="1" applyProtection="1">
      <protection locked="0"/>
    </xf>
    <xf numFmtId="49" fontId="4" fillId="3" borderId="1" xfId="0" applyNumberFormat="1" applyFont="1" applyFill="1" applyBorder="1" applyAlignment="1" applyProtection="1">
      <alignment wrapText="1"/>
      <protection locked="0"/>
    </xf>
    <xf numFmtId="176" fontId="4" fillId="3" borderId="1" xfId="0" applyNumberFormat="1" applyFont="1" applyFill="1" applyBorder="1" applyAlignment="1" applyProtection="1">
      <protection locked="0"/>
    </xf>
    <xf numFmtId="176" fontId="4" fillId="3" borderId="1" xfId="0" applyNumberFormat="1" applyFont="1" applyFill="1" applyBorder="1" applyAlignment="1" applyProtection="1"/>
    <xf numFmtId="177" fontId="8" fillId="3" borderId="1" xfId="0" applyNumberFormat="1" applyFont="1" applyFill="1" applyBorder="1" applyAlignment="1" applyProtection="1">
      <protection locked="0"/>
    </xf>
    <xf numFmtId="0" fontId="4" fillId="3" borderId="1" xfId="0" applyFont="1" applyFill="1" applyBorder="1" applyAlignment="1" applyProtection="1">
      <alignment wrapText="1"/>
      <protection locked="0"/>
    </xf>
    <xf numFmtId="0" fontId="8" fillId="3" borderId="1" xfId="0" applyFont="1" applyFill="1" applyBorder="1" applyAlignment="1" applyProtection="1">
      <alignment wrapText="1"/>
      <protection locked="0"/>
    </xf>
    <xf numFmtId="177" fontId="4" fillId="3" borderId="1" xfId="0" applyNumberFormat="1" applyFont="1" applyFill="1" applyBorder="1" applyAlignment="1" applyProtection="1">
      <protection locked="0"/>
    </xf>
    <xf numFmtId="49" fontId="7" fillId="3" borderId="2" xfId="0" applyNumberFormat="1" applyFont="1" applyFill="1" applyBorder="1" applyAlignment="1" applyProtection="1">
      <alignment vertical="center"/>
      <protection locked="0"/>
    </xf>
    <xf numFmtId="0" fontId="4" fillId="3" borderId="2" xfId="0" applyFont="1" applyFill="1" applyBorder="1" applyAlignment="1" applyProtection="1">
      <alignment wrapText="1"/>
      <protection locked="0"/>
    </xf>
    <xf numFmtId="176" fontId="4" fillId="3" borderId="2" xfId="0" applyNumberFormat="1" applyFont="1" applyFill="1" applyBorder="1" applyAlignment="1" applyProtection="1">
      <protection locked="0"/>
    </xf>
    <xf numFmtId="49" fontId="4" fillId="3" borderId="2" xfId="0" applyNumberFormat="1" applyFont="1" applyFill="1" applyBorder="1" applyAlignment="1" applyProtection="1">
      <alignment wrapText="1"/>
      <protection locked="0"/>
    </xf>
    <xf numFmtId="49" fontId="7" fillId="3" borderId="3" xfId="0" applyNumberFormat="1" applyFont="1" applyFill="1" applyBorder="1" applyAlignment="1" applyProtection="1">
      <alignment vertical="center"/>
      <protection locked="0"/>
    </xf>
    <xf numFmtId="0" fontId="4" fillId="3" borderId="3" xfId="0" applyFont="1" applyFill="1" applyBorder="1" applyAlignment="1" applyProtection="1">
      <alignment wrapText="1"/>
      <protection locked="0"/>
    </xf>
    <xf numFmtId="176" fontId="4" fillId="3" borderId="3" xfId="0" applyNumberFormat="1" applyFont="1" applyFill="1" applyBorder="1" applyAlignment="1" applyProtection="1">
      <protection locked="0"/>
    </xf>
    <xf numFmtId="49" fontId="4" fillId="3" borderId="3" xfId="0" applyNumberFormat="1" applyFont="1" applyFill="1" applyBorder="1" applyAlignment="1" applyProtection="1">
      <alignment wrapText="1"/>
      <protection locked="0"/>
    </xf>
    <xf numFmtId="49" fontId="7" fillId="3" borderId="1" xfId="0" applyNumberFormat="1" applyFont="1" applyFill="1" applyBorder="1" applyAlignment="1" applyProtection="1">
      <alignment horizontal="left"/>
      <protection locked="0"/>
    </xf>
    <xf numFmtId="178" fontId="4" fillId="3" borderId="1" xfId="0" applyNumberFormat="1" applyFont="1" applyFill="1" applyBorder="1" applyAlignment="1" applyProtection="1">
      <protection locked="0"/>
    </xf>
    <xf numFmtId="0" fontId="4" fillId="3" borderId="0" xfId="0" applyFont="1" applyFill="1" applyAlignment="1" applyProtection="1">
      <alignment horizontal="center"/>
      <protection locked="0"/>
    </xf>
    <xf numFmtId="0" fontId="4" fillId="3" borderId="0" xfId="0" applyFont="1" applyFill="1" applyAlignment="1" applyProtection="1">
      <alignment wrapText="1"/>
      <protection locked="0"/>
    </xf>
    <xf numFmtId="0" fontId="4" fillId="2" borderId="1" xfId="0" applyFont="1" applyFill="1" applyBorder="1" applyAlignment="1" applyProtection="1">
      <protection locked="0"/>
    </xf>
    <xf numFmtId="0" fontId="8" fillId="2" borderId="1" xfId="0" applyFont="1" applyFill="1" applyBorder="1" applyAlignment="1" applyProtection="1">
      <protection locked="0"/>
    </xf>
    <xf numFmtId="0" fontId="53" fillId="2" borderId="1" xfId="0" applyFont="1" applyFill="1" applyBorder="1" applyAlignment="1" applyProtection="1">
      <alignment horizontal="center" vertical="center"/>
      <protection locked="0"/>
    </xf>
    <xf numFmtId="0" fontId="53" fillId="2" borderId="0" xfId="0" applyFont="1" applyFill="1" applyAlignment="1" applyProtection="1">
      <alignment vertical="center"/>
      <protection locked="0"/>
    </xf>
    <xf numFmtId="179" fontId="8" fillId="2" borderId="1" xfId="0" applyNumberFormat="1" applyFont="1" applyFill="1" applyBorder="1" applyAlignment="1" applyProtection="1">
      <protection locked="0"/>
    </xf>
    <xf numFmtId="178" fontId="8" fillId="2" borderId="1" xfId="0" applyNumberFormat="1" applyFont="1" applyFill="1" applyBorder="1" applyAlignment="1" applyProtection="1">
      <protection locked="0"/>
    </xf>
    <xf numFmtId="0" fontId="4" fillId="2" borderId="1" xfId="0" applyNumberFormat="1" applyFont="1" applyFill="1" applyBorder="1" applyAlignment="1" applyProtection="1">
      <protection locked="0"/>
    </xf>
    <xf numFmtId="0" fontId="18" fillId="0" borderId="0" xfId="0" applyFont="1">
      <alignment vertical="center"/>
    </xf>
    <xf numFmtId="0" fontId="57" fillId="0" borderId="15" xfId="0" applyFont="1" applyBorder="1" applyAlignment="1">
      <alignment horizontal="center" vertical="center"/>
    </xf>
    <xf numFmtId="0" fontId="18" fillId="0" borderId="15" xfId="0" applyFont="1" applyBorder="1">
      <alignment vertical="center"/>
    </xf>
    <xf numFmtId="0" fontId="14" fillId="2" borderId="15" xfId="0" applyNumberFormat="1" applyFont="1" applyFill="1" applyBorder="1" applyAlignment="1" applyProtection="1">
      <alignment horizontal="center" vertical="center" wrapText="1"/>
      <protection locked="0"/>
    </xf>
    <xf numFmtId="0" fontId="18" fillId="0" borderId="15" xfId="0" applyNumberFormat="1" applyFont="1" applyBorder="1">
      <alignment vertical="center"/>
    </xf>
    <xf numFmtId="0" fontId="14" fillId="3" borderId="15" xfId="0" applyNumberFormat="1" applyFont="1" applyFill="1" applyBorder="1" applyAlignment="1" applyProtection="1">
      <alignment horizontal="center" vertical="center" wrapText="1"/>
      <protection locked="0"/>
    </xf>
    <xf numFmtId="0" fontId="11" fillId="3" borderId="15" xfId="0" applyNumberFormat="1" applyFont="1" applyFill="1" applyBorder="1" applyAlignment="1" applyProtection="1">
      <alignment horizontal="center" vertical="center"/>
      <protection locked="0"/>
    </xf>
    <xf numFmtId="0" fontId="14" fillId="3" borderId="19" xfId="0" applyNumberFormat="1" applyFont="1" applyFill="1" applyBorder="1" applyAlignment="1" applyProtection="1">
      <alignment horizontal="center" vertical="center" wrapText="1"/>
      <protection locked="0"/>
    </xf>
    <xf numFmtId="49" fontId="15" fillId="3" borderId="1" xfId="0" applyNumberFormat="1" applyFont="1" applyFill="1" applyBorder="1" applyAlignment="1" applyProtection="1">
      <protection locked="0"/>
    </xf>
    <xf numFmtId="0" fontId="53" fillId="2" borderId="15" xfId="0" applyFont="1" applyFill="1" applyBorder="1" applyAlignment="1" applyProtection="1">
      <alignment horizontal="center" vertical="center"/>
      <protection locked="0"/>
    </xf>
    <xf numFmtId="0" fontId="4" fillId="2" borderId="15" xfId="0" applyFont="1" applyFill="1" applyBorder="1" applyAlignment="1" applyProtection="1">
      <protection locked="0"/>
    </xf>
    <xf numFmtId="0" fontId="8" fillId="2" borderId="15" xfId="0" applyFont="1" applyFill="1" applyBorder="1" applyAlignment="1" applyProtection="1">
      <protection locked="0"/>
    </xf>
    <xf numFmtId="178" fontId="4" fillId="2" borderId="15" xfId="0" applyNumberFormat="1" applyFont="1" applyFill="1" applyBorder="1" applyAlignment="1" applyProtection="1">
      <protection locked="0"/>
    </xf>
    <xf numFmtId="0" fontId="59" fillId="3" borderId="0" xfId="0" applyNumberFormat="1" applyFont="1" applyFill="1">
      <alignment vertical="center"/>
    </xf>
    <xf numFmtId="0" fontId="11" fillId="29" borderId="15" xfId="0" applyNumberFormat="1" applyFont="1" applyFill="1" applyBorder="1" applyAlignment="1">
      <alignment horizontal="center" vertical="center" wrapText="1"/>
    </xf>
    <xf numFmtId="0" fontId="60" fillId="29" borderId="15" xfId="0" applyNumberFormat="1" applyFont="1" applyFill="1" applyBorder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60" fillId="3" borderId="15" xfId="0" applyNumberFormat="1" applyFont="1" applyFill="1" applyBorder="1" applyAlignment="1">
      <alignment horizontal="center" vertical="center"/>
    </xf>
    <xf numFmtId="0" fontId="11" fillId="3" borderId="15" xfId="0" applyNumberFormat="1" applyFont="1" applyFill="1" applyBorder="1" applyAlignment="1">
      <alignment horizontal="center" vertical="center"/>
    </xf>
    <xf numFmtId="178" fontId="11" fillId="3" borderId="15" xfId="0" applyNumberFormat="1" applyFont="1" applyFill="1" applyBorder="1" applyAlignment="1">
      <alignment horizontal="center" vertical="center"/>
    </xf>
    <xf numFmtId="178" fontId="60" fillId="3" borderId="15" xfId="0" applyNumberFormat="1" applyFont="1" applyFill="1" applyBorder="1" applyAlignment="1">
      <alignment horizontal="center" vertical="center"/>
    </xf>
    <xf numFmtId="178" fontId="59" fillId="3" borderId="0" xfId="0" applyNumberFormat="1" applyFont="1" applyFill="1">
      <alignment vertical="center"/>
    </xf>
    <xf numFmtId="178" fontId="60" fillId="29" borderId="15" xfId="0" applyNumberFormat="1" applyFont="1" applyFill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/>
    </xf>
    <xf numFmtId="0" fontId="61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 wrapText="1"/>
    </xf>
    <xf numFmtId="177" fontId="60" fillId="2" borderId="15" xfId="1718" applyNumberFormat="1" applyFont="1" applyFill="1" applyBorder="1" applyAlignment="1">
      <alignment horizontal="center" vertical="center" wrapText="1"/>
    </xf>
    <xf numFmtId="177" fontId="60" fillId="2" borderId="15" xfId="0" applyNumberFormat="1" applyFont="1" applyFill="1" applyBorder="1" applyAlignment="1">
      <alignment horizontal="center" vertical="center" wrapText="1"/>
    </xf>
    <xf numFmtId="0" fontId="59" fillId="0" borderId="15" xfId="0" applyFont="1" applyBorder="1" applyAlignment="1">
      <alignment horizontal="center" vertical="center"/>
    </xf>
    <xf numFmtId="177" fontId="60" fillId="2" borderId="15" xfId="1718" applyNumberFormat="1" applyFont="1" applyFill="1" applyBorder="1" applyAlignment="1">
      <alignment horizontal="center" vertical="center"/>
    </xf>
    <xf numFmtId="177" fontId="59" fillId="0" borderId="15" xfId="0" applyNumberFormat="1" applyFont="1" applyBorder="1" applyAlignment="1">
      <alignment horizontal="center" vertical="center"/>
    </xf>
    <xf numFmtId="0" fontId="0" fillId="0" borderId="0" xfId="0">
      <alignment vertical="center"/>
    </xf>
    <xf numFmtId="0" fontId="62" fillId="0" borderId="0" xfId="0" applyFont="1">
      <alignment vertical="center"/>
    </xf>
    <xf numFmtId="0" fontId="63" fillId="3" borderId="15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 wrapText="1"/>
    </xf>
    <xf numFmtId="0" fontId="62" fillId="0" borderId="15" xfId="0" applyFont="1" applyBorder="1" applyAlignment="1">
      <alignment horizontal="center" vertical="center"/>
    </xf>
    <xf numFmtId="0" fontId="59" fillId="0" borderId="0" xfId="0" applyFont="1">
      <alignment vertical="center"/>
    </xf>
    <xf numFmtId="0" fontId="65" fillId="0" borderId="15" xfId="2000" applyFont="1" applyBorder="1" applyAlignment="1">
      <alignment horizontal="center" vertical="center"/>
    </xf>
    <xf numFmtId="0" fontId="58" fillId="3" borderId="15" xfId="0" applyFont="1" applyFill="1" applyBorder="1" applyAlignment="1">
      <alignment horizontal="center" vertical="center" wrapText="1"/>
    </xf>
    <xf numFmtId="178" fontId="59" fillId="0" borderId="15" xfId="0" applyNumberFormat="1" applyFont="1" applyBorder="1" applyAlignment="1">
      <alignment horizontal="center" vertical="center"/>
    </xf>
    <xf numFmtId="178" fontId="4" fillId="3" borderId="15" xfId="0" applyNumberFormat="1" applyFont="1" applyFill="1" applyBorder="1" applyAlignment="1">
      <alignment horizontal="center" vertical="center" wrapText="1"/>
    </xf>
    <xf numFmtId="178" fontId="59" fillId="0" borderId="15" xfId="0" applyNumberFormat="1" applyFont="1" applyBorder="1">
      <alignment vertical="center"/>
    </xf>
    <xf numFmtId="178" fontId="62" fillId="0" borderId="15" xfId="0" applyNumberFormat="1" applyFont="1" applyBorder="1" applyAlignment="1">
      <alignment horizontal="center" vertical="center"/>
    </xf>
    <xf numFmtId="178" fontId="0" fillId="0" borderId="0" xfId="0" applyNumberFormat="1">
      <alignment vertical="center"/>
    </xf>
    <xf numFmtId="0" fontId="62" fillId="0" borderId="1" xfId="0" applyFont="1" applyBorder="1">
      <alignment vertical="center"/>
    </xf>
    <xf numFmtId="0" fontId="0" fillId="0" borderId="0" xfId="0" applyNumberFormat="1" applyFont="1" applyFill="1" applyBorder="1" applyAlignment="1"/>
    <xf numFmtId="0" fontId="4" fillId="0" borderId="15" xfId="0" applyNumberFormat="1" applyFont="1" applyFill="1" applyBorder="1" applyAlignment="1">
      <alignment horizontal="center" vertical="center"/>
    </xf>
    <xf numFmtId="0" fontId="4" fillId="0" borderId="15" xfId="0" applyNumberFormat="1" applyFont="1" applyFill="1" applyBorder="1" applyAlignment="1">
      <alignment horizontal="center" vertical="center" shrinkToFit="1"/>
    </xf>
    <xf numFmtId="0" fontId="4" fillId="0" borderId="15" xfId="0" applyNumberFormat="1" applyFont="1" applyFill="1" applyBorder="1" applyAlignment="1">
      <alignment horizontal="center" vertical="center" wrapText="1" shrinkToFit="1"/>
    </xf>
    <xf numFmtId="0" fontId="70" fillId="0" borderId="22" xfId="0" applyNumberFormat="1" applyFont="1" applyFill="1" applyBorder="1" applyAlignment="1">
      <alignment horizontal="center" vertical="center" shrinkToFit="1"/>
    </xf>
    <xf numFmtId="0" fontId="70" fillId="0" borderId="23" xfId="0" applyNumberFormat="1" applyFont="1" applyFill="1" applyBorder="1" applyAlignment="1">
      <alignment horizontal="center" vertical="center" shrinkToFit="1"/>
    </xf>
    <xf numFmtId="0" fontId="59" fillId="0" borderId="15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 wrapText="1"/>
    </xf>
    <xf numFmtId="0" fontId="4" fillId="0" borderId="15" xfId="2002" applyFont="1" applyFill="1" applyBorder="1" applyAlignment="1" applyProtection="1">
      <alignment horizontal="center" vertical="center" wrapText="1"/>
      <protection locked="0"/>
    </xf>
    <xf numFmtId="0" fontId="4" fillId="0" borderId="15" xfId="2001" applyNumberFormat="1" applyFont="1" applyFill="1" applyBorder="1" applyAlignment="1" applyProtection="1">
      <alignment horizontal="center" vertical="center" wrapText="1"/>
    </xf>
    <xf numFmtId="43" fontId="4" fillId="0" borderId="15" xfId="2001" applyFont="1" applyFill="1" applyBorder="1" applyAlignment="1" applyProtection="1">
      <alignment horizontal="center" vertical="center" wrapText="1"/>
    </xf>
    <xf numFmtId="0" fontId="60" fillId="0" borderId="15" xfId="1201" applyFont="1" applyFill="1" applyBorder="1" applyAlignment="1">
      <alignment horizontal="center" vertical="center" wrapText="1"/>
    </xf>
    <xf numFmtId="43" fontId="20" fillId="0" borderId="18" xfId="2001" applyFont="1" applyFill="1" applyBorder="1" applyAlignment="1" applyProtection="1">
      <alignment horizontal="center" vertical="center" wrapText="1"/>
    </xf>
    <xf numFmtId="43" fontId="20" fillId="0" borderId="15" xfId="2001" applyFont="1" applyFill="1" applyBorder="1" applyAlignment="1" applyProtection="1">
      <alignment horizontal="center" vertical="center" wrapText="1"/>
    </xf>
    <xf numFmtId="0" fontId="47" fillId="0" borderId="15" xfId="0" applyNumberFormat="1" applyFont="1" applyFill="1" applyBorder="1" applyAlignment="1">
      <alignment wrapText="1"/>
    </xf>
    <xf numFmtId="0" fontId="71" fillId="0" borderId="15" xfId="0" applyNumberFormat="1" applyFont="1" applyFill="1" applyBorder="1" applyAlignment="1">
      <alignment horizontal="center" vertical="center"/>
    </xf>
    <xf numFmtId="0" fontId="60" fillId="0" borderId="15" xfId="2002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/>
    </xf>
    <xf numFmtId="0" fontId="0" fillId="0" borderId="0" xfId="0" applyNumberFormat="1" applyFont="1" applyFill="1" applyBorder="1" applyAlignment="1">
      <alignment wrapText="1"/>
    </xf>
    <xf numFmtId="0" fontId="0" fillId="3" borderId="0" xfId="0" applyNumberFormat="1" applyFont="1" applyFill="1" applyAlignment="1">
      <alignment horizontal="center" vertical="center"/>
    </xf>
    <xf numFmtId="0" fontId="74" fillId="3" borderId="15" xfId="2003" applyNumberFormat="1" applyFont="1" applyFill="1" applyBorder="1" applyAlignment="1">
      <alignment horizontal="center" vertical="center" shrinkToFit="1"/>
    </xf>
    <xf numFmtId="0" fontId="74" fillId="3" borderId="15" xfId="2003" applyNumberFormat="1" applyFont="1" applyFill="1" applyBorder="1" applyAlignment="1">
      <alignment horizontal="center" vertical="center" wrapText="1" shrinkToFit="1"/>
    </xf>
    <xf numFmtId="0" fontId="0" fillId="3" borderId="0" xfId="0" applyNumberFormat="1" applyFont="1" applyFill="1">
      <alignment vertical="center"/>
    </xf>
    <xf numFmtId="0" fontId="75" fillId="3" borderId="15" xfId="2003" applyNumberFormat="1" applyFont="1" applyFill="1" applyBorder="1" applyAlignment="1">
      <alignment horizontal="center" vertical="center"/>
    </xf>
    <xf numFmtId="0" fontId="75" fillId="3" borderId="15" xfId="0" applyFont="1" applyFill="1" applyBorder="1" applyAlignment="1">
      <alignment horizontal="center" vertical="center"/>
    </xf>
    <xf numFmtId="0" fontId="75" fillId="3" borderId="15" xfId="0" applyNumberFormat="1" applyFont="1" applyFill="1" applyBorder="1" applyAlignment="1">
      <alignment horizontal="center" vertical="center" shrinkToFit="1"/>
    </xf>
    <xf numFmtId="0" fontId="74" fillId="3" borderId="15" xfId="2003" applyNumberFormat="1" applyFont="1" applyFill="1" applyBorder="1" applyAlignment="1">
      <alignment horizontal="center" vertical="center"/>
    </xf>
    <xf numFmtId="180" fontId="74" fillId="3" borderId="15" xfId="2003" applyNumberFormat="1" applyFont="1" applyFill="1" applyBorder="1" applyAlignment="1">
      <alignment horizontal="right" vertical="center"/>
    </xf>
    <xf numFmtId="0" fontId="74" fillId="3" borderId="15" xfId="0" applyFont="1" applyFill="1" applyBorder="1" applyAlignment="1">
      <alignment horizontal="center" vertical="center" wrapText="1"/>
    </xf>
    <xf numFmtId="0" fontId="76" fillId="3" borderId="15" xfId="2003" applyNumberFormat="1" applyFont="1" applyFill="1" applyBorder="1" applyAlignment="1">
      <alignment horizontal="center" vertical="center"/>
    </xf>
    <xf numFmtId="0" fontId="0" fillId="3" borderId="0" xfId="0" applyNumberFormat="1" applyFill="1">
      <alignment vertical="center"/>
    </xf>
    <xf numFmtId="0" fontId="0" fillId="3" borderId="0" xfId="0" applyFill="1">
      <alignment vertical="center"/>
    </xf>
    <xf numFmtId="0" fontId="74" fillId="3" borderId="24" xfId="2004" applyNumberFormat="1" applyFont="1" applyFill="1" applyBorder="1" applyAlignment="1">
      <alignment horizontal="center" vertical="center"/>
    </xf>
    <xf numFmtId="0" fontId="75" fillId="3" borderId="0" xfId="0" applyFont="1" applyFill="1">
      <alignment vertical="center"/>
    </xf>
    <xf numFmtId="0" fontId="74" fillId="3" borderId="24" xfId="0" applyFont="1" applyFill="1" applyBorder="1" applyAlignment="1">
      <alignment horizontal="center" vertical="center" wrapText="1"/>
    </xf>
    <xf numFmtId="0" fontId="78" fillId="3" borderId="0" xfId="0" applyFont="1" applyFill="1" applyAlignment="1">
      <alignment horizontal="center" vertical="center"/>
    </xf>
    <xf numFmtId="0" fontId="75" fillId="3" borderId="24" xfId="0" applyFont="1" applyFill="1" applyBorder="1" applyAlignment="1">
      <alignment horizontal="center" vertical="center"/>
    </xf>
    <xf numFmtId="0" fontId="74" fillId="3" borderId="24" xfId="0" applyFont="1" applyFill="1" applyBorder="1" applyAlignment="1">
      <alignment horizontal="center" vertical="center"/>
    </xf>
    <xf numFmtId="0" fontId="74" fillId="3" borderId="24" xfId="2004" applyNumberFormat="1" applyFont="1" applyFill="1" applyBorder="1" applyAlignment="1">
      <alignment horizontal="center" vertical="center" wrapText="1"/>
    </xf>
    <xf numFmtId="0" fontId="0" fillId="3" borderId="0" xfId="0" applyFill="1" applyAlignment="1">
      <alignment horizontal="center" vertical="center"/>
    </xf>
    <xf numFmtId="0" fontId="80" fillId="3" borderId="0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 shrinkToFit="1"/>
    </xf>
    <xf numFmtId="0" fontId="4" fillId="3" borderId="16" xfId="0" applyNumberFormat="1" applyFont="1" applyFill="1" applyBorder="1" applyAlignment="1">
      <alignment horizontal="center" vertical="center" shrinkToFit="1"/>
    </xf>
    <xf numFmtId="0" fontId="80" fillId="3" borderId="25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/>
    </xf>
    <xf numFmtId="0" fontId="4" fillId="3" borderId="15" xfId="0" applyNumberFormat="1" applyFont="1" applyFill="1" applyBorder="1" applyAlignment="1">
      <alignment horizontal="left" vertical="center"/>
    </xf>
    <xf numFmtId="0" fontId="4" fillId="3" borderId="16" xfId="0" applyNumberFormat="1" applyFont="1" applyFill="1" applyBorder="1" applyAlignment="1">
      <alignment horizontal="center" vertical="center"/>
    </xf>
    <xf numFmtId="0" fontId="80" fillId="3" borderId="0" xfId="0" applyNumberFormat="1" applyFont="1" applyFill="1" applyBorder="1" applyAlignment="1">
      <alignment horizontal="left"/>
    </xf>
    <xf numFmtId="0" fontId="72" fillId="3" borderId="15" xfId="0" applyNumberFormat="1" applyFont="1" applyFill="1" applyBorder="1" applyAlignment="1">
      <alignment horizontal="center" vertical="center"/>
    </xf>
    <xf numFmtId="0" fontId="72" fillId="3" borderId="15" xfId="0" applyNumberFormat="1" applyFont="1" applyFill="1" applyBorder="1" applyAlignment="1">
      <alignment horizontal="left" vertical="center"/>
    </xf>
    <xf numFmtId="0" fontId="72" fillId="3" borderId="16" xfId="0" applyNumberFormat="1" applyFont="1" applyFill="1" applyBorder="1" applyAlignment="1">
      <alignment horizontal="center" vertical="center"/>
    </xf>
    <xf numFmtId="0" fontId="72" fillId="3" borderId="25" xfId="0" applyNumberFormat="1" applyFont="1" applyFill="1" applyBorder="1" applyAlignment="1">
      <alignment horizontal="left"/>
    </xf>
    <xf numFmtId="0" fontId="4" fillId="3" borderId="25" xfId="0" applyNumberFormat="1" applyFont="1" applyFill="1" applyBorder="1" applyAlignment="1">
      <alignment horizontal="left"/>
    </xf>
    <xf numFmtId="0" fontId="4" fillId="3" borderId="0" xfId="0" applyNumberFormat="1" applyFont="1" applyFill="1" applyBorder="1" applyAlignment="1">
      <alignment horizontal="left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/>
    </xf>
    <xf numFmtId="0" fontId="4" fillId="3" borderId="14" xfId="0" applyNumberFormat="1" applyFont="1" applyFill="1" applyBorder="1" applyAlignment="1">
      <alignment horizontal="left" vertical="center"/>
    </xf>
    <xf numFmtId="0" fontId="72" fillId="3" borderId="0" xfId="0" applyNumberFormat="1" applyFont="1" applyFill="1" applyBorder="1" applyAlignment="1">
      <alignment horizontal="left"/>
    </xf>
    <xf numFmtId="0" fontId="81" fillId="3" borderId="25" xfId="0" applyNumberFormat="1" applyFont="1" applyFill="1" applyBorder="1" applyAlignment="1">
      <alignment horizontal="left" vertical="center"/>
    </xf>
    <xf numFmtId="0" fontId="4" fillId="3" borderId="25" xfId="0" applyNumberFormat="1" applyFont="1" applyFill="1" applyBorder="1" applyAlignment="1">
      <alignment horizontal="left" vertical="center"/>
    </xf>
    <xf numFmtId="0" fontId="80" fillId="3" borderId="0" xfId="0" applyNumberFormat="1" applyFont="1" applyFill="1" applyBorder="1" applyAlignment="1">
      <alignment horizontal="center"/>
    </xf>
    <xf numFmtId="0" fontId="83" fillId="0" borderId="0" xfId="0" applyNumberFormat="1" applyFont="1">
      <alignment vertical="center"/>
    </xf>
    <xf numFmtId="0" fontId="60" fillId="3" borderId="15" xfId="2005" applyNumberFormat="1" applyFont="1" applyFill="1" applyBorder="1" applyAlignment="1">
      <alignment horizontal="center" vertical="center"/>
    </xf>
    <xf numFmtId="0" fontId="60" fillId="3" borderId="15" xfId="2005" applyNumberFormat="1" applyFont="1" applyFill="1" applyBorder="1" applyAlignment="1">
      <alignment horizontal="center" vertical="center" wrapText="1"/>
    </xf>
    <xf numFmtId="0" fontId="60" fillId="3" borderId="15" xfId="2001" applyNumberFormat="1" applyFont="1" applyFill="1" applyBorder="1" applyAlignment="1">
      <alignment horizontal="center" vertical="center"/>
    </xf>
    <xf numFmtId="0" fontId="59" fillId="0" borderId="0" xfId="0" applyNumberFormat="1" applyFont="1">
      <alignment vertical="center"/>
    </xf>
    <xf numFmtId="0" fontId="60" fillId="0" borderId="15" xfId="2005" applyNumberFormat="1" applyFont="1" applyFill="1" applyBorder="1" applyAlignment="1">
      <alignment horizontal="center" vertical="center" wrapText="1"/>
    </xf>
    <xf numFmtId="0" fontId="61" fillId="0" borderId="15" xfId="2005" applyNumberFormat="1" applyFont="1" applyFill="1" applyBorder="1" applyAlignment="1" applyProtection="1">
      <alignment horizontal="left" vertical="center" wrapText="1"/>
    </xf>
    <xf numFmtId="0" fontId="61" fillId="3" borderId="15" xfId="2005" applyNumberFormat="1" applyFont="1" applyFill="1" applyBorder="1" applyAlignment="1" applyProtection="1">
      <alignment horizontal="left" vertical="center" wrapText="1"/>
    </xf>
    <xf numFmtId="0" fontId="0" fillId="0" borderId="0" xfId="0" applyNumberFormat="1">
      <alignment vertical="center"/>
    </xf>
    <xf numFmtId="0" fontId="85" fillId="3" borderId="15" xfId="0" applyNumberFormat="1" applyFont="1" applyFill="1" applyBorder="1" applyAlignment="1">
      <alignment horizontal="center" vertical="center"/>
    </xf>
    <xf numFmtId="0" fontId="20" fillId="3" borderId="15" xfId="2006" applyNumberFormat="1" applyFont="1" applyFill="1" applyBorder="1" applyAlignment="1">
      <alignment horizontal="center" vertical="center"/>
    </xf>
    <xf numFmtId="0" fontId="20" fillId="3" borderId="15" xfId="2001" applyNumberFormat="1" applyFont="1" applyFill="1" applyBorder="1" applyAlignment="1">
      <alignment horizontal="center" vertical="center"/>
    </xf>
    <xf numFmtId="0" fontId="85" fillId="3" borderId="0" xfId="0" applyNumberFormat="1" applyFont="1" applyFill="1" applyAlignment="1">
      <alignment horizontal="center" vertical="center"/>
    </xf>
    <xf numFmtId="0" fontId="20" fillId="3" borderId="15" xfId="1123" applyNumberFormat="1" applyFont="1" applyFill="1" applyBorder="1" applyAlignment="1">
      <alignment horizontal="center" vertical="center"/>
    </xf>
    <xf numFmtId="0" fontId="86" fillId="3" borderId="15" xfId="2006" applyNumberFormat="1" applyFont="1" applyFill="1" applyBorder="1" applyAlignment="1" applyProtection="1">
      <alignment horizontal="center" vertical="center" wrapText="1"/>
    </xf>
    <xf numFmtId="0" fontId="87" fillId="3" borderId="15" xfId="2006" applyNumberFormat="1" applyFont="1" applyFill="1" applyBorder="1" applyAlignment="1">
      <alignment horizontal="center" vertical="center"/>
    </xf>
    <xf numFmtId="0" fontId="87" fillId="3" borderId="15" xfId="2001" applyNumberFormat="1" applyFont="1" applyFill="1" applyBorder="1" applyAlignment="1">
      <alignment horizontal="center" vertical="center"/>
    </xf>
    <xf numFmtId="0" fontId="85" fillId="3" borderId="15" xfId="2006" applyNumberFormat="1" applyFont="1" applyFill="1" applyBorder="1" applyAlignment="1">
      <alignment horizontal="center" vertical="center"/>
    </xf>
    <xf numFmtId="0" fontId="88" fillId="3" borderId="15" xfId="0" applyNumberFormat="1" applyFont="1" applyFill="1" applyBorder="1" applyAlignment="1">
      <alignment horizontal="center" vertical="center"/>
    </xf>
    <xf numFmtId="0" fontId="90" fillId="0" borderId="15" xfId="1123" applyNumberFormat="1" applyFont="1" applyFill="1" applyBorder="1" applyAlignment="1">
      <alignment horizontal="center" vertical="center" wrapText="1"/>
    </xf>
    <xf numFmtId="181" fontId="91" fillId="0" borderId="14" xfId="1123" applyNumberFormat="1" applyFont="1" applyFill="1" applyBorder="1" applyAlignment="1" applyProtection="1">
      <alignment horizontal="center" vertical="center" wrapText="1"/>
    </xf>
    <xf numFmtId="0" fontId="90" fillId="0" borderId="15" xfId="1123" applyNumberFormat="1" applyFont="1" applyFill="1" applyBorder="1" applyAlignment="1" applyProtection="1">
      <alignment horizontal="center" vertical="center" wrapText="1"/>
    </xf>
    <xf numFmtId="181" fontId="90" fillId="0" borderId="15" xfId="1123" applyNumberFormat="1" applyFont="1" applyFill="1" applyBorder="1" applyAlignment="1" applyProtection="1">
      <alignment horizontal="center" vertical="center" wrapText="1"/>
    </xf>
    <xf numFmtId="181" fontId="91" fillId="0" borderId="15" xfId="1123" applyNumberFormat="1" applyFont="1" applyFill="1" applyBorder="1" applyAlignment="1" applyProtection="1">
      <alignment horizontal="center" vertical="center" wrapText="1"/>
    </xf>
    <xf numFmtId="178" fontId="90" fillId="0" borderId="14" xfId="1123" applyNumberFormat="1" applyFont="1" applyFill="1" applyBorder="1" applyAlignment="1" applyProtection="1">
      <alignment horizontal="center" vertical="center" wrapText="1"/>
    </xf>
    <xf numFmtId="181" fontId="90" fillId="0" borderId="14" xfId="1123" applyNumberFormat="1" applyFont="1" applyFill="1" applyBorder="1" applyAlignment="1">
      <alignment horizontal="center" vertical="center" wrapText="1"/>
    </xf>
    <xf numFmtId="0" fontId="92" fillId="0" borderId="15" xfId="1123" applyNumberFormat="1" applyFont="1" applyFill="1" applyBorder="1" applyAlignment="1">
      <alignment horizontal="center" vertical="center" wrapText="1"/>
    </xf>
    <xf numFmtId="181" fontId="92" fillId="0" borderId="15" xfId="1123" applyNumberFormat="1" applyFont="1" applyFill="1" applyBorder="1" applyAlignment="1">
      <alignment horizontal="center" vertical="center" wrapText="1"/>
    </xf>
    <xf numFmtId="181" fontId="92" fillId="0" borderId="15" xfId="1123" applyNumberFormat="1" applyFont="1" applyFill="1" applyBorder="1" applyAlignment="1">
      <alignment horizontal="left" vertical="center" wrapText="1"/>
    </xf>
    <xf numFmtId="178" fontId="92" fillId="0" borderId="15" xfId="1123" applyNumberFormat="1" applyFont="1" applyFill="1" applyBorder="1" applyAlignment="1">
      <alignment horizontal="right" vertical="center" wrapText="1"/>
    </xf>
    <xf numFmtId="177" fontId="92" fillId="0" borderId="15" xfId="1123" applyNumberFormat="1" applyFont="1" applyFill="1" applyBorder="1" applyAlignment="1">
      <alignment horizontal="right" vertical="center" wrapText="1" shrinkToFit="1"/>
    </xf>
    <xf numFmtId="181" fontId="92" fillId="0" borderId="0" xfId="1123" applyNumberFormat="1" applyFont="1" applyFill="1" applyAlignment="1">
      <alignment vertical="center"/>
    </xf>
    <xf numFmtId="181" fontId="20" fillId="0" borderId="15" xfId="1123" applyNumberFormat="1" applyFont="1" applyFill="1" applyBorder="1" applyAlignment="1">
      <alignment horizontal="left" vertical="center" wrapText="1"/>
    </xf>
    <xf numFmtId="181" fontId="20" fillId="0" borderId="15" xfId="1123" applyNumberFormat="1" applyFont="1" applyFill="1" applyBorder="1" applyAlignment="1">
      <alignment vertical="center" wrapText="1"/>
    </xf>
    <xf numFmtId="181" fontId="92" fillId="0" borderId="15" xfId="1129" applyNumberFormat="1" applyFont="1" applyFill="1" applyBorder="1" applyAlignment="1">
      <alignment horizontal="left" vertical="center" wrapText="1"/>
    </xf>
    <xf numFmtId="181" fontId="92" fillId="0" borderId="15" xfId="1129" applyNumberFormat="1" applyFont="1" applyFill="1" applyBorder="1" applyAlignment="1">
      <alignment horizontal="center" vertical="center" wrapText="1"/>
    </xf>
    <xf numFmtId="178" fontId="92" fillId="0" borderId="15" xfId="1129" applyNumberFormat="1" applyFont="1" applyFill="1" applyBorder="1" applyAlignment="1">
      <alignment horizontal="right" vertical="center" wrapText="1"/>
    </xf>
    <xf numFmtId="0" fontId="92" fillId="0" borderId="15" xfId="1129" applyNumberFormat="1" applyFont="1" applyFill="1" applyBorder="1" applyAlignment="1">
      <alignment horizontal="center" vertical="center" wrapText="1"/>
    </xf>
    <xf numFmtId="0" fontId="27" fillId="0" borderId="0" xfId="0" applyFont="1" applyFill="1">
      <alignment vertical="center"/>
    </xf>
    <xf numFmtId="0" fontId="89" fillId="0" borderId="0" xfId="0" applyFont="1" applyFill="1">
      <alignment vertical="center"/>
    </xf>
    <xf numFmtId="0" fontId="97" fillId="0" borderId="15" xfId="0" applyFont="1" applyFill="1" applyBorder="1" applyAlignment="1">
      <alignment horizontal="center" vertical="center"/>
    </xf>
    <xf numFmtId="178" fontId="97" fillId="0" borderId="15" xfId="0" applyNumberFormat="1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97" fillId="29" borderId="15" xfId="0" applyFont="1" applyFill="1" applyBorder="1" applyAlignment="1">
      <alignment horizontal="center" vertical="center"/>
    </xf>
    <xf numFmtId="0" fontId="4" fillId="29" borderId="15" xfId="0" applyFont="1" applyFill="1" applyBorder="1" applyAlignment="1">
      <alignment horizontal="center" vertical="center"/>
    </xf>
    <xf numFmtId="178" fontId="97" fillId="29" borderId="15" xfId="0" applyNumberFormat="1" applyFont="1" applyFill="1" applyBorder="1" applyAlignment="1">
      <alignment horizontal="center" vertical="center"/>
    </xf>
    <xf numFmtId="0" fontId="27" fillId="0" borderId="0" xfId="0" applyFont="1" applyFill="1" applyAlignment="1">
      <alignment horizontal="left" vertical="center"/>
    </xf>
    <xf numFmtId="178" fontId="27" fillId="0" borderId="0" xfId="0" applyNumberFormat="1" applyFont="1" applyFill="1">
      <alignment vertical="center"/>
    </xf>
    <xf numFmtId="0" fontId="92" fillId="0" borderId="0" xfId="0" applyFont="1" applyFill="1" applyAlignment="1">
      <alignment horizontal="center" vertical="center"/>
    </xf>
    <xf numFmtId="0" fontId="92" fillId="3" borderId="15" xfId="1123" applyNumberFormat="1" applyFont="1" applyFill="1" applyBorder="1" applyAlignment="1">
      <alignment horizontal="center" vertical="center" wrapText="1"/>
    </xf>
    <xf numFmtId="181" fontId="90" fillId="3" borderId="15" xfId="1123" applyNumberFormat="1" applyFont="1" applyFill="1" applyBorder="1" applyAlignment="1">
      <alignment horizontal="center" vertical="center" wrapText="1"/>
    </xf>
    <xf numFmtId="0" fontId="20" fillId="3" borderId="15" xfId="1123" applyNumberFormat="1" applyFont="1" applyFill="1" applyBorder="1" applyAlignment="1">
      <alignment horizontal="center" vertical="center" wrapText="1"/>
    </xf>
    <xf numFmtId="0" fontId="4" fillId="3" borderId="15" xfId="1383" applyNumberFormat="1" applyFont="1" applyFill="1" applyBorder="1" applyAlignment="1">
      <alignment horizontal="left" vertical="center" wrapText="1"/>
    </xf>
    <xf numFmtId="181" fontId="20" fillId="3" borderId="15" xfId="1123" applyNumberFormat="1" applyFont="1" applyFill="1" applyBorder="1" applyAlignment="1">
      <alignment horizontal="left" vertical="center" wrapText="1"/>
    </xf>
    <xf numFmtId="178" fontId="4" fillId="3" borderId="15" xfId="1383" applyNumberFormat="1" applyFont="1" applyFill="1" applyBorder="1" applyAlignment="1">
      <alignment horizontal="center" vertical="center" wrapText="1"/>
    </xf>
    <xf numFmtId="177" fontId="92" fillId="3" borderId="15" xfId="1123" applyNumberFormat="1" applyFont="1" applyFill="1" applyBorder="1" applyAlignment="1">
      <alignment horizontal="right" vertical="center" wrapText="1" shrinkToFit="1"/>
    </xf>
    <xf numFmtId="181" fontId="92" fillId="3" borderId="15" xfId="1123" applyNumberFormat="1" applyFont="1" applyFill="1" applyBorder="1" applyAlignment="1">
      <alignment horizontal="left" vertical="center" wrapText="1"/>
    </xf>
    <xf numFmtId="181" fontId="92" fillId="3" borderId="0" xfId="1123" applyNumberFormat="1" applyFont="1" applyFill="1" applyAlignment="1">
      <alignment vertical="center"/>
    </xf>
    <xf numFmtId="0" fontId="20" fillId="0" borderId="0" xfId="0" applyNumberFormat="1" applyFont="1" applyFill="1" applyBorder="1" applyAlignment="1" applyProtection="1"/>
    <xf numFmtId="0" fontId="20" fillId="0" borderId="15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 wrapText="1"/>
    </xf>
    <xf numFmtId="0" fontId="20" fillId="0" borderId="14" xfId="0" applyNumberFormat="1" applyFont="1" applyFill="1" applyBorder="1" applyAlignment="1" applyProtection="1">
      <alignment horizontal="center" vertical="center"/>
    </xf>
    <xf numFmtId="0" fontId="20" fillId="0" borderId="14" xfId="0" applyNumberFormat="1" applyFont="1" applyFill="1" applyBorder="1" applyAlignment="1" applyProtection="1">
      <alignment horizontal="center" vertical="center" wrapText="1"/>
    </xf>
    <xf numFmtId="0" fontId="20" fillId="0" borderId="27" xfId="0" applyNumberFormat="1" applyFont="1" applyFill="1" applyBorder="1" applyAlignment="1" applyProtection="1">
      <alignment horizontal="center" vertical="center"/>
    </xf>
    <xf numFmtId="0" fontId="20" fillId="0" borderId="27" xfId="0" applyNumberFormat="1" applyFont="1" applyFill="1" applyBorder="1" applyAlignment="1" applyProtection="1">
      <alignment vertical="center"/>
    </xf>
    <xf numFmtId="0" fontId="20" fillId="0" borderId="14" xfId="0" applyNumberFormat="1" applyFont="1" applyFill="1" applyBorder="1" applyAlignment="1" applyProtection="1">
      <alignment vertical="center"/>
    </xf>
    <xf numFmtId="0" fontId="20" fillId="0" borderId="15" xfId="0" applyNumberFormat="1" applyFont="1" applyFill="1" applyBorder="1" applyAlignment="1" applyProtection="1">
      <alignment horizontal="left"/>
    </xf>
    <xf numFmtId="0" fontId="20" fillId="0" borderId="15" xfId="0" applyNumberFormat="1" applyFont="1" applyFill="1" applyBorder="1" applyAlignment="1" applyProtection="1">
      <alignment horizontal="left" vertical="center"/>
    </xf>
    <xf numFmtId="182" fontId="99" fillId="30" borderId="15" xfId="0" applyNumberFormat="1" applyFont="1" applyFill="1" applyBorder="1" applyAlignment="1" applyProtection="1">
      <alignment horizontal="center" vertical="center" wrapText="1"/>
    </xf>
    <xf numFmtId="0" fontId="20" fillId="0" borderId="16" xfId="0" applyNumberFormat="1" applyFont="1" applyFill="1" applyBorder="1" applyAlignment="1" applyProtection="1">
      <alignment horizontal="center" vertical="center"/>
    </xf>
    <xf numFmtId="43" fontId="92" fillId="0" borderId="15" xfId="1682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 applyProtection="1"/>
    <xf numFmtId="178" fontId="20" fillId="0" borderId="15" xfId="0" applyNumberFormat="1" applyFont="1" applyFill="1" applyBorder="1" applyAlignment="1" applyProtection="1"/>
    <xf numFmtId="182" fontId="99" fillId="0" borderId="15" xfId="0" applyNumberFormat="1" applyFont="1" applyFill="1" applyBorder="1" applyAlignment="1" applyProtection="1">
      <alignment horizontal="center" vertical="center" wrapText="1"/>
    </xf>
    <xf numFmtId="0" fontId="91" fillId="0" borderId="15" xfId="0" applyNumberFormat="1" applyFont="1" applyFill="1" applyBorder="1" applyAlignment="1" applyProtection="1">
      <alignment horizontal="center" vertical="center"/>
    </xf>
    <xf numFmtId="0" fontId="87" fillId="0" borderId="15" xfId="1225" applyFont="1" applyBorder="1" applyAlignment="1">
      <alignment horizontal="left" vertical="center"/>
    </xf>
    <xf numFmtId="0" fontId="87" fillId="0" borderId="15" xfId="1225" applyFont="1" applyBorder="1" applyAlignment="1">
      <alignment horizontal="center" vertic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20" fillId="0" borderId="0" xfId="0" applyNumberFormat="1" applyFont="1" applyFill="1" applyBorder="1" applyAlignment="1" applyProtection="1">
      <alignment horizontal="left"/>
    </xf>
    <xf numFmtId="0" fontId="20" fillId="0" borderId="0" xfId="0" applyNumberFormat="1" applyFont="1" applyFill="1" applyBorder="1" applyAlignment="1" applyProtection="1">
      <alignment horizontal="center"/>
    </xf>
    <xf numFmtId="0" fontId="20" fillId="3" borderId="0" xfId="1104" applyFont="1" applyFill="1" applyAlignment="1">
      <alignment horizontal="center" vertical="center" wrapText="1"/>
    </xf>
    <xf numFmtId="0" fontId="20" fillId="3" borderId="0" xfId="0" applyFont="1" applyFill="1">
      <alignment vertical="center"/>
    </xf>
    <xf numFmtId="0" fontId="91" fillId="3" borderId="15" xfId="1104" applyFont="1" applyFill="1" applyBorder="1" applyAlignment="1">
      <alignment horizontal="center" vertical="center" wrapText="1"/>
    </xf>
    <xf numFmtId="177" fontId="91" fillId="3" borderId="15" xfId="1104" applyNumberFormat="1" applyFont="1" applyFill="1" applyBorder="1" applyAlignment="1">
      <alignment horizontal="center" vertical="center" wrapText="1"/>
    </xf>
    <xf numFmtId="177" fontId="91" fillId="3" borderId="15" xfId="2008" applyNumberFormat="1" applyFont="1" applyFill="1" applyBorder="1" applyAlignment="1">
      <alignment horizontal="center" vertical="center" wrapText="1"/>
    </xf>
    <xf numFmtId="0" fontId="91" fillId="3" borderId="0" xfId="1104" applyFont="1" applyFill="1" applyAlignment="1">
      <alignment horizontal="center" vertical="center" wrapText="1"/>
    </xf>
    <xf numFmtId="0" fontId="20" fillId="3" borderId="15" xfId="2009" applyFont="1" applyFill="1" applyBorder="1" applyAlignment="1">
      <alignment horizontal="center" vertical="center" wrapText="1"/>
    </xf>
    <xf numFmtId="177" fontId="20" fillId="3" borderId="15" xfId="2008" applyNumberFormat="1" applyFont="1" applyFill="1" applyBorder="1" applyAlignment="1">
      <alignment horizontal="center" vertical="center" wrapText="1"/>
    </xf>
    <xf numFmtId="177" fontId="20" fillId="3" borderId="15" xfId="2009" applyNumberFormat="1" applyFont="1" applyFill="1" applyBorder="1" applyAlignment="1">
      <alignment horizontal="center" vertical="center" wrapText="1"/>
    </xf>
    <xf numFmtId="0" fontId="91" fillId="3" borderId="15" xfId="2009" applyFont="1" applyFill="1" applyBorder="1" applyAlignment="1">
      <alignment horizontal="center" vertical="center" wrapText="1"/>
    </xf>
    <xf numFmtId="0" fontId="91" fillId="3" borderId="0" xfId="0" applyFont="1" applyFill="1">
      <alignment vertical="center"/>
    </xf>
    <xf numFmtId="177" fontId="20" fillId="3" borderId="15" xfId="0" applyNumberFormat="1" applyFont="1" applyFill="1" applyBorder="1" applyAlignment="1">
      <alignment horizontal="center" vertical="center"/>
    </xf>
    <xf numFmtId="0" fontId="20" fillId="3" borderId="0" xfId="1104" applyFont="1" applyFill="1" applyAlignment="1">
      <alignment horizontal="center" vertical="center"/>
    </xf>
    <xf numFmtId="0" fontId="20" fillId="3" borderId="15" xfId="0" applyFont="1" applyFill="1" applyBorder="1" applyAlignment="1">
      <alignment horizontal="center" vertical="center" wrapText="1"/>
    </xf>
    <xf numFmtId="183" fontId="20" fillId="3" borderId="15" xfId="0" applyNumberFormat="1" applyFont="1" applyFill="1" applyBorder="1" applyAlignment="1">
      <alignment horizontal="center" vertical="center" wrapText="1"/>
    </xf>
    <xf numFmtId="177" fontId="20" fillId="3" borderId="15" xfId="0" applyNumberFormat="1" applyFont="1" applyFill="1" applyBorder="1" applyAlignment="1">
      <alignment horizontal="center" vertical="center" wrapText="1"/>
    </xf>
    <xf numFmtId="177" fontId="20" fillId="3" borderId="0" xfId="1104" applyNumberFormat="1" applyFont="1" applyFill="1" applyAlignment="1">
      <alignment horizontal="center" vertical="center" wrapText="1"/>
    </xf>
    <xf numFmtId="0" fontId="100" fillId="3" borderId="0" xfId="0" applyFont="1" applyFill="1">
      <alignment vertical="center"/>
    </xf>
    <xf numFmtId="177" fontId="91" fillId="3" borderId="16" xfId="2008" applyNumberFormat="1" applyFont="1" applyFill="1" applyBorder="1" applyAlignment="1">
      <alignment horizontal="center" vertical="center" wrapText="1"/>
    </xf>
    <xf numFmtId="0" fontId="20" fillId="3" borderId="18" xfId="2009" applyFont="1" applyFill="1" applyBorder="1" applyAlignment="1">
      <alignment horizontal="center" vertical="center" wrapText="1"/>
    </xf>
    <xf numFmtId="177" fontId="20" fillId="3" borderId="16" xfId="2008" applyNumberFormat="1" applyFont="1" applyFill="1" applyBorder="1" applyAlignment="1">
      <alignment horizontal="center" vertical="center" wrapText="1"/>
    </xf>
    <xf numFmtId="0" fontId="91" fillId="3" borderId="18" xfId="2009" applyFont="1" applyFill="1" applyBorder="1" applyAlignment="1">
      <alignment horizontal="center" vertical="center" wrapText="1"/>
    </xf>
    <xf numFmtId="178" fontId="91" fillId="3" borderId="16" xfId="2008" applyNumberFormat="1" applyFont="1" applyFill="1" applyBorder="1" applyAlignment="1">
      <alignment horizontal="center" vertical="center" wrapText="1"/>
    </xf>
    <xf numFmtId="177" fontId="20" fillId="3" borderId="16" xfId="1104" applyNumberFormat="1" applyFont="1" applyFill="1" applyBorder="1" applyAlignment="1">
      <alignment horizontal="center" vertical="center" wrapText="1"/>
    </xf>
    <xf numFmtId="178" fontId="20" fillId="3" borderId="16" xfId="2008" applyNumberFormat="1" applyFont="1" applyFill="1" applyBorder="1" applyAlignment="1">
      <alignment horizontal="center" vertical="center" wrapText="1"/>
    </xf>
    <xf numFmtId="178" fontId="20" fillId="3" borderId="16" xfId="0" applyNumberFormat="1" applyFont="1" applyFill="1" applyBorder="1" applyAlignment="1">
      <alignment horizontal="center" vertical="center" wrapText="1"/>
    </xf>
    <xf numFmtId="0" fontId="4" fillId="0" borderId="15" xfId="2009" applyFont="1" applyFill="1" applyBorder="1" applyAlignment="1">
      <alignment horizontal="center" vertical="center" wrapText="1"/>
    </xf>
    <xf numFmtId="0" fontId="100" fillId="0" borderId="0" xfId="0" applyFont="1" applyFill="1" applyAlignment="1">
      <alignment horizontal="center" vertical="center"/>
    </xf>
    <xf numFmtId="0" fontId="100" fillId="0" borderId="0" xfId="0" applyFont="1" applyFill="1" applyAlignment="1">
      <alignment horizontal="center" vertical="center" wrapText="1"/>
    </xf>
    <xf numFmtId="183" fontId="100" fillId="0" borderId="0" xfId="0" applyNumberFormat="1" applyFont="1" applyFill="1" applyAlignment="1">
      <alignment horizontal="center" vertical="center"/>
    </xf>
    <xf numFmtId="183" fontId="100" fillId="0" borderId="0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/>
    </xf>
    <xf numFmtId="183" fontId="4" fillId="0" borderId="15" xfId="1123" applyNumberFormat="1" applyFont="1" applyFill="1" applyBorder="1" applyAlignment="1">
      <alignment horizontal="center" vertical="center"/>
    </xf>
    <xf numFmtId="183" fontId="4" fillId="0" borderId="15" xfId="1123" applyNumberFormat="1" applyFont="1" applyFill="1" applyBorder="1" applyAlignment="1">
      <alignment horizontal="center" vertical="center" wrapText="1"/>
    </xf>
    <xf numFmtId="0" fontId="60" fillId="0" borderId="0" xfId="0" applyFont="1" applyFill="1" applyAlignment="1">
      <alignment horizontal="center" vertical="center"/>
    </xf>
    <xf numFmtId="178" fontId="60" fillId="0" borderId="15" xfId="0" applyNumberFormat="1" applyFont="1" applyFill="1" applyBorder="1" applyAlignment="1">
      <alignment horizontal="center" vertical="center"/>
    </xf>
    <xf numFmtId="0" fontId="60" fillId="0" borderId="0" xfId="0" applyFont="1" applyFill="1">
      <alignment vertical="center"/>
    </xf>
    <xf numFmtId="0" fontId="60" fillId="3" borderId="15" xfId="0" applyFont="1" applyFill="1" applyBorder="1" applyAlignment="1">
      <alignment horizontal="center" vertical="center"/>
    </xf>
    <xf numFmtId="0" fontId="4" fillId="3" borderId="15" xfId="2009" applyFont="1" applyFill="1" applyBorder="1" applyAlignment="1">
      <alignment horizontal="center" vertical="center" wrapText="1"/>
    </xf>
    <xf numFmtId="178" fontId="60" fillId="3" borderId="0" xfId="0" applyNumberFormat="1" applyFont="1" applyFill="1" applyAlignment="1">
      <alignment horizontal="center" vertical="center"/>
    </xf>
    <xf numFmtId="0" fontId="60" fillId="3" borderId="0" xfId="0" applyFont="1" applyFill="1">
      <alignment vertical="center"/>
    </xf>
    <xf numFmtId="0" fontId="91" fillId="3" borderId="15" xfId="1104" applyFont="1" applyFill="1" applyBorder="1" applyAlignment="1">
      <alignment horizontal="center" vertical="center" wrapText="1"/>
    </xf>
    <xf numFmtId="0" fontId="106" fillId="0" borderId="1" xfId="0" applyNumberFormat="1" applyFont="1" applyBorder="1" applyAlignment="1">
      <alignment horizontal="center" vertical="center"/>
    </xf>
    <xf numFmtId="0" fontId="106" fillId="0" borderId="1" xfId="0" applyNumberFormat="1" applyFont="1" applyFill="1" applyBorder="1" applyAlignment="1">
      <alignment horizontal="center" vertical="center"/>
    </xf>
    <xf numFmtId="178" fontId="107" fillId="0" borderId="1" xfId="0" applyNumberFormat="1" applyFont="1" applyBorder="1">
      <alignment vertical="center"/>
    </xf>
    <xf numFmtId="178" fontId="106" fillId="0" borderId="1" xfId="0" applyNumberFormat="1" applyFont="1" applyBorder="1">
      <alignment vertical="center"/>
    </xf>
    <xf numFmtId="0" fontId="0" fillId="0" borderId="0" xfId="0" applyNumberFormat="1" applyAlignment="1">
      <alignment horizontal="center" vertical="center"/>
    </xf>
    <xf numFmtId="0" fontId="108" fillId="0" borderId="0" xfId="0" applyNumberFormat="1" applyFont="1" applyAlignment="1">
      <alignment horizontal="right" vertical="center"/>
    </xf>
    <xf numFmtId="0" fontId="106" fillId="0" borderId="15" xfId="0" applyNumberFormat="1" applyFont="1" applyBorder="1" applyAlignment="1">
      <alignment horizontal="center" vertical="center"/>
    </xf>
    <xf numFmtId="178" fontId="107" fillId="0" borderId="15" xfId="0" applyNumberFormat="1" applyFont="1" applyBorder="1">
      <alignment vertical="center"/>
    </xf>
    <xf numFmtId="0" fontId="10" fillId="2" borderId="4" xfId="0" applyNumberFormat="1" applyFont="1" applyFill="1" applyBorder="1" applyAlignment="1" applyProtection="1">
      <alignment horizontal="center" vertical="center"/>
      <protection locked="0"/>
    </xf>
    <xf numFmtId="0" fontId="5" fillId="2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vertical="center"/>
    </xf>
    <xf numFmtId="0" fontId="4" fillId="3" borderId="15" xfId="0" applyFont="1" applyFill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66" fillId="0" borderId="4" xfId="0" applyFont="1" applyBorder="1" applyAlignment="1">
      <alignment horizontal="center" vertical="center"/>
    </xf>
    <xf numFmtId="0" fontId="67" fillId="0" borderId="4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/>
    </xf>
    <xf numFmtId="0" fontId="2" fillId="2" borderId="0" xfId="0" applyNumberFormat="1" applyFont="1" applyFill="1" applyBorder="1" applyAlignment="1" applyProtection="1">
      <alignment horizontal="center" vertical="center"/>
      <protection locked="0"/>
    </xf>
    <xf numFmtId="0" fontId="5" fillId="2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0" xfId="0" applyNumberFormat="1" applyFont="1" applyFill="1" applyBorder="1" applyAlignment="1" applyProtection="1">
      <alignment horizontal="center" vertical="center"/>
      <protection locked="0"/>
    </xf>
    <xf numFmtId="0" fontId="5" fillId="3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NumberFormat="1" applyFont="1" applyFill="1" applyBorder="1" applyAlignment="1" applyProtection="1">
      <alignment horizontal="center" vertical="center"/>
      <protection locked="0"/>
    </xf>
    <xf numFmtId="0" fontId="10" fillId="2" borderId="0" xfId="0" applyNumberFormat="1" applyFont="1" applyFill="1" applyBorder="1" applyAlignment="1" applyProtection="1">
      <alignment horizontal="center" vertical="center"/>
      <protection locked="0"/>
    </xf>
    <xf numFmtId="0" fontId="12" fillId="2" borderId="0" xfId="0" applyNumberFormat="1" applyFont="1" applyFill="1" applyBorder="1" applyAlignment="1" applyProtection="1">
      <alignment horizontal="center" vertical="center"/>
      <protection locked="0"/>
    </xf>
    <xf numFmtId="0" fontId="16" fillId="0" borderId="4" xfId="0" applyFont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/>
    </xf>
    <xf numFmtId="0" fontId="54" fillId="0" borderId="4" xfId="0" applyFont="1" applyBorder="1" applyAlignment="1">
      <alignment horizontal="center" vertical="center"/>
    </xf>
    <xf numFmtId="0" fontId="55" fillId="0" borderId="4" xfId="0" applyFont="1" applyBorder="1" applyAlignment="1">
      <alignment horizontal="center" vertical="center"/>
    </xf>
    <xf numFmtId="0" fontId="56" fillId="0" borderId="0" xfId="0" applyFont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58" fillId="3" borderId="4" xfId="0" applyNumberFormat="1" applyFont="1" applyFill="1" applyBorder="1" applyAlignment="1">
      <alignment horizontal="center"/>
    </xf>
    <xf numFmtId="0" fontId="11" fillId="3" borderId="4" xfId="0" applyNumberFormat="1" applyFont="1" applyFill="1" applyBorder="1" applyAlignment="1">
      <alignment horizontal="center"/>
    </xf>
    <xf numFmtId="0" fontId="60" fillId="29" borderId="14" xfId="0" applyNumberFormat="1" applyFont="1" applyFill="1" applyBorder="1" applyAlignment="1">
      <alignment horizontal="center" vertical="center"/>
    </xf>
    <xf numFmtId="0" fontId="60" fillId="29" borderId="3" xfId="0" applyNumberFormat="1" applyFont="1" applyFill="1" applyBorder="1" applyAlignment="1">
      <alignment horizontal="center" vertical="center"/>
    </xf>
    <xf numFmtId="0" fontId="60" fillId="29" borderId="15" xfId="0" applyNumberFormat="1" applyFont="1" applyFill="1" applyBorder="1" applyAlignment="1">
      <alignment horizontal="center" vertical="center"/>
    </xf>
    <xf numFmtId="0" fontId="104" fillId="0" borderId="0" xfId="0" applyNumberFormat="1" applyFont="1" applyBorder="1" applyAlignment="1">
      <alignment horizontal="center" vertical="center"/>
    </xf>
    <xf numFmtId="184" fontId="0" fillId="0" borderId="0" xfId="0" applyNumberFormat="1" applyAlignment="1">
      <alignment vertical="center"/>
    </xf>
    <xf numFmtId="0" fontId="105" fillId="0" borderId="4" xfId="0" applyNumberFormat="1" applyFont="1" applyBorder="1" applyAlignment="1">
      <alignment vertical="center"/>
    </xf>
    <xf numFmtId="184" fontId="0" fillId="0" borderId="4" xfId="0" applyNumberFormat="1" applyBorder="1" applyAlignment="1">
      <alignment vertical="center"/>
    </xf>
    <xf numFmtId="181" fontId="89" fillId="0" borderId="4" xfId="1123" applyNumberFormat="1" applyFont="1" applyFill="1" applyBorder="1" applyAlignment="1">
      <alignment horizontal="center" vertical="center" wrapText="1"/>
    </xf>
    <xf numFmtId="0" fontId="93" fillId="0" borderId="0" xfId="0" applyNumberFormat="1" applyFont="1" applyFill="1" applyBorder="1" applyAlignment="1" applyProtection="1">
      <alignment horizontal="center" vertical="center"/>
    </xf>
    <xf numFmtId="0" fontId="95" fillId="29" borderId="15" xfId="0" applyNumberFormat="1" applyFont="1" applyFill="1" applyBorder="1" applyAlignment="1" applyProtection="1">
      <alignment horizontal="center" vertical="center" wrapText="1"/>
    </xf>
    <xf numFmtId="178" fontId="95" fillId="29" borderId="15" xfId="0" applyNumberFormat="1" applyFont="1" applyFill="1" applyBorder="1" applyAlignment="1" applyProtection="1">
      <alignment horizontal="center" vertical="center" wrapText="1"/>
    </xf>
    <xf numFmtId="0" fontId="96" fillId="29" borderId="15" xfId="0" applyFont="1" applyFill="1" applyBorder="1" applyAlignment="1">
      <alignment horizontal="center" vertical="center"/>
    </xf>
    <xf numFmtId="0" fontId="91" fillId="3" borderId="15" xfId="1104" applyFont="1" applyFill="1" applyBorder="1" applyAlignment="1">
      <alignment horizontal="center" vertical="center" wrapText="1"/>
    </xf>
    <xf numFmtId="0" fontId="20" fillId="3" borderId="15" xfId="2009" applyFont="1" applyFill="1" applyBorder="1" applyAlignment="1">
      <alignment horizontal="center" vertical="center" wrapText="1"/>
    </xf>
    <xf numFmtId="0" fontId="91" fillId="3" borderId="15" xfId="2009" applyFont="1" applyFill="1" applyBorder="1" applyAlignment="1">
      <alignment horizontal="center" vertical="center" wrapText="1"/>
    </xf>
    <xf numFmtId="177" fontId="20" fillId="3" borderId="0" xfId="1104" applyNumberFormat="1" applyFont="1" applyFill="1" applyAlignment="1">
      <alignment horizontal="center" vertical="center" wrapText="1"/>
    </xf>
    <xf numFmtId="177" fontId="20" fillId="3" borderId="27" xfId="0" applyNumberFormat="1" applyFont="1" applyFill="1" applyBorder="1" applyAlignment="1">
      <alignment horizontal="center" vertical="center" wrapText="1"/>
    </xf>
    <xf numFmtId="177" fontId="20" fillId="3" borderId="25" xfId="0" applyNumberFormat="1" applyFont="1" applyFill="1" applyBorder="1" applyAlignment="1">
      <alignment horizontal="center" vertical="center" wrapText="1"/>
    </xf>
    <xf numFmtId="177" fontId="20" fillId="3" borderId="20" xfId="0" applyNumberFormat="1" applyFont="1" applyFill="1" applyBorder="1" applyAlignment="1">
      <alignment horizontal="center" vertical="center" wrapText="1"/>
    </xf>
    <xf numFmtId="182" fontId="20" fillId="3" borderId="15" xfId="0" applyNumberFormat="1" applyFont="1" applyFill="1" applyBorder="1" applyAlignment="1">
      <alignment horizontal="center" vertical="center" wrapText="1"/>
    </xf>
    <xf numFmtId="0" fontId="20" fillId="3" borderId="26" xfId="2009" applyFont="1" applyFill="1" applyBorder="1" applyAlignment="1">
      <alignment horizontal="center" vertical="center" wrapText="1"/>
    </xf>
    <xf numFmtId="0" fontId="20" fillId="3" borderId="28" xfId="2009" applyFont="1" applyFill="1" applyBorder="1" applyAlignment="1">
      <alignment horizontal="center" vertical="center" wrapText="1"/>
    </xf>
    <xf numFmtId="0" fontId="20" fillId="3" borderId="21" xfId="2009" applyFont="1" applyFill="1" applyBorder="1" applyAlignment="1">
      <alignment horizontal="center" vertical="center" wrapText="1"/>
    </xf>
    <xf numFmtId="177" fontId="20" fillId="3" borderId="14" xfId="2009" applyNumberFormat="1" applyFont="1" applyFill="1" applyBorder="1" applyAlignment="1">
      <alignment horizontal="center" vertical="center" wrapText="1"/>
    </xf>
    <xf numFmtId="177" fontId="20" fillId="3" borderId="19" xfId="2009" applyNumberFormat="1" applyFont="1" applyFill="1" applyBorder="1" applyAlignment="1">
      <alignment horizontal="center" vertical="center" wrapText="1"/>
    </xf>
    <xf numFmtId="177" fontId="20" fillId="3" borderId="3" xfId="2009" applyNumberFormat="1" applyFont="1" applyFill="1" applyBorder="1" applyAlignment="1">
      <alignment horizontal="center" vertical="center" wrapText="1"/>
    </xf>
    <xf numFmtId="177" fontId="20" fillId="3" borderId="14" xfId="0" applyNumberFormat="1" applyFont="1" applyFill="1" applyBorder="1" applyAlignment="1">
      <alignment horizontal="center" vertical="center" wrapText="1"/>
    </xf>
    <xf numFmtId="177" fontId="20" fillId="3" borderId="19" xfId="0" applyNumberFormat="1" applyFont="1" applyFill="1" applyBorder="1" applyAlignment="1">
      <alignment horizontal="center" vertical="center" wrapText="1"/>
    </xf>
    <xf numFmtId="177" fontId="20" fillId="3" borderId="3" xfId="0" applyNumberFormat="1" applyFont="1" applyFill="1" applyBorder="1" applyAlignment="1">
      <alignment horizontal="center" vertical="center" wrapText="1"/>
    </xf>
    <xf numFmtId="177" fontId="20" fillId="3" borderId="27" xfId="1104" applyNumberFormat="1" applyFont="1" applyFill="1" applyBorder="1" applyAlignment="1">
      <alignment horizontal="center" vertical="center" wrapText="1"/>
    </xf>
    <xf numFmtId="177" fontId="20" fillId="3" borderId="25" xfId="1104" applyNumberFormat="1" applyFont="1" applyFill="1" applyBorder="1" applyAlignment="1">
      <alignment horizontal="center" vertical="center" wrapText="1"/>
    </xf>
    <xf numFmtId="177" fontId="20" fillId="3" borderId="20" xfId="1104" applyNumberFormat="1" applyFont="1" applyFill="1" applyBorder="1" applyAlignment="1">
      <alignment horizontal="center" vertical="center" wrapText="1"/>
    </xf>
    <xf numFmtId="182" fontId="20" fillId="3" borderId="16" xfId="1104" applyNumberFormat="1" applyFont="1" applyFill="1" applyBorder="1" applyAlignment="1">
      <alignment horizontal="center" vertical="center" wrapText="1"/>
    </xf>
    <xf numFmtId="182" fontId="20" fillId="3" borderId="17" xfId="1104" applyNumberFormat="1" applyFont="1" applyFill="1" applyBorder="1" applyAlignment="1">
      <alignment horizontal="center" vertical="center" wrapText="1"/>
    </xf>
    <xf numFmtId="182" fontId="20" fillId="3" borderId="18" xfId="1104" applyNumberFormat="1" applyFont="1" applyFill="1" applyBorder="1" applyAlignment="1">
      <alignment horizontal="center" vertical="center" wrapText="1"/>
    </xf>
    <xf numFmtId="0" fontId="20" fillId="3" borderId="15" xfId="0" applyFont="1" applyFill="1" applyBorder="1" applyAlignment="1">
      <alignment horizontal="center" vertical="center" wrapText="1"/>
    </xf>
    <xf numFmtId="0" fontId="91" fillId="3" borderId="15" xfId="0" applyFont="1" applyFill="1" applyBorder="1" applyAlignment="1">
      <alignment horizontal="center" vertical="center" wrapText="1"/>
    </xf>
    <xf numFmtId="0" fontId="20" fillId="3" borderId="14" xfId="2009" applyFont="1" applyFill="1" applyBorder="1" applyAlignment="1">
      <alignment horizontal="center" vertical="center" wrapText="1"/>
    </xf>
    <xf numFmtId="0" fontId="20" fillId="3" borderId="19" xfId="2009" applyFont="1" applyFill="1" applyBorder="1" applyAlignment="1">
      <alignment horizontal="center" vertical="center" wrapText="1"/>
    </xf>
    <xf numFmtId="0" fontId="20" fillId="3" borderId="3" xfId="2009" applyFont="1" applyFill="1" applyBorder="1" applyAlignment="1">
      <alignment horizontal="center" vertical="center" wrapText="1"/>
    </xf>
    <xf numFmtId="0" fontId="22" fillId="3" borderId="4" xfId="1104" applyFont="1" applyFill="1" applyBorder="1" applyAlignment="1">
      <alignment horizontal="center" vertical="center" wrapText="1"/>
    </xf>
    <xf numFmtId="0" fontId="102" fillId="3" borderId="4" xfId="0" applyFont="1" applyFill="1" applyBorder="1" applyAlignment="1">
      <alignment horizontal="center" vertical="center" wrapText="1"/>
    </xf>
    <xf numFmtId="0" fontId="91" fillId="3" borderId="16" xfId="2009" applyFont="1" applyFill="1" applyBorder="1" applyAlignment="1">
      <alignment horizontal="center" vertical="center" wrapText="1"/>
    </xf>
    <xf numFmtId="0" fontId="91" fillId="3" borderId="17" xfId="2009" applyFont="1" applyFill="1" applyBorder="1" applyAlignment="1">
      <alignment horizontal="center" vertical="center" wrapText="1"/>
    </xf>
    <xf numFmtId="0" fontId="91" fillId="3" borderId="18" xfId="2009" applyFont="1" applyFill="1" applyBorder="1" applyAlignment="1">
      <alignment horizontal="center" vertical="center" wrapText="1"/>
    </xf>
    <xf numFmtId="0" fontId="102" fillId="3" borderId="15" xfId="0" applyFont="1" applyFill="1" applyBorder="1" applyAlignment="1">
      <alignment horizontal="center" vertical="center" wrapText="1"/>
    </xf>
    <xf numFmtId="0" fontId="20" fillId="3" borderId="16" xfId="2009" applyFont="1" applyFill="1" applyBorder="1" applyAlignment="1">
      <alignment horizontal="center" vertical="center" wrapText="1"/>
    </xf>
    <xf numFmtId="0" fontId="20" fillId="3" borderId="18" xfId="2009" applyFont="1" applyFill="1" applyBorder="1" applyAlignment="1">
      <alignment horizontal="center" vertical="center" wrapText="1"/>
    </xf>
    <xf numFmtId="0" fontId="103" fillId="0" borderId="4" xfId="0" applyFont="1" applyBorder="1" applyAlignment="1">
      <alignment horizontal="center" vertical="center"/>
    </xf>
    <xf numFmtId="0" fontId="56" fillId="0" borderId="4" xfId="0" applyFont="1" applyBorder="1" applyAlignment="1">
      <alignment horizontal="center" vertical="center"/>
    </xf>
    <xf numFmtId="0" fontId="73" fillId="3" borderId="4" xfId="2003" applyNumberFormat="1" applyFont="1" applyFill="1" applyBorder="1" applyAlignment="1" applyProtection="1">
      <alignment horizontal="center" vertical="center"/>
    </xf>
    <xf numFmtId="0" fontId="0" fillId="3" borderId="4" xfId="0" applyFont="1" applyFill="1" applyBorder="1" applyAlignment="1">
      <alignment horizontal="center" vertical="center"/>
    </xf>
    <xf numFmtId="0" fontId="77" fillId="3" borderId="0" xfId="2004" applyNumberFormat="1" applyFont="1" applyFill="1" applyAlignment="1">
      <alignment horizontal="center" vertical="center"/>
    </xf>
    <xf numFmtId="0" fontId="79" fillId="3" borderId="4" xfId="0" applyNumberFormat="1" applyFont="1" applyFill="1" applyBorder="1" applyAlignment="1">
      <alignment horizontal="center" vertical="center"/>
    </xf>
    <xf numFmtId="0" fontId="79" fillId="0" borderId="4" xfId="0" applyNumberFormat="1" applyFont="1" applyFill="1" applyBorder="1" applyAlignment="1">
      <alignment vertical="center"/>
    </xf>
    <xf numFmtId="0" fontId="72" fillId="3" borderId="25" xfId="0" applyNumberFormat="1" applyFont="1" applyFill="1" applyBorder="1" applyAlignment="1">
      <alignment horizontal="left" vertical="center"/>
    </xf>
    <xf numFmtId="0" fontId="0" fillId="3" borderId="25" xfId="0" applyNumberFormat="1" applyFont="1" applyFill="1" applyBorder="1" applyAlignment="1">
      <alignment horizontal="left" vertical="center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19" xfId="0" applyNumberFormat="1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 vertical="center"/>
    </xf>
    <xf numFmtId="0" fontId="4" fillId="3" borderId="19" xfId="0" applyNumberFormat="1" applyFont="1" applyFill="1" applyBorder="1" applyAlignment="1">
      <alignment horizontal="left" vertical="center"/>
    </xf>
    <xf numFmtId="0" fontId="4" fillId="3" borderId="3" xfId="0" applyNumberFormat="1" applyFont="1" applyFill="1" applyBorder="1" applyAlignment="1">
      <alignment horizontal="left" vertical="center"/>
    </xf>
    <xf numFmtId="0" fontId="72" fillId="3" borderId="14" xfId="0" applyNumberFormat="1" applyFont="1" applyFill="1" applyBorder="1" applyAlignment="1">
      <alignment horizontal="center" vertical="center"/>
    </xf>
    <xf numFmtId="0" fontId="72" fillId="3" borderId="14" xfId="0" applyNumberFormat="1" applyFont="1" applyFill="1" applyBorder="1" applyAlignment="1">
      <alignment horizontal="left" vertical="center"/>
    </xf>
    <xf numFmtId="0" fontId="69" fillId="0" borderId="0" xfId="0" applyNumberFormat="1" applyFont="1" applyFill="1" applyBorder="1" applyAlignment="1">
      <alignment horizontal="center" vertical="center"/>
    </xf>
    <xf numFmtId="0" fontId="82" fillId="0" borderId="4" xfId="2005" applyNumberFormat="1" applyFont="1" applyBorder="1" applyAlignment="1">
      <alignment horizontal="center" vertical="center"/>
    </xf>
    <xf numFmtId="0" fontId="84" fillId="3" borderId="4" xfId="2006" applyNumberFormat="1" applyFont="1" applyFill="1" applyBorder="1" applyAlignment="1">
      <alignment horizontal="center" vertical="center"/>
    </xf>
    <xf numFmtId="0" fontId="0" fillId="3" borderId="4" xfId="0" applyNumberFormat="1" applyFill="1" applyBorder="1" applyAlignment="1">
      <alignment vertic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98" fillId="0" borderId="4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/>
    </xf>
    <xf numFmtId="0" fontId="0" fillId="0" borderId="19" xfId="0" applyBorder="1" applyAlignment="1">
      <alignment horizontal="center" vertical="center"/>
    </xf>
  </cellXfs>
  <cellStyles count="2015"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Normal" xfId="2010"/>
    <cellStyle name="RowLevel_1" xfId="824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1" xfId="1099"/>
    <cellStyle name="常规 11 2" xfId="1100"/>
    <cellStyle name="常规 11 2 2" xfId="1101"/>
    <cellStyle name="常规 11 3" xfId="1102"/>
    <cellStyle name="常规 11 4" xfId="1103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3" xfId="2003"/>
    <cellStyle name="常规 294" xfId="2004"/>
    <cellStyle name="常规 296" xfId="2005"/>
    <cellStyle name="常规 297" xfId="2006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_虹桥枢纽—申虹路（北翟路~街坊主弄）道路新建工程121019" xfId="2013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常规_Sheet1" xfId="2009"/>
    <cellStyle name="常规_项目申报表" xfId="2002"/>
    <cellStyle name="超链接" xfId="2000" builtinId="8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" xfId="2001" builtinId="3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2 3 3" xfId="2007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" xfId="2008" builtinId="6"/>
    <cellStyle name="千位分隔[0] 2" xfId="2011"/>
    <cellStyle name="千位分隔[0] 2 4" xfId="2014"/>
    <cellStyle name="千位分隔[0] 3" xfId="2012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\Downloads\&#24050;&#23457;&#39067;&#26725;2023&#24180;&#39044;&#31639;&#34920;&#24335;+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eng\Desktop\&#38215;&#31649;&#23398;&#26657;&#28165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绩效测算"/>
      <sheetName val="民办小区生补贴"/>
      <sheetName val="民办小区生补贴（街道）"/>
      <sheetName val="民办学校生均经费"/>
      <sheetName val="民办学校生均经费（街道）"/>
      <sheetName val="民办高中学费"/>
      <sheetName val="民办高中学费（街道）"/>
      <sheetName val="2023年基本支出预算表"/>
      <sheetName val="生均公用定额标准"/>
      <sheetName val="其他定额标准"/>
      <sheetName val="明细"/>
      <sheetName val="汇总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20">
          <cell r="C20">
            <v>3405</v>
          </cell>
        </row>
        <row r="21">
          <cell r="C21">
            <v>689</v>
          </cell>
        </row>
        <row r="22">
          <cell r="C22">
            <v>454</v>
          </cell>
        </row>
        <row r="23">
          <cell r="C23">
            <v>681</v>
          </cell>
        </row>
        <row r="24">
          <cell r="C24">
            <v>507</v>
          </cell>
        </row>
        <row r="25">
          <cell r="C25">
            <v>513</v>
          </cell>
        </row>
        <row r="26">
          <cell r="C26">
            <v>466</v>
          </cell>
        </row>
        <row r="28">
          <cell r="C28">
            <v>984</v>
          </cell>
        </row>
        <row r="29">
          <cell r="C29">
            <v>164</v>
          </cell>
        </row>
        <row r="46">
          <cell r="E46">
            <v>943</v>
          </cell>
        </row>
        <row r="47">
          <cell r="E47">
            <v>634</v>
          </cell>
        </row>
      </sheetData>
      <sheetData sheetId="9" refreshError="1"/>
      <sheetData sheetId="10"/>
      <sheetData sheetId="1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2018镇学校基本情况"/>
      <sheetName val="2018学校基本情况汇总"/>
      <sheetName val="小学学生数统计"/>
      <sheetName val="中学学生数统计"/>
      <sheetName val="小学女生数"/>
      <sheetName val="幼儿园人数"/>
      <sheetName val="民办二级人数"/>
      <sheetName val="民办三级人数"/>
      <sheetName val="2017学校学生户籍情况汇总"/>
      <sheetName val="小学户籍类别"/>
      <sheetName val="中学女生数"/>
      <sheetName val="初中户籍类别"/>
      <sheetName val="高中户籍类别统计"/>
      <sheetName val="教职工数"/>
      <sheetName val="绩效非义务"/>
      <sheetName val="绩效义务"/>
      <sheetName val="2019镇管学校基本情况"/>
      <sheetName val="2020年镇管学校基本情况"/>
      <sheetName val="2021年镇管学校基本情况"/>
      <sheetName val="2022年镇管学校基本情况"/>
      <sheetName val="Sheet1"/>
    </sheetNames>
    <sheetDataSet>
      <sheetData sheetId="0"/>
      <sheetData sheetId="1"/>
      <sheetData sheetId="2"/>
      <sheetData sheetId="3">
        <row r="4">
          <cell r="Q4">
            <v>24</v>
          </cell>
        </row>
        <row r="15">
          <cell r="Q15">
            <v>23</v>
          </cell>
          <cell r="R15">
            <v>835</v>
          </cell>
        </row>
        <row r="16">
          <cell r="Q16">
            <v>19</v>
          </cell>
          <cell r="R16">
            <v>675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">
          <cell r="C2">
            <v>86</v>
          </cell>
        </row>
        <row r="16">
          <cell r="C16">
            <v>84</v>
          </cell>
        </row>
        <row r="17">
          <cell r="C17">
            <v>70</v>
          </cell>
        </row>
        <row r="79">
          <cell r="C79">
            <v>77</v>
          </cell>
        </row>
        <row r="80">
          <cell r="C80">
            <v>68</v>
          </cell>
        </row>
        <row r="128">
          <cell r="C128">
            <v>59</v>
          </cell>
        </row>
        <row r="129">
          <cell r="C129">
            <v>61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07"/>
  <sheetViews>
    <sheetView topLeftCell="B13" workbookViewId="0">
      <selection activeCell="B50" sqref="A50:XFD50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32" width="15.625" style="1"/>
    <col min="233" max="233" width="4.625" style="1" customWidth="1"/>
    <col min="234" max="234" width="29.25" style="1" customWidth="1"/>
    <col min="235" max="235" width="13" style="1" customWidth="1"/>
    <col min="236" max="236" width="20" style="1" customWidth="1"/>
    <col min="237" max="488" width="15.625" style="1"/>
    <col min="489" max="489" width="4.625" style="1" customWidth="1"/>
    <col min="490" max="490" width="29.25" style="1" customWidth="1"/>
    <col min="491" max="491" width="13" style="1" customWidth="1"/>
    <col min="492" max="492" width="20" style="1" customWidth="1"/>
    <col min="493" max="744" width="15.625" style="1"/>
    <col min="745" max="745" width="4.625" style="1" customWidth="1"/>
    <col min="746" max="746" width="29.25" style="1" customWidth="1"/>
    <col min="747" max="747" width="13" style="1" customWidth="1"/>
    <col min="748" max="748" width="20" style="1" customWidth="1"/>
    <col min="749" max="1000" width="15.625" style="1"/>
    <col min="1001" max="1001" width="4.625" style="1" customWidth="1"/>
    <col min="1002" max="1002" width="29.25" style="1" customWidth="1"/>
    <col min="1003" max="1003" width="13" style="1" customWidth="1"/>
    <col min="1004" max="1004" width="20" style="1" customWidth="1"/>
    <col min="1005" max="1256" width="15.625" style="1"/>
    <col min="1257" max="1257" width="4.625" style="1" customWidth="1"/>
    <col min="1258" max="1258" width="29.25" style="1" customWidth="1"/>
    <col min="1259" max="1259" width="13" style="1" customWidth="1"/>
    <col min="1260" max="1260" width="20" style="1" customWidth="1"/>
    <col min="1261" max="1512" width="15.625" style="1"/>
    <col min="1513" max="1513" width="4.625" style="1" customWidth="1"/>
    <col min="1514" max="1514" width="29.25" style="1" customWidth="1"/>
    <col min="1515" max="1515" width="13" style="1" customWidth="1"/>
    <col min="1516" max="1516" width="20" style="1" customWidth="1"/>
    <col min="1517" max="1768" width="15.625" style="1"/>
    <col min="1769" max="1769" width="4.625" style="1" customWidth="1"/>
    <col min="1770" max="1770" width="29.25" style="1" customWidth="1"/>
    <col min="1771" max="1771" width="13" style="1" customWidth="1"/>
    <col min="1772" max="1772" width="20" style="1" customWidth="1"/>
    <col min="1773" max="2024" width="15.625" style="1"/>
    <col min="2025" max="2025" width="4.625" style="1" customWidth="1"/>
    <col min="2026" max="2026" width="29.25" style="1" customWidth="1"/>
    <col min="2027" max="2027" width="13" style="1" customWidth="1"/>
    <col min="2028" max="2028" width="20" style="1" customWidth="1"/>
    <col min="2029" max="2280" width="15.625" style="1"/>
    <col min="2281" max="2281" width="4.625" style="1" customWidth="1"/>
    <col min="2282" max="2282" width="29.25" style="1" customWidth="1"/>
    <col min="2283" max="2283" width="13" style="1" customWidth="1"/>
    <col min="2284" max="2284" width="20" style="1" customWidth="1"/>
    <col min="2285" max="2536" width="15.625" style="1"/>
    <col min="2537" max="2537" width="4.625" style="1" customWidth="1"/>
    <col min="2538" max="2538" width="29.25" style="1" customWidth="1"/>
    <col min="2539" max="2539" width="13" style="1" customWidth="1"/>
    <col min="2540" max="2540" width="20" style="1" customWidth="1"/>
    <col min="2541" max="2792" width="15.625" style="1"/>
    <col min="2793" max="2793" width="4.625" style="1" customWidth="1"/>
    <col min="2794" max="2794" width="29.25" style="1" customWidth="1"/>
    <col min="2795" max="2795" width="13" style="1" customWidth="1"/>
    <col min="2796" max="2796" width="20" style="1" customWidth="1"/>
    <col min="2797" max="3048" width="15.625" style="1"/>
    <col min="3049" max="3049" width="4.625" style="1" customWidth="1"/>
    <col min="3050" max="3050" width="29.25" style="1" customWidth="1"/>
    <col min="3051" max="3051" width="13" style="1" customWidth="1"/>
    <col min="3052" max="3052" width="20" style="1" customWidth="1"/>
    <col min="3053" max="3304" width="15.625" style="1"/>
    <col min="3305" max="3305" width="4.625" style="1" customWidth="1"/>
    <col min="3306" max="3306" width="29.25" style="1" customWidth="1"/>
    <col min="3307" max="3307" width="13" style="1" customWidth="1"/>
    <col min="3308" max="3308" width="20" style="1" customWidth="1"/>
    <col min="3309" max="3560" width="15.625" style="1"/>
    <col min="3561" max="3561" width="4.625" style="1" customWidth="1"/>
    <col min="3562" max="3562" width="29.25" style="1" customWidth="1"/>
    <col min="3563" max="3563" width="13" style="1" customWidth="1"/>
    <col min="3564" max="3564" width="20" style="1" customWidth="1"/>
    <col min="3565" max="3816" width="15.625" style="1"/>
    <col min="3817" max="3817" width="4.625" style="1" customWidth="1"/>
    <col min="3818" max="3818" width="29.25" style="1" customWidth="1"/>
    <col min="3819" max="3819" width="13" style="1" customWidth="1"/>
    <col min="3820" max="3820" width="20" style="1" customWidth="1"/>
    <col min="3821" max="4072" width="15.625" style="1"/>
    <col min="4073" max="4073" width="4.625" style="1" customWidth="1"/>
    <col min="4074" max="4074" width="29.25" style="1" customWidth="1"/>
    <col min="4075" max="4075" width="13" style="1" customWidth="1"/>
    <col min="4076" max="4076" width="20" style="1" customWidth="1"/>
    <col min="4077" max="4328" width="15.625" style="1"/>
    <col min="4329" max="4329" width="4.625" style="1" customWidth="1"/>
    <col min="4330" max="4330" width="29.25" style="1" customWidth="1"/>
    <col min="4331" max="4331" width="13" style="1" customWidth="1"/>
    <col min="4332" max="4332" width="20" style="1" customWidth="1"/>
    <col min="4333" max="4584" width="15.625" style="1"/>
    <col min="4585" max="4585" width="4.625" style="1" customWidth="1"/>
    <col min="4586" max="4586" width="29.25" style="1" customWidth="1"/>
    <col min="4587" max="4587" width="13" style="1" customWidth="1"/>
    <col min="4588" max="4588" width="20" style="1" customWidth="1"/>
    <col min="4589" max="4840" width="15.625" style="1"/>
    <col min="4841" max="4841" width="4.625" style="1" customWidth="1"/>
    <col min="4842" max="4842" width="29.25" style="1" customWidth="1"/>
    <col min="4843" max="4843" width="13" style="1" customWidth="1"/>
    <col min="4844" max="4844" width="20" style="1" customWidth="1"/>
    <col min="4845" max="5096" width="15.625" style="1"/>
    <col min="5097" max="5097" width="4.625" style="1" customWidth="1"/>
    <col min="5098" max="5098" width="29.25" style="1" customWidth="1"/>
    <col min="5099" max="5099" width="13" style="1" customWidth="1"/>
    <col min="5100" max="5100" width="20" style="1" customWidth="1"/>
    <col min="5101" max="5352" width="15.625" style="1"/>
    <col min="5353" max="5353" width="4.625" style="1" customWidth="1"/>
    <col min="5354" max="5354" width="29.25" style="1" customWidth="1"/>
    <col min="5355" max="5355" width="13" style="1" customWidth="1"/>
    <col min="5356" max="5356" width="20" style="1" customWidth="1"/>
    <col min="5357" max="5608" width="15.625" style="1"/>
    <col min="5609" max="5609" width="4.625" style="1" customWidth="1"/>
    <col min="5610" max="5610" width="29.25" style="1" customWidth="1"/>
    <col min="5611" max="5611" width="13" style="1" customWidth="1"/>
    <col min="5612" max="5612" width="20" style="1" customWidth="1"/>
    <col min="5613" max="5864" width="15.625" style="1"/>
    <col min="5865" max="5865" width="4.625" style="1" customWidth="1"/>
    <col min="5866" max="5866" width="29.25" style="1" customWidth="1"/>
    <col min="5867" max="5867" width="13" style="1" customWidth="1"/>
    <col min="5868" max="5868" width="20" style="1" customWidth="1"/>
    <col min="5869" max="6120" width="15.625" style="1"/>
    <col min="6121" max="6121" width="4.625" style="1" customWidth="1"/>
    <col min="6122" max="6122" width="29.25" style="1" customWidth="1"/>
    <col min="6123" max="6123" width="13" style="1" customWidth="1"/>
    <col min="6124" max="6124" width="20" style="1" customWidth="1"/>
    <col min="6125" max="6376" width="15.625" style="1"/>
    <col min="6377" max="6377" width="4.625" style="1" customWidth="1"/>
    <col min="6378" max="6378" width="29.25" style="1" customWidth="1"/>
    <col min="6379" max="6379" width="13" style="1" customWidth="1"/>
    <col min="6380" max="6380" width="20" style="1" customWidth="1"/>
    <col min="6381" max="6632" width="15.625" style="1"/>
    <col min="6633" max="6633" width="4.625" style="1" customWidth="1"/>
    <col min="6634" max="6634" width="29.25" style="1" customWidth="1"/>
    <col min="6635" max="6635" width="13" style="1" customWidth="1"/>
    <col min="6636" max="6636" width="20" style="1" customWidth="1"/>
    <col min="6637" max="6888" width="15.625" style="1"/>
    <col min="6889" max="6889" width="4.625" style="1" customWidth="1"/>
    <col min="6890" max="6890" width="29.25" style="1" customWidth="1"/>
    <col min="6891" max="6891" width="13" style="1" customWidth="1"/>
    <col min="6892" max="6892" width="20" style="1" customWidth="1"/>
    <col min="6893" max="7144" width="15.625" style="1"/>
    <col min="7145" max="7145" width="4.625" style="1" customWidth="1"/>
    <col min="7146" max="7146" width="29.25" style="1" customWidth="1"/>
    <col min="7147" max="7147" width="13" style="1" customWidth="1"/>
    <col min="7148" max="7148" width="20" style="1" customWidth="1"/>
    <col min="7149" max="7400" width="15.625" style="1"/>
    <col min="7401" max="7401" width="4.625" style="1" customWidth="1"/>
    <col min="7402" max="7402" width="29.25" style="1" customWidth="1"/>
    <col min="7403" max="7403" width="13" style="1" customWidth="1"/>
    <col min="7404" max="7404" width="20" style="1" customWidth="1"/>
    <col min="7405" max="7656" width="15.625" style="1"/>
    <col min="7657" max="7657" width="4.625" style="1" customWidth="1"/>
    <col min="7658" max="7658" width="29.25" style="1" customWidth="1"/>
    <col min="7659" max="7659" width="13" style="1" customWidth="1"/>
    <col min="7660" max="7660" width="20" style="1" customWidth="1"/>
    <col min="7661" max="7912" width="15.625" style="1"/>
    <col min="7913" max="7913" width="4.625" style="1" customWidth="1"/>
    <col min="7914" max="7914" width="29.25" style="1" customWidth="1"/>
    <col min="7915" max="7915" width="13" style="1" customWidth="1"/>
    <col min="7916" max="7916" width="20" style="1" customWidth="1"/>
    <col min="7917" max="8168" width="15.625" style="1"/>
    <col min="8169" max="8169" width="4.625" style="1" customWidth="1"/>
    <col min="8170" max="8170" width="29.25" style="1" customWidth="1"/>
    <col min="8171" max="8171" width="13" style="1" customWidth="1"/>
    <col min="8172" max="8172" width="20" style="1" customWidth="1"/>
    <col min="8173" max="8424" width="15.625" style="1"/>
    <col min="8425" max="8425" width="4.625" style="1" customWidth="1"/>
    <col min="8426" max="8426" width="29.25" style="1" customWidth="1"/>
    <col min="8427" max="8427" width="13" style="1" customWidth="1"/>
    <col min="8428" max="8428" width="20" style="1" customWidth="1"/>
    <col min="8429" max="8680" width="15.625" style="1"/>
    <col min="8681" max="8681" width="4.625" style="1" customWidth="1"/>
    <col min="8682" max="8682" width="29.25" style="1" customWidth="1"/>
    <col min="8683" max="8683" width="13" style="1" customWidth="1"/>
    <col min="8684" max="8684" width="20" style="1" customWidth="1"/>
    <col min="8685" max="8936" width="15.625" style="1"/>
    <col min="8937" max="8937" width="4.625" style="1" customWidth="1"/>
    <col min="8938" max="8938" width="29.25" style="1" customWidth="1"/>
    <col min="8939" max="8939" width="13" style="1" customWidth="1"/>
    <col min="8940" max="8940" width="20" style="1" customWidth="1"/>
    <col min="8941" max="9192" width="15.625" style="1"/>
    <col min="9193" max="9193" width="4.625" style="1" customWidth="1"/>
    <col min="9194" max="9194" width="29.25" style="1" customWidth="1"/>
    <col min="9195" max="9195" width="13" style="1" customWidth="1"/>
    <col min="9196" max="9196" width="20" style="1" customWidth="1"/>
    <col min="9197" max="9448" width="15.625" style="1"/>
    <col min="9449" max="9449" width="4.625" style="1" customWidth="1"/>
    <col min="9450" max="9450" width="29.25" style="1" customWidth="1"/>
    <col min="9451" max="9451" width="13" style="1" customWidth="1"/>
    <col min="9452" max="9452" width="20" style="1" customWidth="1"/>
    <col min="9453" max="9704" width="15.625" style="1"/>
    <col min="9705" max="9705" width="4.625" style="1" customWidth="1"/>
    <col min="9706" max="9706" width="29.25" style="1" customWidth="1"/>
    <col min="9707" max="9707" width="13" style="1" customWidth="1"/>
    <col min="9708" max="9708" width="20" style="1" customWidth="1"/>
    <col min="9709" max="9960" width="15.625" style="1"/>
    <col min="9961" max="9961" width="4.625" style="1" customWidth="1"/>
    <col min="9962" max="9962" width="29.25" style="1" customWidth="1"/>
    <col min="9963" max="9963" width="13" style="1" customWidth="1"/>
    <col min="9964" max="9964" width="20" style="1" customWidth="1"/>
    <col min="9965" max="10216" width="15.625" style="1"/>
    <col min="10217" max="10217" width="4.625" style="1" customWidth="1"/>
    <col min="10218" max="10218" width="29.25" style="1" customWidth="1"/>
    <col min="10219" max="10219" width="13" style="1" customWidth="1"/>
    <col min="10220" max="10220" width="20" style="1" customWidth="1"/>
    <col min="10221" max="10472" width="15.625" style="1"/>
    <col min="10473" max="10473" width="4.625" style="1" customWidth="1"/>
    <col min="10474" max="10474" width="29.25" style="1" customWidth="1"/>
    <col min="10475" max="10475" width="13" style="1" customWidth="1"/>
    <col min="10476" max="10476" width="20" style="1" customWidth="1"/>
    <col min="10477" max="10728" width="15.625" style="1"/>
    <col min="10729" max="10729" width="4.625" style="1" customWidth="1"/>
    <col min="10730" max="10730" width="29.25" style="1" customWidth="1"/>
    <col min="10731" max="10731" width="13" style="1" customWidth="1"/>
    <col min="10732" max="10732" width="20" style="1" customWidth="1"/>
    <col min="10733" max="10984" width="15.625" style="1"/>
    <col min="10985" max="10985" width="4.625" style="1" customWidth="1"/>
    <col min="10986" max="10986" width="29.25" style="1" customWidth="1"/>
    <col min="10987" max="10987" width="13" style="1" customWidth="1"/>
    <col min="10988" max="10988" width="20" style="1" customWidth="1"/>
    <col min="10989" max="11240" width="15.625" style="1"/>
    <col min="11241" max="11241" width="4.625" style="1" customWidth="1"/>
    <col min="11242" max="11242" width="29.25" style="1" customWidth="1"/>
    <col min="11243" max="11243" width="13" style="1" customWidth="1"/>
    <col min="11244" max="11244" width="20" style="1" customWidth="1"/>
    <col min="11245" max="11496" width="15.625" style="1"/>
    <col min="11497" max="11497" width="4.625" style="1" customWidth="1"/>
    <col min="11498" max="11498" width="29.25" style="1" customWidth="1"/>
    <col min="11499" max="11499" width="13" style="1" customWidth="1"/>
    <col min="11500" max="11500" width="20" style="1" customWidth="1"/>
    <col min="11501" max="11752" width="15.625" style="1"/>
    <col min="11753" max="11753" width="4.625" style="1" customWidth="1"/>
    <col min="11754" max="11754" width="29.25" style="1" customWidth="1"/>
    <col min="11755" max="11755" width="13" style="1" customWidth="1"/>
    <col min="11756" max="11756" width="20" style="1" customWidth="1"/>
    <col min="11757" max="12008" width="15.625" style="1"/>
    <col min="12009" max="12009" width="4.625" style="1" customWidth="1"/>
    <col min="12010" max="12010" width="29.25" style="1" customWidth="1"/>
    <col min="12011" max="12011" width="13" style="1" customWidth="1"/>
    <col min="12012" max="12012" width="20" style="1" customWidth="1"/>
    <col min="12013" max="12264" width="15.625" style="1"/>
    <col min="12265" max="12265" width="4.625" style="1" customWidth="1"/>
    <col min="12266" max="12266" width="29.25" style="1" customWidth="1"/>
    <col min="12267" max="12267" width="13" style="1" customWidth="1"/>
    <col min="12268" max="12268" width="20" style="1" customWidth="1"/>
    <col min="12269" max="12520" width="15.625" style="1"/>
    <col min="12521" max="12521" width="4.625" style="1" customWidth="1"/>
    <col min="12522" max="12522" width="29.25" style="1" customWidth="1"/>
    <col min="12523" max="12523" width="13" style="1" customWidth="1"/>
    <col min="12524" max="12524" width="20" style="1" customWidth="1"/>
    <col min="12525" max="12776" width="15.625" style="1"/>
    <col min="12777" max="12777" width="4.625" style="1" customWidth="1"/>
    <col min="12778" max="12778" width="29.25" style="1" customWidth="1"/>
    <col min="12779" max="12779" width="13" style="1" customWidth="1"/>
    <col min="12780" max="12780" width="20" style="1" customWidth="1"/>
    <col min="12781" max="13032" width="15.625" style="1"/>
    <col min="13033" max="13033" width="4.625" style="1" customWidth="1"/>
    <col min="13034" max="13034" width="29.25" style="1" customWidth="1"/>
    <col min="13035" max="13035" width="13" style="1" customWidth="1"/>
    <col min="13036" max="13036" width="20" style="1" customWidth="1"/>
    <col min="13037" max="13288" width="15.625" style="1"/>
    <col min="13289" max="13289" width="4.625" style="1" customWidth="1"/>
    <col min="13290" max="13290" width="29.25" style="1" customWidth="1"/>
    <col min="13291" max="13291" width="13" style="1" customWidth="1"/>
    <col min="13292" max="13292" width="20" style="1" customWidth="1"/>
    <col min="13293" max="13544" width="15.625" style="1"/>
    <col min="13545" max="13545" width="4.625" style="1" customWidth="1"/>
    <col min="13546" max="13546" width="29.25" style="1" customWidth="1"/>
    <col min="13547" max="13547" width="13" style="1" customWidth="1"/>
    <col min="13548" max="13548" width="20" style="1" customWidth="1"/>
    <col min="13549" max="13800" width="15.625" style="1"/>
    <col min="13801" max="13801" width="4.625" style="1" customWidth="1"/>
    <col min="13802" max="13802" width="29.25" style="1" customWidth="1"/>
    <col min="13803" max="13803" width="13" style="1" customWidth="1"/>
    <col min="13804" max="13804" width="20" style="1" customWidth="1"/>
    <col min="13805" max="14056" width="15.625" style="1"/>
    <col min="14057" max="14057" width="4.625" style="1" customWidth="1"/>
    <col min="14058" max="14058" width="29.25" style="1" customWidth="1"/>
    <col min="14059" max="14059" width="13" style="1" customWidth="1"/>
    <col min="14060" max="14060" width="20" style="1" customWidth="1"/>
    <col min="14061" max="14312" width="15.625" style="1"/>
    <col min="14313" max="14313" width="4.625" style="1" customWidth="1"/>
    <col min="14314" max="14314" width="29.25" style="1" customWidth="1"/>
    <col min="14315" max="14315" width="13" style="1" customWidth="1"/>
    <col min="14316" max="14316" width="20" style="1" customWidth="1"/>
    <col min="14317" max="14568" width="15.625" style="1"/>
    <col min="14569" max="14569" width="4.625" style="1" customWidth="1"/>
    <col min="14570" max="14570" width="29.25" style="1" customWidth="1"/>
    <col min="14571" max="14571" width="13" style="1" customWidth="1"/>
    <col min="14572" max="14572" width="20" style="1" customWidth="1"/>
    <col min="14573" max="14824" width="15.625" style="1"/>
    <col min="14825" max="14825" width="4.625" style="1" customWidth="1"/>
    <col min="14826" max="14826" width="29.25" style="1" customWidth="1"/>
    <col min="14827" max="14827" width="13" style="1" customWidth="1"/>
    <col min="14828" max="14828" width="20" style="1" customWidth="1"/>
    <col min="14829" max="15080" width="15.625" style="1"/>
    <col min="15081" max="15081" width="4.625" style="1" customWidth="1"/>
    <col min="15082" max="15082" width="29.25" style="1" customWidth="1"/>
    <col min="15083" max="15083" width="13" style="1" customWidth="1"/>
    <col min="15084" max="15084" width="20" style="1" customWidth="1"/>
    <col min="15085" max="15336" width="15.625" style="1"/>
    <col min="15337" max="15337" width="4.625" style="1" customWidth="1"/>
    <col min="15338" max="15338" width="29.25" style="1" customWidth="1"/>
    <col min="15339" max="15339" width="13" style="1" customWidth="1"/>
    <col min="15340" max="15340" width="20" style="1" customWidth="1"/>
    <col min="15341" max="15592" width="15.625" style="1"/>
    <col min="15593" max="15593" width="4.625" style="1" customWidth="1"/>
    <col min="15594" max="15594" width="29.25" style="1" customWidth="1"/>
    <col min="15595" max="15595" width="13" style="1" customWidth="1"/>
    <col min="15596" max="15596" width="20" style="1" customWidth="1"/>
    <col min="15597" max="15848" width="15.625" style="1"/>
    <col min="15849" max="15849" width="4.625" style="1" customWidth="1"/>
    <col min="15850" max="15850" width="29.25" style="1" customWidth="1"/>
    <col min="15851" max="15851" width="13" style="1" customWidth="1"/>
    <col min="15852" max="15852" width="20" style="1" customWidth="1"/>
    <col min="15853" max="16104" width="15.625" style="1"/>
    <col min="16105" max="16105" width="4.625" style="1" customWidth="1"/>
    <col min="16106" max="16106" width="29.25" style="1" customWidth="1"/>
    <col min="16107" max="16107" width="13" style="1" customWidth="1"/>
    <col min="16108" max="16108" width="20" style="1" customWidth="1"/>
    <col min="16109" max="16384" width="15.625" style="1"/>
  </cols>
  <sheetData>
    <row r="1" spans="1:14" ht="25.5">
      <c r="A1" s="361" t="s">
        <v>532</v>
      </c>
      <c r="B1" s="362"/>
      <c r="C1" s="362"/>
      <c r="D1" s="362"/>
      <c r="E1" s="363"/>
      <c r="F1" s="363"/>
      <c r="G1" s="363"/>
      <c r="H1" s="363"/>
      <c r="I1" s="363"/>
      <c r="J1" s="363"/>
      <c r="K1" s="363"/>
      <c r="L1" s="363"/>
      <c r="M1" s="363"/>
      <c r="N1" s="363"/>
    </row>
    <row r="2" spans="1:14" s="120" customFormat="1">
      <c r="A2" s="39" t="s">
        <v>1</v>
      </c>
      <c r="B2" s="39" t="s">
        <v>2</v>
      </c>
      <c r="C2" s="39" t="s">
        <v>3</v>
      </c>
      <c r="D2" s="40" t="s">
        <v>4</v>
      </c>
      <c r="E2" s="119" t="s">
        <v>527</v>
      </c>
      <c r="F2" s="119" t="s">
        <v>528</v>
      </c>
      <c r="G2" s="119" t="s">
        <v>522</v>
      </c>
      <c r="H2" s="133" t="s">
        <v>530</v>
      </c>
      <c r="I2" s="119" t="s">
        <v>526</v>
      </c>
      <c r="J2" s="119" t="s">
        <v>525</v>
      </c>
      <c r="K2" s="119" t="s">
        <v>524</v>
      </c>
      <c r="L2" s="119" t="s">
        <v>529</v>
      </c>
      <c r="M2" s="119" t="s">
        <v>523</v>
      </c>
      <c r="N2" s="119" t="s">
        <v>531</v>
      </c>
    </row>
    <row r="3" spans="1:14">
      <c r="A3" s="5" t="s">
        <v>26</v>
      </c>
      <c r="B3" s="6" t="s">
        <v>27</v>
      </c>
      <c r="C3" s="6"/>
      <c r="D3" s="7" t="s">
        <v>28</v>
      </c>
      <c r="E3" s="33">
        <v>105427471.75</v>
      </c>
      <c r="F3" s="33">
        <v>112853165.97</v>
      </c>
      <c r="G3" s="33">
        <v>687127662.75</v>
      </c>
      <c r="H3" s="136">
        <v>399611547.06</v>
      </c>
      <c r="I3" s="33">
        <v>371082571.68000001</v>
      </c>
      <c r="J3" s="33">
        <v>262385559.00999999</v>
      </c>
      <c r="K3" s="33">
        <v>237294434.16000003</v>
      </c>
      <c r="L3" s="33">
        <v>424687544.67999995</v>
      </c>
      <c r="M3" s="33">
        <v>232611647.56000003</v>
      </c>
      <c r="N3" s="33">
        <f t="shared" ref="N3:N34" si="0">SUM(E3:M3)</f>
        <v>2833081604.6199999</v>
      </c>
    </row>
    <row r="4" spans="1:14">
      <c r="A4" s="5" t="s">
        <v>29</v>
      </c>
      <c r="B4" s="6" t="s">
        <v>30</v>
      </c>
      <c r="C4" s="6"/>
      <c r="D4" s="7" t="s">
        <v>28</v>
      </c>
      <c r="E4" s="117">
        <v>91902974.090000004</v>
      </c>
      <c r="F4" s="117">
        <v>96470160.070000008</v>
      </c>
      <c r="G4" s="117">
        <v>587923694.10000002</v>
      </c>
      <c r="H4" s="134">
        <v>336111331.84000003</v>
      </c>
      <c r="I4" s="117">
        <v>319848295.49000001</v>
      </c>
      <c r="J4" s="117">
        <v>224331127.40000001</v>
      </c>
      <c r="K4" s="33">
        <v>203910305.37</v>
      </c>
      <c r="L4" s="117">
        <v>365006949.19999999</v>
      </c>
      <c r="M4" s="117">
        <v>202310128.28</v>
      </c>
      <c r="N4" s="33">
        <f t="shared" si="0"/>
        <v>2427814965.8400002</v>
      </c>
    </row>
    <row r="5" spans="1:14">
      <c r="A5" s="5" t="s">
        <v>31</v>
      </c>
      <c r="B5" s="6" t="s">
        <v>32</v>
      </c>
      <c r="C5" s="6"/>
      <c r="D5" s="7" t="s">
        <v>28</v>
      </c>
      <c r="E5" s="117">
        <v>12983015.859999999</v>
      </c>
      <c r="F5" s="117">
        <v>12801266.5</v>
      </c>
      <c r="G5" s="117">
        <v>78537845.519999981</v>
      </c>
      <c r="H5" s="134">
        <v>43754290.100000001</v>
      </c>
      <c r="I5" s="117">
        <v>42564732</v>
      </c>
      <c r="J5" s="117">
        <v>29005276.800000001</v>
      </c>
      <c r="K5" s="33">
        <v>28764432</v>
      </c>
      <c r="L5" s="117">
        <v>47913684</v>
      </c>
      <c r="M5" s="117">
        <v>28363482</v>
      </c>
      <c r="N5" s="33">
        <f t="shared" si="0"/>
        <v>324688024.77999997</v>
      </c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17">
        <v>7284187.8600000003</v>
      </c>
      <c r="F6" s="117">
        <v>7385504.7999999998</v>
      </c>
      <c r="G6" s="117">
        <v>45614512.879999988</v>
      </c>
      <c r="H6" s="134">
        <v>26595106</v>
      </c>
      <c r="I6" s="117">
        <v>24654936</v>
      </c>
      <c r="J6" s="117">
        <v>17038447.199999999</v>
      </c>
      <c r="K6" s="33">
        <v>15835332</v>
      </c>
      <c r="L6" s="117">
        <v>28279932</v>
      </c>
      <c r="M6" s="117">
        <v>15901310</v>
      </c>
      <c r="N6" s="33">
        <f t="shared" si="0"/>
        <v>188589268.74000001</v>
      </c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17">
        <v>5698828</v>
      </c>
      <c r="F7" s="117">
        <v>5415761.7000000002</v>
      </c>
      <c r="G7" s="117">
        <v>32923332.640000001</v>
      </c>
      <c r="H7" s="134">
        <v>17159184.100000001</v>
      </c>
      <c r="I7" s="117">
        <v>17909796</v>
      </c>
      <c r="J7" s="117">
        <v>11966829.6</v>
      </c>
      <c r="K7" s="33">
        <v>12929100</v>
      </c>
      <c r="L7" s="117">
        <v>19633752</v>
      </c>
      <c r="M7" s="117">
        <v>12462172</v>
      </c>
      <c r="N7" s="33">
        <f t="shared" si="0"/>
        <v>136098756.03999999</v>
      </c>
    </row>
    <row r="8" spans="1:14">
      <c r="A8" s="5" t="s">
        <v>39</v>
      </c>
      <c r="B8" s="6" t="s">
        <v>40</v>
      </c>
      <c r="C8" s="6"/>
      <c r="D8" s="7" t="s">
        <v>28</v>
      </c>
      <c r="E8" s="117">
        <v>1463153</v>
      </c>
      <c r="F8" s="117">
        <v>1528580</v>
      </c>
      <c r="G8" s="117">
        <v>9166284</v>
      </c>
      <c r="H8" s="134">
        <v>5442235.5499999998</v>
      </c>
      <c r="I8" s="117">
        <v>5084923.8</v>
      </c>
      <c r="J8" s="117">
        <v>3536832</v>
      </c>
      <c r="K8" s="33">
        <v>3156750</v>
      </c>
      <c r="L8" s="117">
        <v>5717496</v>
      </c>
      <c r="M8" s="117">
        <v>3174010</v>
      </c>
      <c r="N8" s="33">
        <f t="shared" si="0"/>
        <v>38270264.350000001</v>
      </c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17">
        <v>32273</v>
      </c>
      <c r="F9" s="117">
        <v>29060</v>
      </c>
      <c r="G9" s="117">
        <v>111084</v>
      </c>
      <c r="H9" s="134">
        <v>98875.55</v>
      </c>
      <c r="I9" s="117">
        <v>74203.8</v>
      </c>
      <c r="J9" s="117">
        <v>41472</v>
      </c>
      <c r="K9" s="33">
        <v>57390</v>
      </c>
      <c r="L9" s="117">
        <v>62616</v>
      </c>
      <c r="M9" s="117">
        <v>42970</v>
      </c>
      <c r="N9" s="33">
        <f t="shared" si="0"/>
        <v>549944.35</v>
      </c>
    </row>
    <row r="10" spans="1:14">
      <c r="A10" s="5" t="s">
        <v>43</v>
      </c>
      <c r="B10" s="6" t="s">
        <v>44</v>
      </c>
      <c r="C10" s="6"/>
      <c r="D10" s="7" t="s">
        <v>28</v>
      </c>
      <c r="E10" s="117">
        <v>1430880</v>
      </c>
      <c r="F10" s="117">
        <v>1499520</v>
      </c>
      <c r="G10" s="117">
        <v>9055200</v>
      </c>
      <c r="H10" s="134">
        <v>5343360</v>
      </c>
      <c r="I10" s="117">
        <v>5010720</v>
      </c>
      <c r="J10" s="117">
        <v>3495360</v>
      </c>
      <c r="K10" s="33">
        <v>3099360</v>
      </c>
      <c r="L10" s="117">
        <v>5654880</v>
      </c>
      <c r="M10" s="117">
        <v>3131040</v>
      </c>
      <c r="N10" s="33">
        <f t="shared" si="0"/>
        <v>37720320</v>
      </c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18">
        <v>1430880</v>
      </c>
      <c r="F11" s="118">
        <v>1499520</v>
      </c>
      <c r="G11" s="118">
        <v>9055200</v>
      </c>
      <c r="H11" s="135">
        <v>5343360</v>
      </c>
      <c r="I11" s="118">
        <v>5010720</v>
      </c>
      <c r="J11" s="118">
        <v>3495360</v>
      </c>
      <c r="K11" s="122">
        <v>3099360</v>
      </c>
      <c r="L11" s="118">
        <v>5654880</v>
      </c>
      <c r="M11" s="118">
        <v>3131040</v>
      </c>
      <c r="N11" s="33">
        <f t="shared" si="0"/>
        <v>37720320</v>
      </c>
    </row>
    <row r="12" spans="1:14">
      <c r="A12" s="5" t="s">
        <v>47</v>
      </c>
      <c r="B12" s="6" t="s">
        <v>48</v>
      </c>
      <c r="C12" s="6"/>
      <c r="D12" s="7" t="s">
        <v>49</v>
      </c>
      <c r="E12" s="117">
        <v>431916.73</v>
      </c>
      <c r="F12" s="117">
        <v>454168.98</v>
      </c>
      <c r="G12" s="117">
        <v>2750972.54</v>
      </c>
      <c r="H12" s="134">
        <v>1511387.2100000002</v>
      </c>
      <c r="I12" s="117">
        <v>1479023.7200000002</v>
      </c>
      <c r="J12" s="117">
        <v>1053812.57</v>
      </c>
      <c r="K12" s="33">
        <v>964593.3600000001</v>
      </c>
      <c r="L12" s="117">
        <v>1700357.19</v>
      </c>
      <c r="M12" s="117">
        <v>929727.28000000014</v>
      </c>
      <c r="N12" s="33">
        <f t="shared" si="0"/>
        <v>11275959.579999998</v>
      </c>
    </row>
    <row r="13" spans="1:14" s="13" customFormat="1">
      <c r="A13" s="5" t="s">
        <v>50</v>
      </c>
      <c r="B13" s="49" t="s">
        <v>586</v>
      </c>
      <c r="C13" s="12" t="s">
        <v>35</v>
      </c>
      <c r="D13" s="9" t="s">
        <v>51</v>
      </c>
      <c r="E13" s="118">
        <v>146257.51</v>
      </c>
      <c r="F13" s="118">
        <v>153792.66999999998</v>
      </c>
      <c r="G13" s="118">
        <v>931546.2799999998</v>
      </c>
      <c r="H13" s="135">
        <v>511792.49</v>
      </c>
      <c r="I13" s="118">
        <v>500833.40999999992</v>
      </c>
      <c r="J13" s="118">
        <v>356846.58</v>
      </c>
      <c r="K13" s="122">
        <v>326634.78999999998</v>
      </c>
      <c r="L13" s="118">
        <v>575782.34</v>
      </c>
      <c r="M13" s="118">
        <v>314828.27999999997</v>
      </c>
      <c r="N13" s="33">
        <f t="shared" si="0"/>
        <v>3818314.3499999992</v>
      </c>
    </row>
    <row r="14" spans="1:14" s="13" customFormat="1">
      <c r="A14" s="5" t="s">
        <v>52</v>
      </c>
      <c r="B14" s="49" t="s">
        <v>587</v>
      </c>
      <c r="C14" s="12" t="s">
        <v>35</v>
      </c>
      <c r="D14" s="9" t="s">
        <v>51</v>
      </c>
      <c r="E14" s="118">
        <v>285659.22000000003</v>
      </c>
      <c r="F14" s="118">
        <v>300376.31</v>
      </c>
      <c r="G14" s="118">
        <v>1819426.26</v>
      </c>
      <c r="H14" s="135">
        <v>999594.72</v>
      </c>
      <c r="I14" s="118">
        <v>978190.31000000017</v>
      </c>
      <c r="J14" s="118">
        <v>696965.98999999987</v>
      </c>
      <c r="K14" s="122">
        <v>637958.56999999995</v>
      </c>
      <c r="L14" s="118">
        <v>1124574.8500000001</v>
      </c>
      <c r="M14" s="118">
        <v>614899</v>
      </c>
      <c r="N14" s="33">
        <f t="shared" si="0"/>
        <v>7457645.2300000004</v>
      </c>
    </row>
    <row r="15" spans="1:14">
      <c r="A15" s="5" t="s">
        <v>53</v>
      </c>
      <c r="B15" s="6" t="s">
        <v>55</v>
      </c>
      <c r="C15" s="6"/>
      <c r="D15" s="7" t="s">
        <v>28</v>
      </c>
      <c r="E15" s="117">
        <v>49403900</v>
      </c>
      <c r="F15" s="117">
        <v>52647900</v>
      </c>
      <c r="G15" s="117">
        <v>321610800</v>
      </c>
      <c r="H15" s="134">
        <v>188368300</v>
      </c>
      <c r="I15" s="117">
        <v>176010300</v>
      </c>
      <c r="J15" s="117">
        <v>123339300</v>
      </c>
      <c r="K15" s="33">
        <v>109448300</v>
      </c>
      <c r="L15" s="117">
        <v>200913100</v>
      </c>
      <c r="M15" s="117">
        <v>110329100</v>
      </c>
      <c r="N15" s="33">
        <f t="shared" si="0"/>
        <v>1332071000</v>
      </c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17">
        <v>48279064</v>
      </c>
      <c r="F16" s="117">
        <v>51001272.799999997</v>
      </c>
      <c r="G16" s="117">
        <v>316915964</v>
      </c>
      <c r="H16" s="134">
        <v>184483727</v>
      </c>
      <c r="I16" s="117">
        <v>172255776</v>
      </c>
      <c r="J16" s="117">
        <v>121269572</v>
      </c>
      <c r="K16" s="33">
        <v>107522980</v>
      </c>
      <c r="L16" s="117">
        <v>197392504</v>
      </c>
      <c r="M16" s="117">
        <v>108028913</v>
      </c>
      <c r="N16" s="33">
        <f t="shared" si="0"/>
        <v>1307149772.8</v>
      </c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17">
        <v>1124836</v>
      </c>
      <c r="F17" s="117">
        <v>1646627.2</v>
      </c>
      <c r="G17" s="117">
        <v>4694836</v>
      </c>
      <c r="H17" s="134">
        <v>3884573</v>
      </c>
      <c r="I17" s="117">
        <v>3754524</v>
      </c>
      <c r="J17" s="117">
        <v>2069728</v>
      </c>
      <c r="K17" s="33">
        <v>1925320</v>
      </c>
      <c r="L17" s="117">
        <v>3520596</v>
      </c>
      <c r="M17" s="117">
        <v>2300187</v>
      </c>
      <c r="N17" s="33">
        <f t="shared" si="0"/>
        <v>24921227.199999999</v>
      </c>
    </row>
    <row r="18" spans="1:14">
      <c r="A18" s="5" t="s">
        <v>59</v>
      </c>
      <c r="B18" s="6" t="s">
        <v>63</v>
      </c>
      <c r="C18" s="6"/>
      <c r="D18" s="15" t="s">
        <v>28</v>
      </c>
      <c r="E18" s="117">
        <v>5998843.5</v>
      </c>
      <c r="F18" s="117">
        <v>6307902.6000000006</v>
      </c>
      <c r="G18" s="117">
        <v>38207952</v>
      </c>
      <c r="H18" s="134">
        <v>20991489</v>
      </c>
      <c r="I18" s="117">
        <v>20541996</v>
      </c>
      <c r="J18" s="117">
        <v>14636286</v>
      </c>
      <c r="K18" s="33">
        <v>13397130</v>
      </c>
      <c r="L18" s="117">
        <v>23616072</v>
      </c>
      <c r="M18" s="117">
        <v>12912879</v>
      </c>
      <c r="N18" s="33">
        <f t="shared" si="0"/>
        <v>156610550.09999999</v>
      </c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17">
        <v>5998843.5</v>
      </c>
      <c r="F19" s="117">
        <v>6307902.6000000006</v>
      </c>
      <c r="G19" s="117">
        <v>38207952</v>
      </c>
      <c r="H19" s="134">
        <v>20991489</v>
      </c>
      <c r="I19" s="117">
        <v>20541996</v>
      </c>
      <c r="J19" s="117">
        <v>14636286</v>
      </c>
      <c r="K19" s="33">
        <v>13397130</v>
      </c>
      <c r="L19" s="117">
        <v>23616072</v>
      </c>
      <c r="M19" s="117">
        <v>12912879</v>
      </c>
      <c r="N19" s="33">
        <f t="shared" si="0"/>
        <v>156610550.09999999</v>
      </c>
    </row>
    <row r="20" spans="1:14">
      <c r="A20" s="5" t="s">
        <v>64</v>
      </c>
      <c r="B20" s="6" t="s">
        <v>68</v>
      </c>
      <c r="C20" s="6"/>
      <c r="D20" s="15" t="s">
        <v>51</v>
      </c>
      <c r="E20" s="117">
        <v>2285273.7199999997</v>
      </c>
      <c r="F20" s="117">
        <v>2403010.5000000005</v>
      </c>
      <c r="G20" s="117">
        <v>14555410.300000001</v>
      </c>
      <c r="H20" s="134">
        <v>7996757.6999999993</v>
      </c>
      <c r="I20" s="117">
        <v>7825522.2800000012</v>
      </c>
      <c r="J20" s="117">
        <v>5575728.0200000005</v>
      </c>
      <c r="K20" s="33">
        <v>5103668.5799999991</v>
      </c>
      <c r="L20" s="117">
        <v>8996598.8600000013</v>
      </c>
      <c r="M20" s="117">
        <v>4919192</v>
      </c>
      <c r="N20" s="33">
        <f t="shared" si="0"/>
        <v>59661161.960000001</v>
      </c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17">
        <v>1142636.8599999999</v>
      </c>
      <c r="F21" s="117">
        <v>1201505.2500000002</v>
      </c>
      <c r="G21" s="117">
        <v>7277705.1500000004</v>
      </c>
      <c r="H21" s="134">
        <v>3998378.8499999996</v>
      </c>
      <c r="I21" s="117">
        <v>3912761.1400000006</v>
      </c>
      <c r="J21" s="117">
        <v>2787864.0100000002</v>
      </c>
      <c r="K21" s="33">
        <v>2551834.2899999996</v>
      </c>
      <c r="L21" s="117">
        <v>4498299.4300000006</v>
      </c>
      <c r="M21" s="117">
        <v>2459596</v>
      </c>
      <c r="N21" s="33">
        <f t="shared" si="0"/>
        <v>29830580.98</v>
      </c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17">
        <v>1142636.8599999999</v>
      </c>
      <c r="F22" s="117">
        <v>1201505.2500000002</v>
      </c>
      <c r="G22" s="117">
        <v>7277705.1500000004</v>
      </c>
      <c r="H22" s="134">
        <v>3998378.8499999996</v>
      </c>
      <c r="I22" s="117">
        <v>3912761.1400000006</v>
      </c>
      <c r="J22" s="117">
        <v>2787864.0100000002</v>
      </c>
      <c r="K22" s="33">
        <v>2551834.2899999996</v>
      </c>
      <c r="L22" s="117">
        <v>4498299.4300000006</v>
      </c>
      <c r="M22" s="117">
        <v>2459596</v>
      </c>
      <c r="N22" s="33">
        <f t="shared" si="0"/>
        <v>29830580.98</v>
      </c>
    </row>
    <row r="23" spans="1:14">
      <c r="A23" s="5" t="s">
        <v>72</v>
      </c>
      <c r="B23" s="6" t="s">
        <v>75</v>
      </c>
      <c r="C23" s="6"/>
      <c r="D23" s="7" t="s">
        <v>28</v>
      </c>
      <c r="E23" s="117">
        <v>9141094.8599999994</v>
      </c>
      <c r="F23" s="117">
        <v>9612042.0500000007</v>
      </c>
      <c r="G23" s="117">
        <v>58221641.149999999</v>
      </c>
      <c r="H23" s="134">
        <v>31987030.850000001</v>
      </c>
      <c r="I23" s="117">
        <v>31302089.140000001</v>
      </c>
      <c r="J23" s="117">
        <v>22302912.009999998</v>
      </c>
      <c r="K23" s="33">
        <v>20414674.289999999</v>
      </c>
      <c r="L23" s="117">
        <v>35986395.43</v>
      </c>
      <c r="M23" s="117">
        <v>19676768</v>
      </c>
      <c r="N23" s="33">
        <f t="shared" si="0"/>
        <v>238644647.78</v>
      </c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118">
        <v>9141094.8599999994</v>
      </c>
      <c r="F24" s="118">
        <v>9612042.0500000007</v>
      </c>
      <c r="G24" s="118">
        <v>58221641.149999999</v>
      </c>
      <c r="H24" s="135">
        <v>31987030.850000001</v>
      </c>
      <c r="I24" s="118">
        <v>31302089.140000001</v>
      </c>
      <c r="J24" s="118">
        <v>22302912.009999998</v>
      </c>
      <c r="K24" s="122">
        <v>20414674.289999999</v>
      </c>
      <c r="L24" s="118">
        <v>35986395.43</v>
      </c>
      <c r="M24" s="118">
        <v>19676768</v>
      </c>
      <c r="N24" s="33">
        <f t="shared" si="0"/>
        <v>238644647.78</v>
      </c>
    </row>
    <row r="25" spans="1:14">
      <c r="A25" s="5" t="s">
        <v>76</v>
      </c>
      <c r="B25" s="6" t="s">
        <v>80</v>
      </c>
      <c r="C25" s="6"/>
      <c r="D25" s="7" t="s">
        <v>28</v>
      </c>
      <c r="E25" s="117">
        <v>4570547.42</v>
      </c>
      <c r="F25" s="117">
        <v>4806021.04</v>
      </c>
      <c r="G25" s="117">
        <v>29110820.589999996</v>
      </c>
      <c r="H25" s="134">
        <v>15993515.43</v>
      </c>
      <c r="I25" s="117">
        <v>15651044.550000001</v>
      </c>
      <c r="J25" s="117">
        <v>11151456</v>
      </c>
      <c r="K25" s="33">
        <v>10207337.140000001</v>
      </c>
      <c r="L25" s="117">
        <v>17993197.720000003</v>
      </c>
      <c r="M25" s="117">
        <v>9838384</v>
      </c>
      <c r="N25" s="33">
        <f t="shared" si="0"/>
        <v>119322323.89</v>
      </c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118">
        <v>4570547.42</v>
      </c>
      <c r="F26" s="118">
        <v>4806021.04</v>
      </c>
      <c r="G26" s="118">
        <v>29110820.589999996</v>
      </c>
      <c r="H26" s="135">
        <v>15993515.43</v>
      </c>
      <c r="I26" s="118">
        <v>15651044.550000001</v>
      </c>
      <c r="J26" s="118">
        <v>11151456</v>
      </c>
      <c r="K26" s="122">
        <v>10207337.140000001</v>
      </c>
      <c r="L26" s="118">
        <v>17993197.720000003</v>
      </c>
      <c r="M26" s="118">
        <v>9838384</v>
      </c>
      <c r="N26" s="33">
        <f t="shared" si="0"/>
        <v>119322323.89</v>
      </c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117">
        <v>1626000</v>
      </c>
      <c r="F27" s="117">
        <v>1704000</v>
      </c>
      <c r="G27" s="117">
        <v>10290000</v>
      </c>
      <c r="H27" s="134">
        <v>6072000</v>
      </c>
      <c r="I27" s="117">
        <v>5694000</v>
      </c>
      <c r="J27" s="117">
        <v>3972000</v>
      </c>
      <c r="K27" s="33">
        <v>3522000</v>
      </c>
      <c r="L27" s="117">
        <v>6426000</v>
      </c>
      <c r="M27" s="117">
        <v>3558000</v>
      </c>
      <c r="N27" s="33">
        <f t="shared" si="0"/>
        <v>42864000</v>
      </c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17">
        <v>3999229</v>
      </c>
      <c r="F28" s="117">
        <v>4205268.4000000004</v>
      </c>
      <c r="G28" s="117">
        <v>25471968</v>
      </c>
      <c r="H28" s="134">
        <v>13994326</v>
      </c>
      <c r="I28" s="117">
        <v>13694664</v>
      </c>
      <c r="J28" s="117">
        <v>9757524</v>
      </c>
      <c r="K28" s="33">
        <v>8931420</v>
      </c>
      <c r="L28" s="117">
        <v>15744048</v>
      </c>
      <c r="M28" s="117">
        <v>8608586</v>
      </c>
      <c r="N28" s="33">
        <f t="shared" si="0"/>
        <v>104407033.40000001</v>
      </c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17">
        <v>0</v>
      </c>
      <c r="F29" s="117">
        <v>0</v>
      </c>
      <c r="G29" s="117">
        <v>0</v>
      </c>
      <c r="H29" s="134">
        <v>0</v>
      </c>
      <c r="I29" s="117">
        <v>0</v>
      </c>
      <c r="J29" s="117">
        <v>0</v>
      </c>
      <c r="K29" s="33">
        <v>0</v>
      </c>
      <c r="L29" s="117">
        <v>0</v>
      </c>
      <c r="M29" s="117">
        <v>0</v>
      </c>
      <c r="N29" s="33">
        <f t="shared" si="0"/>
        <v>0</v>
      </c>
    </row>
    <row r="30" spans="1:14">
      <c r="A30" s="5" t="s">
        <v>90</v>
      </c>
      <c r="B30" s="6" t="s">
        <v>95</v>
      </c>
      <c r="C30" s="6"/>
      <c r="D30" s="7" t="s">
        <v>28</v>
      </c>
      <c r="E30" s="117">
        <v>52660</v>
      </c>
      <c r="F30" s="117">
        <v>42730</v>
      </c>
      <c r="G30" s="117">
        <v>208171.2</v>
      </c>
      <c r="H30" s="134">
        <v>174140</v>
      </c>
      <c r="I30" s="117">
        <v>132440</v>
      </c>
      <c r="J30" s="117">
        <v>78070</v>
      </c>
      <c r="K30" s="33">
        <v>160190</v>
      </c>
      <c r="L30" s="117">
        <v>90300</v>
      </c>
      <c r="M30" s="117">
        <v>70410</v>
      </c>
      <c r="N30" s="33">
        <f t="shared" si="0"/>
        <v>1009111.2</v>
      </c>
    </row>
    <row r="31" spans="1:14">
      <c r="A31" s="5" t="s">
        <v>94</v>
      </c>
      <c r="B31" s="6" t="s">
        <v>97</v>
      </c>
      <c r="C31" s="6"/>
      <c r="D31" s="7" t="s">
        <v>28</v>
      </c>
      <c r="E31" s="117">
        <v>0</v>
      </c>
      <c r="F31" s="117">
        <v>0</v>
      </c>
      <c r="G31" s="117">
        <v>0</v>
      </c>
      <c r="H31" s="134">
        <v>0</v>
      </c>
      <c r="I31" s="117">
        <v>0</v>
      </c>
      <c r="J31" s="117">
        <v>0</v>
      </c>
      <c r="K31" s="33">
        <v>101740</v>
      </c>
      <c r="L31" s="117">
        <v>0</v>
      </c>
      <c r="M31" s="117">
        <v>0</v>
      </c>
      <c r="N31" s="33">
        <f t="shared" si="0"/>
        <v>101740</v>
      </c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17">
        <v>0</v>
      </c>
      <c r="F32" s="117">
        <v>0</v>
      </c>
      <c r="G32" s="117">
        <v>0</v>
      </c>
      <c r="H32" s="134">
        <v>0</v>
      </c>
      <c r="I32" s="117">
        <v>0</v>
      </c>
      <c r="J32" s="117">
        <v>0</v>
      </c>
      <c r="K32" s="33">
        <v>492</v>
      </c>
      <c r="L32" s="117">
        <v>0</v>
      </c>
      <c r="M32" s="117">
        <v>0</v>
      </c>
      <c r="N32" s="33">
        <f t="shared" si="0"/>
        <v>492</v>
      </c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17">
        <v>0</v>
      </c>
      <c r="F33" s="117">
        <v>0</v>
      </c>
      <c r="G33" s="117">
        <v>0</v>
      </c>
      <c r="H33" s="134">
        <v>0</v>
      </c>
      <c r="I33" s="117">
        <v>0</v>
      </c>
      <c r="J33" s="117">
        <v>0</v>
      </c>
      <c r="K33" s="33">
        <v>29400</v>
      </c>
      <c r="L33" s="117">
        <v>0</v>
      </c>
      <c r="M33" s="117">
        <v>0</v>
      </c>
      <c r="N33" s="33">
        <f t="shared" si="0"/>
        <v>29400</v>
      </c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17">
        <v>0</v>
      </c>
      <c r="F34" s="117">
        <v>0</v>
      </c>
      <c r="G34" s="117">
        <v>0</v>
      </c>
      <c r="H34" s="134">
        <v>0</v>
      </c>
      <c r="I34" s="117">
        <v>0</v>
      </c>
      <c r="J34" s="117">
        <v>0</v>
      </c>
      <c r="K34" s="33">
        <v>0</v>
      </c>
      <c r="L34" s="117">
        <v>0</v>
      </c>
      <c r="M34" s="117">
        <v>0</v>
      </c>
      <c r="N34" s="33">
        <f t="shared" si="0"/>
        <v>0</v>
      </c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17">
        <v>0</v>
      </c>
      <c r="F35" s="117">
        <v>0</v>
      </c>
      <c r="G35" s="117">
        <v>0</v>
      </c>
      <c r="H35" s="134">
        <v>0</v>
      </c>
      <c r="I35" s="117">
        <v>0</v>
      </c>
      <c r="J35" s="117">
        <v>0</v>
      </c>
      <c r="K35" s="33">
        <v>0</v>
      </c>
      <c r="L35" s="117">
        <v>0</v>
      </c>
      <c r="M35" s="117">
        <v>0</v>
      </c>
      <c r="N35" s="33">
        <f t="shared" ref="N35:N64" si="1">SUM(E35:M35)</f>
        <v>0</v>
      </c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17">
        <v>0</v>
      </c>
      <c r="F36" s="117">
        <v>0</v>
      </c>
      <c r="G36" s="117">
        <v>0</v>
      </c>
      <c r="H36" s="134">
        <v>0</v>
      </c>
      <c r="I36" s="117">
        <v>0</v>
      </c>
      <c r="J36" s="117">
        <v>0</v>
      </c>
      <c r="K36" s="33">
        <v>0</v>
      </c>
      <c r="L36" s="117">
        <v>0</v>
      </c>
      <c r="M36" s="117">
        <v>0</v>
      </c>
      <c r="N36" s="33">
        <f t="shared" si="1"/>
        <v>0</v>
      </c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17">
        <v>0</v>
      </c>
      <c r="F37" s="117">
        <v>0</v>
      </c>
      <c r="G37" s="117">
        <v>0</v>
      </c>
      <c r="H37" s="134">
        <v>0</v>
      </c>
      <c r="I37" s="117">
        <v>0</v>
      </c>
      <c r="J37" s="117">
        <v>0</v>
      </c>
      <c r="K37" s="33">
        <v>71848</v>
      </c>
      <c r="L37" s="117">
        <v>0</v>
      </c>
      <c r="M37" s="117">
        <v>0</v>
      </c>
      <c r="N37" s="33">
        <f t="shared" si="1"/>
        <v>71848</v>
      </c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17">
        <v>0</v>
      </c>
      <c r="F38" s="117">
        <v>0</v>
      </c>
      <c r="G38" s="117">
        <v>0</v>
      </c>
      <c r="H38" s="134">
        <v>0</v>
      </c>
      <c r="I38" s="117">
        <v>0</v>
      </c>
      <c r="J38" s="117">
        <v>0</v>
      </c>
      <c r="K38" s="33">
        <v>0</v>
      </c>
      <c r="L38" s="117">
        <v>0</v>
      </c>
      <c r="M38" s="117">
        <v>0</v>
      </c>
      <c r="N38" s="33">
        <f t="shared" si="1"/>
        <v>0</v>
      </c>
    </row>
    <row r="39" spans="1:14">
      <c r="A39" s="5" t="s">
        <v>113</v>
      </c>
      <c r="B39" s="6" t="s">
        <v>119</v>
      </c>
      <c r="C39" s="6"/>
      <c r="D39" s="7" t="s">
        <v>28</v>
      </c>
      <c r="E39" s="117">
        <v>0</v>
      </c>
      <c r="F39" s="117">
        <v>0</v>
      </c>
      <c r="G39" s="117">
        <v>0</v>
      </c>
      <c r="H39" s="134">
        <v>0</v>
      </c>
      <c r="I39" s="117">
        <v>0</v>
      </c>
      <c r="J39" s="117">
        <v>0</v>
      </c>
      <c r="K39" s="33">
        <v>0</v>
      </c>
      <c r="L39" s="117">
        <v>0</v>
      </c>
      <c r="M39" s="117">
        <v>0</v>
      </c>
      <c r="N39" s="33">
        <f t="shared" si="1"/>
        <v>0</v>
      </c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18">
        <v>0</v>
      </c>
      <c r="F40" s="118">
        <v>0</v>
      </c>
      <c r="G40" s="118">
        <v>0</v>
      </c>
      <c r="H40" s="135">
        <v>0</v>
      </c>
      <c r="I40" s="118">
        <v>0</v>
      </c>
      <c r="J40" s="118">
        <v>0</v>
      </c>
      <c r="K40" s="122">
        <v>0</v>
      </c>
      <c r="L40" s="118">
        <v>0</v>
      </c>
      <c r="M40" s="118">
        <v>0</v>
      </c>
      <c r="N40" s="33">
        <f t="shared" si="1"/>
        <v>0</v>
      </c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18">
        <v>0</v>
      </c>
      <c r="F41" s="118">
        <v>0</v>
      </c>
      <c r="G41" s="118">
        <v>0</v>
      </c>
      <c r="H41" s="135">
        <v>0</v>
      </c>
      <c r="I41" s="118">
        <v>0</v>
      </c>
      <c r="J41" s="118">
        <v>0</v>
      </c>
      <c r="K41" s="122">
        <v>0</v>
      </c>
      <c r="L41" s="118">
        <v>0</v>
      </c>
      <c r="M41" s="118">
        <v>0</v>
      </c>
      <c r="N41" s="33">
        <f t="shared" si="1"/>
        <v>0</v>
      </c>
    </row>
    <row r="42" spans="1:14">
      <c r="A42" s="5" t="s">
        <v>118</v>
      </c>
      <c r="B42" s="6" t="s">
        <v>125</v>
      </c>
      <c r="C42" s="6"/>
      <c r="D42" s="7" t="s">
        <v>28</v>
      </c>
      <c r="E42" s="117">
        <v>19260</v>
      </c>
      <c r="F42" s="117">
        <v>19830</v>
      </c>
      <c r="G42" s="117">
        <v>111780</v>
      </c>
      <c r="H42" s="134">
        <v>59790</v>
      </c>
      <c r="I42" s="117">
        <v>62640</v>
      </c>
      <c r="J42" s="117">
        <v>36120</v>
      </c>
      <c r="K42" s="33">
        <v>32400</v>
      </c>
      <c r="L42" s="117">
        <v>46800</v>
      </c>
      <c r="M42" s="117">
        <v>34560</v>
      </c>
      <c r="N42" s="33">
        <f t="shared" si="1"/>
        <v>423180</v>
      </c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17">
        <v>19260</v>
      </c>
      <c r="F43" s="117">
        <v>19830</v>
      </c>
      <c r="G43" s="117">
        <v>111780</v>
      </c>
      <c r="H43" s="134">
        <v>59790</v>
      </c>
      <c r="I43" s="117">
        <v>62640</v>
      </c>
      <c r="J43" s="117">
        <v>36120</v>
      </c>
      <c r="K43" s="33">
        <v>32400</v>
      </c>
      <c r="L43" s="117">
        <v>46800</v>
      </c>
      <c r="M43" s="117">
        <v>34560</v>
      </c>
      <c r="N43" s="33">
        <f t="shared" si="1"/>
        <v>423180</v>
      </c>
    </row>
    <row r="44" spans="1:14">
      <c r="A44" s="5" t="s">
        <v>122</v>
      </c>
      <c r="B44" s="6" t="s">
        <v>129</v>
      </c>
      <c r="C44" s="6"/>
      <c r="D44" s="7" t="s">
        <v>28</v>
      </c>
      <c r="E44" s="117">
        <v>33400</v>
      </c>
      <c r="F44" s="117">
        <v>22900</v>
      </c>
      <c r="G44" s="117">
        <v>96391.2</v>
      </c>
      <c r="H44" s="134">
        <v>114350</v>
      </c>
      <c r="I44" s="117">
        <v>69800</v>
      </c>
      <c r="J44" s="117">
        <v>41950</v>
      </c>
      <c r="K44" s="33">
        <v>26050</v>
      </c>
      <c r="L44" s="117">
        <v>43500</v>
      </c>
      <c r="M44" s="117">
        <v>35850</v>
      </c>
      <c r="N44" s="33">
        <f t="shared" si="1"/>
        <v>484191.2</v>
      </c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17">
        <v>33400</v>
      </c>
      <c r="F45" s="117">
        <v>22900</v>
      </c>
      <c r="G45" s="117">
        <v>53600</v>
      </c>
      <c r="H45" s="134">
        <v>114350</v>
      </c>
      <c r="I45" s="117">
        <v>69800</v>
      </c>
      <c r="J45" s="117">
        <v>41950</v>
      </c>
      <c r="K45" s="33">
        <v>26050</v>
      </c>
      <c r="L45" s="117">
        <v>43500</v>
      </c>
      <c r="M45" s="117">
        <v>35850</v>
      </c>
      <c r="N45" s="33">
        <f t="shared" si="1"/>
        <v>441400</v>
      </c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18">
        <v>0</v>
      </c>
      <c r="F46" s="118">
        <v>0</v>
      </c>
      <c r="G46" s="118">
        <v>0</v>
      </c>
      <c r="H46" s="135">
        <v>0</v>
      </c>
      <c r="I46" s="118">
        <v>0</v>
      </c>
      <c r="J46" s="118">
        <v>0</v>
      </c>
      <c r="K46" s="122">
        <v>0</v>
      </c>
      <c r="L46" s="118">
        <v>0</v>
      </c>
      <c r="M46" s="118">
        <v>0</v>
      </c>
      <c r="N46" s="33">
        <f t="shared" si="1"/>
        <v>0</v>
      </c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18">
        <v>0</v>
      </c>
      <c r="F47" s="118">
        <v>0</v>
      </c>
      <c r="G47" s="118">
        <v>0</v>
      </c>
      <c r="H47" s="135">
        <v>0</v>
      </c>
      <c r="I47" s="118">
        <v>0</v>
      </c>
      <c r="J47" s="118">
        <v>0</v>
      </c>
      <c r="K47" s="122">
        <v>0</v>
      </c>
      <c r="L47" s="118">
        <v>0</v>
      </c>
      <c r="M47" s="118">
        <v>0</v>
      </c>
      <c r="N47" s="33">
        <f t="shared" si="1"/>
        <v>0</v>
      </c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17">
        <v>0</v>
      </c>
      <c r="F48" s="117">
        <v>0</v>
      </c>
      <c r="G48" s="117">
        <v>42791.199999999997</v>
      </c>
      <c r="H48" s="134">
        <v>0</v>
      </c>
      <c r="I48" s="117">
        <v>0</v>
      </c>
      <c r="J48" s="117">
        <v>0</v>
      </c>
      <c r="K48" s="33">
        <v>0</v>
      </c>
      <c r="L48" s="117">
        <v>0</v>
      </c>
      <c r="M48" s="117">
        <v>0</v>
      </c>
      <c r="N48" s="33">
        <f t="shared" si="1"/>
        <v>42791.199999999997</v>
      </c>
    </row>
    <row r="49" spans="1:14">
      <c r="A49" s="5" t="s">
        <v>133</v>
      </c>
      <c r="B49" s="6" t="s">
        <v>142</v>
      </c>
      <c r="C49" s="6"/>
      <c r="D49" s="7" t="s">
        <v>28</v>
      </c>
      <c r="E49" s="117">
        <v>13471837.66</v>
      </c>
      <c r="F49" s="117">
        <v>16340275.900000002</v>
      </c>
      <c r="G49" s="117">
        <v>98995797.450000003</v>
      </c>
      <c r="H49" s="134">
        <v>63326075.219999991</v>
      </c>
      <c r="I49" s="117">
        <v>51101836.189999998</v>
      </c>
      <c r="J49" s="117">
        <v>37976361.609999992</v>
      </c>
      <c r="K49" s="33">
        <v>33223938.790000003</v>
      </c>
      <c r="L49" s="117">
        <v>59590295.480000004</v>
      </c>
      <c r="M49" s="117">
        <v>30231109.279999997</v>
      </c>
      <c r="N49" s="33">
        <f t="shared" si="1"/>
        <v>404257527.57999998</v>
      </c>
    </row>
    <row r="50" spans="1:14">
      <c r="A50" s="5" t="s">
        <v>136</v>
      </c>
      <c r="B50" s="6" t="s">
        <v>144</v>
      </c>
      <c r="C50" s="6"/>
      <c r="D50" s="7" t="s">
        <v>145</v>
      </c>
      <c r="E50" s="117">
        <v>9362070</v>
      </c>
      <c r="F50" s="117">
        <v>11194350</v>
      </c>
      <c r="G50" s="117">
        <v>75956460</v>
      </c>
      <c r="H50" s="134">
        <v>46531320</v>
      </c>
      <c r="I50" s="117">
        <v>36822870</v>
      </c>
      <c r="J50" s="117">
        <v>27975630</v>
      </c>
      <c r="K50" s="33">
        <v>23742690</v>
      </c>
      <c r="L50" s="117">
        <v>43780190</v>
      </c>
      <c r="M50" s="117">
        <v>21217000</v>
      </c>
      <c r="N50" s="33">
        <f t="shared" si="1"/>
        <v>296582580</v>
      </c>
    </row>
    <row r="51" spans="1:14">
      <c r="A51" s="5" t="s">
        <v>138</v>
      </c>
      <c r="B51" s="6" t="s">
        <v>147</v>
      </c>
      <c r="C51" s="6" t="s">
        <v>35</v>
      </c>
      <c r="D51" s="20"/>
      <c r="E51" s="117">
        <v>0</v>
      </c>
      <c r="F51" s="117">
        <v>0</v>
      </c>
      <c r="G51" s="117">
        <v>0</v>
      </c>
      <c r="H51" s="134">
        <v>0</v>
      </c>
      <c r="I51" s="117">
        <v>0</v>
      </c>
      <c r="J51" s="117">
        <v>0</v>
      </c>
      <c r="K51" s="33">
        <v>0</v>
      </c>
      <c r="L51" s="117">
        <v>0</v>
      </c>
      <c r="M51" s="117">
        <v>0</v>
      </c>
      <c r="N51" s="33">
        <f t="shared" si="1"/>
        <v>0</v>
      </c>
    </row>
    <row r="52" spans="1:14">
      <c r="A52" s="5" t="s">
        <v>141</v>
      </c>
      <c r="B52" s="6" t="s">
        <v>149</v>
      </c>
      <c r="C52" s="6" t="s">
        <v>35</v>
      </c>
      <c r="D52" s="20"/>
      <c r="E52" s="117">
        <v>0</v>
      </c>
      <c r="F52" s="117">
        <v>0</v>
      </c>
      <c r="G52" s="117">
        <v>0</v>
      </c>
      <c r="H52" s="134">
        <v>0</v>
      </c>
      <c r="I52" s="117">
        <v>0</v>
      </c>
      <c r="J52" s="117">
        <v>0</v>
      </c>
      <c r="K52" s="33">
        <v>0</v>
      </c>
      <c r="L52" s="117">
        <v>0</v>
      </c>
      <c r="M52" s="117">
        <v>0</v>
      </c>
      <c r="N52" s="33">
        <f t="shared" si="1"/>
        <v>0</v>
      </c>
    </row>
    <row r="53" spans="1:14">
      <c r="A53" s="5" t="s">
        <v>143</v>
      </c>
      <c r="B53" s="6" t="s">
        <v>151</v>
      </c>
      <c r="C53" s="6" t="s">
        <v>35</v>
      </c>
      <c r="D53" s="20"/>
      <c r="E53" s="117">
        <v>0</v>
      </c>
      <c r="F53" s="117">
        <v>0</v>
      </c>
      <c r="G53" s="117">
        <v>0</v>
      </c>
      <c r="H53" s="134">
        <v>0</v>
      </c>
      <c r="I53" s="117">
        <v>0</v>
      </c>
      <c r="J53" s="117">
        <v>0</v>
      </c>
      <c r="K53" s="33">
        <v>0</v>
      </c>
      <c r="L53" s="117">
        <v>0</v>
      </c>
      <c r="M53" s="117">
        <v>0</v>
      </c>
      <c r="N53" s="33">
        <f t="shared" si="1"/>
        <v>0</v>
      </c>
    </row>
    <row r="54" spans="1:14">
      <c r="A54" s="5" t="s">
        <v>146</v>
      </c>
      <c r="B54" s="6" t="s">
        <v>153</v>
      </c>
      <c r="C54" s="6" t="s">
        <v>35</v>
      </c>
      <c r="D54" s="20"/>
      <c r="E54" s="117">
        <v>0</v>
      </c>
      <c r="F54" s="117">
        <v>0</v>
      </c>
      <c r="G54" s="117">
        <v>0</v>
      </c>
      <c r="H54" s="134">
        <v>0</v>
      </c>
      <c r="I54" s="117">
        <v>0</v>
      </c>
      <c r="J54" s="117">
        <v>0</v>
      </c>
      <c r="K54" s="33">
        <v>0</v>
      </c>
      <c r="L54" s="117">
        <v>0</v>
      </c>
      <c r="M54" s="117">
        <v>0</v>
      </c>
      <c r="N54" s="33">
        <f t="shared" si="1"/>
        <v>0</v>
      </c>
    </row>
    <row r="55" spans="1:14">
      <c r="A55" s="5" t="s">
        <v>148</v>
      </c>
      <c r="B55" s="6" t="s">
        <v>155</v>
      </c>
      <c r="C55" s="6" t="s">
        <v>35</v>
      </c>
      <c r="D55" s="20"/>
      <c r="E55" s="117">
        <v>0</v>
      </c>
      <c r="F55" s="117">
        <v>0</v>
      </c>
      <c r="G55" s="117">
        <v>0</v>
      </c>
      <c r="H55" s="134">
        <v>0</v>
      </c>
      <c r="I55" s="117">
        <v>0</v>
      </c>
      <c r="J55" s="117">
        <v>0</v>
      </c>
      <c r="K55" s="33">
        <v>0</v>
      </c>
      <c r="L55" s="117">
        <v>0</v>
      </c>
      <c r="M55" s="117">
        <v>0</v>
      </c>
      <c r="N55" s="33">
        <f t="shared" si="1"/>
        <v>0</v>
      </c>
    </row>
    <row r="56" spans="1:14">
      <c r="A56" s="5" t="s">
        <v>150</v>
      </c>
      <c r="B56" s="6" t="s">
        <v>157</v>
      </c>
      <c r="C56" s="6" t="s">
        <v>35</v>
      </c>
      <c r="D56" s="20"/>
      <c r="E56" s="117">
        <v>0</v>
      </c>
      <c r="F56" s="117">
        <v>0</v>
      </c>
      <c r="G56" s="117">
        <v>0</v>
      </c>
      <c r="H56" s="134">
        <v>0</v>
      </c>
      <c r="I56" s="117">
        <v>0</v>
      </c>
      <c r="J56" s="117">
        <v>0</v>
      </c>
      <c r="K56" s="33">
        <v>0</v>
      </c>
      <c r="L56" s="117">
        <v>0</v>
      </c>
      <c r="M56" s="117">
        <v>0</v>
      </c>
      <c r="N56" s="33">
        <f t="shared" si="1"/>
        <v>0</v>
      </c>
    </row>
    <row r="57" spans="1:14">
      <c r="A57" s="5" t="s">
        <v>152</v>
      </c>
      <c r="B57" s="6" t="s">
        <v>159</v>
      </c>
      <c r="C57" s="6" t="s">
        <v>35</v>
      </c>
      <c r="D57" s="20"/>
      <c r="E57" s="117">
        <v>0</v>
      </c>
      <c r="F57" s="117">
        <v>0</v>
      </c>
      <c r="G57" s="117">
        <v>0</v>
      </c>
      <c r="H57" s="134">
        <v>0</v>
      </c>
      <c r="I57" s="117">
        <v>0</v>
      </c>
      <c r="J57" s="117">
        <v>0</v>
      </c>
      <c r="K57" s="33">
        <v>0</v>
      </c>
      <c r="L57" s="117">
        <v>0</v>
      </c>
      <c r="M57" s="117">
        <v>0</v>
      </c>
      <c r="N57" s="33">
        <f t="shared" si="1"/>
        <v>0</v>
      </c>
    </row>
    <row r="58" spans="1:14">
      <c r="A58" s="5" t="s">
        <v>154</v>
      </c>
      <c r="B58" s="6" t="s">
        <v>161</v>
      </c>
      <c r="C58" s="6" t="s">
        <v>35</v>
      </c>
      <c r="D58" s="20"/>
      <c r="E58" s="117">
        <v>0</v>
      </c>
      <c r="F58" s="117">
        <v>0</v>
      </c>
      <c r="G58" s="117">
        <v>0</v>
      </c>
      <c r="H58" s="134">
        <v>0</v>
      </c>
      <c r="I58" s="117">
        <v>0</v>
      </c>
      <c r="J58" s="117">
        <v>0</v>
      </c>
      <c r="K58" s="33">
        <v>0</v>
      </c>
      <c r="L58" s="117">
        <v>0</v>
      </c>
      <c r="M58" s="117">
        <v>0</v>
      </c>
      <c r="N58" s="33">
        <f t="shared" si="1"/>
        <v>0</v>
      </c>
    </row>
    <row r="59" spans="1:14">
      <c r="A59" s="5" t="s">
        <v>156</v>
      </c>
      <c r="B59" s="6" t="s">
        <v>163</v>
      </c>
      <c r="C59" s="6" t="s">
        <v>35</v>
      </c>
      <c r="D59" s="20"/>
      <c r="E59" s="117">
        <v>0</v>
      </c>
      <c r="F59" s="117">
        <v>0</v>
      </c>
      <c r="G59" s="117">
        <v>0</v>
      </c>
      <c r="H59" s="134">
        <v>0</v>
      </c>
      <c r="I59" s="117">
        <v>0</v>
      </c>
      <c r="J59" s="117">
        <v>0</v>
      </c>
      <c r="K59" s="33">
        <v>0</v>
      </c>
      <c r="L59" s="117">
        <v>0</v>
      </c>
      <c r="M59" s="117">
        <v>0</v>
      </c>
      <c r="N59" s="33">
        <f t="shared" si="1"/>
        <v>0</v>
      </c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17">
        <v>450371.5</v>
      </c>
      <c r="F60" s="117">
        <v>496437.5</v>
      </c>
      <c r="G60" s="117">
        <v>3692861</v>
      </c>
      <c r="H60" s="134">
        <v>2177545</v>
      </c>
      <c r="I60" s="117">
        <v>1666843.5</v>
      </c>
      <c r="J60" s="117">
        <v>1357083</v>
      </c>
      <c r="K60" s="33">
        <v>1159678.5</v>
      </c>
      <c r="L60" s="117">
        <v>2109930.5</v>
      </c>
      <c r="M60" s="117">
        <v>1009234.5</v>
      </c>
      <c r="N60" s="33">
        <f t="shared" si="1"/>
        <v>14119985</v>
      </c>
    </row>
    <row r="61" spans="1:14">
      <c r="A61" s="5" t="s">
        <v>160</v>
      </c>
      <c r="B61" s="6" t="s">
        <v>169</v>
      </c>
      <c r="C61" s="6" t="s">
        <v>35</v>
      </c>
      <c r="D61" s="20"/>
      <c r="E61" s="117">
        <v>0</v>
      </c>
      <c r="F61" s="117">
        <v>0</v>
      </c>
      <c r="G61" s="117">
        <v>0</v>
      </c>
      <c r="H61" s="134">
        <v>0</v>
      </c>
      <c r="I61" s="117">
        <v>0</v>
      </c>
      <c r="J61" s="117">
        <v>0</v>
      </c>
      <c r="K61" s="33">
        <v>0</v>
      </c>
      <c r="L61" s="117">
        <v>0</v>
      </c>
      <c r="M61" s="117">
        <v>0</v>
      </c>
      <c r="N61" s="33">
        <f t="shared" si="1"/>
        <v>0</v>
      </c>
    </row>
    <row r="62" spans="1:14">
      <c r="A62" s="5" t="s">
        <v>162</v>
      </c>
      <c r="B62" s="6" t="s">
        <v>171</v>
      </c>
      <c r="C62" s="6" t="s">
        <v>35</v>
      </c>
      <c r="D62" s="20"/>
      <c r="E62" s="117">
        <v>0</v>
      </c>
      <c r="F62" s="117">
        <v>0</v>
      </c>
      <c r="G62" s="117">
        <v>0</v>
      </c>
      <c r="H62" s="134">
        <v>0</v>
      </c>
      <c r="I62" s="117">
        <v>0</v>
      </c>
      <c r="J62" s="117">
        <v>0</v>
      </c>
      <c r="K62" s="33">
        <v>0</v>
      </c>
      <c r="L62" s="117">
        <v>0</v>
      </c>
      <c r="M62" s="117">
        <v>0</v>
      </c>
      <c r="N62" s="33">
        <f t="shared" si="1"/>
        <v>0</v>
      </c>
    </row>
    <row r="63" spans="1:14">
      <c r="A63" s="5" t="s">
        <v>164</v>
      </c>
      <c r="B63" s="6" t="s">
        <v>173</v>
      </c>
      <c r="C63" s="6" t="s">
        <v>35</v>
      </c>
      <c r="D63" s="20"/>
      <c r="E63" s="117">
        <v>0</v>
      </c>
      <c r="F63" s="117">
        <v>0</v>
      </c>
      <c r="G63" s="117">
        <v>0</v>
      </c>
      <c r="H63" s="134">
        <v>0</v>
      </c>
      <c r="I63" s="117">
        <v>0</v>
      </c>
      <c r="J63" s="117">
        <v>0</v>
      </c>
      <c r="K63" s="33">
        <v>0</v>
      </c>
      <c r="L63" s="117">
        <v>0</v>
      </c>
      <c r="M63" s="117">
        <v>0</v>
      </c>
      <c r="N63" s="33">
        <f t="shared" si="1"/>
        <v>0</v>
      </c>
    </row>
    <row r="64" spans="1:14">
      <c r="A64" s="5" t="s">
        <v>168</v>
      </c>
      <c r="B64" s="6" t="s">
        <v>175</v>
      </c>
      <c r="C64" s="6" t="s">
        <v>35</v>
      </c>
      <c r="D64" s="20"/>
      <c r="E64" s="117">
        <v>0</v>
      </c>
      <c r="F64" s="117">
        <v>0</v>
      </c>
      <c r="G64" s="117">
        <v>0</v>
      </c>
      <c r="H64" s="134">
        <v>0</v>
      </c>
      <c r="I64" s="117">
        <v>0</v>
      </c>
      <c r="J64" s="117">
        <v>0</v>
      </c>
      <c r="K64" s="33">
        <v>0</v>
      </c>
      <c r="L64" s="117">
        <v>0</v>
      </c>
      <c r="M64" s="117">
        <v>0</v>
      </c>
      <c r="N64" s="33">
        <f t="shared" si="1"/>
        <v>0</v>
      </c>
    </row>
    <row r="65" spans="1:14">
      <c r="A65" s="5" t="s">
        <v>170</v>
      </c>
      <c r="B65" s="6" t="s">
        <v>177</v>
      </c>
      <c r="C65" s="6" t="s">
        <v>35</v>
      </c>
      <c r="D65" s="20"/>
      <c r="E65" s="117">
        <v>0</v>
      </c>
      <c r="F65" s="117">
        <v>0</v>
      </c>
      <c r="G65" s="117">
        <v>0</v>
      </c>
      <c r="H65" s="134">
        <v>0</v>
      </c>
      <c r="I65" s="117">
        <v>0</v>
      </c>
      <c r="J65" s="117">
        <v>0</v>
      </c>
      <c r="K65" s="33">
        <v>0</v>
      </c>
      <c r="L65" s="117">
        <v>0</v>
      </c>
      <c r="M65" s="117">
        <v>0</v>
      </c>
      <c r="N65" s="33">
        <f t="shared" ref="N65:N106" si="2">SUM(E65:M65)</f>
        <v>0</v>
      </c>
    </row>
    <row r="66" spans="1:14">
      <c r="A66" s="5" t="s">
        <v>172</v>
      </c>
      <c r="B66" s="6" t="s">
        <v>179</v>
      </c>
      <c r="C66" s="6" t="s">
        <v>35</v>
      </c>
      <c r="D66" s="20"/>
      <c r="E66" s="117">
        <v>0</v>
      </c>
      <c r="F66" s="117">
        <v>0</v>
      </c>
      <c r="G66" s="117">
        <v>0</v>
      </c>
      <c r="H66" s="134">
        <v>0</v>
      </c>
      <c r="I66" s="117">
        <v>0</v>
      </c>
      <c r="J66" s="117">
        <v>0</v>
      </c>
      <c r="K66" s="33">
        <v>0</v>
      </c>
      <c r="L66" s="117">
        <v>0</v>
      </c>
      <c r="M66" s="117">
        <v>0</v>
      </c>
      <c r="N66" s="33">
        <f t="shared" si="2"/>
        <v>0</v>
      </c>
    </row>
    <row r="67" spans="1:14">
      <c r="A67" s="5" t="s">
        <v>174</v>
      </c>
      <c r="B67" s="6" t="s">
        <v>181</v>
      </c>
      <c r="C67" s="6" t="s">
        <v>35</v>
      </c>
      <c r="D67" s="20"/>
      <c r="E67" s="117">
        <v>0</v>
      </c>
      <c r="F67" s="117">
        <v>0</v>
      </c>
      <c r="G67" s="117">
        <v>0</v>
      </c>
      <c r="H67" s="134">
        <v>0</v>
      </c>
      <c r="I67" s="117">
        <v>0</v>
      </c>
      <c r="J67" s="117">
        <v>0</v>
      </c>
      <c r="K67" s="33">
        <v>0</v>
      </c>
      <c r="L67" s="117">
        <v>0</v>
      </c>
      <c r="M67" s="117">
        <v>0</v>
      </c>
      <c r="N67" s="33">
        <f t="shared" si="2"/>
        <v>0</v>
      </c>
    </row>
    <row r="68" spans="1:14">
      <c r="A68" s="5" t="s">
        <v>176</v>
      </c>
      <c r="B68" s="6" t="s">
        <v>183</v>
      </c>
      <c r="C68" s="6"/>
      <c r="D68" s="7"/>
      <c r="E68" s="117">
        <v>108400</v>
      </c>
      <c r="F68" s="117">
        <v>113600</v>
      </c>
      <c r="G68" s="117">
        <v>686000</v>
      </c>
      <c r="H68" s="134">
        <v>404800</v>
      </c>
      <c r="I68" s="117">
        <v>379600</v>
      </c>
      <c r="J68" s="117">
        <v>264800</v>
      </c>
      <c r="K68" s="33">
        <v>234800</v>
      </c>
      <c r="L68" s="117">
        <v>428400</v>
      </c>
      <c r="M68" s="117">
        <v>237200</v>
      </c>
      <c r="N68" s="33">
        <f t="shared" si="2"/>
        <v>2857600</v>
      </c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118">
        <v>108400</v>
      </c>
      <c r="F69" s="118">
        <v>113600</v>
      </c>
      <c r="G69" s="118">
        <v>686000</v>
      </c>
      <c r="H69" s="135">
        <v>404800</v>
      </c>
      <c r="I69" s="118">
        <v>379600</v>
      </c>
      <c r="J69" s="118">
        <v>264800</v>
      </c>
      <c r="K69" s="122">
        <v>234800</v>
      </c>
      <c r="L69" s="118">
        <v>428400</v>
      </c>
      <c r="M69" s="118">
        <v>237200</v>
      </c>
      <c r="N69" s="33">
        <f t="shared" si="2"/>
        <v>2857600</v>
      </c>
    </row>
    <row r="70" spans="1:14">
      <c r="A70" s="5" t="s">
        <v>180</v>
      </c>
      <c r="B70" s="6" t="s">
        <v>188</v>
      </c>
      <c r="C70" s="6"/>
      <c r="D70" s="7" t="s">
        <v>28</v>
      </c>
      <c r="E70" s="117">
        <v>820978.8</v>
      </c>
      <c r="F70" s="117">
        <v>1307308.6499999999</v>
      </c>
      <c r="G70" s="117">
        <v>3614930.7</v>
      </c>
      <c r="H70" s="134">
        <v>4203953.25</v>
      </c>
      <c r="I70" s="117">
        <v>2669043.4500000002</v>
      </c>
      <c r="J70" s="117">
        <v>2117617.2000000002</v>
      </c>
      <c r="K70" s="33">
        <v>1367345.7</v>
      </c>
      <c r="L70" s="117">
        <v>3163942.05</v>
      </c>
      <c r="M70" s="117">
        <v>1499860.8</v>
      </c>
      <c r="N70" s="33">
        <f t="shared" si="2"/>
        <v>20764980.600000001</v>
      </c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118">
        <v>820978.8</v>
      </c>
      <c r="F71" s="118">
        <v>1307308.6499999999</v>
      </c>
      <c r="G71" s="118">
        <v>3614930.7</v>
      </c>
      <c r="H71" s="135">
        <v>4203953.25</v>
      </c>
      <c r="I71" s="118">
        <v>2669043.4500000002</v>
      </c>
      <c r="J71" s="118">
        <v>2117617.2000000002</v>
      </c>
      <c r="K71" s="122">
        <v>1367345.7</v>
      </c>
      <c r="L71" s="118">
        <v>3163942.05</v>
      </c>
      <c r="M71" s="118">
        <v>1499860.8</v>
      </c>
      <c r="N71" s="33">
        <f t="shared" si="2"/>
        <v>20764980.600000001</v>
      </c>
    </row>
    <row r="72" spans="1:14">
      <c r="A72" s="5" t="s">
        <v>184</v>
      </c>
      <c r="B72" s="6" t="s">
        <v>193</v>
      </c>
      <c r="C72" s="6"/>
      <c r="D72" s="7" t="s">
        <v>28</v>
      </c>
      <c r="E72" s="117">
        <v>215592</v>
      </c>
      <c r="F72" s="117">
        <v>416552</v>
      </c>
      <c r="G72" s="117">
        <v>898061.6</v>
      </c>
      <c r="H72" s="134">
        <v>1304503.1199999999</v>
      </c>
      <c r="I72" s="117">
        <v>706321.6</v>
      </c>
      <c r="J72" s="117">
        <v>601170.4</v>
      </c>
      <c r="K72" s="33">
        <v>535588.80000000005</v>
      </c>
      <c r="L72" s="117">
        <v>1032584</v>
      </c>
      <c r="M72" s="117">
        <v>330332.48</v>
      </c>
      <c r="N72" s="33">
        <f t="shared" si="2"/>
        <v>6040706</v>
      </c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118">
        <v>215592</v>
      </c>
      <c r="F73" s="118">
        <v>416552</v>
      </c>
      <c r="G73" s="118">
        <v>898061.6</v>
      </c>
      <c r="H73" s="135">
        <v>1304503.1199999999</v>
      </c>
      <c r="I73" s="118">
        <v>706321.6</v>
      </c>
      <c r="J73" s="118">
        <v>601170.4</v>
      </c>
      <c r="K73" s="122">
        <v>535588.80000000005</v>
      </c>
      <c r="L73" s="118">
        <v>1032584</v>
      </c>
      <c r="M73" s="118">
        <v>330332.48</v>
      </c>
      <c r="N73" s="33">
        <f t="shared" si="2"/>
        <v>6040706</v>
      </c>
    </row>
    <row r="74" spans="1:14">
      <c r="A74" s="5" t="s">
        <v>189</v>
      </c>
      <c r="B74" s="6" t="s">
        <v>198</v>
      </c>
      <c r="C74" s="6"/>
      <c r="D74" s="7" t="s">
        <v>28</v>
      </c>
      <c r="E74" s="117">
        <v>0</v>
      </c>
      <c r="F74" s="117">
        <v>0</v>
      </c>
      <c r="G74" s="117">
        <v>0</v>
      </c>
      <c r="H74" s="134">
        <v>0</v>
      </c>
      <c r="I74" s="117">
        <v>0</v>
      </c>
      <c r="J74" s="117">
        <v>0</v>
      </c>
      <c r="K74" s="33">
        <v>0</v>
      </c>
      <c r="L74" s="117">
        <v>0</v>
      </c>
      <c r="M74" s="117">
        <v>0</v>
      </c>
      <c r="N74" s="33">
        <f t="shared" si="2"/>
        <v>0</v>
      </c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18">
        <v>0</v>
      </c>
      <c r="F75" s="118">
        <v>0</v>
      </c>
      <c r="G75" s="118">
        <v>0</v>
      </c>
      <c r="H75" s="135">
        <v>0</v>
      </c>
      <c r="I75" s="118">
        <v>0</v>
      </c>
      <c r="J75" s="118">
        <v>0</v>
      </c>
      <c r="K75" s="122">
        <v>0</v>
      </c>
      <c r="L75" s="118">
        <v>0</v>
      </c>
      <c r="M75" s="118">
        <v>0</v>
      </c>
      <c r="N75" s="33">
        <f t="shared" si="2"/>
        <v>0</v>
      </c>
    </row>
    <row r="76" spans="1:14">
      <c r="A76" s="5" t="s">
        <v>194</v>
      </c>
      <c r="B76" s="6" t="s">
        <v>202</v>
      </c>
      <c r="C76" s="6"/>
      <c r="D76" s="7" t="s">
        <v>28</v>
      </c>
      <c r="E76" s="117">
        <v>1170720</v>
      </c>
      <c r="F76" s="117">
        <v>1226880</v>
      </c>
      <c r="G76" s="117">
        <v>7408800</v>
      </c>
      <c r="H76" s="134">
        <v>4371840</v>
      </c>
      <c r="I76" s="117">
        <v>4099680</v>
      </c>
      <c r="J76" s="117">
        <v>2859840</v>
      </c>
      <c r="K76" s="33">
        <v>2535840</v>
      </c>
      <c r="L76" s="117">
        <v>4626720</v>
      </c>
      <c r="M76" s="117">
        <v>2561760</v>
      </c>
      <c r="N76" s="33">
        <f t="shared" si="2"/>
        <v>30862080</v>
      </c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118">
        <v>1170720</v>
      </c>
      <c r="F77" s="118">
        <v>1226880</v>
      </c>
      <c r="G77" s="118">
        <v>7408800</v>
      </c>
      <c r="H77" s="135">
        <v>4371840</v>
      </c>
      <c r="I77" s="118">
        <v>4099680</v>
      </c>
      <c r="J77" s="118">
        <v>2859840</v>
      </c>
      <c r="K77" s="122">
        <v>2535840</v>
      </c>
      <c r="L77" s="118">
        <v>4626720</v>
      </c>
      <c r="M77" s="118">
        <v>2561760</v>
      </c>
      <c r="N77" s="33">
        <f t="shared" si="2"/>
        <v>30862080</v>
      </c>
    </row>
    <row r="78" spans="1:14">
      <c r="A78" s="5" t="s">
        <v>199</v>
      </c>
      <c r="B78" s="6" t="s">
        <v>207</v>
      </c>
      <c r="C78" s="6"/>
      <c r="D78" s="7" t="s">
        <v>28</v>
      </c>
      <c r="E78" s="117">
        <v>1142636.8599999999</v>
      </c>
      <c r="F78" s="117">
        <v>1201505.2500000002</v>
      </c>
      <c r="G78" s="117">
        <v>7277705.1500000004</v>
      </c>
      <c r="H78" s="134">
        <v>3998378.8499999996</v>
      </c>
      <c r="I78" s="117">
        <v>3912761.1400000006</v>
      </c>
      <c r="J78" s="117">
        <v>2787864.0100000002</v>
      </c>
      <c r="K78" s="33">
        <v>2551834.2899999996</v>
      </c>
      <c r="L78" s="117">
        <v>4498299.4300000006</v>
      </c>
      <c r="M78" s="117">
        <v>2459596</v>
      </c>
      <c r="N78" s="33">
        <f t="shared" si="2"/>
        <v>29830580.98</v>
      </c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118">
        <v>1142636.8599999999</v>
      </c>
      <c r="F79" s="118">
        <v>1201505.2500000002</v>
      </c>
      <c r="G79" s="118">
        <v>7277705.1500000004</v>
      </c>
      <c r="H79" s="135">
        <v>3998378.8499999996</v>
      </c>
      <c r="I79" s="118">
        <v>3912761.1400000006</v>
      </c>
      <c r="J79" s="118">
        <v>2787864.0100000002</v>
      </c>
      <c r="K79" s="122">
        <v>2551834.2899999996</v>
      </c>
      <c r="L79" s="118">
        <v>4498299.4300000006</v>
      </c>
      <c r="M79" s="118">
        <v>2459596</v>
      </c>
      <c r="N79" s="33">
        <f t="shared" si="2"/>
        <v>29830580.98</v>
      </c>
    </row>
    <row r="80" spans="1:14">
      <c r="A80" s="5" t="s">
        <v>203</v>
      </c>
      <c r="B80" s="6" t="s">
        <v>211</v>
      </c>
      <c r="C80" s="6"/>
      <c r="D80" s="7" t="s">
        <v>28</v>
      </c>
      <c r="E80" s="117">
        <v>64000</v>
      </c>
      <c r="F80" s="117">
        <v>64000</v>
      </c>
      <c r="G80" s="117">
        <v>320000</v>
      </c>
      <c r="H80" s="134">
        <v>224000</v>
      </c>
      <c r="I80" s="117">
        <v>320000</v>
      </c>
      <c r="J80" s="117">
        <v>64000</v>
      </c>
      <c r="K80" s="33">
        <v>128000</v>
      </c>
      <c r="L80" s="117">
        <v>320000</v>
      </c>
      <c r="M80" s="117">
        <v>224000</v>
      </c>
      <c r="N80" s="33">
        <f t="shared" si="2"/>
        <v>1728000</v>
      </c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17">
        <v>64000</v>
      </c>
      <c r="F81" s="117">
        <v>64000</v>
      </c>
      <c r="G81" s="117">
        <v>320000</v>
      </c>
      <c r="H81" s="134">
        <v>224000</v>
      </c>
      <c r="I81" s="117">
        <v>320000</v>
      </c>
      <c r="J81" s="117">
        <v>64000</v>
      </c>
      <c r="K81" s="33">
        <v>128000</v>
      </c>
      <c r="L81" s="117">
        <v>320000</v>
      </c>
      <c r="M81" s="117">
        <v>224000</v>
      </c>
      <c r="N81" s="33">
        <f t="shared" si="2"/>
        <v>1728000</v>
      </c>
    </row>
    <row r="82" spans="1:14">
      <c r="A82" s="5" t="s">
        <v>208</v>
      </c>
      <c r="B82" s="6" t="s">
        <v>216</v>
      </c>
      <c r="C82" s="6"/>
      <c r="D82" s="7" t="s">
        <v>28</v>
      </c>
      <c r="E82" s="117">
        <v>481440</v>
      </c>
      <c r="F82" s="117">
        <v>656080</v>
      </c>
      <c r="G82" s="117">
        <v>2463840</v>
      </c>
      <c r="H82" s="134">
        <v>1883280</v>
      </c>
      <c r="I82" s="117">
        <v>1878560</v>
      </c>
      <c r="J82" s="117">
        <v>953440</v>
      </c>
      <c r="K82" s="33">
        <v>1967840</v>
      </c>
      <c r="L82" s="117">
        <v>1548160</v>
      </c>
      <c r="M82" s="117">
        <v>1595360</v>
      </c>
      <c r="N82" s="33">
        <f t="shared" si="2"/>
        <v>13428000</v>
      </c>
    </row>
    <row r="83" spans="1:14">
      <c r="A83" s="5" t="s">
        <v>210</v>
      </c>
      <c r="B83" s="6" t="s">
        <v>218</v>
      </c>
      <c r="C83" s="6"/>
      <c r="D83" s="7" t="s">
        <v>28</v>
      </c>
      <c r="E83" s="117">
        <v>0</v>
      </c>
      <c r="F83" s="117">
        <v>0</v>
      </c>
      <c r="G83" s="117">
        <v>0</v>
      </c>
      <c r="H83" s="134">
        <v>0</v>
      </c>
      <c r="I83" s="117">
        <v>0</v>
      </c>
      <c r="J83" s="117">
        <v>0</v>
      </c>
      <c r="K83" s="33">
        <v>4320</v>
      </c>
      <c r="L83" s="117">
        <v>0</v>
      </c>
      <c r="M83" s="117">
        <v>0</v>
      </c>
      <c r="N83" s="33">
        <f t="shared" si="2"/>
        <v>4320</v>
      </c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17">
        <v>0</v>
      </c>
      <c r="F84" s="117">
        <v>0</v>
      </c>
      <c r="G84" s="117">
        <v>0</v>
      </c>
      <c r="H84" s="134">
        <v>0</v>
      </c>
      <c r="I84" s="117">
        <v>0</v>
      </c>
      <c r="J84" s="117">
        <v>0</v>
      </c>
      <c r="K84" s="33">
        <v>0</v>
      </c>
      <c r="L84" s="117">
        <v>0</v>
      </c>
      <c r="M84" s="117">
        <v>0</v>
      </c>
      <c r="N84" s="33">
        <f t="shared" si="2"/>
        <v>0</v>
      </c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17">
        <v>0</v>
      </c>
      <c r="F85" s="117">
        <v>0</v>
      </c>
      <c r="G85" s="117">
        <v>0</v>
      </c>
      <c r="H85" s="134">
        <v>0</v>
      </c>
      <c r="I85" s="117">
        <v>0</v>
      </c>
      <c r="J85" s="117">
        <v>0</v>
      </c>
      <c r="K85" s="33">
        <v>4320</v>
      </c>
      <c r="L85" s="117">
        <v>0</v>
      </c>
      <c r="M85" s="117">
        <v>0</v>
      </c>
      <c r="N85" s="33">
        <f t="shared" si="2"/>
        <v>4320</v>
      </c>
    </row>
    <row r="86" spans="1:14">
      <c r="A86" s="5" t="s">
        <v>217</v>
      </c>
      <c r="B86" s="6" t="s">
        <v>225</v>
      </c>
      <c r="C86" s="6"/>
      <c r="D86" s="7" t="s">
        <v>28</v>
      </c>
      <c r="E86" s="117">
        <v>481440</v>
      </c>
      <c r="F86" s="117">
        <v>656080</v>
      </c>
      <c r="G86" s="117">
        <v>2463840</v>
      </c>
      <c r="H86" s="134">
        <v>1883280</v>
      </c>
      <c r="I86" s="117">
        <v>1878560</v>
      </c>
      <c r="J86" s="117">
        <v>953440</v>
      </c>
      <c r="K86" s="33">
        <v>1963520</v>
      </c>
      <c r="L86" s="117">
        <v>1548160</v>
      </c>
      <c r="M86" s="117">
        <v>1595360</v>
      </c>
      <c r="N86" s="33">
        <f t="shared" si="2"/>
        <v>13423680</v>
      </c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118">
        <v>40800</v>
      </c>
      <c r="F87" s="118">
        <v>55600</v>
      </c>
      <c r="G87" s="118">
        <v>208800</v>
      </c>
      <c r="H87" s="135">
        <v>159600</v>
      </c>
      <c r="I87" s="118">
        <v>159200</v>
      </c>
      <c r="J87" s="118">
        <v>80800</v>
      </c>
      <c r="K87" s="122">
        <v>166400</v>
      </c>
      <c r="L87" s="118">
        <v>131200</v>
      </c>
      <c r="M87" s="118">
        <v>135200</v>
      </c>
      <c r="N87" s="33">
        <f t="shared" si="2"/>
        <v>1137600</v>
      </c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118">
        <v>440640</v>
      </c>
      <c r="F88" s="118">
        <v>600480</v>
      </c>
      <c r="G88" s="118">
        <v>2255040</v>
      </c>
      <c r="H88" s="135">
        <v>1723680</v>
      </c>
      <c r="I88" s="118">
        <v>1719360</v>
      </c>
      <c r="J88" s="118">
        <v>872640</v>
      </c>
      <c r="K88" s="122">
        <v>1797120</v>
      </c>
      <c r="L88" s="118">
        <v>1416960</v>
      </c>
      <c r="M88" s="118">
        <v>1460160</v>
      </c>
      <c r="N88" s="33">
        <f t="shared" si="2"/>
        <v>12286080</v>
      </c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117">
        <v>0</v>
      </c>
      <c r="F89" s="117">
        <v>0</v>
      </c>
      <c r="G89" s="117">
        <v>0</v>
      </c>
      <c r="H89" s="134">
        <v>0</v>
      </c>
      <c r="I89" s="117">
        <v>0</v>
      </c>
      <c r="J89" s="117">
        <v>0</v>
      </c>
      <c r="K89" s="33">
        <v>0</v>
      </c>
      <c r="L89" s="117">
        <v>0</v>
      </c>
      <c r="M89" s="117">
        <v>0</v>
      </c>
      <c r="N89" s="33">
        <f t="shared" si="2"/>
        <v>0</v>
      </c>
    </row>
    <row r="90" spans="1:14">
      <c r="A90" s="5" t="s">
        <v>226</v>
      </c>
      <c r="B90" s="6" t="s">
        <v>235</v>
      </c>
      <c r="C90" s="6"/>
      <c r="D90" s="7" t="s">
        <v>28</v>
      </c>
      <c r="E90" s="117">
        <v>106000</v>
      </c>
      <c r="F90" s="117">
        <v>160000</v>
      </c>
      <c r="G90" s="117">
        <v>370000</v>
      </c>
      <c r="H90" s="134">
        <v>404000</v>
      </c>
      <c r="I90" s="117">
        <v>313000</v>
      </c>
      <c r="J90" s="117">
        <v>352000</v>
      </c>
      <c r="K90" s="33">
        <v>160000</v>
      </c>
      <c r="L90" s="117">
        <v>192000</v>
      </c>
      <c r="M90" s="117">
        <v>106000</v>
      </c>
      <c r="N90" s="33">
        <f t="shared" si="2"/>
        <v>2163000</v>
      </c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117">
        <v>106000</v>
      </c>
      <c r="F91" s="117">
        <v>160000</v>
      </c>
      <c r="G91" s="117">
        <v>370000</v>
      </c>
      <c r="H91" s="134">
        <v>404000</v>
      </c>
      <c r="I91" s="117">
        <v>313000</v>
      </c>
      <c r="J91" s="117">
        <v>352000</v>
      </c>
      <c r="K91" s="33">
        <v>160000</v>
      </c>
      <c r="L91" s="117">
        <v>192000</v>
      </c>
      <c r="M91" s="117">
        <v>106000</v>
      </c>
      <c r="N91" s="33">
        <f t="shared" si="2"/>
        <v>2163000</v>
      </c>
    </row>
    <row r="92" spans="1:14" ht="12" thickTop="1">
      <c r="A92" s="5" t="s">
        <v>232</v>
      </c>
      <c r="B92" s="28" t="s">
        <v>240</v>
      </c>
      <c r="C92" s="28"/>
      <c r="D92" s="29"/>
      <c r="E92" s="117">
        <v>0</v>
      </c>
      <c r="F92" s="117">
        <v>0</v>
      </c>
      <c r="G92" s="117">
        <v>0</v>
      </c>
      <c r="H92" s="134">
        <v>0</v>
      </c>
      <c r="I92" s="117">
        <v>0</v>
      </c>
      <c r="J92" s="117">
        <v>0</v>
      </c>
      <c r="K92" s="33">
        <v>0</v>
      </c>
      <c r="L92" s="117">
        <v>0</v>
      </c>
      <c r="M92" s="117">
        <v>0</v>
      </c>
      <c r="N92" s="123">
        <f t="shared" si="2"/>
        <v>0</v>
      </c>
    </row>
    <row r="93" spans="1:14" ht="22.5">
      <c r="A93" s="5" t="s">
        <v>234</v>
      </c>
      <c r="B93" s="6" t="s">
        <v>242</v>
      </c>
      <c r="C93" s="6"/>
      <c r="D93" s="7" t="s">
        <v>243</v>
      </c>
      <c r="E93" s="117">
        <v>271</v>
      </c>
      <c r="F93" s="117">
        <v>284</v>
      </c>
      <c r="G93" s="117">
        <v>1715</v>
      </c>
      <c r="H93" s="134">
        <v>1012</v>
      </c>
      <c r="I93" s="117">
        <v>949</v>
      </c>
      <c r="J93" s="117">
        <v>662</v>
      </c>
      <c r="K93" s="33">
        <v>587</v>
      </c>
      <c r="L93" s="117">
        <v>1071</v>
      </c>
      <c r="M93" s="117">
        <v>593</v>
      </c>
      <c r="N93" s="123">
        <f t="shared" si="2"/>
        <v>7144</v>
      </c>
    </row>
    <row r="94" spans="1:14">
      <c r="A94" s="5" t="s">
        <v>236</v>
      </c>
      <c r="B94" s="32" t="s">
        <v>245</v>
      </c>
      <c r="C94" s="32"/>
      <c r="D94" s="15"/>
      <c r="E94" s="117">
        <v>55</v>
      </c>
      <c r="F94" s="117">
        <v>80</v>
      </c>
      <c r="G94" s="117">
        <v>589</v>
      </c>
      <c r="H94" s="134">
        <v>285</v>
      </c>
      <c r="I94" s="117">
        <v>279</v>
      </c>
      <c r="J94" s="117">
        <v>185</v>
      </c>
      <c r="K94" s="33">
        <v>198</v>
      </c>
      <c r="L94" s="117">
        <v>403</v>
      </c>
      <c r="M94" s="117">
        <v>196</v>
      </c>
      <c r="N94" s="123">
        <f t="shared" si="2"/>
        <v>2270</v>
      </c>
    </row>
    <row r="95" spans="1:14">
      <c r="A95" s="5" t="s">
        <v>239</v>
      </c>
      <c r="B95" s="32" t="s">
        <v>247</v>
      </c>
      <c r="C95" s="32"/>
      <c r="D95" s="7"/>
      <c r="E95" s="117">
        <v>66</v>
      </c>
      <c r="F95" s="117">
        <v>100</v>
      </c>
      <c r="G95" s="117">
        <v>734</v>
      </c>
      <c r="H95" s="134">
        <v>410</v>
      </c>
      <c r="I95" s="117">
        <v>336</v>
      </c>
      <c r="J95" s="117">
        <v>274</v>
      </c>
      <c r="K95" s="33">
        <v>214</v>
      </c>
      <c r="L95" s="117">
        <v>427</v>
      </c>
      <c r="M95" s="117">
        <v>210</v>
      </c>
      <c r="N95" s="123">
        <f t="shared" si="2"/>
        <v>2771</v>
      </c>
    </row>
    <row r="96" spans="1:14">
      <c r="A96" s="5" t="s">
        <v>241</v>
      </c>
      <c r="B96" s="32" t="s">
        <v>249</v>
      </c>
      <c r="C96" s="32"/>
      <c r="D96" s="15"/>
      <c r="E96" s="117">
        <v>144</v>
      </c>
      <c r="F96" s="117">
        <v>99</v>
      </c>
      <c r="G96" s="117">
        <v>385</v>
      </c>
      <c r="H96" s="134">
        <v>311</v>
      </c>
      <c r="I96" s="117">
        <v>330</v>
      </c>
      <c r="J96" s="117">
        <v>195</v>
      </c>
      <c r="K96" s="33">
        <v>168</v>
      </c>
      <c r="L96" s="117">
        <v>236</v>
      </c>
      <c r="M96" s="117">
        <v>186</v>
      </c>
      <c r="N96" s="123">
        <f t="shared" si="2"/>
        <v>2054</v>
      </c>
    </row>
    <row r="97" spans="1:14">
      <c r="A97" s="5" t="s">
        <v>244</v>
      </c>
      <c r="B97" s="32" t="s">
        <v>251</v>
      </c>
      <c r="C97" s="32"/>
      <c r="D97" s="15"/>
      <c r="E97" s="117">
        <v>6</v>
      </c>
      <c r="F97" s="117">
        <v>5</v>
      </c>
      <c r="G97" s="117">
        <v>7</v>
      </c>
      <c r="H97" s="134">
        <v>6</v>
      </c>
      <c r="I97" s="117">
        <v>4</v>
      </c>
      <c r="J97" s="117">
        <v>8</v>
      </c>
      <c r="K97" s="33">
        <v>7</v>
      </c>
      <c r="L97" s="117">
        <v>5</v>
      </c>
      <c r="M97" s="117">
        <v>1</v>
      </c>
      <c r="N97" s="123">
        <f t="shared" si="2"/>
        <v>49</v>
      </c>
    </row>
    <row r="98" spans="1:14" ht="22.5">
      <c r="A98" s="5" t="s">
        <v>246</v>
      </c>
      <c r="B98" s="6" t="s">
        <v>253</v>
      </c>
      <c r="C98" s="6"/>
      <c r="D98" s="7" t="s">
        <v>254</v>
      </c>
      <c r="E98" s="117">
        <v>2901</v>
      </c>
      <c r="F98" s="117">
        <v>3148</v>
      </c>
      <c r="G98" s="117">
        <v>23120</v>
      </c>
      <c r="H98" s="134">
        <v>13841</v>
      </c>
      <c r="I98" s="117">
        <v>10640</v>
      </c>
      <c r="J98" s="117">
        <v>8603</v>
      </c>
      <c r="K98" s="33">
        <v>7282</v>
      </c>
      <c r="L98" s="117">
        <v>13256</v>
      </c>
      <c r="M98" s="117">
        <v>6367</v>
      </c>
      <c r="N98" s="123">
        <f t="shared" si="2"/>
        <v>89158</v>
      </c>
    </row>
    <row r="99" spans="1:14">
      <c r="A99" s="5" t="s">
        <v>248</v>
      </c>
      <c r="B99" s="32" t="s">
        <v>245</v>
      </c>
      <c r="C99" s="32"/>
      <c r="D99" s="15"/>
      <c r="E99" s="117">
        <v>593</v>
      </c>
      <c r="F99" s="117">
        <v>688</v>
      </c>
      <c r="G99" s="117">
        <v>7183</v>
      </c>
      <c r="H99" s="134">
        <v>3376</v>
      </c>
      <c r="I99" s="117">
        <v>2948</v>
      </c>
      <c r="J99" s="117">
        <v>2047</v>
      </c>
      <c r="K99" s="33">
        <v>2435</v>
      </c>
      <c r="L99" s="117">
        <v>3640</v>
      </c>
      <c r="M99" s="117">
        <v>1708</v>
      </c>
      <c r="N99" s="123">
        <f t="shared" si="2"/>
        <v>24618</v>
      </c>
    </row>
    <row r="100" spans="1:14">
      <c r="A100" s="5" t="s">
        <v>250</v>
      </c>
      <c r="B100" s="32" t="s">
        <v>247</v>
      </c>
      <c r="C100" s="32"/>
      <c r="D100" s="7"/>
      <c r="E100" s="117">
        <v>816</v>
      </c>
      <c r="F100" s="117">
        <v>1361</v>
      </c>
      <c r="G100" s="117">
        <v>11593</v>
      </c>
      <c r="H100" s="134">
        <v>6220</v>
      </c>
      <c r="I100" s="117">
        <v>3921</v>
      </c>
      <c r="J100" s="117">
        <v>3871</v>
      </c>
      <c r="K100" s="33">
        <v>2906</v>
      </c>
      <c r="L100" s="117">
        <v>6831</v>
      </c>
      <c r="M100" s="117">
        <v>2937</v>
      </c>
      <c r="N100" s="123">
        <f t="shared" si="2"/>
        <v>40456</v>
      </c>
    </row>
    <row r="101" spans="1:14">
      <c r="A101" s="5" t="s">
        <v>252</v>
      </c>
      <c r="B101" s="32" t="s">
        <v>249</v>
      </c>
      <c r="C101" s="32"/>
      <c r="D101" s="15"/>
      <c r="E101" s="117">
        <v>1492</v>
      </c>
      <c r="F101" s="117">
        <v>1099</v>
      </c>
      <c r="G101" s="117">
        <v>4344</v>
      </c>
      <c r="H101" s="134">
        <v>4245</v>
      </c>
      <c r="I101" s="117">
        <v>3771</v>
      </c>
      <c r="J101" s="117">
        <v>2685</v>
      </c>
      <c r="K101" s="33">
        <v>1941</v>
      </c>
      <c r="L101" s="117">
        <v>2785</v>
      </c>
      <c r="M101" s="117">
        <v>1722</v>
      </c>
      <c r="N101" s="123">
        <f t="shared" si="2"/>
        <v>24084</v>
      </c>
    </row>
    <row r="102" spans="1:14">
      <c r="A102" s="5" t="s">
        <v>255</v>
      </c>
      <c r="B102" s="32" t="s">
        <v>251</v>
      </c>
      <c r="C102" s="32"/>
      <c r="D102" s="15"/>
      <c r="E102" s="117">
        <v>0</v>
      </c>
      <c r="F102" s="117">
        <v>0</v>
      </c>
      <c r="G102" s="117">
        <v>0</v>
      </c>
      <c r="H102" s="134">
        <v>0</v>
      </c>
      <c r="I102" s="117">
        <v>0</v>
      </c>
      <c r="J102" s="117">
        <v>0</v>
      </c>
      <c r="K102" s="33">
        <v>0</v>
      </c>
      <c r="L102" s="117">
        <v>0</v>
      </c>
      <c r="M102" s="117">
        <v>0</v>
      </c>
      <c r="N102" s="123">
        <f t="shared" si="2"/>
        <v>0</v>
      </c>
    </row>
    <row r="103" spans="1:14">
      <c r="A103" s="5" t="s">
        <v>256</v>
      </c>
      <c r="B103" s="6" t="s">
        <v>260</v>
      </c>
      <c r="C103" s="6"/>
      <c r="D103" s="20"/>
      <c r="E103" s="117">
        <v>0</v>
      </c>
      <c r="F103" s="117">
        <v>0</v>
      </c>
      <c r="G103" s="117">
        <v>0</v>
      </c>
      <c r="H103" s="134">
        <v>0</v>
      </c>
      <c r="I103" s="117">
        <v>0</v>
      </c>
      <c r="J103" s="117">
        <v>0</v>
      </c>
      <c r="K103" s="33">
        <v>1</v>
      </c>
      <c r="L103" s="117">
        <v>0</v>
      </c>
      <c r="M103" s="117">
        <v>0</v>
      </c>
      <c r="N103" s="123">
        <f t="shared" si="2"/>
        <v>1</v>
      </c>
    </row>
    <row r="104" spans="1:14">
      <c r="A104" s="5" t="s">
        <v>257</v>
      </c>
      <c r="B104" s="6" t="s">
        <v>261</v>
      </c>
      <c r="C104" s="6"/>
      <c r="D104" s="7"/>
      <c r="E104" s="117">
        <v>102</v>
      </c>
      <c r="F104" s="117">
        <v>139</v>
      </c>
      <c r="G104" s="117">
        <v>522</v>
      </c>
      <c r="H104" s="134">
        <v>399</v>
      </c>
      <c r="I104" s="117">
        <v>398</v>
      </c>
      <c r="J104" s="117">
        <v>202</v>
      </c>
      <c r="K104" s="33">
        <v>416</v>
      </c>
      <c r="L104" s="117">
        <v>328</v>
      </c>
      <c r="M104" s="117">
        <v>338</v>
      </c>
      <c r="N104" s="123">
        <f t="shared" si="2"/>
        <v>2844</v>
      </c>
    </row>
    <row r="105" spans="1:14">
      <c r="A105" s="5" t="s">
        <v>258</v>
      </c>
      <c r="B105" s="32" t="s">
        <v>262</v>
      </c>
      <c r="C105" s="32"/>
      <c r="D105" s="20"/>
      <c r="E105" s="117">
        <v>54731.920000000006</v>
      </c>
      <c r="F105" s="117">
        <v>87153.91</v>
      </c>
      <c r="G105" s="117">
        <v>240995.37999999998</v>
      </c>
      <c r="H105" s="134">
        <v>280263.55000000005</v>
      </c>
      <c r="I105" s="117">
        <v>177936.23</v>
      </c>
      <c r="J105" s="117">
        <v>141174.47999999998</v>
      </c>
      <c r="K105" s="33">
        <v>91156.37999999999</v>
      </c>
      <c r="L105" s="117">
        <v>210929.47000000003</v>
      </c>
      <c r="M105" s="117">
        <v>99990.719999999987</v>
      </c>
      <c r="N105" s="33">
        <f t="shared" si="2"/>
        <v>1384332.0399999998</v>
      </c>
    </row>
    <row r="106" spans="1:14">
      <c r="A106" s="5" t="s">
        <v>259</v>
      </c>
      <c r="B106" s="32" t="s">
        <v>263</v>
      </c>
      <c r="C106" s="32"/>
      <c r="D106" s="20"/>
      <c r="E106" s="33">
        <v>26949</v>
      </c>
      <c r="F106" s="33">
        <v>52069</v>
      </c>
      <c r="G106" s="33">
        <v>112257.7</v>
      </c>
      <c r="H106" s="136">
        <v>163062.88999999998</v>
      </c>
      <c r="I106" s="33">
        <v>88290.2</v>
      </c>
      <c r="J106" s="33">
        <v>75146.3</v>
      </c>
      <c r="K106" s="33">
        <v>66948.600000000006</v>
      </c>
      <c r="L106" s="33">
        <v>129073</v>
      </c>
      <c r="M106" s="33">
        <v>41291.56</v>
      </c>
      <c r="N106" s="33">
        <f t="shared" si="2"/>
        <v>755088.25</v>
      </c>
    </row>
    <row r="107" spans="1:14">
      <c r="E107" s="1">
        <f>E4/E93</f>
        <v>339125.36564575648</v>
      </c>
      <c r="F107" s="1">
        <f t="shared" ref="F107:N107" si="3">F4/F93</f>
        <v>339683.66221830988</v>
      </c>
      <c r="G107" s="1">
        <f t="shared" si="3"/>
        <v>342812.64962099126</v>
      </c>
      <c r="H107" s="1">
        <f t="shared" si="3"/>
        <v>332125.82197628461</v>
      </c>
      <c r="I107" s="1">
        <f t="shared" si="3"/>
        <v>337037.19229715492</v>
      </c>
      <c r="J107" s="1">
        <f t="shared" si="3"/>
        <v>338868.77250755287</v>
      </c>
      <c r="K107" s="1">
        <f t="shared" si="3"/>
        <v>347377.01085178874</v>
      </c>
      <c r="L107" s="1">
        <f t="shared" si="3"/>
        <v>340809.47637721756</v>
      </c>
      <c r="M107" s="1">
        <f t="shared" si="3"/>
        <v>341163.79136593593</v>
      </c>
      <c r="N107" s="1">
        <f t="shared" si="3"/>
        <v>339839.72086226207</v>
      </c>
    </row>
  </sheetData>
  <protectedRanges>
    <protectedRange password="E9C1" sqref="D28 A2:D5 B6:D2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30"/>
  <sheetViews>
    <sheetView workbookViewId="0">
      <pane xSplit="2" ySplit="3" topLeftCell="C52" activePane="bottomRight" state="frozen"/>
      <selection pane="topRight" activeCell="C1" sqref="C1"/>
      <selection pane="bottomLeft" activeCell="A4" sqref="A4"/>
      <selection pane="bottomRight" activeCell="H3" sqref="H1:H1048576"/>
    </sheetView>
  </sheetViews>
  <sheetFormatPr defaultRowHeight="13.5"/>
  <cols>
    <col min="1" max="1" width="0" hidden="1" customWidth="1"/>
    <col min="2" max="2" width="25.625" customWidth="1"/>
    <col min="3" max="3" width="6.5" customWidth="1"/>
    <col min="6" max="6" width="12.875" customWidth="1"/>
    <col min="7" max="7" width="13" style="155" customWidth="1"/>
    <col min="8" max="8" width="10.5" bestFit="1" customWidth="1"/>
    <col min="9" max="9" width="12.25" bestFit="1" customWidth="1"/>
    <col min="10" max="10" width="12.375" customWidth="1"/>
    <col min="11" max="12" width="10.5" bestFit="1" customWidth="1"/>
    <col min="13" max="13" width="15" bestFit="1" customWidth="1"/>
    <col min="14" max="14" width="12.125" customWidth="1"/>
    <col min="15" max="15" width="12.25" customWidth="1"/>
    <col min="16" max="16" width="10.5" bestFit="1" customWidth="1"/>
    <col min="17" max="17" width="11.625" bestFit="1" customWidth="1"/>
  </cols>
  <sheetData>
    <row r="1" spans="1:17" ht="20.25">
      <c r="A1" s="366" t="s">
        <v>663</v>
      </c>
      <c r="B1" s="367"/>
      <c r="C1" s="367"/>
      <c r="D1" s="367"/>
      <c r="E1" s="367"/>
      <c r="F1" s="367"/>
      <c r="G1" s="367"/>
      <c r="H1" s="367"/>
      <c r="I1" s="367"/>
      <c r="J1" s="367"/>
      <c r="K1" s="367"/>
      <c r="L1" s="367"/>
      <c r="M1" s="367"/>
      <c r="N1" s="367"/>
      <c r="O1" s="367"/>
      <c r="P1" s="367"/>
      <c r="Q1" s="367"/>
    </row>
    <row r="2" spans="1:17" s="155" customFormat="1">
      <c r="A2" s="368" t="s">
        <v>593</v>
      </c>
      <c r="B2" s="370" t="s">
        <v>634</v>
      </c>
      <c r="C2" s="370" t="s">
        <v>1</v>
      </c>
      <c r="D2" s="371" t="s">
        <v>635</v>
      </c>
      <c r="E2" s="372" t="s">
        <v>636</v>
      </c>
      <c r="F2" s="364" t="s">
        <v>652</v>
      </c>
      <c r="G2" s="365"/>
      <c r="H2" s="365"/>
      <c r="I2" s="365"/>
      <c r="J2" s="364" t="s">
        <v>651</v>
      </c>
      <c r="K2" s="365"/>
      <c r="L2" s="365"/>
      <c r="M2" s="365"/>
      <c r="N2" s="364" t="s">
        <v>665</v>
      </c>
      <c r="O2" s="365"/>
      <c r="P2" s="365"/>
      <c r="Q2" s="365"/>
    </row>
    <row r="3" spans="1:17" ht="22.5">
      <c r="A3" s="369"/>
      <c r="B3" s="369"/>
      <c r="C3" s="369"/>
      <c r="D3" s="369"/>
      <c r="E3" s="369"/>
      <c r="F3" s="158" t="s">
        <v>653</v>
      </c>
      <c r="G3" s="157" t="s">
        <v>650</v>
      </c>
      <c r="H3" s="160" t="s">
        <v>637</v>
      </c>
      <c r="I3" s="160" t="s">
        <v>638</v>
      </c>
      <c r="J3" s="158" t="s">
        <v>653</v>
      </c>
      <c r="K3" s="157" t="s">
        <v>650</v>
      </c>
      <c r="L3" s="160" t="s">
        <v>637</v>
      </c>
      <c r="M3" s="160" t="s">
        <v>638</v>
      </c>
      <c r="N3" s="158" t="s">
        <v>653</v>
      </c>
      <c r="O3" s="157" t="s">
        <v>650</v>
      </c>
      <c r="P3" s="160" t="s">
        <v>637</v>
      </c>
      <c r="Q3" s="160" t="s">
        <v>638</v>
      </c>
    </row>
    <row r="4" spans="1:17" s="161" customFormat="1" ht="20.100000000000001" customHeight="1">
      <c r="A4" s="160" t="s">
        <v>534</v>
      </c>
      <c r="B4" s="159" t="s">
        <v>460</v>
      </c>
      <c r="C4" s="159">
        <v>1</v>
      </c>
      <c r="D4" s="159" t="s">
        <v>639</v>
      </c>
      <c r="E4" s="159" t="s">
        <v>377</v>
      </c>
      <c r="F4" s="165">
        <v>23856797</v>
      </c>
      <c r="G4" s="165">
        <v>593664</v>
      </c>
      <c r="H4" s="164">
        <v>777582</v>
      </c>
      <c r="I4" s="164">
        <f>F4+H4</f>
        <v>24634379</v>
      </c>
      <c r="J4" s="166">
        <v>23983700</v>
      </c>
      <c r="K4" s="166">
        <v>472944</v>
      </c>
      <c r="L4" s="166">
        <v>575905.04</v>
      </c>
      <c r="M4" s="166">
        <f>J4+L4</f>
        <v>24559605.039999999</v>
      </c>
      <c r="N4" s="166">
        <f>F4-J4</f>
        <v>-126903</v>
      </c>
      <c r="O4" s="166">
        <f t="shared" ref="O4:Q21" si="0">G4-K4</f>
        <v>120720</v>
      </c>
      <c r="P4" s="166">
        <f t="shared" si="0"/>
        <v>201676.95999999996</v>
      </c>
      <c r="Q4" s="166">
        <f t="shared" si="0"/>
        <v>74773.960000000894</v>
      </c>
    </row>
    <row r="5" spans="1:17" s="161" customFormat="1" ht="20.100000000000001" customHeight="1">
      <c r="A5" s="152" t="s">
        <v>534</v>
      </c>
      <c r="B5" s="159" t="s">
        <v>465</v>
      </c>
      <c r="C5" s="159">
        <v>2</v>
      </c>
      <c r="D5" s="159" t="s">
        <v>640</v>
      </c>
      <c r="E5" s="159" t="s">
        <v>641</v>
      </c>
      <c r="F5" s="165">
        <v>1240500</v>
      </c>
      <c r="G5" s="165">
        <v>0</v>
      </c>
      <c r="H5" s="164"/>
      <c r="I5" s="164">
        <f t="shared" ref="I5:I72" si="1">F5+H5</f>
        <v>1240500</v>
      </c>
      <c r="J5" s="166">
        <v>1099200</v>
      </c>
      <c r="K5" s="166"/>
      <c r="L5" s="166"/>
      <c r="M5" s="166">
        <f t="shared" ref="M5:M72" si="2">J5+L5</f>
        <v>1099200</v>
      </c>
      <c r="N5" s="166">
        <f t="shared" ref="N5:Q72" si="3">F5-J5</f>
        <v>141300</v>
      </c>
      <c r="O5" s="166">
        <f t="shared" si="0"/>
        <v>0</v>
      </c>
      <c r="P5" s="166">
        <f t="shared" si="0"/>
        <v>0</v>
      </c>
      <c r="Q5" s="166">
        <f t="shared" si="0"/>
        <v>141300</v>
      </c>
    </row>
    <row r="6" spans="1:17" s="161" customFormat="1" ht="20.100000000000001" customHeight="1">
      <c r="A6" s="152" t="s">
        <v>534</v>
      </c>
      <c r="B6" s="159" t="s">
        <v>462</v>
      </c>
      <c r="C6" s="159">
        <v>3</v>
      </c>
      <c r="D6" s="159" t="s">
        <v>640</v>
      </c>
      <c r="E6" s="159" t="s">
        <v>382</v>
      </c>
      <c r="F6" s="165">
        <v>11814609</v>
      </c>
      <c r="G6" s="165">
        <v>511984</v>
      </c>
      <c r="H6" s="164"/>
      <c r="I6" s="164">
        <f t="shared" si="1"/>
        <v>11814609</v>
      </c>
      <c r="J6" s="166">
        <v>12179300</v>
      </c>
      <c r="K6" s="166">
        <v>386224</v>
      </c>
      <c r="L6" s="166"/>
      <c r="M6" s="166">
        <f t="shared" si="2"/>
        <v>12179300</v>
      </c>
      <c r="N6" s="166">
        <f t="shared" si="3"/>
        <v>-364691</v>
      </c>
      <c r="O6" s="166">
        <f t="shared" si="0"/>
        <v>125760</v>
      </c>
      <c r="P6" s="166">
        <f t="shared" si="0"/>
        <v>0</v>
      </c>
      <c r="Q6" s="166">
        <f t="shared" si="0"/>
        <v>-364691</v>
      </c>
    </row>
    <row r="7" spans="1:17" s="161" customFormat="1" ht="20.100000000000001" customHeight="1">
      <c r="A7" s="152" t="s">
        <v>534</v>
      </c>
      <c r="B7" s="159" t="s">
        <v>463</v>
      </c>
      <c r="C7" s="159">
        <v>4</v>
      </c>
      <c r="D7" s="159" t="s">
        <v>640</v>
      </c>
      <c r="E7" s="159" t="s">
        <v>382</v>
      </c>
      <c r="F7" s="165">
        <v>7907779</v>
      </c>
      <c r="G7" s="165">
        <v>246344</v>
      </c>
      <c r="H7" s="164"/>
      <c r="I7" s="164">
        <f t="shared" si="1"/>
        <v>7907779</v>
      </c>
      <c r="J7" s="166">
        <v>8267700</v>
      </c>
      <c r="K7" s="166">
        <v>186344</v>
      </c>
      <c r="L7" s="166"/>
      <c r="M7" s="166">
        <f t="shared" si="2"/>
        <v>8267700</v>
      </c>
      <c r="N7" s="166">
        <f t="shared" si="3"/>
        <v>-359921</v>
      </c>
      <c r="O7" s="166">
        <f t="shared" si="0"/>
        <v>60000</v>
      </c>
      <c r="P7" s="166">
        <f t="shared" si="0"/>
        <v>0</v>
      </c>
      <c r="Q7" s="166">
        <f t="shared" si="0"/>
        <v>-359921</v>
      </c>
    </row>
    <row r="8" spans="1:17" s="161" customFormat="1" ht="20.100000000000001" customHeight="1">
      <c r="A8" s="152" t="s">
        <v>534</v>
      </c>
      <c r="B8" s="158" t="s">
        <v>464</v>
      </c>
      <c r="C8" s="159">
        <v>5</v>
      </c>
      <c r="D8" s="159" t="s">
        <v>640</v>
      </c>
      <c r="E8" s="159" t="s">
        <v>382</v>
      </c>
      <c r="F8" s="165">
        <v>4131563</v>
      </c>
      <c r="G8" s="165">
        <v>0</v>
      </c>
      <c r="H8" s="164"/>
      <c r="I8" s="164">
        <f t="shared" si="1"/>
        <v>4131563</v>
      </c>
      <c r="J8" s="166">
        <v>4356100</v>
      </c>
      <c r="K8" s="166"/>
      <c r="L8" s="166"/>
      <c r="M8" s="166">
        <f t="shared" si="2"/>
        <v>4356100</v>
      </c>
      <c r="N8" s="166">
        <f t="shared" si="3"/>
        <v>-224537</v>
      </c>
      <c r="O8" s="166">
        <f t="shared" si="0"/>
        <v>0</v>
      </c>
      <c r="P8" s="166">
        <f t="shared" si="0"/>
        <v>0</v>
      </c>
      <c r="Q8" s="166">
        <f t="shared" si="0"/>
        <v>-224537</v>
      </c>
    </row>
    <row r="9" spans="1:17" s="161" customFormat="1" ht="20.100000000000001" customHeight="1">
      <c r="A9" s="152"/>
      <c r="B9" s="158" t="s">
        <v>654</v>
      </c>
      <c r="C9" s="159"/>
      <c r="D9" s="159"/>
      <c r="E9" s="159"/>
      <c r="F9" s="165">
        <f>SUM(F4:F8)</f>
        <v>48951248</v>
      </c>
      <c r="G9" s="165">
        <f t="shared" ref="G9:Q9" si="4">SUM(G4:G8)</f>
        <v>1351992</v>
      </c>
      <c r="H9" s="165">
        <f t="shared" si="4"/>
        <v>777582</v>
      </c>
      <c r="I9" s="165">
        <f t="shared" si="4"/>
        <v>49728830</v>
      </c>
      <c r="J9" s="165">
        <f t="shared" si="4"/>
        <v>49886000</v>
      </c>
      <c r="K9" s="165">
        <f t="shared" si="4"/>
        <v>1045512</v>
      </c>
      <c r="L9" s="165">
        <f t="shared" si="4"/>
        <v>575905.04</v>
      </c>
      <c r="M9" s="165">
        <f t="shared" si="4"/>
        <v>50461905.039999999</v>
      </c>
      <c r="N9" s="165">
        <f t="shared" si="4"/>
        <v>-934752</v>
      </c>
      <c r="O9" s="165">
        <f t="shared" si="4"/>
        <v>306480</v>
      </c>
      <c r="P9" s="165">
        <f t="shared" si="4"/>
        <v>201676.95999999996</v>
      </c>
      <c r="Q9" s="165">
        <f t="shared" si="4"/>
        <v>-733075.03999999911</v>
      </c>
    </row>
    <row r="10" spans="1:17" s="161" customFormat="1" ht="20.100000000000001" customHeight="1">
      <c r="A10" s="152" t="s">
        <v>535</v>
      </c>
      <c r="B10" s="159" t="s">
        <v>467</v>
      </c>
      <c r="C10" s="159">
        <v>1</v>
      </c>
      <c r="D10" s="159" t="s">
        <v>639</v>
      </c>
      <c r="E10" s="159" t="s">
        <v>374</v>
      </c>
      <c r="F10" s="165">
        <v>15683791</v>
      </c>
      <c r="G10" s="165">
        <v>612516</v>
      </c>
      <c r="H10" s="164">
        <v>712434.5</v>
      </c>
      <c r="I10" s="164">
        <f t="shared" si="1"/>
        <v>16396225.5</v>
      </c>
      <c r="J10" s="166">
        <v>15536000</v>
      </c>
      <c r="K10" s="166">
        <v>502516</v>
      </c>
      <c r="L10" s="166">
        <v>281208.42</v>
      </c>
      <c r="M10" s="166">
        <f t="shared" si="2"/>
        <v>15817208.42</v>
      </c>
      <c r="N10" s="166">
        <f t="shared" si="3"/>
        <v>147791</v>
      </c>
      <c r="O10" s="166">
        <f t="shared" si="0"/>
        <v>110000</v>
      </c>
      <c r="P10" s="166">
        <f t="shared" si="0"/>
        <v>431226.08</v>
      </c>
      <c r="Q10" s="166">
        <f t="shared" si="0"/>
        <v>579017.08000000007</v>
      </c>
    </row>
    <row r="11" spans="1:17" s="161" customFormat="1" ht="20.100000000000001" customHeight="1">
      <c r="A11" s="152" t="s">
        <v>535</v>
      </c>
      <c r="B11" s="159" t="s">
        <v>329</v>
      </c>
      <c r="C11" s="159">
        <v>2</v>
      </c>
      <c r="D11" s="159" t="s">
        <v>639</v>
      </c>
      <c r="E11" s="159" t="s">
        <v>379</v>
      </c>
      <c r="F11" s="165">
        <v>12725191</v>
      </c>
      <c r="G11" s="165">
        <v>556056</v>
      </c>
      <c r="H11" s="164">
        <v>475539</v>
      </c>
      <c r="I11" s="164">
        <f t="shared" si="1"/>
        <v>13200730</v>
      </c>
      <c r="J11" s="166">
        <v>13108500</v>
      </c>
      <c r="K11" s="166">
        <v>436056</v>
      </c>
      <c r="L11" s="166">
        <v>386252.85</v>
      </c>
      <c r="M11" s="166">
        <f t="shared" si="2"/>
        <v>13494752.85</v>
      </c>
      <c r="N11" s="166">
        <f t="shared" si="3"/>
        <v>-383309</v>
      </c>
      <c r="O11" s="166">
        <f t="shared" si="0"/>
        <v>120000</v>
      </c>
      <c r="P11" s="166">
        <f t="shared" si="0"/>
        <v>89286.150000000023</v>
      </c>
      <c r="Q11" s="166">
        <f t="shared" si="0"/>
        <v>-294022.84999999963</v>
      </c>
    </row>
    <row r="12" spans="1:17" s="161" customFormat="1" ht="20.100000000000001" customHeight="1">
      <c r="A12" s="152" t="s">
        <v>535</v>
      </c>
      <c r="B12" s="159" t="s">
        <v>330</v>
      </c>
      <c r="C12" s="159">
        <v>3</v>
      </c>
      <c r="D12" s="159" t="s">
        <v>639</v>
      </c>
      <c r="E12" s="159" t="s">
        <v>379</v>
      </c>
      <c r="F12" s="165">
        <v>4851800</v>
      </c>
      <c r="G12" s="165">
        <v>239312</v>
      </c>
      <c r="H12" s="164">
        <v>218234.5</v>
      </c>
      <c r="I12" s="164">
        <f t="shared" si="1"/>
        <v>5070034.5</v>
      </c>
      <c r="J12" s="166">
        <v>5146300</v>
      </c>
      <c r="K12" s="166">
        <v>178592</v>
      </c>
      <c r="L12" s="166">
        <v>170033</v>
      </c>
      <c r="M12" s="166">
        <f t="shared" si="2"/>
        <v>5316333</v>
      </c>
      <c r="N12" s="166">
        <f t="shared" si="3"/>
        <v>-294500</v>
      </c>
      <c r="O12" s="166">
        <f t="shared" si="0"/>
        <v>60720</v>
      </c>
      <c r="P12" s="166">
        <f t="shared" si="0"/>
        <v>48201.5</v>
      </c>
      <c r="Q12" s="166">
        <f t="shared" si="0"/>
        <v>-246298.5</v>
      </c>
    </row>
    <row r="13" spans="1:17" s="161" customFormat="1" ht="20.100000000000001" customHeight="1">
      <c r="A13" s="152" t="s">
        <v>535</v>
      </c>
      <c r="B13" s="159" t="s">
        <v>334</v>
      </c>
      <c r="C13" s="159">
        <v>4</v>
      </c>
      <c r="D13" s="159" t="s">
        <v>640</v>
      </c>
      <c r="E13" s="159" t="s">
        <v>641</v>
      </c>
      <c r="F13" s="165">
        <v>1050000</v>
      </c>
      <c r="G13" s="165">
        <v>0</v>
      </c>
      <c r="H13" s="164"/>
      <c r="I13" s="164">
        <f t="shared" si="1"/>
        <v>1050000</v>
      </c>
      <c r="J13" s="166">
        <v>916000</v>
      </c>
      <c r="K13" s="166"/>
      <c r="L13" s="166"/>
      <c r="M13" s="166">
        <f t="shared" si="2"/>
        <v>916000</v>
      </c>
      <c r="N13" s="166">
        <f t="shared" si="3"/>
        <v>134000</v>
      </c>
      <c r="O13" s="166">
        <f t="shared" si="0"/>
        <v>0</v>
      </c>
      <c r="P13" s="166">
        <f t="shared" si="0"/>
        <v>0</v>
      </c>
      <c r="Q13" s="166">
        <f t="shared" si="0"/>
        <v>134000</v>
      </c>
    </row>
    <row r="14" spans="1:17" s="161" customFormat="1" ht="20.100000000000001" customHeight="1">
      <c r="A14" s="152" t="s">
        <v>535</v>
      </c>
      <c r="B14" s="159" t="s">
        <v>331</v>
      </c>
      <c r="C14" s="159">
        <v>5</v>
      </c>
      <c r="D14" s="159" t="s">
        <v>640</v>
      </c>
      <c r="E14" s="159" t="s">
        <v>382</v>
      </c>
      <c r="F14" s="165">
        <v>2568300</v>
      </c>
      <c r="G14" s="165">
        <v>0</v>
      </c>
      <c r="H14" s="164"/>
      <c r="I14" s="164">
        <f t="shared" si="1"/>
        <v>2568300</v>
      </c>
      <c r="J14" s="166">
        <v>2844800</v>
      </c>
      <c r="K14" s="166"/>
      <c r="L14" s="166"/>
      <c r="M14" s="166">
        <f t="shared" si="2"/>
        <v>2844800</v>
      </c>
      <c r="N14" s="166">
        <f t="shared" si="3"/>
        <v>-276500</v>
      </c>
      <c r="O14" s="166">
        <f t="shared" si="0"/>
        <v>0</v>
      </c>
      <c r="P14" s="166">
        <f t="shared" si="0"/>
        <v>0</v>
      </c>
      <c r="Q14" s="166">
        <f t="shared" si="0"/>
        <v>-276500</v>
      </c>
    </row>
    <row r="15" spans="1:17" s="161" customFormat="1" ht="20.100000000000001" customHeight="1">
      <c r="A15" s="152" t="s">
        <v>535</v>
      </c>
      <c r="B15" s="159" t="s">
        <v>332</v>
      </c>
      <c r="C15" s="159">
        <v>6</v>
      </c>
      <c r="D15" s="159" t="s">
        <v>640</v>
      </c>
      <c r="E15" s="159" t="s">
        <v>382</v>
      </c>
      <c r="F15" s="165">
        <v>5887881</v>
      </c>
      <c r="G15" s="165">
        <v>274916</v>
      </c>
      <c r="H15" s="164"/>
      <c r="I15" s="164">
        <f t="shared" si="1"/>
        <v>5887881</v>
      </c>
      <c r="J15" s="166">
        <v>5956300</v>
      </c>
      <c r="K15" s="166">
        <v>214916</v>
      </c>
      <c r="L15" s="166"/>
      <c r="M15" s="166">
        <f t="shared" si="2"/>
        <v>5956300</v>
      </c>
      <c r="N15" s="166">
        <f t="shared" si="3"/>
        <v>-68419</v>
      </c>
      <c r="O15" s="166">
        <f t="shared" si="0"/>
        <v>60000</v>
      </c>
      <c r="P15" s="166">
        <f t="shared" si="0"/>
        <v>0</v>
      </c>
      <c r="Q15" s="166">
        <f t="shared" si="0"/>
        <v>-68419</v>
      </c>
    </row>
    <row r="16" spans="1:17" s="161" customFormat="1" ht="20.100000000000001" customHeight="1">
      <c r="A16" s="152" t="s">
        <v>535</v>
      </c>
      <c r="B16" s="159" t="s">
        <v>333</v>
      </c>
      <c r="C16" s="159">
        <v>7</v>
      </c>
      <c r="D16" s="159" t="s">
        <v>640</v>
      </c>
      <c r="E16" s="159" t="s">
        <v>382</v>
      </c>
      <c r="F16" s="165">
        <v>8313471</v>
      </c>
      <c r="G16" s="165">
        <v>266408</v>
      </c>
      <c r="H16" s="164"/>
      <c r="I16" s="164">
        <f t="shared" si="1"/>
        <v>8313471</v>
      </c>
      <c r="J16" s="166">
        <v>8356600</v>
      </c>
      <c r="K16" s="166">
        <v>205808</v>
      </c>
      <c r="L16" s="166"/>
      <c r="M16" s="166">
        <f t="shared" si="2"/>
        <v>8356600</v>
      </c>
      <c r="N16" s="166">
        <f t="shared" si="3"/>
        <v>-43129</v>
      </c>
      <c r="O16" s="166">
        <f t="shared" si="0"/>
        <v>60600</v>
      </c>
      <c r="P16" s="166">
        <f t="shared" si="0"/>
        <v>0</v>
      </c>
      <c r="Q16" s="166">
        <f t="shared" si="0"/>
        <v>-43129</v>
      </c>
    </row>
    <row r="17" spans="1:17" s="161" customFormat="1" ht="20.100000000000001" customHeight="1">
      <c r="A17" s="152"/>
      <c r="B17" s="159" t="s">
        <v>655</v>
      </c>
      <c r="C17" s="159"/>
      <c r="D17" s="159"/>
      <c r="E17" s="159"/>
      <c r="F17" s="165">
        <f>SUM(F10:F16)</f>
        <v>51080434</v>
      </c>
      <c r="G17" s="165">
        <f t="shared" ref="G17:Q17" si="5">SUM(G10:G16)</f>
        <v>1949208</v>
      </c>
      <c r="H17" s="165">
        <f t="shared" si="5"/>
        <v>1406208</v>
      </c>
      <c r="I17" s="165">
        <f t="shared" si="5"/>
        <v>52486642</v>
      </c>
      <c r="J17" s="165">
        <f t="shared" si="5"/>
        <v>51864500</v>
      </c>
      <c r="K17" s="165">
        <f t="shared" si="5"/>
        <v>1537888</v>
      </c>
      <c r="L17" s="165">
        <f t="shared" si="5"/>
        <v>837494.27</v>
      </c>
      <c r="M17" s="165">
        <f t="shared" si="5"/>
        <v>52701994.269999996</v>
      </c>
      <c r="N17" s="165">
        <f t="shared" si="5"/>
        <v>-784066</v>
      </c>
      <c r="O17" s="165">
        <f t="shared" si="5"/>
        <v>411320</v>
      </c>
      <c r="P17" s="165">
        <f t="shared" si="5"/>
        <v>568713.73</v>
      </c>
      <c r="Q17" s="165">
        <f t="shared" si="5"/>
        <v>-215352.26999999955</v>
      </c>
    </row>
    <row r="18" spans="1:17" s="161" customFormat="1" ht="20.100000000000001" customHeight="1">
      <c r="A18" s="152" t="s">
        <v>536</v>
      </c>
      <c r="B18" s="159" t="s">
        <v>438</v>
      </c>
      <c r="C18" s="159">
        <v>1</v>
      </c>
      <c r="D18" s="159" t="s">
        <v>639</v>
      </c>
      <c r="E18" s="159" t="s">
        <v>374</v>
      </c>
      <c r="F18" s="165">
        <v>15371862</v>
      </c>
      <c r="G18" s="165">
        <v>233164</v>
      </c>
      <c r="H18" s="164">
        <v>723087.5</v>
      </c>
      <c r="I18" s="164">
        <f t="shared" si="1"/>
        <v>16094949.5</v>
      </c>
      <c r="J18" s="166">
        <v>15244700</v>
      </c>
      <c r="K18" s="166">
        <v>178164</v>
      </c>
      <c r="L18" s="166">
        <v>363363.79</v>
      </c>
      <c r="M18" s="166">
        <f t="shared" si="2"/>
        <v>15608063.789999999</v>
      </c>
      <c r="N18" s="166">
        <f t="shared" si="3"/>
        <v>127162</v>
      </c>
      <c r="O18" s="166">
        <f t="shared" si="0"/>
        <v>55000</v>
      </c>
      <c r="P18" s="166">
        <f t="shared" si="0"/>
        <v>359723.71</v>
      </c>
      <c r="Q18" s="166">
        <f t="shared" si="0"/>
        <v>486885.71000000089</v>
      </c>
    </row>
    <row r="19" spans="1:17" s="161" customFormat="1" ht="20.100000000000001" customHeight="1">
      <c r="A19" s="152" t="s">
        <v>536</v>
      </c>
      <c r="B19" s="159" t="s">
        <v>441</v>
      </c>
      <c r="C19" s="159">
        <v>2</v>
      </c>
      <c r="D19" s="159" t="s">
        <v>639</v>
      </c>
      <c r="E19" s="159" t="s">
        <v>374</v>
      </c>
      <c r="F19" s="165">
        <v>51591927</v>
      </c>
      <c r="G19" s="165">
        <v>834902</v>
      </c>
      <c r="H19" s="164">
        <v>2062822.5</v>
      </c>
      <c r="I19" s="164">
        <f t="shared" si="1"/>
        <v>53654749.5</v>
      </c>
      <c r="J19" s="166">
        <v>52531100</v>
      </c>
      <c r="K19" s="166">
        <v>664902</v>
      </c>
      <c r="L19" s="166">
        <v>1322251.81</v>
      </c>
      <c r="M19" s="166">
        <f t="shared" si="2"/>
        <v>53853351.810000002</v>
      </c>
      <c r="N19" s="166">
        <f t="shared" si="3"/>
        <v>-939173</v>
      </c>
      <c r="O19" s="166">
        <f t="shared" si="0"/>
        <v>170000</v>
      </c>
      <c r="P19" s="166">
        <f t="shared" si="0"/>
        <v>740570.69</v>
      </c>
      <c r="Q19" s="166">
        <f t="shared" si="0"/>
        <v>-198602.31000000238</v>
      </c>
    </row>
    <row r="20" spans="1:17" s="161" customFormat="1" ht="20.100000000000001" customHeight="1">
      <c r="A20" s="152" t="s">
        <v>536</v>
      </c>
      <c r="B20" s="159" t="s">
        <v>442</v>
      </c>
      <c r="C20" s="159">
        <v>3</v>
      </c>
      <c r="D20" s="159" t="s">
        <v>639</v>
      </c>
      <c r="E20" s="159" t="s">
        <v>374</v>
      </c>
      <c r="F20" s="165">
        <v>17730270</v>
      </c>
      <c r="G20" s="165">
        <v>264260</v>
      </c>
      <c r="H20" s="164">
        <v>694005.5</v>
      </c>
      <c r="I20" s="164">
        <f t="shared" si="1"/>
        <v>18424275.5</v>
      </c>
      <c r="J20" s="166">
        <v>17769300</v>
      </c>
      <c r="K20" s="166">
        <v>206460</v>
      </c>
      <c r="L20" s="166">
        <v>457372.42</v>
      </c>
      <c r="M20" s="166">
        <f t="shared" si="2"/>
        <v>18226672.420000002</v>
      </c>
      <c r="N20" s="166">
        <f t="shared" si="3"/>
        <v>-39030</v>
      </c>
      <c r="O20" s="166">
        <f t="shared" si="0"/>
        <v>57800</v>
      </c>
      <c r="P20" s="166">
        <f t="shared" si="0"/>
        <v>236633.08000000002</v>
      </c>
      <c r="Q20" s="166">
        <f t="shared" si="0"/>
        <v>197603.07999999821</v>
      </c>
    </row>
    <row r="21" spans="1:17" s="161" customFormat="1" ht="20.100000000000001" customHeight="1">
      <c r="A21" s="152" t="s">
        <v>536</v>
      </c>
      <c r="B21" s="159" t="s">
        <v>443</v>
      </c>
      <c r="C21" s="159">
        <v>4</v>
      </c>
      <c r="D21" s="159" t="s">
        <v>639</v>
      </c>
      <c r="E21" s="159" t="s">
        <v>374</v>
      </c>
      <c r="F21" s="165">
        <v>18840112</v>
      </c>
      <c r="G21" s="165">
        <v>282312</v>
      </c>
      <c r="H21" s="164">
        <v>971407.5</v>
      </c>
      <c r="I21" s="164">
        <f t="shared" si="1"/>
        <v>19811519.5</v>
      </c>
      <c r="J21" s="166">
        <v>18643200</v>
      </c>
      <c r="K21" s="166">
        <v>222312</v>
      </c>
      <c r="L21" s="166">
        <v>579992.37</v>
      </c>
      <c r="M21" s="166">
        <f t="shared" si="2"/>
        <v>19223192.370000001</v>
      </c>
      <c r="N21" s="166">
        <f t="shared" si="3"/>
        <v>196912</v>
      </c>
      <c r="O21" s="166">
        <f t="shared" si="0"/>
        <v>60000</v>
      </c>
      <c r="P21" s="166">
        <f t="shared" si="0"/>
        <v>391415.13</v>
      </c>
      <c r="Q21" s="166">
        <f t="shared" si="0"/>
        <v>588327.12999999896</v>
      </c>
    </row>
    <row r="22" spans="1:17" s="161" customFormat="1" ht="20.100000000000001" customHeight="1">
      <c r="A22" s="152" t="s">
        <v>536</v>
      </c>
      <c r="B22" s="159" t="s">
        <v>642</v>
      </c>
      <c r="C22" s="159">
        <v>5</v>
      </c>
      <c r="D22" s="159" t="s">
        <v>639</v>
      </c>
      <c r="E22" s="159" t="s">
        <v>377</v>
      </c>
      <c r="F22" s="165">
        <v>5544958</v>
      </c>
      <c r="G22" s="165">
        <v>56018</v>
      </c>
      <c r="H22" s="164">
        <v>283472.5</v>
      </c>
      <c r="I22" s="164">
        <f t="shared" si="1"/>
        <v>5828430.5</v>
      </c>
      <c r="J22" s="166">
        <v>6214400</v>
      </c>
      <c r="K22" s="166">
        <v>41018</v>
      </c>
      <c r="L22" s="166">
        <v>297557.75</v>
      </c>
      <c r="M22" s="166">
        <f t="shared" si="2"/>
        <v>6511957.75</v>
      </c>
      <c r="N22" s="166">
        <f t="shared" si="3"/>
        <v>-669442</v>
      </c>
      <c r="O22" s="166">
        <f t="shared" si="3"/>
        <v>15000</v>
      </c>
      <c r="P22" s="166">
        <f t="shared" si="3"/>
        <v>-14085.25</v>
      </c>
      <c r="Q22" s="166">
        <f t="shared" si="3"/>
        <v>-683527.25</v>
      </c>
    </row>
    <row r="23" spans="1:17" s="161" customFormat="1" ht="20.100000000000001" customHeight="1">
      <c r="A23" s="152" t="s">
        <v>536</v>
      </c>
      <c r="B23" s="159" t="s">
        <v>444</v>
      </c>
      <c r="C23" s="159">
        <v>6</v>
      </c>
      <c r="D23" s="159" t="s">
        <v>639</v>
      </c>
      <c r="E23" s="159" t="s">
        <v>379</v>
      </c>
      <c r="F23" s="165">
        <v>11157602</v>
      </c>
      <c r="G23" s="165">
        <v>520704</v>
      </c>
      <c r="H23" s="164">
        <v>286723</v>
      </c>
      <c r="I23" s="164">
        <f t="shared" si="1"/>
        <v>11444325</v>
      </c>
      <c r="J23" s="166">
        <v>11846200</v>
      </c>
      <c r="K23" s="166">
        <v>399984</v>
      </c>
      <c r="L23" s="166">
        <v>302462.55</v>
      </c>
      <c r="M23" s="166">
        <f t="shared" si="2"/>
        <v>12148662.550000001</v>
      </c>
      <c r="N23" s="166">
        <f t="shared" si="3"/>
        <v>-688598</v>
      </c>
      <c r="O23" s="166">
        <f t="shared" si="3"/>
        <v>120720</v>
      </c>
      <c r="P23" s="166">
        <f t="shared" si="3"/>
        <v>-15739.549999999988</v>
      </c>
      <c r="Q23" s="166">
        <f t="shared" si="3"/>
        <v>-704337.55000000075</v>
      </c>
    </row>
    <row r="24" spans="1:17" s="161" customFormat="1" ht="20.100000000000001" customHeight="1">
      <c r="A24" s="152" t="s">
        <v>536</v>
      </c>
      <c r="B24" s="159" t="s">
        <v>445</v>
      </c>
      <c r="C24" s="159">
        <v>7</v>
      </c>
      <c r="D24" s="159" t="s">
        <v>639</v>
      </c>
      <c r="E24" s="159" t="s">
        <v>379</v>
      </c>
      <c r="F24" s="165">
        <v>60882974</v>
      </c>
      <c r="G24" s="165">
        <v>697676</v>
      </c>
      <c r="H24" s="164">
        <v>1813497</v>
      </c>
      <c r="I24" s="164">
        <f t="shared" si="1"/>
        <v>62696471</v>
      </c>
      <c r="J24" s="166">
        <v>63600500</v>
      </c>
      <c r="K24" s="166">
        <v>577676</v>
      </c>
      <c r="L24" s="166">
        <v>2244762.58</v>
      </c>
      <c r="M24" s="166">
        <f t="shared" si="2"/>
        <v>65845262.579999998</v>
      </c>
      <c r="N24" s="166">
        <f t="shared" si="3"/>
        <v>-2717526</v>
      </c>
      <c r="O24" s="166">
        <f t="shared" si="3"/>
        <v>120000</v>
      </c>
      <c r="P24" s="166">
        <f t="shared" si="3"/>
        <v>-431265.58000000007</v>
      </c>
      <c r="Q24" s="166">
        <f t="shared" si="3"/>
        <v>-3148791.5799999982</v>
      </c>
    </row>
    <row r="25" spans="1:17" s="161" customFormat="1" ht="20.100000000000001" customHeight="1">
      <c r="A25" s="152" t="s">
        <v>536</v>
      </c>
      <c r="B25" s="159" t="s">
        <v>446</v>
      </c>
      <c r="C25" s="159">
        <v>8</v>
      </c>
      <c r="D25" s="159" t="s">
        <v>639</v>
      </c>
      <c r="E25" s="159" t="s">
        <v>379</v>
      </c>
      <c r="F25" s="165">
        <v>11274888</v>
      </c>
      <c r="G25" s="165">
        <v>517584</v>
      </c>
      <c r="H25" s="164">
        <v>314050</v>
      </c>
      <c r="I25" s="164">
        <f t="shared" si="1"/>
        <v>11588938</v>
      </c>
      <c r="J25" s="166">
        <v>11943300</v>
      </c>
      <c r="K25" s="166">
        <v>397584</v>
      </c>
      <c r="L25" s="166">
        <v>330665.14</v>
      </c>
      <c r="M25" s="166">
        <f t="shared" si="2"/>
        <v>12273965.140000001</v>
      </c>
      <c r="N25" s="166">
        <f t="shared" si="3"/>
        <v>-668412</v>
      </c>
      <c r="O25" s="166">
        <f t="shared" si="3"/>
        <v>120000</v>
      </c>
      <c r="P25" s="166">
        <f t="shared" si="3"/>
        <v>-16615.140000000014</v>
      </c>
      <c r="Q25" s="166">
        <f t="shared" si="3"/>
        <v>-685027.1400000006</v>
      </c>
    </row>
    <row r="26" spans="1:17" s="161" customFormat="1" ht="20.100000000000001" customHeight="1">
      <c r="A26" s="152" t="s">
        <v>536</v>
      </c>
      <c r="B26" s="159" t="s">
        <v>447</v>
      </c>
      <c r="C26" s="159">
        <v>9</v>
      </c>
      <c r="D26" s="159" t="s">
        <v>639</v>
      </c>
      <c r="E26" s="159" t="s">
        <v>379</v>
      </c>
      <c r="F26" s="165">
        <v>25196203.000000004</v>
      </c>
      <c r="G26" s="165">
        <v>620488</v>
      </c>
      <c r="H26" s="164">
        <v>823503</v>
      </c>
      <c r="I26" s="164">
        <f t="shared" si="1"/>
        <v>26019706.000000004</v>
      </c>
      <c r="J26" s="166">
        <v>26411200</v>
      </c>
      <c r="K26" s="166">
        <v>500488</v>
      </c>
      <c r="L26" s="166">
        <v>942947.43</v>
      </c>
      <c r="M26" s="166">
        <f t="shared" si="2"/>
        <v>27354147.43</v>
      </c>
      <c r="N26" s="166">
        <f t="shared" si="3"/>
        <v>-1214996.9999999963</v>
      </c>
      <c r="O26" s="166">
        <f t="shared" si="3"/>
        <v>120000</v>
      </c>
      <c r="P26" s="166">
        <f t="shared" si="3"/>
        <v>-119444.43000000005</v>
      </c>
      <c r="Q26" s="166">
        <f t="shared" si="3"/>
        <v>-1334441.429999996</v>
      </c>
    </row>
    <row r="27" spans="1:17" s="161" customFormat="1" ht="20.100000000000001" customHeight="1">
      <c r="A27" s="152" t="s">
        <v>536</v>
      </c>
      <c r="B27" s="159" t="s">
        <v>448</v>
      </c>
      <c r="C27" s="159">
        <v>10</v>
      </c>
      <c r="D27" s="159" t="s">
        <v>639</v>
      </c>
      <c r="E27" s="159" t="s">
        <v>379</v>
      </c>
      <c r="F27" s="165">
        <v>22251248</v>
      </c>
      <c r="G27" s="165">
        <v>276600</v>
      </c>
      <c r="H27" s="164">
        <v>544192</v>
      </c>
      <c r="I27" s="164">
        <f t="shared" si="1"/>
        <v>22795440</v>
      </c>
      <c r="J27" s="166">
        <v>23498200</v>
      </c>
      <c r="K27" s="166">
        <v>216600</v>
      </c>
      <c r="L27" s="166">
        <v>832998.2</v>
      </c>
      <c r="M27" s="166">
        <f t="shared" si="2"/>
        <v>24331198.199999999</v>
      </c>
      <c r="N27" s="166">
        <f t="shared" si="3"/>
        <v>-1246952</v>
      </c>
      <c r="O27" s="166">
        <f t="shared" si="3"/>
        <v>60000</v>
      </c>
      <c r="P27" s="166">
        <f t="shared" si="3"/>
        <v>-288806.19999999995</v>
      </c>
      <c r="Q27" s="166">
        <f t="shared" si="3"/>
        <v>-1535758.1999999993</v>
      </c>
    </row>
    <row r="28" spans="1:17" s="161" customFormat="1" ht="20.100000000000001" customHeight="1">
      <c r="A28" s="152" t="s">
        <v>536</v>
      </c>
      <c r="B28" s="159" t="s">
        <v>458</v>
      </c>
      <c r="C28" s="159">
        <v>11</v>
      </c>
      <c r="D28" s="159" t="s">
        <v>640</v>
      </c>
      <c r="E28" s="159" t="s">
        <v>641</v>
      </c>
      <c r="F28" s="165">
        <v>1431750</v>
      </c>
      <c r="G28" s="165">
        <v>0</v>
      </c>
      <c r="H28" s="164"/>
      <c r="I28" s="164">
        <f t="shared" si="1"/>
        <v>1431750</v>
      </c>
      <c r="J28" s="166">
        <v>1282400</v>
      </c>
      <c r="K28" s="166"/>
      <c r="L28" s="166"/>
      <c r="M28" s="166">
        <f t="shared" si="2"/>
        <v>1282400</v>
      </c>
      <c r="N28" s="166">
        <f t="shared" si="3"/>
        <v>149350</v>
      </c>
      <c r="O28" s="166">
        <f t="shared" si="3"/>
        <v>0</v>
      </c>
      <c r="P28" s="166">
        <f t="shared" si="3"/>
        <v>0</v>
      </c>
      <c r="Q28" s="166">
        <f t="shared" si="3"/>
        <v>149350</v>
      </c>
    </row>
    <row r="29" spans="1:17" s="161" customFormat="1" ht="20.100000000000001" customHeight="1">
      <c r="A29" s="152" t="s">
        <v>536</v>
      </c>
      <c r="B29" s="159" t="s">
        <v>449</v>
      </c>
      <c r="C29" s="159">
        <v>12</v>
      </c>
      <c r="D29" s="159" t="s">
        <v>640</v>
      </c>
      <c r="E29" s="159" t="s">
        <v>382</v>
      </c>
      <c r="F29" s="165">
        <v>7128044</v>
      </c>
      <c r="G29" s="165">
        <v>251944</v>
      </c>
      <c r="H29" s="164"/>
      <c r="I29" s="164">
        <f t="shared" si="1"/>
        <v>7128044</v>
      </c>
      <c r="J29" s="166">
        <v>7556500</v>
      </c>
      <c r="K29" s="166">
        <v>183944</v>
      </c>
      <c r="L29" s="166"/>
      <c r="M29" s="166">
        <f t="shared" si="2"/>
        <v>7556500</v>
      </c>
      <c r="N29" s="166">
        <f t="shared" si="3"/>
        <v>-428456</v>
      </c>
      <c r="O29" s="166">
        <f t="shared" si="3"/>
        <v>68000</v>
      </c>
      <c r="P29" s="166">
        <f t="shared" si="3"/>
        <v>0</v>
      </c>
      <c r="Q29" s="166">
        <f t="shared" si="3"/>
        <v>-428456</v>
      </c>
    </row>
    <row r="30" spans="1:17" s="161" customFormat="1" ht="20.100000000000001" customHeight="1">
      <c r="A30" s="152" t="s">
        <v>536</v>
      </c>
      <c r="B30" s="159" t="s">
        <v>450</v>
      </c>
      <c r="C30" s="159">
        <v>13</v>
      </c>
      <c r="D30" s="159" t="s">
        <v>640</v>
      </c>
      <c r="E30" s="159" t="s">
        <v>382</v>
      </c>
      <c r="F30" s="165">
        <v>16549307</v>
      </c>
      <c r="G30" s="165">
        <v>356184</v>
      </c>
      <c r="H30" s="164"/>
      <c r="I30" s="164">
        <f t="shared" si="1"/>
        <v>16549307</v>
      </c>
      <c r="J30" s="166">
        <v>17335500</v>
      </c>
      <c r="K30" s="166">
        <v>296184</v>
      </c>
      <c r="L30" s="166"/>
      <c r="M30" s="166">
        <f t="shared" si="2"/>
        <v>17335500</v>
      </c>
      <c r="N30" s="166">
        <f t="shared" si="3"/>
        <v>-786193</v>
      </c>
      <c r="O30" s="166">
        <f t="shared" si="3"/>
        <v>60000</v>
      </c>
      <c r="P30" s="166">
        <f t="shared" si="3"/>
        <v>0</v>
      </c>
      <c r="Q30" s="166">
        <f t="shared" si="3"/>
        <v>-786193</v>
      </c>
    </row>
    <row r="31" spans="1:17" s="161" customFormat="1" ht="20.100000000000001" customHeight="1">
      <c r="A31" s="152" t="s">
        <v>536</v>
      </c>
      <c r="B31" s="159" t="s">
        <v>451</v>
      </c>
      <c r="C31" s="159">
        <v>14</v>
      </c>
      <c r="D31" s="159" t="s">
        <v>640</v>
      </c>
      <c r="E31" s="159" t="s">
        <v>382</v>
      </c>
      <c r="F31" s="165">
        <v>7613186</v>
      </c>
      <c r="G31" s="165">
        <v>237836</v>
      </c>
      <c r="H31" s="164"/>
      <c r="I31" s="164">
        <f t="shared" si="1"/>
        <v>7613186</v>
      </c>
      <c r="J31" s="166">
        <v>8001000</v>
      </c>
      <c r="K31" s="166">
        <v>177836</v>
      </c>
      <c r="L31" s="166"/>
      <c r="M31" s="166">
        <f t="shared" si="2"/>
        <v>8001000</v>
      </c>
      <c r="N31" s="166">
        <f t="shared" si="3"/>
        <v>-387814</v>
      </c>
      <c r="O31" s="166">
        <f t="shared" si="3"/>
        <v>60000</v>
      </c>
      <c r="P31" s="166">
        <f t="shared" si="3"/>
        <v>0</v>
      </c>
      <c r="Q31" s="166">
        <f t="shared" si="3"/>
        <v>-387814</v>
      </c>
    </row>
    <row r="32" spans="1:17" s="161" customFormat="1" ht="20.100000000000001" customHeight="1">
      <c r="A32" s="152" t="s">
        <v>536</v>
      </c>
      <c r="B32" s="159" t="s">
        <v>452</v>
      </c>
      <c r="C32" s="159">
        <v>15</v>
      </c>
      <c r="D32" s="159" t="s">
        <v>640</v>
      </c>
      <c r="E32" s="159" t="s">
        <v>382</v>
      </c>
      <c r="F32" s="165">
        <v>7608377</v>
      </c>
      <c r="G32" s="165">
        <v>241304</v>
      </c>
      <c r="H32" s="164"/>
      <c r="I32" s="164">
        <f t="shared" si="1"/>
        <v>7608377</v>
      </c>
      <c r="J32" s="166">
        <v>8089900</v>
      </c>
      <c r="K32" s="166">
        <v>181304</v>
      </c>
      <c r="L32" s="166"/>
      <c r="M32" s="166">
        <f t="shared" si="2"/>
        <v>8089900</v>
      </c>
      <c r="N32" s="166">
        <f t="shared" si="3"/>
        <v>-481523</v>
      </c>
      <c r="O32" s="166">
        <f t="shared" si="3"/>
        <v>60000</v>
      </c>
      <c r="P32" s="166">
        <f t="shared" si="3"/>
        <v>0</v>
      </c>
      <c r="Q32" s="166">
        <f t="shared" si="3"/>
        <v>-481523</v>
      </c>
    </row>
    <row r="33" spans="1:17" s="161" customFormat="1" ht="20.100000000000001" customHeight="1">
      <c r="A33" s="152" t="s">
        <v>536</v>
      </c>
      <c r="B33" s="159" t="s">
        <v>454</v>
      </c>
      <c r="C33" s="159">
        <v>16</v>
      </c>
      <c r="D33" s="159" t="s">
        <v>640</v>
      </c>
      <c r="E33" s="159" t="s">
        <v>382</v>
      </c>
      <c r="F33" s="165">
        <v>4891431</v>
      </c>
      <c r="G33" s="165">
        <v>242696</v>
      </c>
      <c r="H33" s="164"/>
      <c r="I33" s="164">
        <f t="shared" si="1"/>
        <v>4891431</v>
      </c>
      <c r="J33" s="166">
        <v>5067300</v>
      </c>
      <c r="K33" s="166">
        <v>182696</v>
      </c>
      <c r="L33" s="166"/>
      <c r="M33" s="166">
        <f t="shared" si="2"/>
        <v>5067300</v>
      </c>
      <c r="N33" s="166">
        <f t="shared" si="3"/>
        <v>-175869</v>
      </c>
      <c r="O33" s="166">
        <f t="shared" si="3"/>
        <v>60000</v>
      </c>
      <c r="P33" s="166">
        <f t="shared" si="3"/>
        <v>0</v>
      </c>
      <c r="Q33" s="166">
        <f t="shared" si="3"/>
        <v>-175869</v>
      </c>
    </row>
    <row r="34" spans="1:17" s="161" customFormat="1" ht="20.100000000000001" customHeight="1">
      <c r="A34" s="152" t="s">
        <v>536</v>
      </c>
      <c r="B34" s="158" t="s">
        <v>453</v>
      </c>
      <c r="C34" s="159">
        <v>17</v>
      </c>
      <c r="D34" s="159" t="s">
        <v>640</v>
      </c>
      <c r="E34" s="159" t="s">
        <v>382</v>
      </c>
      <c r="F34" s="165">
        <v>2777235.0000000005</v>
      </c>
      <c r="G34" s="165">
        <v>0</v>
      </c>
      <c r="H34" s="164"/>
      <c r="I34" s="164">
        <f t="shared" si="1"/>
        <v>2777235.0000000005</v>
      </c>
      <c r="J34" s="166">
        <v>3022600</v>
      </c>
      <c r="K34" s="166"/>
      <c r="L34" s="166"/>
      <c r="M34" s="166">
        <f t="shared" si="2"/>
        <v>3022600</v>
      </c>
      <c r="N34" s="166">
        <f t="shared" si="3"/>
        <v>-245364.99999999953</v>
      </c>
      <c r="O34" s="166">
        <f t="shared" si="3"/>
        <v>0</v>
      </c>
      <c r="P34" s="166">
        <f t="shared" si="3"/>
        <v>0</v>
      </c>
      <c r="Q34" s="166">
        <f t="shared" si="3"/>
        <v>-245364.99999999953</v>
      </c>
    </row>
    <row r="35" spans="1:17" s="161" customFormat="1" ht="20.100000000000001" customHeight="1">
      <c r="A35" s="152" t="s">
        <v>536</v>
      </c>
      <c r="B35" s="158" t="s">
        <v>643</v>
      </c>
      <c r="C35" s="159">
        <v>18</v>
      </c>
      <c r="D35" s="159" t="s">
        <v>640</v>
      </c>
      <c r="E35" s="159" t="s">
        <v>382</v>
      </c>
      <c r="F35" s="165">
        <v>2189684</v>
      </c>
      <c r="G35" s="165">
        <v>230838</v>
      </c>
      <c r="H35" s="164"/>
      <c r="I35" s="164">
        <f t="shared" si="1"/>
        <v>2189684</v>
      </c>
      <c r="J35" s="166">
        <v>2311400</v>
      </c>
      <c r="K35" s="166">
        <v>179136</v>
      </c>
      <c r="L35" s="166"/>
      <c r="M35" s="166">
        <f t="shared" si="2"/>
        <v>2311400</v>
      </c>
      <c r="N35" s="166">
        <f t="shared" si="3"/>
        <v>-121716</v>
      </c>
      <c r="O35" s="166">
        <f t="shared" si="3"/>
        <v>51702</v>
      </c>
      <c r="P35" s="166">
        <f t="shared" si="3"/>
        <v>0</v>
      </c>
      <c r="Q35" s="166">
        <f t="shared" si="3"/>
        <v>-121716</v>
      </c>
    </row>
    <row r="36" spans="1:17" s="161" customFormat="1" ht="20.100000000000001" customHeight="1">
      <c r="A36" s="152" t="s">
        <v>536</v>
      </c>
      <c r="B36" s="158" t="s">
        <v>456</v>
      </c>
      <c r="C36" s="159">
        <v>19</v>
      </c>
      <c r="D36" s="159" t="s">
        <v>640</v>
      </c>
      <c r="E36" s="159" t="s">
        <v>382</v>
      </c>
      <c r="F36" s="165">
        <v>13462390</v>
      </c>
      <c r="G36" s="165">
        <v>0</v>
      </c>
      <c r="H36" s="164"/>
      <c r="I36" s="164">
        <f t="shared" si="1"/>
        <v>13462390</v>
      </c>
      <c r="J36" s="166">
        <v>14046200</v>
      </c>
      <c r="K36" s="166"/>
      <c r="L36" s="166"/>
      <c r="M36" s="166">
        <f t="shared" si="2"/>
        <v>14046200</v>
      </c>
      <c r="N36" s="166">
        <f t="shared" si="3"/>
        <v>-583810</v>
      </c>
      <c r="O36" s="166">
        <f t="shared" si="3"/>
        <v>0</v>
      </c>
      <c r="P36" s="166">
        <f t="shared" si="3"/>
        <v>0</v>
      </c>
      <c r="Q36" s="166">
        <f t="shared" si="3"/>
        <v>-583810</v>
      </c>
    </row>
    <row r="37" spans="1:17" s="161" customFormat="1" ht="20.100000000000001" customHeight="1">
      <c r="A37" s="152" t="s">
        <v>536</v>
      </c>
      <c r="B37" s="158" t="s">
        <v>457</v>
      </c>
      <c r="C37" s="159">
        <v>20</v>
      </c>
      <c r="D37" s="159" t="s">
        <v>640</v>
      </c>
      <c r="E37" s="159" t="s">
        <v>382</v>
      </c>
      <c r="F37" s="165">
        <v>377449</v>
      </c>
      <c r="G37" s="165">
        <v>53339</v>
      </c>
      <c r="H37" s="164"/>
      <c r="I37" s="164">
        <f t="shared" si="1"/>
        <v>377449</v>
      </c>
      <c r="J37" s="166">
        <v>533400</v>
      </c>
      <c r="K37" s="166">
        <v>38339</v>
      </c>
      <c r="L37" s="166"/>
      <c r="M37" s="166">
        <f t="shared" si="2"/>
        <v>533400</v>
      </c>
      <c r="N37" s="166">
        <f t="shared" si="3"/>
        <v>-155951</v>
      </c>
      <c r="O37" s="166">
        <f t="shared" si="3"/>
        <v>15000</v>
      </c>
      <c r="P37" s="166">
        <f t="shared" si="3"/>
        <v>0</v>
      </c>
      <c r="Q37" s="166">
        <f t="shared" si="3"/>
        <v>-155951</v>
      </c>
    </row>
    <row r="38" spans="1:17" s="161" customFormat="1" ht="20.100000000000001" customHeight="1">
      <c r="A38" s="152"/>
      <c r="B38" s="158" t="s">
        <v>664</v>
      </c>
      <c r="C38" s="159"/>
      <c r="D38" s="159"/>
      <c r="E38" s="159"/>
      <c r="F38" s="165">
        <f>SUM(F18:F37)</f>
        <v>303870897</v>
      </c>
      <c r="G38" s="165">
        <f t="shared" ref="G38:Q38" si="6">SUM(G18:G37)</f>
        <v>5917849</v>
      </c>
      <c r="H38" s="165">
        <f t="shared" si="6"/>
        <v>8516760.5</v>
      </c>
      <c r="I38" s="165">
        <f t="shared" si="6"/>
        <v>312387657.5</v>
      </c>
      <c r="J38" s="165">
        <f t="shared" si="6"/>
        <v>314948300</v>
      </c>
      <c r="K38" s="165">
        <f t="shared" si="6"/>
        <v>4644627</v>
      </c>
      <c r="L38" s="165">
        <f t="shared" si="6"/>
        <v>7674374.0399999991</v>
      </c>
      <c r="M38" s="165">
        <f t="shared" si="6"/>
        <v>322622674.03999996</v>
      </c>
      <c r="N38" s="165">
        <f t="shared" si="6"/>
        <v>-11077402.999999996</v>
      </c>
      <c r="O38" s="165">
        <f t="shared" si="6"/>
        <v>1273222</v>
      </c>
      <c r="P38" s="165">
        <f t="shared" si="6"/>
        <v>842386.45999999973</v>
      </c>
      <c r="Q38" s="165">
        <f t="shared" si="6"/>
        <v>-10235016.539999999</v>
      </c>
    </row>
    <row r="39" spans="1:17" s="161" customFormat="1" ht="20.100000000000001" customHeight="1">
      <c r="A39" s="152" t="s">
        <v>537</v>
      </c>
      <c r="B39" s="159" t="s">
        <v>417</v>
      </c>
      <c r="C39" s="159">
        <v>1</v>
      </c>
      <c r="D39" s="159" t="s">
        <v>639</v>
      </c>
      <c r="E39" s="159" t="s">
        <v>374</v>
      </c>
      <c r="F39" s="165">
        <v>16686094</v>
      </c>
      <c r="G39" s="165">
        <v>543456</v>
      </c>
      <c r="H39" s="164">
        <v>816695.5</v>
      </c>
      <c r="I39" s="164">
        <f t="shared" si="1"/>
        <v>17502789.5</v>
      </c>
      <c r="J39" s="166">
        <v>16409900</v>
      </c>
      <c r="K39" s="166">
        <v>423456</v>
      </c>
      <c r="L39" s="166">
        <v>380530.58</v>
      </c>
      <c r="M39" s="166">
        <f t="shared" si="2"/>
        <v>16790430.579999998</v>
      </c>
      <c r="N39" s="166">
        <f t="shared" si="3"/>
        <v>276194</v>
      </c>
      <c r="O39" s="166">
        <f t="shared" si="3"/>
        <v>120000</v>
      </c>
      <c r="P39" s="166">
        <f t="shared" si="3"/>
        <v>436164.92</v>
      </c>
      <c r="Q39" s="166">
        <f t="shared" si="3"/>
        <v>712358.92000000179</v>
      </c>
    </row>
    <row r="40" spans="1:17" s="161" customFormat="1" ht="20.100000000000001" customHeight="1">
      <c r="A40" s="152" t="s">
        <v>537</v>
      </c>
      <c r="B40" s="159" t="s">
        <v>419</v>
      </c>
      <c r="C40" s="159">
        <v>2</v>
      </c>
      <c r="D40" s="159" t="s">
        <v>639</v>
      </c>
      <c r="E40" s="159" t="s">
        <v>374</v>
      </c>
      <c r="F40" s="165">
        <v>16353030</v>
      </c>
      <c r="G40" s="165">
        <v>259452</v>
      </c>
      <c r="H40" s="164">
        <v>922467</v>
      </c>
      <c r="I40" s="164">
        <f t="shared" si="1"/>
        <v>17275497</v>
      </c>
      <c r="J40" s="166">
        <v>16312800</v>
      </c>
      <c r="K40" s="166">
        <v>199452</v>
      </c>
      <c r="L40" s="166">
        <v>392792.58</v>
      </c>
      <c r="M40" s="166">
        <f t="shared" si="2"/>
        <v>16705592.58</v>
      </c>
      <c r="N40" s="166">
        <f t="shared" si="3"/>
        <v>40230</v>
      </c>
      <c r="O40" s="166">
        <f t="shared" si="3"/>
        <v>60000</v>
      </c>
      <c r="P40" s="166">
        <f t="shared" si="3"/>
        <v>529674.41999999993</v>
      </c>
      <c r="Q40" s="166">
        <f t="shared" si="3"/>
        <v>569904.41999999993</v>
      </c>
    </row>
    <row r="41" spans="1:17" s="161" customFormat="1" ht="20.100000000000001" customHeight="1">
      <c r="A41" s="152" t="s">
        <v>537</v>
      </c>
      <c r="B41" s="158" t="s">
        <v>420</v>
      </c>
      <c r="C41" s="159">
        <v>3</v>
      </c>
      <c r="D41" s="159" t="s">
        <v>639</v>
      </c>
      <c r="E41" s="159" t="s">
        <v>374</v>
      </c>
      <c r="F41" s="165">
        <v>13465852</v>
      </c>
      <c r="G41" s="165">
        <v>257292</v>
      </c>
      <c r="H41" s="164">
        <v>804541</v>
      </c>
      <c r="I41" s="164">
        <f t="shared" si="1"/>
        <v>14270393</v>
      </c>
      <c r="J41" s="166">
        <v>13205600</v>
      </c>
      <c r="K41" s="166">
        <v>197292</v>
      </c>
      <c r="L41" s="166">
        <v>400149.78</v>
      </c>
      <c r="M41" s="166">
        <f t="shared" si="2"/>
        <v>13605749.779999999</v>
      </c>
      <c r="N41" s="166">
        <f t="shared" si="3"/>
        <v>260252</v>
      </c>
      <c r="O41" s="166">
        <f t="shared" si="3"/>
        <v>60000</v>
      </c>
      <c r="P41" s="166">
        <f t="shared" si="3"/>
        <v>404391.22</v>
      </c>
      <c r="Q41" s="166">
        <f t="shared" si="3"/>
        <v>664643.22000000067</v>
      </c>
    </row>
    <row r="42" spans="1:17" s="161" customFormat="1" ht="20.100000000000001" customHeight="1">
      <c r="A42" s="152" t="s">
        <v>537</v>
      </c>
      <c r="B42" s="159" t="s">
        <v>421</v>
      </c>
      <c r="C42" s="159">
        <v>4</v>
      </c>
      <c r="D42" s="159" t="s">
        <v>639</v>
      </c>
      <c r="E42" s="159" t="s">
        <v>377</v>
      </c>
      <c r="F42" s="165">
        <v>9540218</v>
      </c>
      <c r="G42" s="165">
        <v>0</v>
      </c>
      <c r="H42" s="164">
        <v>716812.5</v>
      </c>
      <c r="I42" s="164">
        <f t="shared" si="1"/>
        <v>10257030.5</v>
      </c>
      <c r="J42" s="166">
        <v>9807100</v>
      </c>
      <c r="K42" s="166"/>
      <c r="L42" s="166">
        <v>340066</v>
      </c>
      <c r="M42" s="166">
        <f t="shared" si="2"/>
        <v>10147166</v>
      </c>
      <c r="N42" s="166">
        <f t="shared" si="3"/>
        <v>-266882</v>
      </c>
      <c r="O42" s="166">
        <f t="shared" si="3"/>
        <v>0</v>
      </c>
      <c r="P42" s="166">
        <f t="shared" si="3"/>
        <v>376746.5</v>
      </c>
      <c r="Q42" s="166">
        <f t="shared" si="3"/>
        <v>109864.5</v>
      </c>
    </row>
    <row r="43" spans="1:17" s="161" customFormat="1" ht="20.100000000000001" customHeight="1">
      <c r="A43" s="152" t="s">
        <v>537</v>
      </c>
      <c r="B43" s="152" t="s">
        <v>435</v>
      </c>
      <c r="C43" s="159">
        <v>5</v>
      </c>
      <c r="D43" s="159" t="s">
        <v>639</v>
      </c>
      <c r="E43" s="159" t="s">
        <v>377</v>
      </c>
      <c r="F43" s="165">
        <v>1013748</v>
      </c>
      <c r="G43" s="165">
        <v>57368</v>
      </c>
      <c r="H43" s="164">
        <v>60823</v>
      </c>
      <c r="I43" s="164">
        <f t="shared" si="1"/>
        <v>1074571</v>
      </c>
      <c r="J43" s="166">
        <v>1068100</v>
      </c>
      <c r="K43" s="166">
        <v>42368</v>
      </c>
      <c r="L43" s="166">
        <v>58857.58</v>
      </c>
      <c r="M43" s="166">
        <f t="shared" si="2"/>
        <v>1126957.58</v>
      </c>
      <c r="N43" s="166">
        <f t="shared" si="3"/>
        <v>-54352</v>
      </c>
      <c r="O43" s="166">
        <f t="shared" si="3"/>
        <v>15000</v>
      </c>
      <c r="P43" s="166">
        <f t="shared" si="3"/>
        <v>1965.4199999999983</v>
      </c>
      <c r="Q43" s="166">
        <f t="shared" si="3"/>
        <v>-52386.580000000075</v>
      </c>
    </row>
    <row r="44" spans="1:17" s="161" customFormat="1" ht="20.100000000000001" customHeight="1">
      <c r="A44" s="152" t="s">
        <v>537</v>
      </c>
      <c r="B44" s="159" t="s">
        <v>422</v>
      </c>
      <c r="C44" s="159">
        <v>6</v>
      </c>
      <c r="D44" s="159" t="s">
        <v>639</v>
      </c>
      <c r="E44" s="159" t="s">
        <v>379</v>
      </c>
      <c r="F44" s="165">
        <v>18044616</v>
      </c>
      <c r="G44" s="165">
        <v>617916</v>
      </c>
      <c r="H44" s="164">
        <v>694033</v>
      </c>
      <c r="I44" s="164">
        <f t="shared" si="1"/>
        <v>18738649</v>
      </c>
      <c r="J44" s="166">
        <v>18740300</v>
      </c>
      <c r="K44" s="166">
        <v>497196</v>
      </c>
      <c r="L44" s="166">
        <v>610238.63</v>
      </c>
      <c r="M44" s="166">
        <f t="shared" si="2"/>
        <v>19350538.629999999</v>
      </c>
      <c r="N44" s="166">
        <f t="shared" si="3"/>
        <v>-695684</v>
      </c>
      <c r="O44" s="166">
        <f t="shared" si="3"/>
        <v>120720</v>
      </c>
      <c r="P44" s="166">
        <f t="shared" si="3"/>
        <v>83794.37</v>
      </c>
      <c r="Q44" s="166">
        <f t="shared" si="3"/>
        <v>-611889.62999999896</v>
      </c>
    </row>
    <row r="45" spans="1:17" s="161" customFormat="1" ht="20.100000000000001" customHeight="1">
      <c r="A45" s="152" t="s">
        <v>537</v>
      </c>
      <c r="B45" s="159" t="s">
        <v>423</v>
      </c>
      <c r="C45" s="159">
        <v>7</v>
      </c>
      <c r="D45" s="159" t="s">
        <v>639</v>
      </c>
      <c r="E45" s="159" t="s">
        <v>379</v>
      </c>
      <c r="F45" s="165">
        <v>14679798</v>
      </c>
      <c r="G45" s="165">
        <v>273000</v>
      </c>
      <c r="H45" s="164">
        <v>729947.5</v>
      </c>
      <c r="I45" s="164">
        <f t="shared" si="1"/>
        <v>15409745.5</v>
      </c>
      <c r="J45" s="166">
        <v>15341800</v>
      </c>
      <c r="K45" s="166">
        <v>213000</v>
      </c>
      <c r="L45" s="166">
        <v>447154.09</v>
      </c>
      <c r="M45" s="166">
        <f t="shared" si="2"/>
        <v>15788954.09</v>
      </c>
      <c r="N45" s="166">
        <f t="shared" si="3"/>
        <v>-662002</v>
      </c>
      <c r="O45" s="166">
        <f t="shared" si="3"/>
        <v>60000</v>
      </c>
      <c r="P45" s="166">
        <f t="shared" si="3"/>
        <v>282793.40999999997</v>
      </c>
      <c r="Q45" s="166">
        <f t="shared" si="3"/>
        <v>-379208.58999999985</v>
      </c>
    </row>
    <row r="46" spans="1:17" s="161" customFormat="1" ht="20.100000000000001" customHeight="1">
      <c r="A46" s="152" t="s">
        <v>537</v>
      </c>
      <c r="B46" s="159" t="s">
        <v>424</v>
      </c>
      <c r="C46" s="159">
        <v>8</v>
      </c>
      <c r="D46" s="159" t="s">
        <v>639</v>
      </c>
      <c r="E46" s="159" t="s">
        <v>379</v>
      </c>
      <c r="F46" s="165">
        <v>17026366</v>
      </c>
      <c r="G46" s="165">
        <v>302280</v>
      </c>
      <c r="H46" s="164">
        <v>934341.5</v>
      </c>
      <c r="I46" s="164">
        <f t="shared" si="1"/>
        <v>17960707.5</v>
      </c>
      <c r="J46" s="166">
        <v>17575100</v>
      </c>
      <c r="K46" s="166">
        <v>242280</v>
      </c>
      <c r="L46" s="166">
        <v>563234.31000000006</v>
      </c>
      <c r="M46" s="166">
        <f t="shared" si="2"/>
        <v>18138334.309999999</v>
      </c>
      <c r="N46" s="166">
        <f t="shared" si="3"/>
        <v>-548734</v>
      </c>
      <c r="O46" s="166">
        <f t="shared" si="3"/>
        <v>60000</v>
      </c>
      <c r="P46" s="166">
        <f t="shared" si="3"/>
        <v>371107.18999999994</v>
      </c>
      <c r="Q46" s="166">
        <f t="shared" si="3"/>
        <v>-177626.80999999866</v>
      </c>
    </row>
    <row r="47" spans="1:17" s="161" customFormat="1" ht="20.100000000000001" customHeight="1">
      <c r="A47" s="152" t="s">
        <v>537</v>
      </c>
      <c r="B47" s="159" t="s">
        <v>425</v>
      </c>
      <c r="C47" s="159">
        <v>9</v>
      </c>
      <c r="D47" s="159" t="s">
        <v>639</v>
      </c>
      <c r="E47" s="159" t="s">
        <v>379</v>
      </c>
      <c r="F47" s="165">
        <v>8887750</v>
      </c>
      <c r="G47" s="165">
        <v>299772</v>
      </c>
      <c r="H47" s="164">
        <v>450074.5</v>
      </c>
      <c r="I47" s="164">
        <f t="shared" si="1"/>
        <v>9337824.5</v>
      </c>
      <c r="J47" s="166">
        <v>8933200</v>
      </c>
      <c r="K47" s="166">
        <v>239772</v>
      </c>
      <c r="L47" s="166">
        <v>332300.07</v>
      </c>
      <c r="M47" s="166">
        <f t="shared" si="2"/>
        <v>9265500.0700000003</v>
      </c>
      <c r="N47" s="166">
        <f t="shared" si="3"/>
        <v>-45450</v>
      </c>
      <c r="O47" s="166">
        <f t="shared" si="3"/>
        <v>60000</v>
      </c>
      <c r="P47" s="166">
        <f t="shared" si="3"/>
        <v>117774.43</v>
      </c>
      <c r="Q47" s="166">
        <f t="shared" si="3"/>
        <v>72324.429999999702</v>
      </c>
    </row>
    <row r="48" spans="1:17" s="161" customFormat="1" ht="20.100000000000001" customHeight="1">
      <c r="A48" s="152" t="s">
        <v>537</v>
      </c>
      <c r="B48" s="159" t="s">
        <v>426</v>
      </c>
      <c r="C48" s="159">
        <v>10</v>
      </c>
      <c r="D48" s="159" t="s">
        <v>639</v>
      </c>
      <c r="E48" s="159" t="s">
        <v>379</v>
      </c>
      <c r="F48" s="165">
        <v>8347486</v>
      </c>
      <c r="G48" s="165">
        <v>176108</v>
      </c>
      <c r="H48" s="164"/>
      <c r="I48" s="164">
        <f t="shared" si="1"/>
        <v>8347486</v>
      </c>
      <c r="J48" s="166">
        <v>11069400</v>
      </c>
      <c r="K48" s="166">
        <v>197412</v>
      </c>
      <c r="L48" s="166">
        <v>396879.91</v>
      </c>
      <c r="M48" s="166">
        <f t="shared" si="2"/>
        <v>11466279.91</v>
      </c>
      <c r="N48" s="166">
        <f t="shared" si="3"/>
        <v>-2721914</v>
      </c>
      <c r="O48" s="166">
        <f t="shared" si="3"/>
        <v>-21304</v>
      </c>
      <c r="P48" s="166">
        <f t="shared" si="3"/>
        <v>-396879.91</v>
      </c>
      <c r="Q48" s="166">
        <f t="shared" si="3"/>
        <v>-3118793.91</v>
      </c>
    </row>
    <row r="49" spans="1:17" s="161" customFormat="1" ht="20.100000000000001" customHeight="1">
      <c r="A49" s="152" t="s">
        <v>537</v>
      </c>
      <c r="B49" s="162" t="s">
        <v>644</v>
      </c>
      <c r="C49" s="159">
        <v>11</v>
      </c>
      <c r="D49" s="159" t="s">
        <v>639</v>
      </c>
      <c r="E49" s="159" t="s">
        <v>379</v>
      </c>
      <c r="F49" s="165">
        <v>2029102</v>
      </c>
      <c r="G49" s="165">
        <v>81304</v>
      </c>
      <c r="H49" s="164">
        <v>293283</v>
      </c>
      <c r="I49" s="164">
        <f t="shared" si="1"/>
        <v>2322385</v>
      </c>
      <c r="J49" s="166"/>
      <c r="K49" s="166"/>
      <c r="L49" s="166"/>
      <c r="M49" s="166">
        <f t="shared" si="2"/>
        <v>0</v>
      </c>
      <c r="N49" s="166">
        <f t="shared" si="3"/>
        <v>2029102</v>
      </c>
      <c r="O49" s="166">
        <f t="shared" si="3"/>
        <v>81304</v>
      </c>
      <c r="P49" s="166">
        <f t="shared" si="3"/>
        <v>293283</v>
      </c>
      <c r="Q49" s="166">
        <f t="shared" si="3"/>
        <v>2322385</v>
      </c>
    </row>
    <row r="50" spans="1:17" s="161" customFormat="1" ht="20.100000000000001" customHeight="1">
      <c r="A50" s="152" t="s">
        <v>537</v>
      </c>
      <c r="B50" s="159" t="s">
        <v>436</v>
      </c>
      <c r="C50" s="159">
        <v>12</v>
      </c>
      <c r="D50" s="159" t="s">
        <v>640</v>
      </c>
      <c r="E50" s="159" t="s">
        <v>641</v>
      </c>
      <c r="F50" s="165">
        <v>1147500</v>
      </c>
      <c r="G50" s="165">
        <v>0</v>
      </c>
      <c r="H50" s="164"/>
      <c r="I50" s="164">
        <f t="shared" si="1"/>
        <v>1147500</v>
      </c>
      <c r="J50" s="166">
        <v>1099200</v>
      </c>
      <c r="K50" s="166"/>
      <c r="L50" s="166"/>
      <c r="M50" s="166">
        <f t="shared" si="2"/>
        <v>1099200</v>
      </c>
      <c r="N50" s="166">
        <f t="shared" si="3"/>
        <v>48300</v>
      </c>
      <c r="O50" s="166">
        <f t="shared" si="3"/>
        <v>0</v>
      </c>
      <c r="P50" s="166">
        <f t="shared" si="3"/>
        <v>0</v>
      </c>
      <c r="Q50" s="166">
        <f t="shared" si="3"/>
        <v>48300</v>
      </c>
    </row>
    <row r="51" spans="1:17" s="161" customFormat="1" ht="20.100000000000001" customHeight="1">
      <c r="A51" s="152" t="s">
        <v>537</v>
      </c>
      <c r="B51" s="159" t="s">
        <v>427</v>
      </c>
      <c r="C51" s="159">
        <v>13</v>
      </c>
      <c r="D51" s="159" t="s">
        <v>640</v>
      </c>
      <c r="E51" s="159" t="s">
        <v>382</v>
      </c>
      <c r="F51" s="165">
        <v>9930921</v>
      </c>
      <c r="G51" s="165">
        <v>266768</v>
      </c>
      <c r="H51" s="164"/>
      <c r="I51" s="164">
        <f t="shared" si="1"/>
        <v>9930921</v>
      </c>
      <c r="J51" s="166">
        <v>10223500</v>
      </c>
      <c r="K51" s="166">
        <v>206618</v>
      </c>
      <c r="L51" s="166"/>
      <c r="M51" s="166">
        <f t="shared" si="2"/>
        <v>10223500</v>
      </c>
      <c r="N51" s="166">
        <f t="shared" si="3"/>
        <v>-292579</v>
      </c>
      <c r="O51" s="166">
        <f t="shared" si="3"/>
        <v>60150</v>
      </c>
      <c r="P51" s="166">
        <f t="shared" si="3"/>
        <v>0</v>
      </c>
      <c r="Q51" s="166">
        <f t="shared" si="3"/>
        <v>-292579</v>
      </c>
    </row>
    <row r="52" spans="1:17" s="161" customFormat="1" ht="20.100000000000001" customHeight="1">
      <c r="A52" s="152" t="s">
        <v>537</v>
      </c>
      <c r="B52" s="159" t="s">
        <v>428</v>
      </c>
      <c r="C52" s="159">
        <v>14</v>
      </c>
      <c r="D52" s="159" t="s">
        <v>640</v>
      </c>
      <c r="E52" s="159" t="s">
        <v>382</v>
      </c>
      <c r="F52" s="165">
        <v>10593885</v>
      </c>
      <c r="G52" s="165">
        <v>255560</v>
      </c>
      <c r="H52" s="164"/>
      <c r="I52" s="164">
        <f t="shared" si="1"/>
        <v>10593885</v>
      </c>
      <c r="J52" s="166">
        <v>10756900</v>
      </c>
      <c r="K52" s="166">
        <v>195560</v>
      </c>
      <c r="L52" s="166"/>
      <c r="M52" s="166">
        <f t="shared" si="2"/>
        <v>10756900</v>
      </c>
      <c r="N52" s="166">
        <f t="shared" si="3"/>
        <v>-163015</v>
      </c>
      <c r="O52" s="166">
        <f t="shared" si="3"/>
        <v>60000</v>
      </c>
      <c r="P52" s="166">
        <f t="shared" si="3"/>
        <v>0</v>
      </c>
      <c r="Q52" s="166">
        <f t="shared" si="3"/>
        <v>-163015</v>
      </c>
    </row>
    <row r="53" spans="1:17" s="161" customFormat="1" ht="20.100000000000001" customHeight="1">
      <c r="A53" s="152" t="s">
        <v>537</v>
      </c>
      <c r="B53" s="159" t="s">
        <v>430</v>
      </c>
      <c r="C53" s="159">
        <v>15</v>
      </c>
      <c r="D53" s="159" t="s">
        <v>640</v>
      </c>
      <c r="E53" s="159" t="s">
        <v>382</v>
      </c>
      <c r="F53" s="165">
        <v>9456570</v>
      </c>
      <c r="G53" s="165">
        <v>267270</v>
      </c>
      <c r="H53" s="164"/>
      <c r="I53" s="164">
        <f t="shared" si="1"/>
        <v>9456570</v>
      </c>
      <c r="J53" s="166">
        <v>9690100</v>
      </c>
      <c r="K53" s="166">
        <v>207270</v>
      </c>
      <c r="L53" s="166"/>
      <c r="M53" s="166">
        <f t="shared" si="2"/>
        <v>9690100</v>
      </c>
      <c r="N53" s="166">
        <f t="shared" si="3"/>
        <v>-233530</v>
      </c>
      <c r="O53" s="166">
        <f t="shared" si="3"/>
        <v>60000</v>
      </c>
      <c r="P53" s="166">
        <f t="shared" si="3"/>
        <v>0</v>
      </c>
      <c r="Q53" s="166">
        <f t="shared" si="3"/>
        <v>-233530</v>
      </c>
    </row>
    <row r="54" spans="1:17" s="161" customFormat="1" ht="20.100000000000001" customHeight="1">
      <c r="A54" s="152" t="s">
        <v>537</v>
      </c>
      <c r="B54" s="159" t="s">
        <v>431</v>
      </c>
      <c r="C54" s="159">
        <v>16</v>
      </c>
      <c r="D54" s="159" t="s">
        <v>640</v>
      </c>
      <c r="E54" s="159" t="s">
        <v>382</v>
      </c>
      <c r="F54" s="165">
        <v>5903992</v>
      </c>
      <c r="G54" s="165">
        <v>248744</v>
      </c>
      <c r="H54" s="164"/>
      <c r="I54" s="164">
        <f t="shared" si="1"/>
        <v>5903992</v>
      </c>
      <c r="J54" s="166">
        <v>6045200</v>
      </c>
      <c r="K54" s="166">
        <v>188744</v>
      </c>
      <c r="L54" s="166"/>
      <c r="M54" s="166">
        <f t="shared" si="2"/>
        <v>6045200</v>
      </c>
      <c r="N54" s="166">
        <f t="shared" si="3"/>
        <v>-141208</v>
      </c>
      <c r="O54" s="166">
        <f t="shared" si="3"/>
        <v>60000</v>
      </c>
      <c r="P54" s="166">
        <f t="shared" si="3"/>
        <v>0</v>
      </c>
      <c r="Q54" s="166">
        <f t="shared" si="3"/>
        <v>-141208</v>
      </c>
    </row>
    <row r="55" spans="1:17" s="161" customFormat="1" ht="20.100000000000001" customHeight="1">
      <c r="A55" s="152" t="s">
        <v>537</v>
      </c>
      <c r="B55" s="159" t="s">
        <v>433</v>
      </c>
      <c r="C55" s="159">
        <v>17</v>
      </c>
      <c r="D55" s="159" t="s">
        <v>640</v>
      </c>
      <c r="E55" s="159" t="s">
        <v>382</v>
      </c>
      <c r="F55" s="165">
        <v>6516654</v>
      </c>
      <c r="G55" s="165">
        <v>240776</v>
      </c>
      <c r="H55" s="164"/>
      <c r="I55" s="164">
        <f t="shared" si="1"/>
        <v>6516654</v>
      </c>
      <c r="J55" s="166">
        <v>6667500</v>
      </c>
      <c r="K55" s="166">
        <v>180776</v>
      </c>
      <c r="L55" s="166"/>
      <c r="M55" s="166">
        <f t="shared" si="2"/>
        <v>6667500</v>
      </c>
      <c r="N55" s="166">
        <f t="shared" si="3"/>
        <v>-150846</v>
      </c>
      <c r="O55" s="166">
        <f t="shared" si="3"/>
        <v>60000</v>
      </c>
      <c r="P55" s="166">
        <f t="shared" si="3"/>
        <v>0</v>
      </c>
      <c r="Q55" s="166">
        <f t="shared" si="3"/>
        <v>-150846</v>
      </c>
    </row>
    <row r="56" spans="1:17" s="161" customFormat="1" ht="20.100000000000001" customHeight="1">
      <c r="A56" s="152" t="s">
        <v>537</v>
      </c>
      <c r="B56" s="159" t="s">
        <v>432</v>
      </c>
      <c r="C56" s="159">
        <v>18</v>
      </c>
      <c r="D56" s="159" t="s">
        <v>640</v>
      </c>
      <c r="E56" s="159" t="s">
        <v>382</v>
      </c>
      <c r="F56" s="165">
        <v>3930871.0000000005</v>
      </c>
      <c r="G56" s="165">
        <v>230336</v>
      </c>
      <c r="H56" s="164"/>
      <c r="I56" s="164">
        <f t="shared" si="1"/>
        <v>3930871.0000000005</v>
      </c>
      <c r="J56" s="166">
        <v>4000500</v>
      </c>
      <c r="K56" s="166">
        <v>170336</v>
      </c>
      <c r="L56" s="166"/>
      <c r="M56" s="166">
        <f t="shared" si="2"/>
        <v>4000500</v>
      </c>
      <c r="N56" s="166">
        <f t="shared" si="3"/>
        <v>-69628.999999999534</v>
      </c>
      <c r="O56" s="166">
        <f t="shared" si="3"/>
        <v>60000</v>
      </c>
      <c r="P56" s="166">
        <f t="shared" si="3"/>
        <v>0</v>
      </c>
      <c r="Q56" s="166">
        <f t="shared" si="3"/>
        <v>-69628.999999999534</v>
      </c>
    </row>
    <row r="57" spans="1:17" s="161" customFormat="1" ht="20.100000000000001" customHeight="1">
      <c r="A57" s="152" t="s">
        <v>537</v>
      </c>
      <c r="B57" s="158" t="s">
        <v>429</v>
      </c>
      <c r="C57" s="159">
        <v>19</v>
      </c>
      <c r="D57" s="159" t="s">
        <v>640</v>
      </c>
      <c r="E57" s="159" t="s">
        <v>382</v>
      </c>
      <c r="F57" s="165">
        <v>2759034</v>
      </c>
      <c r="G57" s="165">
        <v>237056</v>
      </c>
      <c r="H57" s="164"/>
      <c r="I57" s="164">
        <f t="shared" si="1"/>
        <v>2759034</v>
      </c>
      <c r="J57" s="166">
        <v>2844800</v>
      </c>
      <c r="K57" s="166">
        <v>177056</v>
      </c>
      <c r="L57" s="166"/>
      <c r="M57" s="166">
        <f t="shared" si="2"/>
        <v>2844800</v>
      </c>
      <c r="N57" s="166">
        <f t="shared" si="3"/>
        <v>-85766</v>
      </c>
      <c r="O57" s="166">
        <f t="shared" si="3"/>
        <v>60000</v>
      </c>
      <c r="P57" s="166">
        <f t="shared" si="3"/>
        <v>0</v>
      </c>
      <c r="Q57" s="166">
        <f t="shared" si="3"/>
        <v>-85766</v>
      </c>
    </row>
    <row r="58" spans="1:17" s="161" customFormat="1" ht="20.100000000000001" customHeight="1">
      <c r="A58" s="152" t="s">
        <v>537</v>
      </c>
      <c r="B58" s="158" t="s">
        <v>434</v>
      </c>
      <c r="C58" s="159">
        <v>20</v>
      </c>
      <c r="D58" s="159" t="s">
        <v>640</v>
      </c>
      <c r="E58" s="159" t="s">
        <v>382</v>
      </c>
      <c r="F58" s="165">
        <v>3676181</v>
      </c>
      <c r="G58" s="165">
        <v>238881</v>
      </c>
      <c r="H58" s="164"/>
      <c r="I58" s="164">
        <f t="shared" si="1"/>
        <v>3676181</v>
      </c>
      <c r="J58" s="166">
        <v>3733800</v>
      </c>
      <c r="K58" s="166">
        <v>178881</v>
      </c>
      <c r="L58" s="166"/>
      <c r="M58" s="166">
        <f t="shared" si="2"/>
        <v>3733800</v>
      </c>
      <c r="N58" s="166">
        <f t="shared" si="3"/>
        <v>-57619</v>
      </c>
      <c r="O58" s="166">
        <f t="shared" si="3"/>
        <v>60000</v>
      </c>
      <c r="P58" s="166">
        <f t="shared" si="3"/>
        <v>0</v>
      </c>
      <c r="Q58" s="166">
        <f t="shared" si="3"/>
        <v>-57619</v>
      </c>
    </row>
    <row r="59" spans="1:17" s="161" customFormat="1" ht="20.100000000000001" customHeight="1">
      <c r="A59" s="152"/>
      <c r="B59" s="158" t="s">
        <v>656</v>
      </c>
      <c r="C59" s="159"/>
      <c r="D59" s="159"/>
      <c r="E59" s="159"/>
      <c r="F59" s="165">
        <f>SUM(F39:F58)</f>
        <v>179989668</v>
      </c>
      <c r="G59" s="165">
        <f t="shared" ref="G59:Q59" si="7">SUM(G39:G58)</f>
        <v>4853339</v>
      </c>
      <c r="H59" s="165">
        <f t="shared" si="7"/>
        <v>6423018.5</v>
      </c>
      <c r="I59" s="165">
        <f t="shared" si="7"/>
        <v>186412686.5</v>
      </c>
      <c r="J59" s="165">
        <f t="shared" si="7"/>
        <v>183524800</v>
      </c>
      <c r="K59" s="165">
        <f t="shared" si="7"/>
        <v>3757469</v>
      </c>
      <c r="L59" s="165">
        <f t="shared" si="7"/>
        <v>3922203.53</v>
      </c>
      <c r="M59" s="165">
        <f t="shared" si="7"/>
        <v>187447003.53</v>
      </c>
      <c r="N59" s="165">
        <f t="shared" si="7"/>
        <v>-3535131.9999999995</v>
      </c>
      <c r="O59" s="165">
        <f t="shared" si="7"/>
        <v>1095870</v>
      </c>
      <c r="P59" s="165">
        <f t="shared" si="7"/>
        <v>2500814.9699999997</v>
      </c>
      <c r="Q59" s="165">
        <f t="shared" si="7"/>
        <v>-1034317.0299999951</v>
      </c>
    </row>
    <row r="60" spans="1:17" s="161" customFormat="1" ht="20.100000000000001" customHeight="1">
      <c r="A60" s="152" t="s">
        <v>538</v>
      </c>
      <c r="B60" s="159" t="s">
        <v>306</v>
      </c>
      <c r="C60" s="159">
        <v>1</v>
      </c>
      <c r="D60" s="159" t="s">
        <v>639</v>
      </c>
      <c r="E60" s="159" t="s">
        <v>374</v>
      </c>
      <c r="F60" s="165">
        <v>11879175</v>
      </c>
      <c r="G60" s="165">
        <v>253552</v>
      </c>
      <c r="H60" s="164">
        <v>458419.5</v>
      </c>
      <c r="I60" s="164">
        <f t="shared" si="1"/>
        <v>12337594.5</v>
      </c>
      <c r="J60" s="166">
        <v>12331700</v>
      </c>
      <c r="K60" s="166">
        <v>193552</v>
      </c>
      <c r="L60" s="166">
        <v>210497.58</v>
      </c>
      <c r="M60" s="166">
        <f t="shared" si="2"/>
        <v>12542197.58</v>
      </c>
      <c r="N60" s="166">
        <f t="shared" si="3"/>
        <v>-452525</v>
      </c>
      <c r="O60" s="166">
        <f t="shared" si="3"/>
        <v>60000</v>
      </c>
      <c r="P60" s="166">
        <f t="shared" si="3"/>
        <v>247921.92000000001</v>
      </c>
      <c r="Q60" s="166">
        <f t="shared" si="3"/>
        <v>-204603.08000000007</v>
      </c>
    </row>
    <row r="61" spans="1:17" s="161" customFormat="1" ht="20.100000000000001" customHeight="1">
      <c r="A61" s="152" t="s">
        <v>538</v>
      </c>
      <c r="B61" s="159" t="s">
        <v>413</v>
      </c>
      <c r="C61" s="159">
        <v>2</v>
      </c>
      <c r="D61" s="159" t="s">
        <v>639</v>
      </c>
      <c r="E61" s="159" t="s">
        <v>374</v>
      </c>
      <c r="F61" s="165">
        <v>12903429</v>
      </c>
      <c r="G61" s="165">
        <v>821116</v>
      </c>
      <c r="H61" s="164">
        <v>624522</v>
      </c>
      <c r="I61" s="164">
        <f t="shared" si="1"/>
        <v>13527951</v>
      </c>
      <c r="J61" s="166">
        <v>12623000</v>
      </c>
      <c r="K61" s="166">
        <v>641116</v>
      </c>
      <c r="L61" s="166">
        <v>314724.53999999998</v>
      </c>
      <c r="M61" s="166">
        <f t="shared" si="2"/>
        <v>12937724.539999999</v>
      </c>
      <c r="N61" s="166">
        <f t="shared" si="3"/>
        <v>280429</v>
      </c>
      <c r="O61" s="166">
        <f t="shared" si="3"/>
        <v>180000</v>
      </c>
      <c r="P61" s="166">
        <f t="shared" si="3"/>
        <v>309797.46000000002</v>
      </c>
      <c r="Q61" s="166">
        <f t="shared" si="3"/>
        <v>590226.46000000089</v>
      </c>
    </row>
    <row r="62" spans="1:17" s="161" customFormat="1" ht="20.100000000000001" customHeight="1">
      <c r="A62" s="152" t="s">
        <v>538</v>
      </c>
      <c r="B62" s="159" t="s">
        <v>645</v>
      </c>
      <c r="C62" s="159">
        <v>3</v>
      </c>
      <c r="D62" s="159" t="s">
        <v>639</v>
      </c>
      <c r="E62" s="159" t="s">
        <v>374</v>
      </c>
      <c r="F62" s="165">
        <v>12952010</v>
      </c>
      <c r="G62" s="165">
        <v>0</v>
      </c>
      <c r="H62" s="164">
        <v>623787.5</v>
      </c>
      <c r="I62" s="164">
        <f t="shared" si="1"/>
        <v>13575797.5</v>
      </c>
      <c r="J62" s="166">
        <v>13399800</v>
      </c>
      <c r="K62" s="166"/>
      <c r="L62" s="166">
        <v>274259.96000000002</v>
      </c>
      <c r="M62" s="166">
        <f t="shared" si="2"/>
        <v>13674059.960000001</v>
      </c>
      <c r="N62" s="166">
        <f t="shared" si="3"/>
        <v>-447790</v>
      </c>
      <c r="O62" s="166">
        <f t="shared" si="3"/>
        <v>0</v>
      </c>
      <c r="P62" s="166">
        <f t="shared" si="3"/>
        <v>349527.54</v>
      </c>
      <c r="Q62" s="166">
        <f t="shared" si="3"/>
        <v>-98262.460000000894</v>
      </c>
    </row>
    <row r="63" spans="1:17" s="161" customFormat="1" ht="20.100000000000001" customHeight="1">
      <c r="A63" s="152" t="s">
        <v>538</v>
      </c>
      <c r="B63" s="159" t="s">
        <v>308</v>
      </c>
      <c r="C63" s="159">
        <v>4</v>
      </c>
      <c r="D63" s="159" t="s">
        <v>639</v>
      </c>
      <c r="E63" s="159" t="s">
        <v>374</v>
      </c>
      <c r="F63" s="165">
        <v>14978010</v>
      </c>
      <c r="G63" s="165">
        <v>251812</v>
      </c>
      <c r="H63" s="164">
        <v>753137.5</v>
      </c>
      <c r="I63" s="164">
        <f t="shared" si="1"/>
        <v>15731147.5</v>
      </c>
      <c r="J63" s="166">
        <v>14856300</v>
      </c>
      <c r="K63" s="166">
        <v>191812</v>
      </c>
      <c r="L63" s="166">
        <v>405463.31</v>
      </c>
      <c r="M63" s="166">
        <f t="shared" si="2"/>
        <v>15261763.310000001</v>
      </c>
      <c r="N63" s="166">
        <f t="shared" si="3"/>
        <v>121710</v>
      </c>
      <c r="O63" s="166">
        <f t="shared" si="3"/>
        <v>60000</v>
      </c>
      <c r="P63" s="166">
        <f t="shared" si="3"/>
        <v>347674.19</v>
      </c>
      <c r="Q63" s="166">
        <f t="shared" si="3"/>
        <v>469384.18999999948</v>
      </c>
    </row>
    <row r="64" spans="1:17" s="161" customFormat="1" ht="20.100000000000001" customHeight="1">
      <c r="A64" s="152" t="s">
        <v>538</v>
      </c>
      <c r="B64" s="159" t="s">
        <v>646</v>
      </c>
      <c r="C64" s="159">
        <v>5</v>
      </c>
      <c r="D64" s="159" t="s">
        <v>639</v>
      </c>
      <c r="E64" s="159" t="s">
        <v>377</v>
      </c>
      <c r="F64" s="165">
        <v>7420315</v>
      </c>
      <c r="G64" s="165">
        <v>0</v>
      </c>
      <c r="H64" s="164">
        <v>280014</v>
      </c>
      <c r="I64" s="164">
        <f t="shared" si="1"/>
        <v>7700329</v>
      </c>
      <c r="J64" s="166">
        <v>8059300</v>
      </c>
      <c r="K64" s="166"/>
      <c r="L64" s="166">
        <v>237473.97</v>
      </c>
      <c r="M64" s="166">
        <f t="shared" si="2"/>
        <v>8296773.9699999997</v>
      </c>
      <c r="N64" s="166">
        <f t="shared" si="3"/>
        <v>-638985</v>
      </c>
      <c r="O64" s="166">
        <f t="shared" si="3"/>
        <v>0</v>
      </c>
      <c r="P64" s="166">
        <f t="shared" si="3"/>
        <v>42540.03</v>
      </c>
      <c r="Q64" s="166">
        <f t="shared" si="3"/>
        <v>-596444.96999999974</v>
      </c>
    </row>
    <row r="65" spans="1:17" s="161" customFormat="1" ht="20.100000000000001" customHeight="1">
      <c r="A65" s="152" t="s">
        <v>538</v>
      </c>
      <c r="B65" s="159" t="s">
        <v>309</v>
      </c>
      <c r="C65" s="159">
        <v>6</v>
      </c>
      <c r="D65" s="159" t="s">
        <v>639</v>
      </c>
      <c r="E65" s="159" t="s">
        <v>379</v>
      </c>
      <c r="F65" s="165">
        <v>13542735</v>
      </c>
      <c r="G65" s="165">
        <v>429713</v>
      </c>
      <c r="H65" s="164">
        <v>466723.5</v>
      </c>
      <c r="I65" s="164">
        <f t="shared" si="1"/>
        <v>14009458.5</v>
      </c>
      <c r="J65" s="166">
        <v>14467900</v>
      </c>
      <c r="K65" s="166">
        <v>370558</v>
      </c>
      <c r="L65" s="166">
        <v>325760.34000000003</v>
      </c>
      <c r="M65" s="166">
        <f t="shared" si="2"/>
        <v>14793660.34</v>
      </c>
      <c r="N65" s="166">
        <f t="shared" si="3"/>
        <v>-925165</v>
      </c>
      <c r="O65" s="166">
        <f t="shared" si="3"/>
        <v>59155</v>
      </c>
      <c r="P65" s="166">
        <f t="shared" si="3"/>
        <v>140963.15999999997</v>
      </c>
      <c r="Q65" s="166">
        <f t="shared" si="3"/>
        <v>-784201.83999999985</v>
      </c>
    </row>
    <row r="66" spans="1:17" s="161" customFormat="1" ht="20.100000000000001" customHeight="1">
      <c r="A66" s="152" t="s">
        <v>538</v>
      </c>
      <c r="B66" s="159" t="s">
        <v>311</v>
      </c>
      <c r="C66" s="159">
        <v>7</v>
      </c>
      <c r="D66" s="159" t="s">
        <v>639</v>
      </c>
      <c r="E66" s="159" t="s">
        <v>379</v>
      </c>
      <c r="F66" s="165">
        <v>11992812</v>
      </c>
      <c r="G66" s="165">
        <v>287664</v>
      </c>
      <c r="H66" s="164">
        <v>425238.5</v>
      </c>
      <c r="I66" s="164">
        <f t="shared" si="1"/>
        <v>12418050.5</v>
      </c>
      <c r="J66" s="166">
        <v>12623000</v>
      </c>
      <c r="K66" s="166">
        <v>227664</v>
      </c>
      <c r="L66" s="166">
        <v>305323.68</v>
      </c>
      <c r="M66" s="166">
        <f t="shared" si="2"/>
        <v>12928323.68</v>
      </c>
      <c r="N66" s="166">
        <f t="shared" si="3"/>
        <v>-630188</v>
      </c>
      <c r="O66" s="166">
        <f t="shared" si="3"/>
        <v>60000</v>
      </c>
      <c r="P66" s="166">
        <f t="shared" si="3"/>
        <v>119914.82</v>
      </c>
      <c r="Q66" s="166">
        <f t="shared" si="3"/>
        <v>-510273.1799999997</v>
      </c>
    </row>
    <row r="67" spans="1:17" s="161" customFormat="1" ht="20.100000000000001" customHeight="1">
      <c r="A67" s="152" t="s">
        <v>538</v>
      </c>
      <c r="B67" s="159" t="s">
        <v>312</v>
      </c>
      <c r="C67" s="159">
        <v>8</v>
      </c>
      <c r="D67" s="159" t="s">
        <v>639</v>
      </c>
      <c r="E67" s="159" t="s">
        <v>379</v>
      </c>
      <c r="F67" s="165">
        <v>21312036</v>
      </c>
      <c r="G67" s="165">
        <v>559575</v>
      </c>
      <c r="H67" s="164">
        <v>698984.5</v>
      </c>
      <c r="I67" s="164">
        <f t="shared" si="1"/>
        <v>22011020.5</v>
      </c>
      <c r="J67" s="166">
        <v>22430100</v>
      </c>
      <c r="K67" s="166">
        <v>439575</v>
      </c>
      <c r="L67" s="166">
        <v>672774.8</v>
      </c>
      <c r="M67" s="166">
        <f t="shared" si="2"/>
        <v>23102874.800000001</v>
      </c>
      <c r="N67" s="166">
        <f t="shared" si="3"/>
        <v>-1118064</v>
      </c>
      <c r="O67" s="166">
        <f t="shared" si="3"/>
        <v>120000</v>
      </c>
      <c r="P67" s="166">
        <f t="shared" si="3"/>
        <v>26209.699999999953</v>
      </c>
      <c r="Q67" s="166">
        <f t="shared" si="3"/>
        <v>-1091854.3000000007</v>
      </c>
    </row>
    <row r="68" spans="1:17" s="161" customFormat="1" ht="20.100000000000001" customHeight="1">
      <c r="A68" s="152" t="s">
        <v>538</v>
      </c>
      <c r="B68" s="159" t="s">
        <v>310</v>
      </c>
      <c r="C68" s="159">
        <v>9</v>
      </c>
      <c r="D68" s="159" t="s">
        <v>639</v>
      </c>
      <c r="E68" s="159" t="s">
        <v>379</v>
      </c>
      <c r="F68" s="165">
        <v>13870715</v>
      </c>
      <c r="G68" s="165">
        <v>260352</v>
      </c>
      <c r="H68" s="164">
        <v>353641.5</v>
      </c>
      <c r="I68" s="164">
        <f t="shared" si="1"/>
        <v>14224356.5</v>
      </c>
      <c r="J68" s="166">
        <v>15827300</v>
      </c>
      <c r="K68" s="166">
        <v>200352</v>
      </c>
      <c r="L68" s="166">
        <v>298783.95</v>
      </c>
      <c r="M68" s="166">
        <f t="shared" si="2"/>
        <v>16126083.949999999</v>
      </c>
      <c r="N68" s="166">
        <f t="shared" si="3"/>
        <v>-1956585</v>
      </c>
      <c r="O68" s="166">
        <f t="shared" si="3"/>
        <v>60000</v>
      </c>
      <c r="P68" s="166">
        <f t="shared" si="3"/>
        <v>54857.549999999988</v>
      </c>
      <c r="Q68" s="166">
        <f t="shared" si="3"/>
        <v>-1901727.4499999993</v>
      </c>
    </row>
    <row r="69" spans="1:17" s="161" customFormat="1" ht="20.100000000000001" customHeight="1">
      <c r="A69" s="152" t="s">
        <v>538</v>
      </c>
      <c r="B69" s="159" t="s">
        <v>322</v>
      </c>
      <c r="C69" s="159">
        <v>10</v>
      </c>
      <c r="D69" s="159" t="s">
        <v>640</v>
      </c>
      <c r="E69" s="159" t="s">
        <v>641</v>
      </c>
      <c r="F69" s="165">
        <v>858000</v>
      </c>
      <c r="G69" s="165">
        <v>0</v>
      </c>
      <c r="H69" s="164"/>
      <c r="I69" s="164">
        <f t="shared" si="1"/>
        <v>858000</v>
      </c>
      <c r="J69" s="166">
        <v>732800</v>
      </c>
      <c r="K69" s="166"/>
      <c r="L69" s="166"/>
      <c r="M69" s="166">
        <f t="shared" si="2"/>
        <v>732800</v>
      </c>
      <c r="N69" s="166">
        <f t="shared" si="3"/>
        <v>125200</v>
      </c>
      <c r="O69" s="166">
        <f t="shared" si="3"/>
        <v>0</v>
      </c>
      <c r="P69" s="166">
        <f t="shared" si="3"/>
        <v>0</v>
      </c>
      <c r="Q69" s="166">
        <f t="shared" si="3"/>
        <v>125200</v>
      </c>
    </row>
    <row r="70" spans="1:17" s="161" customFormat="1" ht="20.100000000000001" customHeight="1">
      <c r="A70" s="152" t="s">
        <v>538</v>
      </c>
      <c r="B70" s="159" t="s">
        <v>313</v>
      </c>
      <c r="C70" s="159">
        <v>11</v>
      </c>
      <c r="D70" s="159" t="s">
        <v>640</v>
      </c>
      <c r="E70" s="159" t="s">
        <v>382</v>
      </c>
      <c r="F70" s="165">
        <v>9970135</v>
      </c>
      <c r="G70" s="165">
        <v>268108</v>
      </c>
      <c r="H70" s="164"/>
      <c r="I70" s="164">
        <f t="shared" si="1"/>
        <v>9970135</v>
      </c>
      <c r="J70" s="166">
        <v>10401300</v>
      </c>
      <c r="K70" s="166">
        <v>207908</v>
      </c>
      <c r="L70" s="166"/>
      <c r="M70" s="166">
        <f t="shared" si="2"/>
        <v>10401300</v>
      </c>
      <c r="N70" s="166">
        <f t="shared" si="3"/>
        <v>-431165</v>
      </c>
      <c r="O70" s="166">
        <f t="shared" si="3"/>
        <v>60200</v>
      </c>
      <c r="P70" s="166">
        <f t="shared" si="3"/>
        <v>0</v>
      </c>
      <c r="Q70" s="166">
        <f t="shared" si="3"/>
        <v>-431165</v>
      </c>
    </row>
    <row r="71" spans="1:17" s="161" customFormat="1" ht="20.100000000000001" customHeight="1">
      <c r="A71" s="152" t="s">
        <v>538</v>
      </c>
      <c r="B71" s="159" t="s">
        <v>314</v>
      </c>
      <c r="C71" s="159">
        <v>12</v>
      </c>
      <c r="D71" s="159" t="s">
        <v>640</v>
      </c>
      <c r="E71" s="159" t="s">
        <v>382</v>
      </c>
      <c r="F71" s="165">
        <v>7520404</v>
      </c>
      <c r="G71" s="165">
        <v>240104</v>
      </c>
      <c r="H71" s="164"/>
      <c r="I71" s="164">
        <f t="shared" si="1"/>
        <v>7520404</v>
      </c>
      <c r="J71" s="166">
        <v>8001000</v>
      </c>
      <c r="K71" s="166">
        <v>180104</v>
      </c>
      <c r="L71" s="166"/>
      <c r="M71" s="166">
        <f t="shared" si="2"/>
        <v>8001000</v>
      </c>
      <c r="N71" s="166">
        <f t="shared" si="3"/>
        <v>-480596</v>
      </c>
      <c r="O71" s="166">
        <f t="shared" si="3"/>
        <v>60000</v>
      </c>
      <c r="P71" s="166">
        <f t="shared" si="3"/>
        <v>0</v>
      </c>
      <c r="Q71" s="166">
        <f t="shared" si="3"/>
        <v>-480596</v>
      </c>
    </row>
    <row r="72" spans="1:17" s="161" customFormat="1" ht="20.100000000000001" customHeight="1">
      <c r="A72" s="152" t="s">
        <v>538</v>
      </c>
      <c r="B72" s="159" t="s">
        <v>315</v>
      </c>
      <c r="C72" s="159">
        <v>13</v>
      </c>
      <c r="D72" s="159" t="s">
        <v>640</v>
      </c>
      <c r="E72" s="159" t="s">
        <v>382</v>
      </c>
      <c r="F72" s="165">
        <v>11341018</v>
      </c>
      <c r="G72" s="165">
        <v>293228</v>
      </c>
      <c r="H72" s="164"/>
      <c r="I72" s="164">
        <f t="shared" si="1"/>
        <v>11341018</v>
      </c>
      <c r="J72" s="166">
        <v>11912600</v>
      </c>
      <c r="K72" s="166">
        <v>233228</v>
      </c>
      <c r="L72" s="166"/>
      <c r="M72" s="166">
        <f t="shared" si="2"/>
        <v>11912600</v>
      </c>
      <c r="N72" s="166">
        <f t="shared" si="3"/>
        <v>-571582</v>
      </c>
      <c r="O72" s="166">
        <f t="shared" si="3"/>
        <v>60000</v>
      </c>
      <c r="P72" s="166">
        <f t="shared" si="3"/>
        <v>0</v>
      </c>
      <c r="Q72" s="166">
        <f t="shared" si="3"/>
        <v>-571582</v>
      </c>
    </row>
    <row r="73" spans="1:17" s="161" customFormat="1" ht="20.100000000000001" customHeight="1">
      <c r="A73" s="152" t="s">
        <v>538</v>
      </c>
      <c r="B73" s="159" t="s">
        <v>317</v>
      </c>
      <c r="C73" s="159">
        <v>14</v>
      </c>
      <c r="D73" s="159" t="s">
        <v>640</v>
      </c>
      <c r="E73" s="159" t="s">
        <v>382</v>
      </c>
      <c r="F73" s="165">
        <v>8545934</v>
      </c>
      <c r="G73" s="165">
        <v>247724</v>
      </c>
      <c r="H73" s="164"/>
      <c r="I73" s="164">
        <f t="shared" ref="I73:I127" si="8">F73+H73</f>
        <v>8545934</v>
      </c>
      <c r="J73" s="166">
        <v>8890000</v>
      </c>
      <c r="K73" s="166">
        <v>188563</v>
      </c>
      <c r="L73" s="166"/>
      <c r="M73" s="166">
        <f t="shared" ref="M73:M127" si="9">J73+L73</f>
        <v>8890000</v>
      </c>
      <c r="N73" s="166">
        <f t="shared" ref="N73:Q127" si="10">F73-J73</f>
        <v>-344066</v>
      </c>
      <c r="O73" s="166">
        <f t="shared" si="10"/>
        <v>59161</v>
      </c>
      <c r="P73" s="166">
        <f t="shared" si="10"/>
        <v>0</v>
      </c>
      <c r="Q73" s="166">
        <f t="shared" si="10"/>
        <v>-344066</v>
      </c>
    </row>
    <row r="74" spans="1:17" s="161" customFormat="1" ht="20.100000000000001" customHeight="1">
      <c r="A74" s="152" t="s">
        <v>538</v>
      </c>
      <c r="B74" s="159" t="s">
        <v>316</v>
      </c>
      <c r="C74" s="159">
        <v>15</v>
      </c>
      <c r="D74" s="159" t="s">
        <v>640</v>
      </c>
      <c r="E74" s="159" t="s">
        <v>382</v>
      </c>
      <c r="F74" s="165">
        <v>3628838</v>
      </c>
      <c r="G74" s="165">
        <v>0</v>
      </c>
      <c r="H74" s="164"/>
      <c r="I74" s="164">
        <f t="shared" si="8"/>
        <v>3628838</v>
      </c>
      <c r="J74" s="166">
        <v>3911600</v>
      </c>
      <c r="K74" s="166"/>
      <c r="L74" s="166"/>
      <c r="M74" s="166">
        <f t="shared" si="9"/>
        <v>3911600</v>
      </c>
      <c r="N74" s="166">
        <f t="shared" si="10"/>
        <v>-282762</v>
      </c>
      <c r="O74" s="166">
        <f t="shared" si="10"/>
        <v>0</v>
      </c>
      <c r="P74" s="166">
        <f t="shared" si="10"/>
        <v>0</v>
      </c>
      <c r="Q74" s="166">
        <f t="shared" si="10"/>
        <v>-282762</v>
      </c>
    </row>
    <row r="75" spans="1:17" s="161" customFormat="1" ht="20.100000000000001" customHeight="1">
      <c r="A75" s="152" t="s">
        <v>538</v>
      </c>
      <c r="B75" s="159" t="s">
        <v>318</v>
      </c>
      <c r="C75" s="159">
        <v>16</v>
      </c>
      <c r="D75" s="159" t="s">
        <v>640</v>
      </c>
      <c r="E75" s="159" t="s">
        <v>382</v>
      </c>
      <c r="F75" s="165">
        <v>4240904</v>
      </c>
      <c r="G75" s="165">
        <v>241304</v>
      </c>
      <c r="H75" s="164"/>
      <c r="I75" s="164">
        <f t="shared" si="8"/>
        <v>4240904</v>
      </c>
      <c r="J75" s="166">
        <v>4445000</v>
      </c>
      <c r="K75" s="166">
        <v>181304</v>
      </c>
      <c r="L75" s="166"/>
      <c r="M75" s="166">
        <f t="shared" si="9"/>
        <v>4445000</v>
      </c>
      <c r="N75" s="166">
        <f t="shared" si="10"/>
        <v>-204096</v>
      </c>
      <c r="O75" s="166">
        <f t="shared" si="10"/>
        <v>60000</v>
      </c>
      <c r="P75" s="166">
        <f t="shared" si="10"/>
        <v>0</v>
      </c>
      <c r="Q75" s="166">
        <f t="shared" si="10"/>
        <v>-204096</v>
      </c>
    </row>
    <row r="76" spans="1:17" s="161" customFormat="1" ht="20.100000000000001" customHeight="1">
      <c r="A76" s="152" t="s">
        <v>538</v>
      </c>
      <c r="B76" s="158" t="s">
        <v>319</v>
      </c>
      <c r="C76" s="159">
        <v>17</v>
      </c>
      <c r="D76" s="159" t="s">
        <v>640</v>
      </c>
      <c r="E76" s="159" t="s">
        <v>382</v>
      </c>
      <c r="F76" s="165">
        <v>6878102</v>
      </c>
      <c r="G76" s="165">
        <v>241016</v>
      </c>
      <c r="H76" s="164"/>
      <c r="I76" s="164">
        <f t="shared" si="8"/>
        <v>6878102</v>
      </c>
      <c r="J76" s="166">
        <v>7112000</v>
      </c>
      <c r="K76" s="166">
        <v>181016</v>
      </c>
      <c r="L76" s="166"/>
      <c r="M76" s="166">
        <f t="shared" si="9"/>
        <v>7112000</v>
      </c>
      <c r="N76" s="166">
        <f t="shared" si="10"/>
        <v>-233898</v>
      </c>
      <c r="O76" s="166">
        <f t="shared" si="10"/>
        <v>60000</v>
      </c>
      <c r="P76" s="166">
        <f t="shared" si="10"/>
        <v>0</v>
      </c>
      <c r="Q76" s="166">
        <f t="shared" si="10"/>
        <v>-233898</v>
      </c>
    </row>
    <row r="77" spans="1:17" s="161" customFormat="1" ht="20.100000000000001" customHeight="1">
      <c r="A77" s="152" t="s">
        <v>538</v>
      </c>
      <c r="B77" s="158" t="s">
        <v>320</v>
      </c>
      <c r="C77" s="159">
        <v>18</v>
      </c>
      <c r="D77" s="159" t="s">
        <v>640</v>
      </c>
      <c r="E77" s="159" t="s">
        <v>382</v>
      </c>
      <c r="F77" s="165">
        <v>2450539</v>
      </c>
      <c r="G77" s="165">
        <v>230336</v>
      </c>
      <c r="H77" s="164"/>
      <c r="I77" s="164">
        <f t="shared" si="8"/>
        <v>2450539</v>
      </c>
      <c r="J77" s="166">
        <v>2578100</v>
      </c>
      <c r="K77" s="166">
        <v>170336</v>
      </c>
      <c r="L77" s="166"/>
      <c r="M77" s="166">
        <f t="shared" si="9"/>
        <v>2578100</v>
      </c>
      <c r="N77" s="166">
        <f t="shared" si="10"/>
        <v>-127561</v>
      </c>
      <c r="O77" s="166">
        <f t="shared" si="10"/>
        <v>60000</v>
      </c>
      <c r="P77" s="166">
        <f t="shared" si="10"/>
        <v>0</v>
      </c>
      <c r="Q77" s="166">
        <f t="shared" si="10"/>
        <v>-127561</v>
      </c>
    </row>
    <row r="78" spans="1:17" s="161" customFormat="1" ht="20.100000000000001" customHeight="1">
      <c r="A78" s="152" t="s">
        <v>538</v>
      </c>
      <c r="B78" s="158" t="s">
        <v>647</v>
      </c>
      <c r="C78" s="159">
        <v>19</v>
      </c>
      <c r="D78" s="159" t="s">
        <v>640</v>
      </c>
      <c r="E78" s="159" t="s">
        <v>382</v>
      </c>
      <c r="F78" s="165">
        <v>333657</v>
      </c>
      <c r="G78" s="165">
        <v>51359</v>
      </c>
      <c r="H78" s="164"/>
      <c r="I78" s="164">
        <f t="shared" si="8"/>
        <v>333657</v>
      </c>
      <c r="J78" s="166">
        <v>444500</v>
      </c>
      <c r="K78" s="166">
        <v>36359</v>
      </c>
      <c r="L78" s="166"/>
      <c r="M78" s="166">
        <f t="shared" si="9"/>
        <v>444500</v>
      </c>
      <c r="N78" s="166">
        <f t="shared" si="10"/>
        <v>-110843</v>
      </c>
      <c r="O78" s="166">
        <f t="shared" si="10"/>
        <v>15000</v>
      </c>
      <c r="P78" s="166">
        <f t="shared" si="10"/>
        <v>0</v>
      </c>
      <c r="Q78" s="166">
        <f t="shared" si="10"/>
        <v>-110843</v>
      </c>
    </row>
    <row r="79" spans="1:17" s="161" customFormat="1" ht="20.100000000000001" customHeight="1">
      <c r="A79" s="152"/>
      <c r="B79" s="158" t="s">
        <v>657</v>
      </c>
      <c r="C79" s="159"/>
      <c r="D79" s="159"/>
      <c r="E79" s="159"/>
      <c r="F79" s="165">
        <f>SUM(F60:F78)</f>
        <v>176618768</v>
      </c>
      <c r="G79" s="165">
        <f t="shared" ref="G79:Q79" si="11">SUM(G60:G78)</f>
        <v>4676963</v>
      </c>
      <c r="H79" s="165">
        <f t="shared" si="11"/>
        <v>4684468.5</v>
      </c>
      <c r="I79" s="165">
        <f t="shared" si="11"/>
        <v>181303236.5</v>
      </c>
      <c r="J79" s="165">
        <f t="shared" si="11"/>
        <v>185047300</v>
      </c>
      <c r="K79" s="165">
        <f t="shared" si="11"/>
        <v>3643447</v>
      </c>
      <c r="L79" s="165">
        <f t="shared" si="11"/>
        <v>3045062.1300000004</v>
      </c>
      <c r="M79" s="165">
        <f t="shared" si="11"/>
        <v>188092362.13</v>
      </c>
      <c r="N79" s="165">
        <f t="shared" si="11"/>
        <v>-8428532</v>
      </c>
      <c r="O79" s="165">
        <f t="shared" si="11"/>
        <v>1033516</v>
      </c>
      <c r="P79" s="165">
        <f t="shared" si="11"/>
        <v>1639406.3699999999</v>
      </c>
      <c r="Q79" s="165">
        <f t="shared" si="11"/>
        <v>-6789125.6299999999</v>
      </c>
    </row>
    <row r="80" spans="1:17" s="161" customFormat="1" ht="20.100000000000001" customHeight="1">
      <c r="A80" s="152" t="s">
        <v>539</v>
      </c>
      <c r="B80" s="159" t="s">
        <v>398</v>
      </c>
      <c r="C80" s="159">
        <v>1</v>
      </c>
      <c r="D80" s="159" t="s">
        <v>639</v>
      </c>
      <c r="E80" s="159" t="s">
        <v>374</v>
      </c>
      <c r="F80" s="165">
        <v>14244465</v>
      </c>
      <c r="G80" s="165">
        <v>265812</v>
      </c>
      <c r="H80" s="164">
        <v>750771</v>
      </c>
      <c r="I80" s="164">
        <f t="shared" si="8"/>
        <v>14995236</v>
      </c>
      <c r="J80" s="166">
        <v>14079500</v>
      </c>
      <c r="K80" s="166">
        <v>205812</v>
      </c>
      <c r="L80" s="166">
        <v>407098.24</v>
      </c>
      <c r="M80" s="166">
        <f t="shared" si="9"/>
        <v>14486598.24</v>
      </c>
      <c r="N80" s="166">
        <f t="shared" si="10"/>
        <v>164965</v>
      </c>
      <c r="O80" s="166">
        <f t="shared" si="10"/>
        <v>60000</v>
      </c>
      <c r="P80" s="166">
        <f t="shared" si="10"/>
        <v>343672.76</v>
      </c>
      <c r="Q80" s="166">
        <f t="shared" si="10"/>
        <v>508637.75999999978</v>
      </c>
    </row>
    <row r="81" spans="1:17" s="161" customFormat="1" ht="20.100000000000001" customHeight="1">
      <c r="A81" s="152" t="s">
        <v>539</v>
      </c>
      <c r="B81" s="159" t="s">
        <v>400</v>
      </c>
      <c r="C81" s="159">
        <v>2</v>
      </c>
      <c r="D81" s="159" t="s">
        <v>639</v>
      </c>
      <c r="E81" s="159" t="s">
        <v>377</v>
      </c>
      <c r="F81" s="165">
        <v>31888628</v>
      </c>
      <c r="G81" s="165">
        <v>347115</v>
      </c>
      <c r="H81" s="164">
        <v>1220727.5</v>
      </c>
      <c r="I81" s="164">
        <f t="shared" si="8"/>
        <v>33109355.5</v>
      </c>
      <c r="J81" s="166">
        <v>33111100</v>
      </c>
      <c r="K81" s="166">
        <v>272115</v>
      </c>
      <c r="L81" s="166">
        <v>644980.94999999995</v>
      </c>
      <c r="M81" s="166">
        <f t="shared" si="9"/>
        <v>33756080.950000003</v>
      </c>
      <c r="N81" s="166">
        <f t="shared" si="10"/>
        <v>-1222472</v>
      </c>
      <c r="O81" s="166">
        <f t="shared" si="10"/>
        <v>75000</v>
      </c>
      <c r="P81" s="166">
        <f t="shared" si="10"/>
        <v>575746.55000000005</v>
      </c>
      <c r="Q81" s="166">
        <f t="shared" si="10"/>
        <v>-646725.45000000298</v>
      </c>
    </row>
    <row r="82" spans="1:17" s="161" customFormat="1" ht="20.100000000000001" customHeight="1">
      <c r="A82" s="152" t="s">
        <v>539</v>
      </c>
      <c r="B82" s="159" t="s">
        <v>648</v>
      </c>
      <c r="C82" s="159">
        <v>3</v>
      </c>
      <c r="D82" s="159" t="s">
        <v>639</v>
      </c>
      <c r="E82" s="159" t="s">
        <v>377</v>
      </c>
      <c r="F82" s="165">
        <v>17021118</v>
      </c>
      <c r="G82" s="165">
        <v>0</v>
      </c>
      <c r="H82" s="164">
        <v>850307.5</v>
      </c>
      <c r="I82" s="164">
        <f t="shared" si="8"/>
        <v>17871425.5</v>
      </c>
      <c r="J82" s="166">
        <v>17575100</v>
      </c>
      <c r="K82" s="166"/>
      <c r="L82" s="166">
        <v>577131.24</v>
      </c>
      <c r="M82" s="166">
        <f t="shared" si="9"/>
        <v>18152231.239999998</v>
      </c>
      <c r="N82" s="166">
        <f t="shared" si="10"/>
        <v>-553982</v>
      </c>
      <c r="O82" s="166">
        <f t="shared" si="10"/>
        <v>0</v>
      </c>
      <c r="P82" s="166">
        <f t="shared" si="10"/>
        <v>273176.26</v>
      </c>
      <c r="Q82" s="166">
        <f t="shared" si="10"/>
        <v>-280805.73999999836</v>
      </c>
    </row>
    <row r="83" spans="1:17" s="161" customFormat="1" ht="20.100000000000001" customHeight="1">
      <c r="A83" s="152" t="s">
        <v>539</v>
      </c>
      <c r="B83" s="159" t="s">
        <v>402</v>
      </c>
      <c r="C83" s="159">
        <v>4</v>
      </c>
      <c r="D83" s="159" t="s">
        <v>639</v>
      </c>
      <c r="E83" s="159" t="s">
        <v>379</v>
      </c>
      <c r="F83" s="165">
        <v>21745198</v>
      </c>
      <c r="G83" s="165">
        <v>317400</v>
      </c>
      <c r="H83" s="164">
        <v>1061589.5</v>
      </c>
      <c r="I83" s="164">
        <f t="shared" si="8"/>
        <v>22806787.5</v>
      </c>
      <c r="J83" s="166">
        <v>22333000</v>
      </c>
      <c r="K83" s="166">
        <v>256680</v>
      </c>
      <c r="L83" s="166">
        <v>789672.49</v>
      </c>
      <c r="M83" s="166">
        <f t="shared" si="9"/>
        <v>23122672.489999998</v>
      </c>
      <c r="N83" s="166">
        <f t="shared" si="10"/>
        <v>-587802</v>
      </c>
      <c r="O83" s="166">
        <f t="shared" si="10"/>
        <v>60720</v>
      </c>
      <c r="P83" s="166">
        <f t="shared" si="10"/>
        <v>271917.01</v>
      </c>
      <c r="Q83" s="166">
        <f t="shared" si="10"/>
        <v>-315884.98999999836</v>
      </c>
    </row>
    <row r="84" spans="1:17" s="161" customFormat="1" ht="20.100000000000001" customHeight="1">
      <c r="A84" s="152" t="s">
        <v>539</v>
      </c>
      <c r="B84" s="159" t="s">
        <v>410</v>
      </c>
      <c r="C84" s="159">
        <v>5</v>
      </c>
      <c r="D84" s="159" t="s">
        <v>640</v>
      </c>
      <c r="E84" s="159" t="s">
        <v>641</v>
      </c>
      <c r="F84" s="165">
        <v>1623000</v>
      </c>
      <c r="G84" s="165">
        <v>0</v>
      </c>
      <c r="H84" s="164"/>
      <c r="I84" s="164">
        <f t="shared" si="8"/>
        <v>1623000</v>
      </c>
      <c r="J84" s="166">
        <v>1465600</v>
      </c>
      <c r="K84" s="166"/>
      <c r="L84" s="166"/>
      <c r="M84" s="166">
        <f t="shared" si="9"/>
        <v>1465600</v>
      </c>
      <c r="N84" s="166">
        <f t="shared" si="10"/>
        <v>157400</v>
      </c>
      <c r="O84" s="166">
        <f t="shared" si="10"/>
        <v>0</v>
      </c>
      <c r="P84" s="166">
        <f t="shared" si="10"/>
        <v>0</v>
      </c>
      <c r="Q84" s="166">
        <f t="shared" si="10"/>
        <v>157400</v>
      </c>
    </row>
    <row r="85" spans="1:17" s="161" customFormat="1" ht="20.100000000000001" customHeight="1">
      <c r="A85" s="152" t="s">
        <v>539</v>
      </c>
      <c r="B85" s="159" t="s">
        <v>403</v>
      </c>
      <c r="C85" s="159">
        <v>6</v>
      </c>
      <c r="D85" s="159" t="s">
        <v>640</v>
      </c>
      <c r="E85" s="159" t="s">
        <v>382</v>
      </c>
      <c r="F85" s="165">
        <v>5005816</v>
      </c>
      <c r="G85" s="165">
        <v>235616</v>
      </c>
      <c r="H85" s="164"/>
      <c r="I85" s="164">
        <f t="shared" si="8"/>
        <v>5005816</v>
      </c>
      <c r="J85" s="166">
        <v>5156200</v>
      </c>
      <c r="K85" s="166">
        <v>175616</v>
      </c>
      <c r="L85" s="166"/>
      <c r="M85" s="166">
        <f t="shared" si="9"/>
        <v>5156200</v>
      </c>
      <c r="N85" s="166">
        <f t="shared" si="10"/>
        <v>-150384</v>
      </c>
      <c r="O85" s="166">
        <f t="shared" si="10"/>
        <v>60000</v>
      </c>
      <c r="P85" s="166">
        <f t="shared" si="10"/>
        <v>0</v>
      </c>
      <c r="Q85" s="166">
        <f t="shared" si="10"/>
        <v>-150384</v>
      </c>
    </row>
    <row r="86" spans="1:17" s="161" customFormat="1" ht="20.100000000000001" customHeight="1">
      <c r="A86" s="152" t="s">
        <v>539</v>
      </c>
      <c r="B86" s="159" t="s">
        <v>405</v>
      </c>
      <c r="C86" s="159">
        <v>7</v>
      </c>
      <c r="D86" s="159" t="s">
        <v>640</v>
      </c>
      <c r="E86" s="159" t="s">
        <v>382</v>
      </c>
      <c r="F86" s="165">
        <v>3867695.9999999995</v>
      </c>
      <c r="G86" s="165">
        <v>234656</v>
      </c>
      <c r="H86" s="164"/>
      <c r="I86" s="164">
        <f t="shared" si="8"/>
        <v>3867695.9999999995</v>
      </c>
      <c r="J86" s="166">
        <v>3911600</v>
      </c>
      <c r="K86" s="166">
        <v>174656</v>
      </c>
      <c r="L86" s="166"/>
      <c r="M86" s="166">
        <f t="shared" si="9"/>
        <v>3911600</v>
      </c>
      <c r="N86" s="166">
        <f t="shared" si="10"/>
        <v>-43904.000000000466</v>
      </c>
      <c r="O86" s="166">
        <f t="shared" si="10"/>
        <v>60000</v>
      </c>
      <c r="P86" s="166">
        <f t="shared" si="10"/>
        <v>0</v>
      </c>
      <c r="Q86" s="166">
        <f t="shared" si="10"/>
        <v>-43904.000000000466</v>
      </c>
    </row>
    <row r="87" spans="1:17" s="161" customFormat="1" ht="20.100000000000001" customHeight="1">
      <c r="A87" s="152" t="s">
        <v>539</v>
      </c>
      <c r="B87" s="159" t="s">
        <v>406</v>
      </c>
      <c r="C87" s="159">
        <v>8</v>
      </c>
      <c r="D87" s="159" t="s">
        <v>640</v>
      </c>
      <c r="E87" s="159" t="s">
        <v>382</v>
      </c>
      <c r="F87" s="165">
        <v>4759286</v>
      </c>
      <c r="G87" s="165">
        <v>242336</v>
      </c>
      <c r="H87" s="164"/>
      <c r="I87" s="164">
        <f t="shared" si="8"/>
        <v>4759286</v>
      </c>
      <c r="J87" s="166">
        <v>4800600</v>
      </c>
      <c r="K87" s="166">
        <v>181736</v>
      </c>
      <c r="L87" s="166"/>
      <c r="M87" s="166">
        <f t="shared" si="9"/>
        <v>4800600</v>
      </c>
      <c r="N87" s="166">
        <f t="shared" si="10"/>
        <v>-41314</v>
      </c>
      <c r="O87" s="166">
        <f t="shared" si="10"/>
        <v>60600</v>
      </c>
      <c r="P87" s="166">
        <f t="shared" si="10"/>
        <v>0</v>
      </c>
      <c r="Q87" s="166">
        <f t="shared" si="10"/>
        <v>-41314</v>
      </c>
    </row>
    <row r="88" spans="1:17" s="161" customFormat="1" ht="20.100000000000001" customHeight="1">
      <c r="A88" s="152" t="s">
        <v>539</v>
      </c>
      <c r="B88" s="159" t="s">
        <v>407</v>
      </c>
      <c r="C88" s="159">
        <v>9</v>
      </c>
      <c r="D88" s="159" t="s">
        <v>640</v>
      </c>
      <c r="E88" s="159" t="s">
        <v>382</v>
      </c>
      <c r="F88" s="165">
        <v>8522565</v>
      </c>
      <c r="G88" s="165">
        <v>258152</v>
      </c>
      <c r="H88" s="164"/>
      <c r="I88" s="164">
        <f t="shared" si="8"/>
        <v>8522565</v>
      </c>
      <c r="J88" s="166">
        <v>8801100</v>
      </c>
      <c r="K88" s="166">
        <v>198152</v>
      </c>
      <c r="L88" s="166"/>
      <c r="M88" s="166">
        <f t="shared" si="9"/>
        <v>8801100</v>
      </c>
      <c r="N88" s="166">
        <f t="shared" si="10"/>
        <v>-278535</v>
      </c>
      <c r="O88" s="166">
        <f t="shared" si="10"/>
        <v>60000</v>
      </c>
      <c r="P88" s="166">
        <f t="shared" si="10"/>
        <v>0</v>
      </c>
      <c r="Q88" s="166">
        <f t="shared" si="10"/>
        <v>-278535</v>
      </c>
    </row>
    <row r="89" spans="1:17" s="161" customFormat="1" ht="20.100000000000001" customHeight="1">
      <c r="A89" s="152" t="s">
        <v>539</v>
      </c>
      <c r="B89" s="159" t="s">
        <v>408</v>
      </c>
      <c r="C89" s="159">
        <v>10</v>
      </c>
      <c r="D89" s="159" t="s">
        <v>640</v>
      </c>
      <c r="E89" s="159" t="s">
        <v>382</v>
      </c>
      <c r="F89" s="165">
        <v>4374399</v>
      </c>
      <c r="G89" s="165">
        <v>241436</v>
      </c>
      <c r="H89" s="164"/>
      <c r="I89" s="164">
        <f t="shared" si="8"/>
        <v>4374399</v>
      </c>
      <c r="J89" s="166">
        <v>4445000</v>
      </c>
      <c r="K89" s="166">
        <v>181436</v>
      </c>
      <c r="L89" s="166"/>
      <c r="M89" s="166">
        <f t="shared" si="9"/>
        <v>4445000</v>
      </c>
      <c r="N89" s="166">
        <f t="shared" si="10"/>
        <v>-70601</v>
      </c>
      <c r="O89" s="166">
        <f t="shared" si="10"/>
        <v>60000</v>
      </c>
      <c r="P89" s="166">
        <f t="shared" si="10"/>
        <v>0</v>
      </c>
      <c r="Q89" s="166">
        <f t="shared" si="10"/>
        <v>-70601</v>
      </c>
    </row>
    <row r="90" spans="1:17" s="161" customFormat="1" ht="20.100000000000001" customHeight="1">
      <c r="A90" s="152" t="s">
        <v>539</v>
      </c>
      <c r="B90" s="158" t="s">
        <v>409</v>
      </c>
      <c r="C90" s="159">
        <v>11</v>
      </c>
      <c r="D90" s="159" t="s">
        <v>640</v>
      </c>
      <c r="E90" s="159" t="s">
        <v>382</v>
      </c>
      <c r="F90" s="165">
        <v>3661688</v>
      </c>
      <c r="G90" s="165">
        <v>236588</v>
      </c>
      <c r="H90" s="164"/>
      <c r="I90" s="164">
        <f t="shared" si="8"/>
        <v>3661688</v>
      </c>
      <c r="J90" s="166">
        <v>3733800</v>
      </c>
      <c r="K90" s="166">
        <v>184588</v>
      </c>
      <c r="L90" s="166"/>
      <c r="M90" s="166">
        <f t="shared" si="9"/>
        <v>3733800</v>
      </c>
      <c r="N90" s="166">
        <f t="shared" si="10"/>
        <v>-72112</v>
      </c>
      <c r="O90" s="166">
        <f t="shared" si="10"/>
        <v>52000</v>
      </c>
      <c r="P90" s="166">
        <f t="shared" si="10"/>
        <v>0</v>
      </c>
      <c r="Q90" s="166">
        <f t="shared" si="10"/>
        <v>-72112</v>
      </c>
    </row>
    <row r="91" spans="1:17" s="161" customFormat="1" ht="20.100000000000001" customHeight="1">
      <c r="A91" s="152" t="s">
        <v>539</v>
      </c>
      <c r="B91" s="158" t="s">
        <v>404</v>
      </c>
      <c r="C91" s="159">
        <v>12</v>
      </c>
      <c r="D91" s="159" t="s">
        <v>640</v>
      </c>
      <c r="E91" s="159" t="s">
        <v>382</v>
      </c>
      <c r="F91" s="165">
        <v>2988324.0000000005</v>
      </c>
      <c r="G91" s="165">
        <v>233201</v>
      </c>
      <c r="H91" s="164"/>
      <c r="I91" s="164">
        <f t="shared" si="8"/>
        <v>2988324.0000000005</v>
      </c>
      <c r="J91" s="166">
        <v>3111500</v>
      </c>
      <c r="K91" s="166">
        <v>181201</v>
      </c>
      <c r="L91" s="166"/>
      <c r="M91" s="166">
        <f t="shared" si="9"/>
        <v>3111500</v>
      </c>
      <c r="N91" s="166">
        <f t="shared" si="10"/>
        <v>-123175.99999999953</v>
      </c>
      <c r="O91" s="166">
        <f t="shared" si="10"/>
        <v>52000</v>
      </c>
      <c r="P91" s="166">
        <f t="shared" si="10"/>
        <v>0</v>
      </c>
      <c r="Q91" s="166">
        <f t="shared" si="10"/>
        <v>-123175.99999999953</v>
      </c>
    </row>
    <row r="92" spans="1:17" s="161" customFormat="1" ht="20.100000000000001" customHeight="1">
      <c r="A92" s="152"/>
      <c r="B92" s="158" t="s">
        <v>658</v>
      </c>
      <c r="C92" s="159"/>
      <c r="D92" s="159"/>
      <c r="E92" s="159"/>
      <c r="F92" s="165">
        <f>SUM(F80:F91)</f>
        <v>119702183</v>
      </c>
      <c r="G92" s="165">
        <f t="shared" ref="G92:Q92" si="12">SUM(G80:G91)</f>
        <v>2612312</v>
      </c>
      <c r="H92" s="165">
        <f t="shared" si="12"/>
        <v>3883395.5</v>
      </c>
      <c r="I92" s="165">
        <f t="shared" si="12"/>
        <v>123585578.5</v>
      </c>
      <c r="J92" s="165">
        <f t="shared" si="12"/>
        <v>122524100</v>
      </c>
      <c r="K92" s="165">
        <f t="shared" si="12"/>
        <v>2011992</v>
      </c>
      <c r="L92" s="165">
        <f t="shared" si="12"/>
        <v>2418882.92</v>
      </c>
      <c r="M92" s="165">
        <f t="shared" si="12"/>
        <v>124942982.92</v>
      </c>
      <c r="N92" s="165">
        <f t="shared" si="12"/>
        <v>-2821917</v>
      </c>
      <c r="O92" s="165">
        <f t="shared" si="12"/>
        <v>600320</v>
      </c>
      <c r="P92" s="165">
        <f t="shared" si="12"/>
        <v>1464512.58</v>
      </c>
      <c r="Q92" s="165">
        <f t="shared" si="12"/>
        <v>-1357404.42</v>
      </c>
    </row>
    <row r="93" spans="1:17" s="161" customFormat="1" ht="20.100000000000001" customHeight="1">
      <c r="A93" s="152" t="s">
        <v>540</v>
      </c>
      <c r="B93" s="159" t="s">
        <v>388</v>
      </c>
      <c r="C93" s="159">
        <v>1</v>
      </c>
      <c r="D93" s="159" t="s">
        <v>639</v>
      </c>
      <c r="E93" s="159" t="s">
        <v>377</v>
      </c>
      <c r="F93" s="165">
        <v>23305540</v>
      </c>
      <c r="G93" s="165">
        <v>538972</v>
      </c>
      <c r="H93" s="164">
        <v>920980</v>
      </c>
      <c r="I93" s="164">
        <f t="shared" si="8"/>
        <v>24226520</v>
      </c>
      <c r="J93" s="166">
        <v>23109800</v>
      </c>
      <c r="K93" s="166">
        <v>418972</v>
      </c>
      <c r="L93" s="166">
        <v>512142.66</v>
      </c>
      <c r="M93" s="166">
        <f t="shared" si="9"/>
        <v>23621942.66</v>
      </c>
      <c r="N93" s="166">
        <f t="shared" si="10"/>
        <v>195740</v>
      </c>
      <c r="O93" s="166">
        <f t="shared" si="10"/>
        <v>120000</v>
      </c>
      <c r="P93" s="166">
        <f t="shared" si="10"/>
        <v>408837.34</v>
      </c>
      <c r="Q93" s="166">
        <f t="shared" si="10"/>
        <v>604577.33999999985</v>
      </c>
    </row>
    <row r="94" spans="1:17" s="161" customFormat="1" ht="20.100000000000001" customHeight="1">
      <c r="A94" s="152" t="s">
        <v>540</v>
      </c>
      <c r="B94" s="159" t="s">
        <v>390</v>
      </c>
      <c r="C94" s="159">
        <v>2</v>
      </c>
      <c r="D94" s="159" t="s">
        <v>639</v>
      </c>
      <c r="E94" s="159" t="s">
        <v>377</v>
      </c>
      <c r="F94" s="165">
        <v>28854446.999999996</v>
      </c>
      <c r="G94" s="165">
        <v>305904</v>
      </c>
      <c r="H94" s="164">
        <v>1117929.5</v>
      </c>
      <c r="I94" s="164">
        <f t="shared" si="8"/>
        <v>29972376.499999996</v>
      </c>
      <c r="J94" s="166">
        <v>29324200</v>
      </c>
      <c r="K94" s="166">
        <v>245904</v>
      </c>
      <c r="L94" s="166">
        <v>873871.52</v>
      </c>
      <c r="M94" s="166">
        <f t="shared" si="9"/>
        <v>30198071.52</v>
      </c>
      <c r="N94" s="166">
        <f t="shared" si="10"/>
        <v>-469753.00000000373</v>
      </c>
      <c r="O94" s="166">
        <f t="shared" si="10"/>
        <v>60000</v>
      </c>
      <c r="P94" s="166">
        <f t="shared" si="10"/>
        <v>244057.97999999998</v>
      </c>
      <c r="Q94" s="166">
        <f t="shared" si="10"/>
        <v>-225695.02000000328</v>
      </c>
    </row>
    <row r="95" spans="1:17" s="161" customFormat="1" ht="20.100000000000001" customHeight="1">
      <c r="A95" s="152" t="s">
        <v>540</v>
      </c>
      <c r="B95" s="159" t="s">
        <v>391</v>
      </c>
      <c r="C95" s="159">
        <v>3</v>
      </c>
      <c r="D95" s="159" t="s">
        <v>639</v>
      </c>
      <c r="E95" s="159" t="s">
        <v>377</v>
      </c>
      <c r="F95" s="165">
        <v>28151307</v>
      </c>
      <c r="G95" s="165">
        <v>616492</v>
      </c>
      <c r="H95" s="164">
        <v>1124690</v>
      </c>
      <c r="I95" s="164">
        <f t="shared" si="8"/>
        <v>29275997</v>
      </c>
      <c r="J95" s="166">
        <v>28159000</v>
      </c>
      <c r="K95" s="166">
        <v>496492</v>
      </c>
      <c r="L95" s="166">
        <v>797029.69</v>
      </c>
      <c r="M95" s="166">
        <f t="shared" si="9"/>
        <v>28956029.690000001</v>
      </c>
      <c r="N95" s="166">
        <f t="shared" si="10"/>
        <v>-7693</v>
      </c>
      <c r="O95" s="166">
        <f t="shared" si="10"/>
        <v>120000</v>
      </c>
      <c r="P95" s="166">
        <f t="shared" si="10"/>
        <v>327660.31000000006</v>
      </c>
      <c r="Q95" s="166">
        <f t="shared" si="10"/>
        <v>319967.30999999866</v>
      </c>
    </row>
    <row r="96" spans="1:17" s="161" customFormat="1" ht="20.100000000000001" customHeight="1">
      <c r="A96" s="152" t="s">
        <v>540</v>
      </c>
      <c r="B96" s="159" t="s">
        <v>396</v>
      </c>
      <c r="C96" s="159">
        <v>4</v>
      </c>
      <c r="D96" s="159" t="s">
        <v>640</v>
      </c>
      <c r="E96" s="159" t="s">
        <v>641</v>
      </c>
      <c r="F96" s="165">
        <v>1338750</v>
      </c>
      <c r="G96" s="165">
        <v>0</v>
      </c>
      <c r="H96" s="164"/>
      <c r="I96" s="164">
        <f t="shared" si="8"/>
        <v>1338750</v>
      </c>
      <c r="J96" s="166">
        <v>1282400</v>
      </c>
      <c r="K96" s="166"/>
      <c r="L96" s="166"/>
      <c r="M96" s="166">
        <f t="shared" si="9"/>
        <v>1282400</v>
      </c>
      <c r="N96" s="166">
        <f t="shared" si="10"/>
        <v>56350</v>
      </c>
      <c r="O96" s="166">
        <f t="shared" si="10"/>
        <v>0</v>
      </c>
      <c r="P96" s="166">
        <f t="shared" si="10"/>
        <v>0</v>
      </c>
      <c r="Q96" s="166">
        <f t="shared" si="10"/>
        <v>56350</v>
      </c>
    </row>
    <row r="97" spans="1:17" s="161" customFormat="1" ht="20.100000000000001" customHeight="1">
      <c r="A97" s="152" t="s">
        <v>540</v>
      </c>
      <c r="B97" s="159" t="s">
        <v>392</v>
      </c>
      <c r="C97" s="159">
        <v>5</v>
      </c>
      <c r="D97" s="159" t="s">
        <v>640</v>
      </c>
      <c r="E97" s="159" t="s">
        <v>382</v>
      </c>
      <c r="F97" s="165">
        <v>6302691</v>
      </c>
      <c r="G97" s="165">
        <v>241376</v>
      </c>
      <c r="H97" s="164"/>
      <c r="I97" s="164">
        <f t="shared" si="8"/>
        <v>6302691</v>
      </c>
      <c r="J97" s="166">
        <v>6489700</v>
      </c>
      <c r="K97" s="166">
        <v>181376</v>
      </c>
      <c r="L97" s="166"/>
      <c r="M97" s="166">
        <f t="shared" si="9"/>
        <v>6489700</v>
      </c>
      <c r="N97" s="166">
        <f t="shared" si="10"/>
        <v>-187009</v>
      </c>
      <c r="O97" s="166">
        <f t="shared" si="10"/>
        <v>60000</v>
      </c>
      <c r="P97" s="166">
        <f t="shared" si="10"/>
        <v>0</v>
      </c>
      <c r="Q97" s="166">
        <f t="shared" si="10"/>
        <v>-187009</v>
      </c>
    </row>
    <row r="98" spans="1:17" s="161" customFormat="1" ht="20.100000000000001" customHeight="1">
      <c r="A98" s="152" t="s">
        <v>540</v>
      </c>
      <c r="B98" s="159" t="s">
        <v>393</v>
      </c>
      <c r="C98" s="159">
        <v>6</v>
      </c>
      <c r="D98" s="159" t="s">
        <v>640</v>
      </c>
      <c r="E98" s="159" t="s">
        <v>382</v>
      </c>
      <c r="F98" s="165">
        <v>10239381</v>
      </c>
      <c r="G98" s="165">
        <v>286856</v>
      </c>
      <c r="H98" s="164"/>
      <c r="I98" s="164">
        <f t="shared" si="8"/>
        <v>10239381</v>
      </c>
      <c r="J98" s="166">
        <v>10401300</v>
      </c>
      <c r="K98" s="166">
        <v>226856</v>
      </c>
      <c r="L98" s="166"/>
      <c r="M98" s="166">
        <f t="shared" si="9"/>
        <v>10401300</v>
      </c>
      <c r="N98" s="166">
        <f t="shared" si="10"/>
        <v>-161919</v>
      </c>
      <c r="O98" s="166">
        <f t="shared" si="10"/>
        <v>60000</v>
      </c>
      <c r="P98" s="166">
        <f t="shared" si="10"/>
        <v>0</v>
      </c>
      <c r="Q98" s="166">
        <f t="shared" si="10"/>
        <v>-161919</v>
      </c>
    </row>
    <row r="99" spans="1:17" s="161" customFormat="1" ht="20.100000000000001" customHeight="1">
      <c r="A99" s="152" t="s">
        <v>540</v>
      </c>
      <c r="B99" s="159" t="s">
        <v>394</v>
      </c>
      <c r="C99" s="159">
        <v>7</v>
      </c>
      <c r="D99" s="159" t="s">
        <v>640</v>
      </c>
      <c r="E99" s="159" t="s">
        <v>382</v>
      </c>
      <c r="F99" s="165">
        <f>5027751-2440</f>
        <v>5025311</v>
      </c>
      <c r="G99" s="165">
        <f>227576-2440</f>
        <v>225136</v>
      </c>
      <c r="H99" s="164"/>
      <c r="I99" s="164">
        <f t="shared" si="8"/>
        <v>5025311</v>
      </c>
      <c r="J99" s="166">
        <v>5245100</v>
      </c>
      <c r="K99" s="166">
        <v>167576</v>
      </c>
      <c r="L99" s="166"/>
      <c r="M99" s="166">
        <f t="shared" si="9"/>
        <v>5245100</v>
      </c>
      <c r="N99" s="166">
        <f t="shared" si="10"/>
        <v>-219789</v>
      </c>
      <c r="O99" s="166">
        <f t="shared" si="10"/>
        <v>57560</v>
      </c>
      <c r="P99" s="166">
        <f t="shared" si="10"/>
        <v>0</v>
      </c>
      <c r="Q99" s="166">
        <f t="shared" si="10"/>
        <v>-219789</v>
      </c>
    </row>
    <row r="100" spans="1:17" s="161" customFormat="1" ht="20.100000000000001" customHeight="1">
      <c r="A100" s="152" t="s">
        <v>540</v>
      </c>
      <c r="B100" s="159" t="s">
        <v>395</v>
      </c>
      <c r="C100" s="159">
        <v>8</v>
      </c>
      <c r="D100" s="159" t="s">
        <v>640</v>
      </c>
      <c r="E100" s="159" t="s">
        <v>382</v>
      </c>
      <c r="F100" s="165">
        <v>7125959</v>
      </c>
      <c r="G100" s="165">
        <v>248144</v>
      </c>
      <c r="H100" s="164"/>
      <c r="I100" s="164">
        <f t="shared" si="8"/>
        <v>7125959</v>
      </c>
      <c r="J100" s="166">
        <v>7200900</v>
      </c>
      <c r="K100" s="166">
        <v>188144</v>
      </c>
      <c r="L100" s="166"/>
      <c r="M100" s="166">
        <f t="shared" si="9"/>
        <v>7200900</v>
      </c>
      <c r="N100" s="166">
        <f t="shared" si="10"/>
        <v>-74941</v>
      </c>
      <c r="O100" s="166">
        <f t="shared" si="10"/>
        <v>60000</v>
      </c>
      <c r="P100" s="166">
        <f t="shared" si="10"/>
        <v>0</v>
      </c>
      <c r="Q100" s="166">
        <f t="shared" si="10"/>
        <v>-74941</v>
      </c>
    </row>
    <row r="101" spans="1:17" s="161" customFormat="1" ht="20.100000000000001" customHeight="1">
      <c r="A101" s="152"/>
      <c r="B101" s="159" t="s">
        <v>659</v>
      </c>
      <c r="C101" s="159"/>
      <c r="D101" s="159"/>
      <c r="E101" s="159"/>
      <c r="F101" s="165">
        <f>SUM(F93:F100)</f>
        <v>110343386</v>
      </c>
      <c r="G101" s="165">
        <f t="shared" ref="G101:Q101" si="13">SUM(G93:G100)</f>
        <v>2462880</v>
      </c>
      <c r="H101" s="165">
        <f t="shared" si="13"/>
        <v>3163599.5</v>
      </c>
      <c r="I101" s="165">
        <f t="shared" si="13"/>
        <v>113506985.5</v>
      </c>
      <c r="J101" s="165">
        <f t="shared" si="13"/>
        <v>111212400</v>
      </c>
      <c r="K101" s="165">
        <f t="shared" si="13"/>
        <v>1925320</v>
      </c>
      <c r="L101" s="165">
        <f t="shared" si="13"/>
        <v>2183043.87</v>
      </c>
      <c r="M101" s="165">
        <f t="shared" si="13"/>
        <v>113395443.87</v>
      </c>
      <c r="N101" s="165">
        <f t="shared" si="13"/>
        <v>-869014.00000000373</v>
      </c>
      <c r="O101" s="165">
        <f t="shared" si="13"/>
        <v>537560</v>
      </c>
      <c r="P101" s="165">
        <f t="shared" si="13"/>
        <v>980555.63000000012</v>
      </c>
      <c r="Q101" s="165">
        <f t="shared" si="13"/>
        <v>111541.62999999523</v>
      </c>
    </row>
    <row r="102" spans="1:17" s="161" customFormat="1" ht="20.100000000000001" customHeight="1">
      <c r="A102" s="152" t="s">
        <v>541</v>
      </c>
      <c r="B102" s="159" t="s">
        <v>470</v>
      </c>
      <c r="C102" s="159">
        <v>1</v>
      </c>
      <c r="D102" s="159" t="s">
        <v>639</v>
      </c>
      <c r="E102" s="159" t="s">
        <v>374</v>
      </c>
      <c r="F102" s="165">
        <v>23318474</v>
      </c>
      <c r="G102" s="165">
        <v>557196</v>
      </c>
      <c r="H102" s="164">
        <v>1058932.5</v>
      </c>
      <c r="I102" s="164">
        <f t="shared" si="8"/>
        <v>24377406.5</v>
      </c>
      <c r="J102" s="166">
        <v>22915600</v>
      </c>
      <c r="K102" s="166">
        <v>437196</v>
      </c>
      <c r="L102" s="166">
        <v>483940.08</v>
      </c>
      <c r="M102" s="166">
        <f t="shared" si="9"/>
        <v>23399540.079999998</v>
      </c>
      <c r="N102" s="166">
        <f t="shared" si="10"/>
        <v>402874</v>
      </c>
      <c r="O102" s="166">
        <f t="shared" si="10"/>
        <v>120000</v>
      </c>
      <c r="P102" s="166">
        <f t="shared" si="10"/>
        <v>574992.41999999993</v>
      </c>
      <c r="Q102" s="166">
        <f t="shared" si="10"/>
        <v>977866.42000000179</v>
      </c>
    </row>
    <row r="103" spans="1:17" s="161" customFormat="1" ht="20.100000000000001" customHeight="1">
      <c r="A103" s="152" t="s">
        <v>541</v>
      </c>
      <c r="B103" s="159" t="s">
        <v>472</v>
      </c>
      <c r="C103" s="159">
        <v>2</v>
      </c>
      <c r="D103" s="159" t="s">
        <v>639</v>
      </c>
      <c r="E103" s="159" t="s">
        <v>374</v>
      </c>
      <c r="F103" s="165">
        <v>14354471</v>
      </c>
      <c r="G103" s="165">
        <v>236796</v>
      </c>
      <c r="H103" s="164">
        <v>799135.5</v>
      </c>
      <c r="I103" s="164">
        <f t="shared" si="8"/>
        <v>15153606.5</v>
      </c>
      <c r="J103" s="166">
        <v>14370800</v>
      </c>
      <c r="K103" s="166">
        <v>221646</v>
      </c>
      <c r="L103" s="166">
        <v>342518.4</v>
      </c>
      <c r="M103" s="166">
        <f t="shared" si="9"/>
        <v>14713318.4</v>
      </c>
      <c r="N103" s="166">
        <f t="shared" si="10"/>
        <v>-16329</v>
      </c>
      <c r="O103" s="166">
        <f t="shared" si="10"/>
        <v>15150</v>
      </c>
      <c r="P103" s="166">
        <f t="shared" si="10"/>
        <v>456617.1</v>
      </c>
      <c r="Q103" s="166">
        <f t="shared" si="10"/>
        <v>440288.09999999963</v>
      </c>
    </row>
    <row r="104" spans="1:17" s="161" customFormat="1" ht="20.100000000000001" customHeight="1">
      <c r="A104" s="152" t="s">
        <v>541</v>
      </c>
      <c r="B104" s="159" t="s">
        <v>473</v>
      </c>
      <c r="C104" s="159">
        <v>3</v>
      </c>
      <c r="D104" s="159" t="s">
        <v>639</v>
      </c>
      <c r="E104" s="159" t="s">
        <v>374</v>
      </c>
      <c r="F104" s="165">
        <v>11667025</v>
      </c>
      <c r="G104" s="165">
        <v>243972</v>
      </c>
      <c r="H104" s="164">
        <v>672407</v>
      </c>
      <c r="I104" s="164">
        <f t="shared" si="8"/>
        <v>12339432</v>
      </c>
      <c r="J104" s="166">
        <v>11943300</v>
      </c>
      <c r="K104" s="166">
        <v>183972</v>
      </c>
      <c r="L104" s="166">
        <v>402193.44</v>
      </c>
      <c r="M104" s="166">
        <f t="shared" si="9"/>
        <v>12345493.439999999</v>
      </c>
      <c r="N104" s="166">
        <f t="shared" si="10"/>
        <v>-276275</v>
      </c>
      <c r="O104" s="166">
        <f t="shared" si="10"/>
        <v>60000</v>
      </c>
      <c r="P104" s="166">
        <f t="shared" si="10"/>
        <v>270213.56</v>
      </c>
      <c r="Q104" s="166">
        <f t="shared" si="10"/>
        <v>-6061.4399999994785</v>
      </c>
    </row>
    <row r="105" spans="1:17" s="161" customFormat="1" ht="20.100000000000001" customHeight="1">
      <c r="A105" s="152" t="s">
        <v>541</v>
      </c>
      <c r="B105" s="159" t="s">
        <v>474</v>
      </c>
      <c r="C105" s="159">
        <v>4</v>
      </c>
      <c r="D105" s="159" t="s">
        <v>639</v>
      </c>
      <c r="E105" s="159" t="s">
        <v>377</v>
      </c>
      <c r="F105" s="165">
        <v>27266600.999999996</v>
      </c>
      <c r="G105" s="165">
        <v>298808</v>
      </c>
      <c r="H105" s="164">
        <v>1178856</v>
      </c>
      <c r="I105" s="164">
        <f t="shared" si="8"/>
        <v>28445456.999999996</v>
      </c>
      <c r="J105" s="166">
        <v>27576400</v>
      </c>
      <c r="K105" s="166">
        <v>230808</v>
      </c>
      <c r="L105" s="166">
        <v>644572.21</v>
      </c>
      <c r="M105" s="166">
        <f t="shared" si="9"/>
        <v>28220972.210000001</v>
      </c>
      <c r="N105" s="166">
        <f t="shared" si="10"/>
        <v>-309799.00000000373</v>
      </c>
      <c r="O105" s="166">
        <f t="shared" si="10"/>
        <v>68000</v>
      </c>
      <c r="P105" s="166">
        <f t="shared" si="10"/>
        <v>534283.79</v>
      </c>
      <c r="Q105" s="166">
        <f t="shared" si="10"/>
        <v>224484.78999999538</v>
      </c>
    </row>
    <row r="106" spans="1:17" s="161" customFormat="1" ht="20.100000000000001" customHeight="1">
      <c r="A106" s="152" t="s">
        <v>541</v>
      </c>
      <c r="B106" s="159" t="s">
        <v>475</v>
      </c>
      <c r="C106" s="159">
        <v>5</v>
      </c>
      <c r="D106" s="159" t="s">
        <v>639</v>
      </c>
      <c r="E106" s="159" t="s">
        <v>379</v>
      </c>
      <c r="F106" s="165">
        <f>14726165-2400</f>
        <v>14723765</v>
      </c>
      <c r="G106" s="165">
        <v>632100</v>
      </c>
      <c r="H106" s="164">
        <v>457344.5</v>
      </c>
      <c r="I106" s="164">
        <f t="shared" si="8"/>
        <v>15181109.5</v>
      </c>
      <c r="J106" s="166">
        <v>15633100</v>
      </c>
      <c r="K106" s="166">
        <v>512100</v>
      </c>
      <c r="L106" s="166">
        <v>343335.86</v>
      </c>
      <c r="M106" s="166">
        <f t="shared" si="9"/>
        <v>15976435.859999999</v>
      </c>
      <c r="N106" s="166">
        <f t="shared" si="10"/>
        <v>-909335</v>
      </c>
      <c r="O106" s="166">
        <f t="shared" si="10"/>
        <v>120000</v>
      </c>
      <c r="P106" s="166">
        <f t="shared" si="10"/>
        <v>114008.64000000001</v>
      </c>
      <c r="Q106" s="166">
        <f t="shared" si="10"/>
        <v>-795326.3599999994</v>
      </c>
    </row>
    <row r="107" spans="1:17" s="161" customFormat="1" ht="20.100000000000001" customHeight="1">
      <c r="A107" s="152" t="s">
        <v>541</v>
      </c>
      <c r="B107" s="159" t="s">
        <v>476</v>
      </c>
      <c r="C107" s="159">
        <v>6</v>
      </c>
      <c r="D107" s="159" t="s">
        <v>639</v>
      </c>
      <c r="E107" s="159" t="s">
        <v>379</v>
      </c>
      <c r="F107" s="165">
        <v>36908733</v>
      </c>
      <c r="G107" s="165">
        <v>371060</v>
      </c>
      <c r="H107" s="164">
        <v>1193408</v>
      </c>
      <c r="I107" s="164">
        <f t="shared" si="8"/>
        <v>38102141</v>
      </c>
      <c r="J107" s="166">
        <v>38548700</v>
      </c>
      <c r="K107" s="166">
        <v>311060</v>
      </c>
      <c r="L107" s="166">
        <v>1391736.45</v>
      </c>
      <c r="M107" s="166">
        <f t="shared" si="9"/>
        <v>39940436.450000003</v>
      </c>
      <c r="N107" s="166">
        <f t="shared" si="10"/>
        <v>-1639967</v>
      </c>
      <c r="O107" s="166">
        <f t="shared" si="10"/>
        <v>60000</v>
      </c>
      <c r="P107" s="166">
        <f t="shared" si="10"/>
        <v>-198328.44999999995</v>
      </c>
      <c r="Q107" s="166">
        <f t="shared" si="10"/>
        <v>-1838295.450000003</v>
      </c>
    </row>
    <row r="108" spans="1:17" s="161" customFormat="1" ht="20.100000000000001" customHeight="1">
      <c r="A108" s="152" t="s">
        <v>541</v>
      </c>
      <c r="B108" s="159" t="s">
        <v>477</v>
      </c>
      <c r="C108" s="159">
        <v>7</v>
      </c>
      <c r="D108" s="159" t="s">
        <v>639</v>
      </c>
      <c r="E108" s="159" t="s">
        <v>379</v>
      </c>
      <c r="F108" s="165">
        <v>17199915</v>
      </c>
      <c r="G108" s="165">
        <v>636000</v>
      </c>
      <c r="H108" s="164">
        <v>386942</v>
      </c>
      <c r="I108" s="164">
        <f t="shared" si="8"/>
        <v>17586857</v>
      </c>
      <c r="J108" s="166">
        <v>18351900</v>
      </c>
      <c r="K108" s="166">
        <v>455122</v>
      </c>
      <c r="L108" s="166">
        <v>389931.45</v>
      </c>
      <c r="M108" s="166">
        <f t="shared" si="9"/>
        <v>18741831.449999999</v>
      </c>
      <c r="N108" s="166">
        <f t="shared" si="10"/>
        <v>-1151985</v>
      </c>
      <c r="O108" s="166">
        <f t="shared" si="10"/>
        <v>180878</v>
      </c>
      <c r="P108" s="166">
        <f t="shared" si="10"/>
        <v>-2989.4500000000116</v>
      </c>
      <c r="Q108" s="166">
        <f t="shared" si="10"/>
        <v>-1154974.4499999993</v>
      </c>
    </row>
    <row r="109" spans="1:17" s="161" customFormat="1" ht="20.100000000000001" customHeight="1">
      <c r="A109" s="152" t="s">
        <v>541</v>
      </c>
      <c r="B109" s="159" t="s">
        <v>478</v>
      </c>
      <c r="C109" s="159">
        <v>8</v>
      </c>
      <c r="D109" s="159" t="s">
        <v>639</v>
      </c>
      <c r="E109" s="159" t="s">
        <v>379</v>
      </c>
      <c r="F109" s="165">
        <v>8619427</v>
      </c>
      <c r="G109" s="165">
        <v>251892</v>
      </c>
      <c r="H109" s="164">
        <v>337247.5</v>
      </c>
      <c r="I109" s="164">
        <f t="shared" si="8"/>
        <v>8956674.5</v>
      </c>
      <c r="J109" s="166">
        <v>9127400</v>
      </c>
      <c r="K109" s="166">
        <v>191642</v>
      </c>
      <c r="L109" s="166">
        <v>281617.13999999996</v>
      </c>
      <c r="M109" s="166">
        <f t="shared" si="9"/>
        <v>9409017.1400000006</v>
      </c>
      <c r="N109" s="166">
        <f t="shared" si="10"/>
        <v>-507973</v>
      </c>
      <c r="O109" s="166">
        <f t="shared" si="10"/>
        <v>60250</v>
      </c>
      <c r="P109" s="166">
        <f t="shared" si="10"/>
        <v>55630.360000000044</v>
      </c>
      <c r="Q109" s="166">
        <f t="shared" si="10"/>
        <v>-452342.6400000006</v>
      </c>
    </row>
    <row r="110" spans="1:17" s="161" customFormat="1" ht="20.100000000000001" customHeight="1">
      <c r="A110" s="152" t="s">
        <v>541</v>
      </c>
      <c r="B110" s="159" t="s">
        <v>485</v>
      </c>
      <c r="C110" s="159">
        <v>9</v>
      </c>
      <c r="D110" s="159" t="s">
        <v>640</v>
      </c>
      <c r="E110" s="159" t="s">
        <v>641</v>
      </c>
      <c r="F110" s="165">
        <v>1049250</v>
      </c>
      <c r="G110" s="165">
        <v>0</v>
      </c>
      <c r="H110" s="164"/>
      <c r="I110" s="164">
        <f t="shared" si="8"/>
        <v>1049250</v>
      </c>
      <c r="J110" s="166">
        <v>916000</v>
      </c>
      <c r="K110" s="166"/>
      <c r="L110" s="166"/>
      <c r="M110" s="166">
        <f t="shared" si="9"/>
        <v>916000</v>
      </c>
      <c r="N110" s="166">
        <f t="shared" si="10"/>
        <v>133250</v>
      </c>
      <c r="O110" s="166">
        <f t="shared" si="10"/>
        <v>0</v>
      </c>
      <c r="P110" s="166">
        <f t="shared" si="10"/>
        <v>0</v>
      </c>
      <c r="Q110" s="166">
        <f t="shared" si="10"/>
        <v>133250</v>
      </c>
    </row>
    <row r="111" spans="1:17" s="161" customFormat="1" ht="20.100000000000001" customHeight="1">
      <c r="A111" s="152" t="s">
        <v>541</v>
      </c>
      <c r="B111" s="159" t="s">
        <v>479</v>
      </c>
      <c r="C111" s="159">
        <v>10</v>
      </c>
      <c r="D111" s="159" t="s">
        <v>640</v>
      </c>
      <c r="E111" s="159" t="s">
        <v>382</v>
      </c>
      <c r="F111" s="165">
        <v>8403955</v>
      </c>
      <c r="G111" s="165">
        <v>280832</v>
      </c>
      <c r="H111" s="164"/>
      <c r="I111" s="164">
        <f t="shared" si="8"/>
        <v>8403955</v>
      </c>
      <c r="J111" s="166">
        <v>8712200</v>
      </c>
      <c r="K111" s="166">
        <v>220232</v>
      </c>
      <c r="L111" s="166"/>
      <c r="M111" s="166">
        <f t="shared" si="9"/>
        <v>8712200</v>
      </c>
      <c r="N111" s="166">
        <f t="shared" si="10"/>
        <v>-308245</v>
      </c>
      <c r="O111" s="166">
        <f t="shared" si="10"/>
        <v>60600</v>
      </c>
      <c r="P111" s="166">
        <f t="shared" si="10"/>
        <v>0</v>
      </c>
      <c r="Q111" s="166">
        <f t="shared" si="10"/>
        <v>-308245</v>
      </c>
    </row>
    <row r="112" spans="1:17" s="161" customFormat="1" ht="20.100000000000001" customHeight="1">
      <c r="A112" s="152" t="s">
        <v>541</v>
      </c>
      <c r="B112" s="159" t="s">
        <v>480</v>
      </c>
      <c r="C112" s="159">
        <v>11</v>
      </c>
      <c r="D112" s="159" t="s">
        <v>640</v>
      </c>
      <c r="E112" s="159" t="s">
        <v>382</v>
      </c>
      <c r="F112" s="165">
        <v>9549457</v>
      </c>
      <c r="G112" s="165">
        <v>252032</v>
      </c>
      <c r="H112" s="164"/>
      <c r="I112" s="164">
        <f t="shared" si="8"/>
        <v>9549457</v>
      </c>
      <c r="J112" s="166">
        <v>10045700</v>
      </c>
      <c r="K112" s="166">
        <v>191432</v>
      </c>
      <c r="L112" s="166"/>
      <c r="M112" s="166">
        <f t="shared" si="9"/>
        <v>10045700</v>
      </c>
      <c r="N112" s="166">
        <f t="shared" si="10"/>
        <v>-496243</v>
      </c>
      <c r="O112" s="166">
        <f t="shared" si="10"/>
        <v>60600</v>
      </c>
      <c r="P112" s="166">
        <f t="shared" si="10"/>
        <v>0</v>
      </c>
      <c r="Q112" s="166">
        <f t="shared" si="10"/>
        <v>-496243</v>
      </c>
    </row>
    <row r="113" spans="1:17" s="161" customFormat="1" ht="20.100000000000001" customHeight="1">
      <c r="A113" s="152" t="s">
        <v>541</v>
      </c>
      <c r="B113" s="159" t="s">
        <v>481</v>
      </c>
      <c r="C113" s="159">
        <v>12</v>
      </c>
      <c r="D113" s="159" t="s">
        <v>640</v>
      </c>
      <c r="E113" s="159" t="s">
        <v>382</v>
      </c>
      <c r="F113" s="165">
        <v>7248216</v>
      </c>
      <c r="G113" s="165">
        <v>273116</v>
      </c>
      <c r="H113" s="164"/>
      <c r="I113" s="164">
        <f t="shared" si="8"/>
        <v>7248216</v>
      </c>
      <c r="J113" s="166">
        <v>7645400</v>
      </c>
      <c r="K113" s="166">
        <v>212316</v>
      </c>
      <c r="L113" s="166"/>
      <c r="M113" s="166">
        <f t="shared" si="9"/>
        <v>7645400</v>
      </c>
      <c r="N113" s="166">
        <f t="shared" si="10"/>
        <v>-397184</v>
      </c>
      <c r="O113" s="166">
        <f t="shared" si="10"/>
        <v>60800</v>
      </c>
      <c r="P113" s="166">
        <f t="shared" si="10"/>
        <v>0</v>
      </c>
      <c r="Q113" s="166">
        <f t="shared" si="10"/>
        <v>-397184</v>
      </c>
    </row>
    <row r="114" spans="1:17" s="161" customFormat="1" ht="20.100000000000001" customHeight="1">
      <c r="A114" s="152" t="s">
        <v>541</v>
      </c>
      <c r="B114" s="159" t="s">
        <v>482</v>
      </c>
      <c r="C114" s="159">
        <v>13</v>
      </c>
      <c r="D114" s="159" t="s">
        <v>640</v>
      </c>
      <c r="E114" s="159" t="s">
        <v>382</v>
      </c>
      <c r="F114" s="165">
        <v>7449072</v>
      </c>
      <c r="G114" s="165">
        <v>250124</v>
      </c>
      <c r="H114" s="164"/>
      <c r="I114" s="164">
        <f t="shared" si="8"/>
        <v>7449072</v>
      </c>
      <c r="J114" s="166">
        <v>7823200</v>
      </c>
      <c r="K114" s="166">
        <v>188084</v>
      </c>
      <c r="L114" s="166"/>
      <c r="M114" s="166">
        <f t="shared" si="9"/>
        <v>7823200</v>
      </c>
      <c r="N114" s="166">
        <f t="shared" si="10"/>
        <v>-374128</v>
      </c>
      <c r="O114" s="166">
        <f t="shared" si="10"/>
        <v>62040</v>
      </c>
      <c r="P114" s="166">
        <f t="shared" si="10"/>
        <v>0</v>
      </c>
      <c r="Q114" s="166">
        <f t="shared" si="10"/>
        <v>-374128</v>
      </c>
    </row>
    <row r="115" spans="1:17" s="161" customFormat="1" ht="20.100000000000001" customHeight="1">
      <c r="A115" s="152" t="s">
        <v>541</v>
      </c>
      <c r="B115" s="158" t="s">
        <v>483</v>
      </c>
      <c r="C115" s="159">
        <v>14</v>
      </c>
      <c r="D115" s="159" t="s">
        <v>640</v>
      </c>
      <c r="E115" s="159" t="s">
        <v>382</v>
      </c>
      <c r="F115" s="165">
        <v>5051642</v>
      </c>
      <c r="G115" s="165">
        <v>238364</v>
      </c>
      <c r="H115" s="164"/>
      <c r="I115" s="164">
        <f t="shared" si="8"/>
        <v>5051642</v>
      </c>
      <c r="J115" s="166">
        <v>5245100</v>
      </c>
      <c r="K115" s="166">
        <v>178364</v>
      </c>
      <c r="L115" s="166"/>
      <c r="M115" s="166">
        <f t="shared" si="9"/>
        <v>5245100</v>
      </c>
      <c r="N115" s="166">
        <f t="shared" si="10"/>
        <v>-193458</v>
      </c>
      <c r="O115" s="166">
        <f t="shared" si="10"/>
        <v>60000</v>
      </c>
      <c r="P115" s="166">
        <f t="shared" si="10"/>
        <v>0</v>
      </c>
      <c r="Q115" s="166">
        <f t="shared" si="10"/>
        <v>-193458</v>
      </c>
    </row>
    <row r="116" spans="1:17" s="161" customFormat="1" ht="20.100000000000001" customHeight="1">
      <c r="A116" s="152" t="s">
        <v>541</v>
      </c>
      <c r="B116" s="158" t="s">
        <v>484</v>
      </c>
      <c r="C116" s="159">
        <v>15</v>
      </c>
      <c r="D116" s="159" t="s">
        <v>640</v>
      </c>
      <c r="E116" s="159" t="s">
        <v>382</v>
      </c>
      <c r="F116" s="165">
        <v>1682914</v>
      </c>
      <c r="G116" s="165">
        <v>227816</v>
      </c>
      <c r="H116" s="164"/>
      <c r="I116" s="164">
        <f t="shared" si="8"/>
        <v>1682914</v>
      </c>
      <c r="J116" s="166">
        <v>1778000</v>
      </c>
      <c r="K116" s="166">
        <v>167336</v>
      </c>
      <c r="L116" s="166"/>
      <c r="M116" s="166">
        <f t="shared" si="9"/>
        <v>1778000</v>
      </c>
      <c r="N116" s="166">
        <f t="shared" si="10"/>
        <v>-95086</v>
      </c>
      <c r="O116" s="166">
        <f t="shared" si="10"/>
        <v>60480</v>
      </c>
      <c r="P116" s="166">
        <f t="shared" si="10"/>
        <v>0</v>
      </c>
      <c r="Q116" s="166">
        <f t="shared" si="10"/>
        <v>-95086</v>
      </c>
    </row>
    <row r="117" spans="1:17" s="161" customFormat="1" ht="20.100000000000001" customHeight="1">
      <c r="A117" s="152"/>
      <c r="B117" s="158" t="s">
        <v>660</v>
      </c>
      <c r="C117" s="159"/>
      <c r="D117" s="159"/>
      <c r="E117" s="159"/>
      <c r="F117" s="165">
        <f>SUM(F102:F116)</f>
        <v>194492917</v>
      </c>
      <c r="G117" s="165">
        <f t="shared" ref="G117:Q117" si="14">SUM(G102:G116)</f>
        <v>4750108</v>
      </c>
      <c r="H117" s="165">
        <f t="shared" si="14"/>
        <v>6084273</v>
      </c>
      <c r="I117" s="165">
        <f t="shared" si="14"/>
        <v>200577190</v>
      </c>
      <c r="J117" s="165">
        <f t="shared" si="14"/>
        <v>200632800</v>
      </c>
      <c r="K117" s="165">
        <f t="shared" si="14"/>
        <v>3701310</v>
      </c>
      <c r="L117" s="165">
        <f t="shared" si="14"/>
        <v>4279845.0299999993</v>
      </c>
      <c r="M117" s="165">
        <f t="shared" si="14"/>
        <v>204912645.02999997</v>
      </c>
      <c r="N117" s="165">
        <f t="shared" si="14"/>
        <v>-6139883.0000000037</v>
      </c>
      <c r="O117" s="165">
        <f t="shared" si="14"/>
        <v>1048798</v>
      </c>
      <c r="P117" s="165">
        <f t="shared" si="14"/>
        <v>1804427.97</v>
      </c>
      <c r="Q117" s="165">
        <f t="shared" si="14"/>
        <v>-4335455.0300000049</v>
      </c>
    </row>
    <row r="118" spans="1:17" s="161" customFormat="1" ht="20.100000000000001" customHeight="1">
      <c r="A118" s="152" t="s">
        <v>542</v>
      </c>
      <c r="B118" s="159" t="s">
        <v>372</v>
      </c>
      <c r="C118" s="159">
        <v>1</v>
      </c>
      <c r="D118" s="159" t="s">
        <v>639</v>
      </c>
      <c r="E118" s="159" t="s">
        <v>374</v>
      </c>
      <c r="F118" s="165">
        <v>14913265</v>
      </c>
      <c r="G118" s="165">
        <v>299292</v>
      </c>
      <c r="H118" s="164">
        <v>702909</v>
      </c>
      <c r="I118" s="164">
        <f t="shared" si="8"/>
        <v>15616174</v>
      </c>
      <c r="J118" s="166">
        <v>15244700</v>
      </c>
      <c r="K118" s="166">
        <v>239292</v>
      </c>
      <c r="L118" s="166">
        <v>269763.89</v>
      </c>
      <c r="M118" s="166">
        <f t="shared" si="9"/>
        <v>15514463.890000001</v>
      </c>
      <c r="N118" s="166">
        <f t="shared" si="10"/>
        <v>-331435</v>
      </c>
      <c r="O118" s="166">
        <f t="shared" si="10"/>
        <v>60000</v>
      </c>
      <c r="P118" s="166">
        <f t="shared" si="10"/>
        <v>433145.11</v>
      </c>
      <c r="Q118" s="166">
        <f t="shared" si="10"/>
        <v>101710.1099999994</v>
      </c>
    </row>
    <row r="119" spans="1:17" s="161" customFormat="1" ht="20.100000000000001" customHeight="1">
      <c r="A119" s="152" t="s">
        <v>542</v>
      </c>
      <c r="B119" s="159" t="s">
        <v>375</v>
      </c>
      <c r="C119" s="159">
        <v>2</v>
      </c>
      <c r="D119" s="159" t="s">
        <v>639</v>
      </c>
      <c r="E119" s="159" t="s">
        <v>374</v>
      </c>
      <c r="F119" s="165">
        <v>11394922</v>
      </c>
      <c r="G119" s="165">
        <v>255492</v>
      </c>
      <c r="H119" s="164">
        <v>644591</v>
      </c>
      <c r="I119" s="164">
        <f t="shared" si="8"/>
        <v>12039513</v>
      </c>
      <c r="J119" s="166">
        <v>11749100</v>
      </c>
      <c r="K119" s="166">
        <v>195492</v>
      </c>
      <c r="L119" s="166">
        <v>229299.31</v>
      </c>
      <c r="M119" s="166">
        <f t="shared" si="9"/>
        <v>11978399.310000001</v>
      </c>
      <c r="N119" s="166">
        <f t="shared" si="10"/>
        <v>-354178</v>
      </c>
      <c r="O119" s="166">
        <f t="shared" si="10"/>
        <v>60000</v>
      </c>
      <c r="P119" s="166">
        <f t="shared" si="10"/>
        <v>415291.69</v>
      </c>
      <c r="Q119" s="166">
        <f t="shared" si="10"/>
        <v>61113.689999999478</v>
      </c>
    </row>
    <row r="120" spans="1:17" s="161" customFormat="1" ht="20.100000000000001" customHeight="1">
      <c r="A120" s="152" t="s">
        <v>542</v>
      </c>
      <c r="B120" s="159" t="s">
        <v>376</v>
      </c>
      <c r="C120" s="159">
        <v>3</v>
      </c>
      <c r="D120" s="159" t="s">
        <v>639</v>
      </c>
      <c r="E120" s="159" t="s">
        <v>377</v>
      </c>
      <c r="F120" s="165">
        <v>21582168</v>
      </c>
      <c r="G120" s="165">
        <v>612248</v>
      </c>
      <c r="H120" s="164">
        <v>836865</v>
      </c>
      <c r="I120" s="164">
        <f t="shared" si="8"/>
        <v>22419033</v>
      </c>
      <c r="J120" s="166">
        <v>21944600</v>
      </c>
      <c r="K120" s="166">
        <v>492248</v>
      </c>
      <c r="L120" s="166">
        <v>509281.53</v>
      </c>
      <c r="M120" s="166">
        <f t="shared" si="9"/>
        <v>22453881.530000001</v>
      </c>
      <c r="N120" s="166">
        <f t="shared" si="10"/>
        <v>-362432</v>
      </c>
      <c r="O120" s="166">
        <f t="shared" si="10"/>
        <v>120000</v>
      </c>
      <c r="P120" s="166">
        <f t="shared" si="10"/>
        <v>327583.46999999997</v>
      </c>
      <c r="Q120" s="166">
        <f t="shared" si="10"/>
        <v>-34848.530000001192</v>
      </c>
    </row>
    <row r="121" spans="1:17" s="161" customFormat="1" ht="20.100000000000001" customHeight="1">
      <c r="A121" s="152" t="s">
        <v>542</v>
      </c>
      <c r="B121" s="159" t="s">
        <v>378</v>
      </c>
      <c r="C121" s="159">
        <v>4</v>
      </c>
      <c r="D121" s="159" t="s">
        <v>639</v>
      </c>
      <c r="E121" s="159" t="s">
        <v>379</v>
      </c>
      <c r="F121" s="165">
        <v>16046784</v>
      </c>
      <c r="G121" s="165">
        <v>567756</v>
      </c>
      <c r="H121" s="164">
        <v>388492.5</v>
      </c>
      <c r="I121" s="164">
        <f t="shared" si="8"/>
        <v>16435276.5</v>
      </c>
      <c r="J121" s="166">
        <v>16604100</v>
      </c>
      <c r="K121" s="166">
        <v>447756</v>
      </c>
      <c r="L121" s="166">
        <v>467182.02</v>
      </c>
      <c r="M121" s="166">
        <f t="shared" si="9"/>
        <v>17071282.02</v>
      </c>
      <c r="N121" s="166">
        <f t="shared" si="10"/>
        <v>-557316</v>
      </c>
      <c r="O121" s="166">
        <f t="shared" si="10"/>
        <v>120000</v>
      </c>
      <c r="P121" s="166">
        <f t="shared" si="10"/>
        <v>-78689.520000000019</v>
      </c>
      <c r="Q121" s="166">
        <f t="shared" si="10"/>
        <v>-636005.51999999955</v>
      </c>
    </row>
    <row r="122" spans="1:17" s="161" customFormat="1" ht="20.100000000000001" customHeight="1">
      <c r="A122" s="152" t="s">
        <v>542</v>
      </c>
      <c r="B122" s="159" t="s">
        <v>380</v>
      </c>
      <c r="C122" s="159">
        <v>5</v>
      </c>
      <c r="D122" s="159" t="s">
        <v>639</v>
      </c>
      <c r="E122" s="159" t="s">
        <v>379</v>
      </c>
      <c r="F122" s="165">
        <v>12709848</v>
      </c>
      <c r="G122" s="165">
        <v>197610</v>
      </c>
      <c r="H122" s="164">
        <v>376580</v>
      </c>
      <c r="I122" s="164">
        <f t="shared" si="8"/>
        <v>13086428</v>
      </c>
      <c r="J122" s="166">
        <v>13496900</v>
      </c>
      <c r="K122" s="166">
        <v>147710</v>
      </c>
      <c r="L122" s="166">
        <v>423038.83</v>
      </c>
      <c r="M122" s="166">
        <f t="shared" si="9"/>
        <v>13919938.83</v>
      </c>
      <c r="N122" s="166">
        <f t="shared" si="10"/>
        <v>-787052</v>
      </c>
      <c r="O122" s="166">
        <f t="shared" si="10"/>
        <v>49900</v>
      </c>
      <c r="P122" s="166">
        <f t="shared" si="10"/>
        <v>-46458.830000000016</v>
      </c>
      <c r="Q122" s="166">
        <f t="shared" si="10"/>
        <v>-833510.83000000007</v>
      </c>
    </row>
    <row r="123" spans="1:17" s="161" customFormat="1" ht="20.100000000000001" customHeight="1">
      <c r="A123" s="152" t="s">
        <v>542</v>
      </c>
      <c r="B123" s="159" t="s">
        <v>386</v>
      </c>
      <c r="C123" s="159">
        <v>6</v>
      </c>
      <c r="D123" s="159" t="s">
        <v>640</v>
      </c>
      <c r="E123" s="159" t="s">
        <v>641</v>
      </c>
      <c r="F123" s="165">
        <v>191250</v>
      </c>
      <c r="G123" s="165">
        <v>0</v>
      </c>
      <c r="H123" s="164"/>
      <c r="I123" s="164">
        <f t="shared" si="8"/>
        <v>191250</v>
      </c>
      <c r="J123" s="166">
        <v>183200</v>
      </c>
      <c r="K123" s="166"/>
      <c r="L123" s="166"/>
      <c r="M123" s="166">
        <f t="shared" si="9"/>
        <v>183200</v>
      </c>
      <c r="N123" s="166">
        <f t="shared" si="10"/>
        <v>8050</v>
      </c>
      <c r="O123" s="166">
        <f t="shared" si="10"/>
        <v>0</v>
      </c>
      <c r="P123" s="166">
        <f t="shared" si="10"/>
        <v>0</v>
      </c>
      <c r="Q123" s="166">
        <f t="shared" si="10"/>
        <v>8050</v>
      </c>
    </row>
    <row r="124" spans="1:17" s="161" customFormat="1" ht="20.100000000000001" customHeight="1">
      <c r="A124" s="152" t="s">
        <v>542</v>
      </c>
      <c r="B124" s="159" t="s">
        <v>381</v>
      </c>
      <c r="C124" s="159">
        <v>7</v>
      </c>
      <c r="D124" s="159" t="s">
        <v>640</v>
      </c>
      <c r="E124" s="159" t="s">
        <v>382</v>
      </c>
      <c r="F124" s="165">
        <v>9083965</v>
      </c>
      <c r="G124" s="165">
        <v>248765</v>
      </c>
      <c r="H124" s="164"/>
      <c r="I124" s="164">
        <f t="shared" si="8"/>
        <v>9083965</v>
      </c>
      <c r="J124" s="166">
        <v>9601200</v>
      </c>
      <c r="K124" s="166">
        <v>188765</v>
      </c>
      <c r="L124" s="166"/>
      <c r="M124" s="166">
        <f t="shared" si="9"/>
        <v>9601200</v>
      </c>
      <c r="N124" s="166">
        <f t="shared" si="10"/>
        <v>-517235</v>
      </c>
      <c r="O124" s="166">
        <f t="shared" si="10"/>
        <v>60000</v>
      </c>
      <c r="P124" s="166">
        <f t="shared" si="10"/>
        <v>0</v>
      </c>
      <c r="Q124" s="166">
        <f t="shared" si="10"/>
        <v>-517235</v>
      </c>
    </row>
    <row r="125" spans="1:17" s="161" customFormat="1" ht="20.100000000000001" customHeight="1">
      <c r="A125" s="152" t="s">
        <v>542</v>
      </c>
      <c r="B125" s="159" t="s">
        <v>383</v>
      </c>
      <c r="C125" s="159">
        <v>8</v>
      </c>
      <c r="D125" s="159" t="s">
        <v>640</v>
      </c>
      <c r="E125" s="159" t="s">
        <v>649</v>
      </c>
      <c r="F125" s="165">
        <v>8638492</v>
      </c>
      <c r="G125" s="165">
        <v>251372</v>
      </c>
      <c r="H125" s="164"/>
      <c r="I125" s="164">
        <f t="shared" si="8"/>
        <v>8638492</v>
      </c>
      <c r="J125" s="166">
        <v>8801100</v>
      </c>
      <c r="K125" s="166">
        <v>191372</v>
      </c>
      <c r="L125" s="166"/>
      <c r="M125" s="166">
        <f t="shared" si="9"/>
        <v>8801100</v>
      </c>
      <c r="N125" s="166">
        <f t="shared" si="10"/>
        <v>-162608</v>
      </c>
      <c r="O125" s="166">
        <f t="shared" si="10"/>
        <v>60000</v>
      </c>
      <c r="P125" s="166">
        <f t="shared" si="10"/>
        <v>0</v>
      </c>
      <c r="Q125" s="166">
        <f t="shared" si="10"/>
        <v>-162608</v>
      </c>
    </row>
    <row r="126" spans="1:17" s="161" customFormat="1" ht="20.100000000000001" customHeight="1">
      <c r="A126" s="152" t="s">
        <v>542</v>
      </c>
      <c r="B126" s="159" t="s">
        <v>384</v>
      </c>
      <c r="C126" s="159">
        <v>9</v>
      </c>
      <c r="D126" s="159" t="s">
        <v>640</v>
      </c>
      <c r="E126" s="159" t="s">
        <v>382</v>
      </c>
      <c r="F126" s="165">
        <v>6194299</v>
      </c>
      <c r="G126" s="165">
        <v>259976</v>
      </c>
      <c r="H126" s="164"/>
      <c r="I126" s="164">
        <f t="shared" si="8"/>
        <v>6194299</v>
      </c>
      <c r="J126" s="166">
        <v>6667500</v>
      </c>
      <c r="K126" s="166">
        <v>199976</v>
      </c>
      <c r="L126" s="166"/>
      <c r="M126" s="166">
        <f t="shared" si="9"/>
        <v>6667500</v>
      </c>
      <c r="N126" s="166">
        <f t="shared" si="10"/>
        <v>-473201</v>
      </c>
      <c r="O126" s="166">
        <f t="shared" si="10"/>
        <v>60000</v>
      </c>
      <c r="P126" s="166">
        <f t="shared" si="10"/>
        <v>0</v>
      </c>
      <c r="Q126" s="166">
        <f t="shared" si="10"/>
        <v>-473201</v>
      </c>
    </row>
    <row r="127" spans="1:17" s="161" customFormat="1" ht="20.100000000000001" customHeight="1">
      <c r="A127" s="152" t="s">
        <v>542</v>
      </c>
      <c r="B127" s="159" t="s">
        <v>385</v>
      </c>
      <c r="C127" s="159">
        <v>10</v>
      </c>
      <c r="D127" s="159" t="s">
        <v>640</v>
      </c>
      <c r="E127" s="159" t="s">
        <v>382</v>
      </c>
      <c r="F127" s="165">
        <v>7824204</v>
      </c>
      <c r="G127" s="165">
        <v>257576</v>
      </c>
      <c r="H127" s="164"/>
      <c r="I127" s="164">
        <f t="shared" si="8"/>
        <v>7824204</v>
      </c>
      <c r="J127" s="166">
        <v>8178800</v>
      </c>
      <c r="K127" s="166">
        <v>197576</v>
      </c>
      <c r="L127" s="166"/>
      <c r="M127" s="166">
        <f t="shared" si="9"/>
        <v>8178800</v>
      </c>
      <c r="N127" s="166">
        <f t="shared" si="10"/>
        <v>-354596</v>
      </c>
      <c r="O127" s="166">
        <f t="shared" si="10"/>
        <v>60000</v>
      </c>
      <c r="P127" s="166">
        <f t="shared" si="10"/>
        <v>0</v>
      </c>
      <c r="Q127" s="166">
        <f t="shared" si="10"/>
        <v>-354596</v>
      </c>
    </row>
    <row r="128" spans="1:17" s="156" customFormat="1" ht="20.100000000000001" customHeight="1">
      <c r="A128" s="160"/>
      <c r="B128" s="163" t="s">
        <v>661</v>
      </c>
      <c r="C128" s="160"/>
      <c r="D128" s="160"/>
      <c r="E128" s="160"/>
      <c r="F128" s="167">
        <f>SUM(F118:F127)</f>
        <v>108579197</v>
      </c>
      <c r="G128" s="164">
        <f t="shared" ref="G128:Q128" si="15">SUM(G118:G127)</f>
        <v>2950087</v>
      </c>
      <c r="H128" s="164">
        <f t="shared" si="15"/>
        <v>2949437.5</v>
      </c>
      <c r="I128" s="164">
        <f t="shared" si="15"/>
        <v>111528634.5</v>
      </c>
      <c r="J128" s="164">
        <f t="shared" si="15"/>
        <v>112471200</v>
      </c>
      <c r="K128" s="164">
        <f t="shared" si="15"/>
        <v>2300187</v>
      </c>
      <c r="L128" s="164">
        <f t="shared" si="15"/>
        <v>1898565.58</v>
      </c>
      <c r="M128" s="164">
        <f t="shared" si="15"/>
        <v>114369765.58</v>
      </c>
      <c r="N128" s="164">
        <f t="shared" si="15"/>
        <v>-3892003</v>
      </c>
      <c r="O128" s="164">
        <f t="shared" si="15"/>
        <v>649900</v>
      </c>
      <c r="P128" s="164">
        <f t="shared" si="15"/>
        <v>1050871.92</v>
      </c>
      <c r="Q128" s="164">
        <f t="shared" si="15"/>
        <v>-2841131.0800000019</v>
      </c>
    </row>
    <row r="129" spans="1:17" s="161" customFormat="1" ht="20.100000000000001" customHeight="1">
      <c r="A129" s="152"/>
      <c r="B129" s="163" t="s">
        <v>662</v>
      </c>
      <c r="C129" s="152"/>
      <c r="D129" s="152"/>
      <c r="E129" s="152"/>
      <c r="F129" s="164">
        <f>SUM(F128,F117,F101,F92,F79,F59,F38,F17,F9)</f>
        <v>1293628698</v>
      </c>
      <c r="G129" s="164">
        <f t="shared" ref="G129:Q129" si="16">SUM(G128,G117,G101,G92,G79,G59,G38,G17,G9)</f>
        <v>31524738</v>
      </c>
      <c r="H129" s="164">
        <f t="shared" si="16"/>
        <v>37888743</v>
      </c>
      <c r="I129" s="164">
        <f t="shared" si="16"/>
        <v>1331517441</v>
      </c>
      <c r="J129" s="164">
        <f t="shared" si="16"/>
        <v>1332111400</v>
      </c>
      <c r="K129" s="164">
        <f t="shared" si="16"/>
        <v>24567752</v>
      </c>
      <c r="L129" s="164">
        <f t="shared" si="16"/>
        <v>26835376.409999996</v>
      </c>
      <c r="M129" s="164">
        <f t="shared" si="16"/>
        <v>1358946776.4099998</v>
      </c>
      <c r="N129" s="164">
        <f t="shared" si="16"/>
        <v>-38482702</v>
      </c>
      <c r="O129" s="164">
        <f t="shared" si="16"/>
        <v>6956986</v>
      </c>
      <c r="P129" s="164">
        <f t="shared" si="16"/>
        <v>11053366.59</v>
      </c>
      <c r="Q129" s="164">
        <f t="shared" si="16"/>
        <v>-27429335.410000008</v>
      </c>
    </row>
    <row r="130" spans="1:17">
      <c r="M130" s="168"/>
    </row>
  </sheetData>
  <mergeCells count="9">
    <mergeCell ref="J2:M2"/>
    <mergeCell ref="N2:Q2"/>
    <mergeCell ref="A1:Q1"/>
    <mergeCell ref="A2:A3"/>
    <mergeCell ref="B2:B3"/>
    <mergeCell ref="C2:C3"/>
    <mergeCell ref="D2:D3"/>
    <mergeCell ref="E2:E3"/>
    <mergeCell ref="F2:I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K107"/>
  <sheetViews>
    <sheetView workbookViewId="0">
      <pane xSplit="4" ySplit="2" topLeftCell="E44" activePane="bottomRight" state="frozen"/>
      <selection pane="topRight" activeCell="E1" sqref="E1"/>
      <selection pane="bottomLeft" activeCell="A3" sqref="A3"/>
      <selection pane="bottomRight" activeCell="J3" sqref="J3:J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1" ht="25.5">
      <c r="A1" s="373" t="s">
        <v>0</v>
      </c>
      <c r="B1" s="374"/>
      <c r="C1" s="374"/>
      <c r="D1" s="374"/>
      <c r="E1" s="374"/>
      <c r="F1" s="374"/>
      <c r="G1" s="374"/>
      <c r="H1" s="374"/>
      <c r="I1" s="374"/>
      <c r="J1" s="374"/>
      <c r="K1" s="374"/>
    </row>
    <row r="2" spans="1:11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544</v>
      </c>
      <c r="F2" s="3" t="s">
        <v>324</v>
      </c>
      <c r="G2" s="3" t="s">
        <v>325</v>
      </c>
      <c r="H2" s="3" t="s">
        <v>326</v>
      </c>
      <c r="I2" s="3" t="s">
        <v>327</v>
      </c>
      <c r="J2" s="3" t="s">
        <v>24</v>
      </c>
      <c r="K2" s="4" t="s">
        <v>25</v>
      </c>
    </row>
    <row r="3" spans="1:11">
      <c r="A3" s="5" t="s">
        <v>26</v>
      </c>
      <c r="B3" s="6" t="s">
        <v>27</v>
      </c>
      <c r="C3" s="6"/>
      <c r="D3" s="7" t="s">
        <v>28</v>
      </c>
      <c r="E3" s="8">
        <f>E4+E30+E49</f>
        <v>2519467.8799999994</v>
      </c>
      <c r="F3" s="8">
        <f>F4+F30+F49</f>
        <v>25328634.009999998</v>
      </c>
      <c r="G3" s="8">
        <f>G4+G30+G49</f>
        <v>17099685.57</v>
      </c>
      <c r="H3" s="8">
        <f>H4+H30+H49</f>
        <v>50534472.079999998</v>
      </c>
      <c r="I3" s="8">
        <f>I4+I30+I49</f>
        <v>9945212.2100000009</v>
      </c>
      <c r="J3" s="8">
        <f t="shared" ref="J3:J9" si="0">SUM(E3:I3)</f>
        <v>105427471.75</v>
      </c>
      <c r="K3" s="9"/>
    </row>
    <row r="4" spans="1:11">
      <c r="A4" s="5" t="s">
        <v>29</v>
      </c>
      <c r="B4" s="6" t="s">
        <v>30</v>
      </c>
      <c r="C4" s="6"/>
      <c r="D4" s="7" t="s">
        <v>28</v>
      </c>
      <c r="E4" s="8">
        <f>E5+E8+E12+E15+E18+E20+E23+E25+E27+E28+E29</f>
        <v>2208993.0199999996</v>
      </c>
      <c r="F4" s="8">
        <f>F5+F8+F12+F15+F18+F20+F23+F25+F27+F28+F29</f>
        <v>22211031.68</v>
      </c>
      <c r="G4" s="8">
        <f>G5+G8+G12+G15+G18+G20+G23+G25+G27+G28+G29</f>
        <v>15043822.43</v>
      </c>
      <c r="H4" s="8">
        <f>H5+H8+H12+H15+H18+H20+H23+H25+H27+H28+H29</f>
        <v>43784597.490000002</v>
      </c>
      <c r="I4" s="8">
        <f>I5+I8+I12+I15+I18+I20+I23+I25+I27+I28+I29</f>
        <v>8654529.4700000007</v>
      </c>
      <c r="J4" s="8">
        <f t="shared" si="0"/>
        <v>91902974.090000004</v>
      </c>
      <c r="K4" s="9"/>
    </row>
    <row r="5" spans="1:11">
      <c r="A5" s="5" t="s">
        <v>31</v>
      </c>
      <c r="B5" s="6" t="s">
        <v>32</v>
      </c>
      <c r="C5" s="6"/>
      <c r="D5" s="7" t="s">
        <v>28</v>
      </c>
      <c r="E5" s="8">
        <f>E6+E7</f>
        <v>336900</v>
      </c>
      <c r="F5" s="8">
        <f>F6+F7</f>
        <v>3110462.8600000003</v>
      </c>
      <c r="G5" s="8">
        <f>G6+G7</f>
        <v>1879487</v>
      </c>
      <c r="H5" s="8">
        <f>H6+H7</f>
        <v>6555555</v>
      </c>
      <c r="I5" s="8">
        <f>I6+I7</f>
        <v>1100611</v>
      </c>
      <c r="J5" s="8">
        <f t="shared" si="0"/>
        <v>12983015.859999999</v>
      </c>
      <c r="K5" s="9"/>
    </row>
    <row r="6" spans="1:11">
      <c r="A6" s="5" t="s">
        <v>33</v>
      </c>
      <c r="B6" s="6" t="s">
        <v>34</v>
      </c>
      <c r="C6" s="6" t="s">
        <v>35</v>
      </c>
      <c r="D6" s="7" t="s">
        <v>36</v>
      </c>
      <c r="E6" s="10">
        <v>161700</v>
      </c>
      <c r="F6" s="10">
        <v>1854269.86</v>
      </c>
      <c r="G6" s="10">
        <v>1191949</v>
      </c>
      <c r="H6" s="10">
        <v>3336422</v>
      </c>
      <c r="I6" s="10">
        <v>739847</v>
      </c>
      <c r="J6" s="8">
        <f t="shared" si="0"/>
        <v>7284187.8600000003</v>
      </c>
      <c r="K6" s="11"/>
    </row>
    <row r="7" spans="1:11">
      <c r="A7" s="5" t="s">
        <v>37</v>
      </c>
      <c r="B7" s="6" t="s">
        <v>38</v>
      </c>
      <c r="C7" s="6" t="s">
        <v>35</v>
      </c>
      <c r="D7" s="7" t="s">
        <v>36</v>
      </c>
      <c r="E7" s="10">
        <v>175200</v>
      </c>
      <c r="F7" s="10">
        <v>1256193</v>
      </c>
      <c r="G7" s="10">
        <v>687538</v>
      </c>
      <c r="H7" s="10">
        <v>3219133</v>
      </c>
      <c r="I7" s="10">
        <v>360764</v>
      </c>
      <c r="J7" s="8">
        <f t="shared" si="0"/>
        <v>5698828</v>
      </c>
      <c r="K7" s="9"/>
    </row>
    <row r="8" spans="1:11">
      <c r="A8" s="5" t="s">
        <v>39</v>
      </c>
      <c r="B8" s="6" t="s">
        <v>40</v>
      </c>
      <c r="C8" s="6"/>
      <c r="D8" s="7" t="s">
        <v>28</v>
      </c>
      <c r="E8" s="8">
        <f>E9+E10</f>
        <v>32335</v>
      </c>
      <c r="F8" s="8">
        <f>F9+F10</f>
        <v>369320</v>
      </c>
      <c r="G8" s="8">
        <f>G9+G10</f>
        <v>250890</v>
      </c>
      <c r="H8" s="8">
        <f>H9+H10</f>
        <v>661378</v>
      </c>
      <c r="I8" s="8">
        <f>I9+I10</f>
        <v>149230</v>
      </c>
      <c r="J8" s="8">
        <f t="shared" si="0"/>
        <v>1463153</v>
      </c>
      <c r="K8" s="9"/>
    </row>
    <row r="9" spans="1:11">
      <c r="A9" s="5" t="s">
        <v>41</v>
      </c>
      <c r="B9" s="6" t="s">
        <v>42</v>
      </c>
      <c r="C9" s="6" t="s">
        <v>35</v>
      </c>
      <c r="D9" s="7" t="s">
        <v>36</v>
      </c>
      <c r="E9" s="10">
        <v>655</v>
      </c>
      <c r="F9" s="10">
        <v>5000</v>
      </c>
      <c r="G9" s="10">
        <v>2730</v>
      </c>
      <c r="H9" s="10">
        <v>22498</v>
      </c>
      <c r="I9" s="10">
        <v>1390</v>
      </c>
      <c r="J9" s="8">
        <f t="shared" si="0"/>
        <v>32273</v>
      </c>
      <c r="K9" s="9"/>
    </row>
    <row r="10" spans="1:11">
      <c r="A10" s="5" t="s">
        <v>43</v>
      </c>
      <c r="B10" s="6" t="s">
        <v>44</v>
      </c>
      <c r="C10" s="6"/>
      <c r="D10" s="7" t="s">
        <v>28</v>
      </c>
      <c r="E10" s="8">
        <f t="shared" ref="E10:J10" si="1">E11</f>
        <v>31680</v>
      </c>
      <c r="F10" s="8">
        <f t="shared" si="1"/>
        <v>364320</v>
      </c>
      <c r="G10" s="8">
        <f t="shared" si="1"/>
        <v>248160</v>
      </c>
      <c r="H10" s="8">
        <f t="shared" si="1"/>
        <v>638880</v>
      </c>
      <c r="I10" s="8">
        <f t="shared" si="1"/>
        <v>147840</v>
      </c>
      <c r="J10" s="8">
        <f t="shared" si="1"/>
        <v>1430880</v>
      </c>
      <c r="K10" s="9"/>
    </row>
    <row r="11" spans="1:11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9">
        <f>440*12*E93</f>
        <v>31680</v>
      </c>
      <c r="F11" s="8">
        <f>440*12*F93</f>
        <v>364320</v>
      </c>
      <c r="G11" s="8">
        <f>440*12*G93</f>
        <v>248160</v>
      </c>
      <c r="H11" s="8">
        <f>440*12*H93</f>
        <v>638880</v>
      </c>
      <c r="I11" s="8">
        <f>440*12*I93</f>
        <v>147840</v>
      </c>
      <c r="J11" s="8">
        <f t="shared" ref="J11:J26" si="2">SUM(E11:I11)</f>
        <v>1430880</v>
      </c>
      <c r="K11" s="9"/>
    </row>
    <row r="12" spans="1:11">
      <c r="A12" s="5" t="s">
        <v>47</v>
      </c>
      <c r="B12" s="6" t="s">
        <v>48</v>
      </c>
      <c r="C12" s="6"/>
      <c r="D12" s="7" t="s">
        <v>49</v>
      </c>
      <c r="E12" s="8">
        <f>E13+E14</f>
        <v>11270.01</v>
      </c>
      <c r="F12" s="8">
        <f t="shared" ref="F12:I12" si="3">F13+F14</f>
        <v>102473.32</v>
      </c>
      <c r="G12" s="8">
        <f t="shared" si="3"/>
        <v>72325.440000000002</v>
      </c>
      <c r="H12" s="8">
        <f t="shared" si="3"/>
        <v>207474.48</v>
      </c>
      <c r="I12" s="8">
        <f t="shared" si="3"/>
        <v>38373.480000000003</v>
      </c>
      <c r="J12" s="8">
        <f t="shared" si="2"/>
        <v>431916.73</v>
      </c>
      <c r="K12" s="9"/>
    </row>
    <row r="13" spans="1:11" s="13" customFormat="1">
      <c r="A13" s="5" t="s">
        <v>50</v>
      </c>
      <c r="B13" s="49" t="s">
        <v>584</v>
      </c>
      <c r="C13" s="12" t="s">
        <v>35</v>
      </c>
      <c r="D13" s="9" t="s">
        <v>51</v>
      </c>
      <c r="E13" s="8">
        <f>ROUND(E28/0.07*0.00256,2)</f>
        <v>3816.3</v>
      </c>
      <c r="F13" s="8">
        <f>ROUND(F28/0.07*0.00256,2)</f>
        <v>34699.96</v>
      </c>
      <c r="G13" s="8">
        <f>ROUND(G28/0.07*0.00256,2)</f>
        <v>24491.15</v>
      </c>
      <c r="H13" s="8">
        <f>ROUND(H28/0.07*0.00256,2)</f>
        <v>70255.91</v>
      </c>
      <c r="I13" s="8">
        <f>ROUND(I28/0.07*0.00256,2)</f>
        <v>12994.19</v>
      </c>
      <c r="J13" s="8">
        <f t="shared" si="2"/>
        <v>146257.51</v>
      </c>
      <c r="K13" s="9"/>
    </row>
    <row r="14" spans="1:11" s="13" customFormat="1">
      <c r="A14" s="5" t="s">
        <v>52</v>
      </c>
      <c r="B14" s="49" t="s">
        <v>585</v>
      </c>
      <c r="C14" s="12" t="s">
        <v>35</v>
      </c>
      <c r="D14" s="9" t="s">
        <v>51</v>
      </c>
      <c r="E14" s="8">
        <f>ROUND(E28/0.07*0.005,2)</f>
        <v>7453.71</v>
      </c>
      <c r="F14" s="8">
        <f>ROUND(F28/0.07*0.005,2)</f>
        <v>67773.36</v>
      </c>
      <c r="G14" s="8">
        <f>ROUND(G28/0.07*0.005,2)</f>
        <v>47834.29</v>
      </c>
      <c r="H14" s="8">
        <f>ROUND(H28/0.07*0.005,2)</f>
        <v>137218.57</v>
      </c>
      <c r="I14" s="8">
        <f>ROUND(I28/0.07*0.005,2)</f>
        <v>25379.29</v>
      </c>
      <c r="J14" s="8">
        <f t="shared" si="2"/>
        <v>285659.22000000003</v>
      </c>
      <c r="K14" s="9"/>
    </row>
    <row r="15" spans="1:11">
      <c r="A15" s="5" t="s">
        <v>53</v>
      </c>
      <c r="B15" s="6" t="s">
        <v>55</v>
      </c>
      <c r="C15" s="6"/>
      <c r="D15" s="7" t="s">
        <v>28</v>
      </c>
      <c r="E15" s="8">
        <v>1114200</v>
      </c>
      <c r="F15" s="8">
        <v>12047400</v>
      </c>
      <c r="G15" s="8">
        <v>8206200</v>
      </c>
      <c r="H15" s="8">
        <v>23147300</v>
      </c>
      <c r="I15" s="8">
        <v>4888800</v>
      </c>
      <c r="J15" s="8">
        <f t="shared" si="2"/>
        <v>49403900</v>
      </c>
      <c r="K15" s="9"/>
    </row>
    <row r="16" spans="1:11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1114200</v>
      </c>
      <c r="F16" s="16">
        <f t="shared" ref="F16:I16" si="4">F15-F17</f>
        <v>11641852</v>
      </c>
      <c r="G16" s="16">
        <f t="shared" si="4"/>
        <v>7999856</v>
      </c>
      <c r="H16" s="16">
        <f t="shared" si="4"/>
        <v>22634356</v>
      </c>
      <c r="I16" s="16">
        <f t="shared" si="4"/>
        <v>4888800</v>
      </c>
      <c r="J16" s="8">
        <f t="shared" si="2"/>
        <v>48279064</v>
      </c>
      <c r="K16" s="15"/>
    </row>
    <row r="17" spans="1:11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405548</v>
      </c>
      <c r="G17" s="16">
        <v>206344</v>
      </c>
      <c r="H17" s="16">
        <v>512944</v>
      </c>
      <c r="I17" s="16"/>
      <c r="J17" s="8">
        <f t="shared" si="2"/>
        <v>1124836</v>
      </c>
      <c r="K17" s="15"/>
    </row>
    <row r="18" spans="1:11">
      <c r="A18" s="5" t="s">
        <v>59</v>
      </c>
      <c r="B18" s="6" t="s">
        <v>63</v>
      </c>
      <c r="C18" s="6"/>
      <c r="D18" s="15" t="s">
        <v>28</v>
      </c>
      <c r="E18" s="17">
        <f>E19</f>
        <v>156528</v>
      </c>
      <c r="F18" s="17">
        <f>F19</f>
        <v>1423240.5</v>
      </c>
      <c r="G18" s="17">
        <f>G19</f>
        <v>1004520</v>
      </c>
      <c r="H18" s="17">
        <f>H19</f>
        <v>2881590</v>
      </c>
      <c r="I18" s="17">
        <f>I19</f>
        <v>532965</v>
      </c>
      <c r="J18" s="8">
        <f t="shared" si="2"/>
        <v>5998843.5</v>
      </c>
      <c r="K18" s="15"/>
    </row>
    <row r="19" spans="1:11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156528</v>
      </c>
      <c r="F19" s="17">
        <f>ROUND(F28/0.07*0.105,2)</f>
        <v>1423240.5</v>
      </c>
      <c r="G19" s="17">
        <f>ROUND(G28/0.07*0.105,2)</f>
        <v>1004520</v>
      </c>
      <c r="H19" s="17">
        <f>ROUND(H28/0.07*0.105,2)</f>
        <v>2881590</v>
      </c>
      <c r="I19" s="17">
        <f>ROUND(I28/0.07*0.105,2)</f>
        <v>532965</v>
      </c>
      <c r="J19" s="8">
        <f t="shared" si="2"/>
        <v>5998843.5</v>
      </c>
      <c r="K19" s="15"/>
    </row>
    <row r="20" spans="1:11">
      <c r="A20" s="5" t="s">
        <v>64</v>
      </c>
      <c r="B20" s="6" t="s">
        <v>68</v>
      </c>
      <c r="C20" s="6"/>
      <c r="D20" s="15" t="s">
        <v>51</v>
      </c>
      <c r="E20" s="17">
        <f>E21+E22</f>
        <v>59629.72</v>
      </c>
      <c r="F20" s="17">
        <f>F21+F22</f>
        <v>542186.86</v>
      </c>
      <c r="G20" s="17">
        <f>G21+G22</f>
        <v>382674.28</v>
      </c>
      <c r="H20" s="17">
        <f>H21+H22</f>
        <v>1097748.58</v>
      </c>
      <c r="I20" s="17">
        <f>I21+I22</f>
        <v>203034.28</v>
      </c>
      <c r="J20" s="8">
        <f t="shared" si="2"/>
        <v>2285273.7199999997</v>
      </c>
      <c r="K20" s="15"/>
    </row>
    <row r="21" spans="1:11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29814.86</v>
      </c>
      <c r="F21" s="17">
        <f>ROUND(F28/0.07*0.02,2)</f>
        <v>271093.43</v>
      </c>
      <c r="G21" s="17">
        <f>ROUND(G28/0.07*0.02,2)</f>
        <v>191337.14</v>
      </c>
      <c r="H21" s="17">
        <f>ROUND(H28/0.07*0.02,2)</f>
        <v>548874.29</v>
      </c>
      <c r="I21" s="17">
        <f>ROUND(I28/0.07*0.02,2)</f>
        <v>101517.14</v>
      </c>
      <c r="J21" s="8">
        <f t="shared" si="2"/>
        <v>1142636.8599999999</v>
      </c>
      <c r="K21" s="15"/>
    </row>
    <row r="22" spans="1:11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29814.86</v>
      </c>
      <c r="F22" s="17">
        <f>ROUND(F28/0.07*0.02,2)</f>
        <v>271093.43</v>
      </c>
      <c r="G22" s="17">
        <f>ROUND(G28/0.07*0.02,2)</f>
        <v>191337.14</v>
      </c>
      <c r="H22" s="17">
        <f>ROUND(H28/0.07*0.02,2)</f>
        <v>548874.29</v>
      </c>
      <c r="I22" s="17">
        <f>ROUND(I28/0.07*0.02,2)</f>
        <v>101517.14</v>
      </c>
      <c r="J22" s="8">
        <f t="shared" si="2"/>
        <v>1142636.8599999999</v>
      </c>
      <c r="K22" s="15"/>
    </row>
    <row r="23" spans="1:11">
      <c r="A23" s="5" t="s">
        <v>72</v>
      </c>
      <c r="B23" s="6" t="s">
        <v>75</v>
      </c>
      <c r="C23" s="6"/>
      <c r="D23" s="7" t="s">
        <v>28</v>
      </c>
      <c r="E23" s="8">
        <f>E24</f>
        <v>238518.86</v>
      </c>
      <c r="F23" s="8">
        <f>F24</f>
        <v>2168747.4300000002</v>
      </c>
      <c r="G23" s="8">
        <f>G24</f>
        <v>1530697.14</v>
      </c>
      <c r="H23" s="8">
        <f>H24</f>
        <v>4390994.29</v>
      </c>
      <c r="I23" s="8">
        <f>I24</f>
        <v>812137.14</v>
      </c>
      <c r="J23" s="8">
        <f t="shared" si="2"/>
        <v>9141094.8599999994</v>
      </c>
      <c r="K23" s="9"/>
    </row>
    <row r="24" spans="1:11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238518.86</v>
      </c>
      <c r="F24" s="8">
        <f>ROUND(F28/0.07*0.16,2)</f>
        <v>2168747.4300000002</v>
      </c>
      <c r="G24" s="8">
        <f>ROUND(G28/0.07*0.16,2)</f>
        <v>1530697.14</v>
      </c>
      <c r="H24" s="8">
        <f>ROUND(H28/0.07*0.16,2)</f>
        <v>4390994.29</v>
      </c>
      <c r="I24" s="8">
        <f>ROUND(I28/0.07*0.16,2)</f>
        <v>812137.14</v>
      </c>
      <c r="J24" s="8">
        <f t="shared" si="2"/>
        <v>9141094.8599999994</v>
      </c>
      <c r="K24" s="9"/>
    </row>
    <row r="25" spans="1:11">
      <c r="A25" s="5" t="s">
        <v>76</v>
      </c>
      <c r="B25" s="6" t="s">
        <v>80</v>
      </c>
      <c r="C25" s="6"/>
      <c r="D25" s="7" t="s">
        <v>28</v>
      </c>
      <c r="E25" s="8">
        <f>E26</f>
        <v>119259.43</v>
      </c>
      <c r="F25" s="8">
        <f>F26</f>
        <v>1084373.71</v>
      </c>
      <c r="G25" s="8">
        <f>G26</f>
        <v>765348.57</v>
      </c>
      <c r="H25" s="8">
        <f>H26</f>
        <v>2195497.14</v>
      </c>
      <c r="I25" s="8">
        <f>I26</f>
        <v>406068.57</v>
      </c>
      <c r="J25" s="8">
        <f t="shared" si="2"/>
        <v>4570547.42</v>
      </c>
      <c r="K25" s="9"/>
    </row>
    <row r="26" spans="1:11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119259.43</v>
      </c>
      <c r="F26" s="8">
        <f>ROUND(F28/0.07*0.08,2)</f>
        <v>1084373.71</v>
      </c>
      <c r="G26" s="8">
        <f>ROUND(G28/0.07*0.08,2)</f>
        <v>765348.57</v>
      </c>
      <c r="H26" s="8">
        <f>ROUND(H28/0.07*0.08,2)</f>
        <v>2195497.14</v>
      </c>
      <c r="I26" s="8">
        <f>ROUND(I28/0.07*0.08,2)</f>
        <v>406068.57</v>
      </c>
      <c r="J26" s="8">
        <f t="shared" si="2"/>
        <v>4570547.42</v>
      </c>
      <c r="K26" s="9"/>
    </row>
    <row r="27" spans="1:11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 t="shared" ref="E27:J27" si="5">6000*E93</f>
        <v>36000</v>
      </c>
      <c r="F27" s="8">
        <f t="shared" si="5"/>
        <v>414000</v>
      </c>
      <c r="G27" s="8">
        <f t="shared" si="5"/>
        <v>282000</v>
      </c>
      <c r="H27" s="8">
        <f t="shared" si="5"/>
        <v>726000</v>
      </c>
      <c r="I27" s="8">
        <f t="shared" si="5"/>
        <v>168000</v>
      </c>
      <c r="J27" s="8">
        <f t="shared" si="5"/>
        <v>1626000</v>
      </c>
      <c r="K27" s="9"/>
    </row>
    <row r="28" spans="1:11">
      <c r="A28" s="5" t="s">
        <v>84</v>
      </c>
      <c r="B28" s="6" t="s">
        <v>88</v>
      </c>
      <c r="C28" s="6" t="s">
        <v>88</v>
      </c>
      <c r="D28" s="7" t="s">
        <v>89</v>
      </c>
      <c r="E28" s="16">
        <v>104352</v>
      </c>
      <c r="F28" s="16">
        <v>948827</v>
      </c>
      <c r="G28" s="16">
        <v>669680</v>
      </c>
      <c r="H28" s="16">
        <v>1921060</v>
      </c>
      <c r="I28" s="16">
        <v>355310</v>
      </c>
      <c r="J28" s="8">
        <f t="shared" ref="J28:J89" si="6">SUM(E28:I28)</f>
        <v>3999229</v>
      </c>
      <c r="K28" s="15"/>
    </row>
    <row r="29" spans="1:11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8">
        <f t="shared" si="6"/>
        <v>0</v>
      </c>
      <c r="K29" s="15"/>
    </row>
    <row r="30" spans="1:11">
      <c r="A30" s="5" t="s">
        <v>90</v>
      </c>
      <c r="B30" s="6" t="s">
        <v>95</v>
      </c>
      <c r="C30" s="6"/>
      <c r="D30" s="7" t="s">
        <v>28</v>
      </c>
      <c r="E30" s="8">
        <f>E31+E39+E42+E44</f>
        <v>0</v>
      </c>
      <c r="F30" s="8">
        <f t="shared" ref="F30:I30" si="7">F31+F39+F42+F44</f>
        <v>7980</v>
      </c>
      <c r="G30" s="8">
        <f t="shared" si="7"/>
        <v>12200</v>
      </c>
      <c r="H30" s="8">
        <f t="shared" si="7"/>
        <v>27980</v>
      </c>
      <c r="I30" s="8">
        <f t="shared" si="7"/>
        <v>4500</v>
      </c>
      <c r="J30" s="8">
        <f t="shared" si="6"/>
        <v>52660</v>
      </c>
      <c r="K30" s="9"/>
    </row>
    <row r="31" spans="1:11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>G32+G33+G34+G35+G36+G37+G38</f>
        <v>0</v>
      </c>
      <c r="H31" s="8">
        <f>H32+H33+H34+H35+H36+H37+H38</f>
        <v>0</v>
      </c>
      <c r="I31" s="8">
        <f>I32+I33+I34+I35+I36+I37+I38</f>
        <v>0</v>
      </c>
      <c r="J31" s="8">
        <f t="shared" si="6"/>
        <v>0</v>
      </c>
      <c r="K31" s="9"/>
    </row>
    <row r="32" spans="1:11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8">
        <f t="shared" si="6"/>
        <v>0</v>
      </c>
      <c r="K32" s="15"/>
    </row>
    <row r="33" spans="1:11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8">
        <f t="shared" si="6"/>
        <v>0</v>
      </c>
      <c r="K33" s="15"/>
    </row>
    <row r="34" spans="1:11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8">
        <f t="shared" si="6"/>
        <v>0</v>
      </c>
      <c r="K34" s="15"/>
    </row>
    <row r="35" spans="1:11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8">
        <f t="shared" si="6"/>
        <v>0</v>
      </c>
      <c r="K35" s="15"/>
    </row>
    <row r="36" spans="1:11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8">
        <f t="shared" si="6"/>
        <v>0</v>
      </c>
      <c r="K36" s="15"/>
    </row>
    <row r="37" spans="1:11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8">
        <f t="shared" si="6"/>
        <v>0</v>
      </c>
      <c r="K37" s="15"/>
    </row>
    <row r="38" spans="1:11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8">
        <f t="shared" si="6"/>
        <v>0</v>
      </c>
      <c r="K38" s="15"/>
    </row>
    <row r="39" spans="1:11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>G40+G41</f>
        <v>0</v>
      </c>
      <c r="H39" s="8">
        <f>H40+H41</f>
        <v>0</v>
      </c>
      <c r="I39" s="8">
        <f>I40+I41</f>
        <v>0</v>
      </c>
      <c r="J39" s="8">
        <f t="shared" si="6"/>
        <v>0</v>
      </c>
      <c r="K39" s="9"/>
    </row>
    <row r="40" spans="1:11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8">
        <f t="shared" si="6"/>
        <v>0</v>
      </c>
      <c r="K40" s="9"/>
    </row>
    <row r="41" spans="1:11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8">
        <f t="shared" si="6"/>
        <v>0</v>
      </c>
      <c r="K41" s="9"/>
    </row>
    <row r="42" spans="1:11">
      <c r="A42" s="5" t="s">
        <v>118</v>
      </c>
      <c r="B42" s="6" t="s">
        <v>125</v>
      </c>
      <c r="C42" s="6"/>
      <c r="D42" s="7" t="s">
        <v>28</v>
      </c>
      <c r="E42" s="8">
        <f>E43</f>
        <v>0</v>
      </c>
      <c r="F42" s="8">
        <f>F43</f>
        <v>4980</v>
      </c>
      <c r="G42" s="8">
        <f>G43</f>
        <v>4200</v>
      </c>
      <c r="H42" s="8">
        <f>H43</f>
        <v>7980</v>
      </c>
      <c r="I42" s="8">
        <f>I43</f>
        <v>2100</v>
      </c>
      <c r="J42" s="8">
        <f t="shared" si="6"/>
        <v>19260</v>
      </c>
      <c r="K42" s="9"/>
    </row>
    <row r="43" spans="1:11">
      <c r="A43" s="5" t="s">
        <v>120</v>
      </c>
      <c r="B43" s="6" t="s">
        <v>127</v>
      </c>
      <c r="C43" s="6" t="s">
        <v>35</v>
      </c>
      <c r="D43" s="7" t="s">
        <v>36</v>
      </c>
      <c r="E43" s="10"/>
      <c r="F43" s="10">
        <v>4980</v>
      </c>
      <c r="G43" s="10">
        <v>4200</v>
      </c>
      <c r="H43" s="10">
        <v>7980</v>
      </c>
      <c r="I43" s="10">
        <v>2100</v>
      </c>
      <c r="J43" s="19">
        <f t="shared" si="6"/>
        <v>19260</v>
      </c>
      <c r="K43" s="9"/>
    </row>
    <row r="44" spans="1:11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>SUM(F45:F48)</f>
        <v>3000</v>
      </c>
      <c r="G44" s="8">
        <f>SUM(G45:G48)</f>
        <v>8000</v>
      </c>
      <c r="H44" s="8">
        <f>SUM(H45:H48)</f>
        <v>20000</v>
      </c>
      <c r="I44" s="8">
        <f>SUM(I45:I48)</f>
        <v>2400</v>
      </c>
      <c r="J44" s="8">
        <f t="shared" si="6"/>
        <v>33400</v>
      </c>
      <c r="K44" s="9"/>
    </row>
    <row r="45" spans="1:11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3000</v>
      </c>
      <c r="G45" s="10">
        <v>8000</v>
      </c>
      <c r="H45" s="10">
        <v>20000</v>
      </c>
      <c r="I45" s="10">
        <v>2400</v>
      </c>
      <c r="J45" s="8">
        <f t="shared" si="6"/>
        <v>33400</v>
      </c>
      <c r="K45" s="9"/>
    </row>
    <row r="46" spans="1:11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8">
        <f t="shared" si="6"/>
        <v>0</v>
      </c>
      <c r="K46" s="9"/>
    </row>
    <row r="47" spans="1:11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8">
        <f t="shared" si="6"/>
        <v>0</v>
      </c>
      <c r="K47" s="9"/>
    </row>
    <row r="48" spans="1:11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8">
        <f t="shared" si="6"/>
        <v>0</v>
      </c>
      <c r="K48" s="15"/>
    </row>
    <row r="49" spans="1:11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310474.86</v>
      </c>
      <c r="F49" s="8">
        <f t="shared" ref="F49:I49" si="8">F50+F68+F70+F72+F74+F76+F78+F80+F82+F90</f>
        <v>3109622.33</v>
      </c>
      <c r="G49" s="8">
        <f t="shared" si="8"/>
        <v>2043663.1400000001</v>
      </c>
      <c r="H49" s="8">
        <f t="shared" si="8"/>
        <v>6721894.5899999999</v>
      </c>
      <c r="I49" s="8">
        <f t="shared" si="8"/>
        <v>1286182.74</v>
      </c>
      <c r="J49" s="8">
        <f t="shared" si="6"/>
        <v>13471837.66</v>
      </c>
      <c r="K49" s="9"/>
    </row>
    <row r="50" spans="1:11">
      <c r="A50" s="5" t="s">
        <v>136</v>
      </c>
      <c r="B50" s="6" t="s">
        <v>144</v>
      </c>
      <c r="C50" s="6"/>
      <c r="D50" s="7" t="s">
        <v>145</v>
      </c>
      <c r="E50" s="8">
        <v>134400</v>
      </c>
      <c r="F50" s="8">
        <v>2262260</v>
      </c>
      <c r="G50" s="8">
        <v>1501500</v>
      </c>
      <c r="H50" s="8">
        <v>4605910</v>
      </c>
      <c r="I50" s="8">
        <v>858000</v>
      </c>
      <c r="J50" s="8">
        <f t="shared" si="6"/>
        <v>9362070</v>
      </c>
      <c r="K50" s="9"/>
    </row>
    <row r="51" spans="1:11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8">
        <f t="shared" si="6"/>
        <v>0</v>
      </c>
      <c r="K51" s="9"/>
    </row>
    <row r="52" spans="1:11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8">
        <f t="shared" si="6"/>
        <v>0</v>
      </c>
      <c r="K52" s="9"/>
    </row>
    <row r="53" spans="1:11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8">
        <f t="shared" si="6"/>
        <v>0</v>
      </c>
      <c r="K53" s="9"/>
    </row>
    <row r="54" spans="1:11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8">
        <f t="shared" si="6"/>
        <v>0</v>
      </c>
      <c r="K54" s="9"/>
    </row>
    <row r="55" spans="1:11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8">
        <f t="shared" si="6"/>
        <v>0</v>
      </c>
      <c r="K55" s="9"/>
    </row>
    <row r="56" spans="1:11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8">
        <f t="shared" si="6"/>
        <v>0</v>
      </c>
      <c r="K56" s="9"/>
    </row>
    <row r="57" spans="1:11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8">
        <f t="shared" si="6"/>
        <v>0</v>
      </c>
      <c r="K57" s="9"/>
    </row>
    <row r="58" spans="1:11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8">
        <f t="shared" si="6"/>
        <v>0</v>
      </c>
      <c r="K58" s="9"/>
    </row>
    <row r="59" spans="1:11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8">
        <f t="shared" si="6"/>
        <v>0</v>
      </c>
      <c r="K59" s="9"/>
    </row>
    <row r="60" spans="1:11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6720</v>
      </c>
      <c r="F60" s="10">
        <v>99385</v>
      </c>
      <c r="G60" s="10">
        <v>75075</v>
      </c>
      <c r="H60" s="10">
        <v>230295.5</v>
      </c>
      <c r="I60" s="10">
        <v>38896</v>
      </c>
      <c r="J60" s="8">
        <f t="shared" si="6"/>
        <v>450371.5</v>
      </c>
      <c r="K60" s="9"/>
    </row>
    <row r="61" spans="1:11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8">
        <f t="shared" si="6"/>
        <v>0</v>
      </c>
      <c r="K61" s="9"/>
    </row>
    <row r="62" spans="1:11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8">
        <f t="shared" si="6"/>
        <v>0</v>
      </c>
      <c r="K62" s="9"/>
    </row>
    <row r="63" spans="1:11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8">
        <f t="shared" si="6"/>
        <v>0</v>
      </c>
      <c r="K63" s="9"/>
    </row>
    <row r="64" spans="1:11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8">
        <f t="shared" si="6"/>
        <v>0</v>
      </c>
      <c r="K64" s="9"/>
    </row>
    <row r="65" spans="1:11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8">
        <f t="shared" si="6"/>
        <v>0</v>
      </c>
      <c r="K65" s="9"/>
    </row>
    <row r="66" spans="1:11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8">
        <f t="shared" si="6"/>
        <v>0</v>
      </c>
      <c r="K66" s="9"/>
    </row>
    <row r="67" spans="1:11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8">
        <f t="shared" si="6"/>
        <v>0</v>
      </c>
      <c r="K67" s="9"/>
    </row>
    <row r="68" spans="1:11">
      <c r="A68" s="5" t="s">
        <v>176</v>
      </c>
      <c r="B68" s="6" t="s">
        <v>183</v>
      </c>
      <c r="C68" s="6"/>
      <c r="D68" s="7"/>
      <c r="E68" s="8">
        <f>E69</f>
        <v>2400</v>
      </c>
      <c r="F68" s="8">
        <f>F69</f>
        <v>27600</v>
      </c>
      <c r="G68" s="8">
        <f>G69</f>
        <v>18800</v>
      </c>
      <c r="H68" s="8">
        <f>H69</f>
        <v>48400</v>
      </c>
      <c r="I68" s="8">
        <f>I69</f>
        <v>11200</v>
      </c>
      <c r="J68" s="8">
        <f t="shared" si="6"/>
        <v>108400</v>
      </c>
      <c r="K68" s="9"/>
    </row>
    <row r="69" spans="1:11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2400</v>
      </c>
      <c r="F69" s="8">
        <f>F93*400</f>
        <v>27600</v>
      </c>
      <c r="G69" s="8">
        <f>G93*400</f>
        <v>18800</v>
      </c>
      <c r="H69" s="8">
        <f>H93*400</f>
        <v>48400</v>
      </c>
      <c r="I69" s="8">
        <f>I93*400</f>
        <v>11200</v>
      </c>
      <c r="J69" s="8">
        <f t="shared" si="6"/>
        <v>108400</v>
      </c>
      <c r="K69" s="9"/>
    </row>
    <row r="70" spans="1:11">
      <c r="A70" s="5" t="s">
        <v>180</v>
      </c>
      <c r="B70" s="6" t="s">
        <v>188</v>
      </c>
      <c r="C70" s="6"/>
      <c r="D70" s="7" t="s">
        <v>28</v>
      </c>
      <c r="E70" s="8">
        <f>E71</f>
        <v>54900</v>
      </c>
      <c r="F70" s="8">
        <f>F71</f>
        <v>130548.90000000001</v>
      </c>
      <c r="G70" s="8">
        <f>G71</f>
        <v>77250</v>
      </c>
      <c r="H70" s="8">
        <f>H71</f>
        <v>424758.30000000005</v>
      </c>
      <c r="I70" s="8">
        <f>I71</f>
        <v>133521.60000000001</v>
      </c>
      <c r="J70" s="8">
        <f t="shared" si="6"/>
        <v>820978.8</v>
      </c>
      <c r="K70" s="9"/>
    </row>
    <row r="71" spans="1:11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54900</v>
      </c>
      <c r="F71" s="8">
        <f>F105*15</f>
        <v>130548.90000000001</v>
      </c>
      <c r="G71" s="8">
        <f>G105*15</f>
        <v>77250</v>
      </c>
      <c r="H71" s="8">
        <f>H105*15</f>
        <v>424758.30000000005</v>
      </c>
      <c r="I71" s="8">
        <f>I105*15</f>
        <v>133521.60000000001</v>
      </c>
      <c r="J71" s="8">
        <f t="shared" si="6"/>
        <v>820978.8</v>
      </c>
      <c r="K71" s="9"/>
    </row>
    <row r="72" spans="1:11">
      <c r="A72" s="5" t="s">
        <v>184</v>
      </c>
      <c r="B72" s="6" t="s">
        <v>193</v>
      </c>
      <c r="C72" s="6"/>
      <c r="D72" s="7" t="s">
        <v>28</v>
      </c>
      <c r="E72" s="8">
        <f>E73</f>
        <v>21600</v>
      </c>
      <c r="F72" s="8">
        <f>F73</f>
        <v>26120</v>
      </c>
      <c r="G72" s="8">
        <f>G73</f>
        <v>19736</v>
      </c>
      <c r="H72" s="8">
        <f>H73</f>
        <v>119152</v>
      </c>
      <c r="I72" s="8">
        <f>I73</f>
        <v>28984</v>
      </c>
      <c r="J72" s="8">
        <f t="shared" si="6"/>
        <v>215592</v>
      </c>
      <c r="K72" s="9"/>
    </row>
    <row r="73" spans="1:11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21600</v>
      </c>
      <c r="F73" s="8">
        <f>F106*8</f>
        <v>26120</v>
      </c>
      <c r="G73" s="8">
        <f>G106*8</f>
        <v>19736</v>
      </c>
      <c r="H73" s="8">
        <f>H106*8</f>
        <v>119152</v>
      </c>
      <c r="I73" s="8">
        <f>I106*8</f>
        <v>28984</v>
      </c>
      <c r="J73" s="8">
        <f t="shared" si="6"/>
        <v>215592</v>
      </c>
      <c r="K73" s="9"/>
    </row>
    <row r="74" spans="1:11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>G75</f>
        <v>0</v>
      </c>
      <c r="H74" s="8">
        <f>H75</f>
        <v>0</v>
      </c>
      <c r="I74" s="8">
        <f>I75</f>
        <v>0</v>
      </c>
      <c r="J74" s="8">
        <f t="shared" si="6"/>
        <v>0</v>
      </c>
      <c r="K74" s="9"/>
    </row>
    <row r="75" spans="1:11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>
        <v>0</v>
      </c>
      <c r="F75" s="18"/>
      <c r="G75" s="18"/>
      <c r="H75" s="18"/>
      <c r="I75" s="18"/>
      <c r="J75" s="8">
        <f t="shared" si="6"/>
        <v>0</v>
      </c>
      <c r="K75" s="9"/>
    </row>
    <row r="76" spans="1:11">
      <c r="A76" s="5" t="s">
        <v>194</v>
      </c>
      <c r="B76" s="6" t="s">
        <v>202</v>
      </c>
      <c r="C76" s="6"/>
      <c r="D76" s="7" t="s">
        <v>28</v>
      </c>
      <c r="E76" s="8">
        <f>E77</f>
        <v>25920</v>
      </c>
      <c r="F76" s="8">
        <f>F77</f>
        <v>298080</v>
      </c>
      <c r="G76" s="8">
        <f>G77</f>
        <v>203040</v>
      </c>
      <c r="H76" s="8">
        <f>H77</f>
        <v>522720</v>
      </c>
      <c r="I76" s="8">
        <f>I77</f>
        <v>120960</v>
      </c>
      <c r="J76" s="8">
        <f t="shared" si="6"/>
        <v>1170720</v>
      </c>
      <c r="K76" s="9"/>
    </row>
    <row r="77" spans="1:11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25920</v>
      </c>
      <c r="F77" s="8">
        <f>F93*4320</f>
        <v>298080</v>
      </c>
      <c r="G77" s="8">
        <f>G93*4320</f>
        <v>203040</v>
      </c>
      <c r="H77" s="8">
        <f>H93*4320</f>
        <v>522720</v>
      </c>
      <c r="I77" s="8">
        <f>I93*4320</f>
        <v>120960</v>
      </c>
      <c r="J77" s="8">
        <f t="shared" si="6"/>
        <v>1170720</v>
      </c>
      <c r="K77" s="9"/>
    </row>
    <row r="78" spans="1:11">
      <c r="A78" s="5" t="s">
        <v>199</v>
      </c>
      <c r="B78" s="6" t="s">
        <v>207</v>
      </c>
      <c r="C78" s="6"/>
      <c r="D78" s="7" t="s">
        <v>28</v>
      </c>
      <c r="E78" s="8">
        <f>E79</f>
        <v>29814.86</v>
      </c>
      <c r="F78" s="8">
        <f>F79</f>
        <v>271093.43</v>
      </c>
      <c r="G78" s="8">
        <f>G79</f>
        <v>191337.14</v>
      </c>
      <c r="H78" s="8">
        <f>H79</f>
        <v>548874.29</v>
      </c>
      <c r="I78" s="8">
        <f>I79</f>
        <v>101517.14</v>
      </c>
      <c r="J78" s="8">
        <f t="shared" si="6"/>
        <v>1142636.8599999999</v>
      </c>
      <c r="K78" s="9"/>
    </row>
    <row r="79" spans="1:11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29814.86</v>
      </c>
      <c r="F79" s="8">
        <f>ROUND(F28/0.07*0.02,2)</f>
        <v>271093.43</v>
      </c>
      <c r="G79" s="8">
        <f>ROUND(G28/0.07*0.02,2)</f>
        <v>191337.14</v>
      </c>
      <c r="H79" s="8">
        <f>ROUND(H28/0.07*0.02,2)</f>
        <v>548874.29</v>
      </c>
      <c r="I79" s="8">
        <f>ROUND(I28/0.07*0.02,2)</f>
        <v>101517.14</v>
      </c>
      <c r="J79" s="8">
        <f t="shared" si="6"/>
        <v>1142636.8599999999</v>
      </c>
      <c r="K79" s="9"/>
    </row>
    <row r="80" spans="1:11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>F81</f>
        <v>32000</v>
      </c>
      <c r="G80" s="8">
        <f>G81</f>
        <v>0</v>
      </c>
      <c r="H80" s="8">
        <f>H81</f>
        <v>32000</v>
      </c>
      <c r="I80" s="8">
        <f>I81</f>
        <v>0</v>
      </c>
      <c r="J80" s="8">
        <f t="shared" si="6"/>
        <v>64000</v>
      </c>
      <c r="K80" s="9"/>
    </row>
    <row r="81" spans="1:11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/>
      <c r="H81" s="10">
        <v>32000</v>
      </c>
      <c r="I81" s="10"/>
      <c r="J81" s="8">
        <f t="shared" si="6"/>
        <v>64000</v>
      </c>
      <c r="K81" s="9"/>
    </row>
    <row r="82" spans="1:11">
      <c r="A82" s="5" t="s">
        <v>208</v>
      </c>
      <c r="B82" s="6" t="s">
        <v>216</v>
      </c>
      <c r="C82" s="6"/>
      <c r="D82" s="7" t="s">
        <v>28</v>
      </c>
      <c r="E82" s="8">
        <f>E83+E86+E89</f>
        <v>9440</v>
      </c>
      <c r="F82" s="8">
        <f>F83+F86+F89</f>
        <v>51920</v>
      </c>
      <c r="G82" s="8">
        <f>G83+G86+G89</f>
        <v>0</v>
      </c>
      <c r="H82" s="8">
        <f>H83+H86+H89</f>
        <v>420080</v>
      </c>
      <c r="I82" s="8">
        <f>I83+I86+I89</f>
        <v>0</v>
      </c>
      <c r="J82" s="8">
        <f t="shared" si="6"/>
        <v>481440</v>
      </c>
      <c r="K82" s="9"/>
    </row>
    <row r="83" spans="1:11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>G84+G85</f>
        <v>0</v>
      </c>
      <c r="H83" s="8">
        <f>H84+H85</f>
        <v>0</v>
      </c>
      <c r="I83" s="8">
        <f>I84+I85</f>
        <v>0</v>
      </c>
      <c r="J83" s="8">
        <f t="shared" si="6"/>
        <v>0</v>
      </c>
      <c r="K83" s="9"/>
    </row>
    <row r="84" spans="1:11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8">
        <f t="shared" si="6"/>
        <v>0</v>
      </c>
      <c r="K84" s="15"/>
    </row>
    <row r="85" spans="1:11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8">
        <f t="shared" si="6"/>
        <v>0</v>
      </c>
      <c r="K85" s="15"/>
    </row>
    <row r="86" spans="1:11">
      <c r="A86" s="5" t="s">
        <v>217</v>
      </c>
      <c r="B86" s="6" t="s">
        <v>225</v>
      </c>
      <c r="C86" s="6"/>
      <c r="D86" s="7" t="s">
        <v>28</v>
      </c>
      <c r="E86" s="8">
        <f>E87+E88</f>
        <v>9440</v>
      </c>
      <c r="F86" s="8">
        <f>F87+F88</f>
        <v>51920</v>
      </c>
      <c r="G86" s="8">
        <f>G87+G88</f>
        <v>0</v>
      </c>
      <c r="H86" s="8">
        <f>H87+H88</f>
        <v>420080</v>
      </c>
      <c r="I86" s="8">
        <f>I87+I88</f>
        <v>0</v>
      </c>
      <c r="J86" s="8">
        <f t="shared" si="6"/>
        <v>481440</v>
      </c>
      <c r="K86" s="9"/>
    </row>
    <row r="87" spans="1:11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800</v>
      </c>
      <c r="F87" s="8">
        <f>F104*400</f>
        <v>4400</v>
      </c>
      <c r="G87" s="8">
        <f>G104*400</f>
        <v>0</v>
      </c>
      <c r="H87" s="8">
        <f>H104*400</f>
        <v>35600</v>
      </c>
      <c r="I87" s="8">
        <f>I104*400</f>
        <v>0</v>
      </c>
      <c r="J87" s="8">
        <f t="shared" si="6"/>
        <v>40800</v>
      </c>
      <c r="K87" s="9"/>
    </row>
    <row r="88" spans="1:11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8640</v>
      </c>
      <c r="F88" s="8">
        <f>F104*4320</f>
        <v>47520</v>
      </c>
      <c r="G88" s="8">
        <f>G104*4320</f>
        <v>0</v>
      </c>
      <c r="H88" s="8">
        <f>H104*4320</f>
        <v>384480</v>
      </c>
      <c r="I88" s="8">
        <f>I104*4320</f>
        <v>0</v>
      </c>
      <c r="J88" s="8">
        <f t="shared" si="6"/>
        <v>440640</v>
      </c>
      <c r="K88" s="9"/>
    </row>
    <row r="89" spans="1:11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8">
        <f t="shared" si="6"/>
        <v>0</v>
      </c>
      <c r="K89" s="15"/>
    </row>
    <row r="90" spans="1:11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>F91</f>
        <v>10000</v>
      </c>
      <c r="G90" s="8">
        <f>G91</f>
        <v>32000</v>
      </c>
      <c r="H90" s="8">
        <f>H91</f>
        <v>0</v>
      </c>
      <c r="I90" s="8">
        <f>I91</f>
        <v>32000</v>
      </c>
      <c r="J90" s="8">
        <f t="shared" ref="J90:J106" si="9">SUM(E90:I90)</f>
        <v>106000</v>
      </c>
      <c r="K90" s="9"/>
    </row>
    <row r="91" spans="1:11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>
        <v>10000</v>
      </c>
      <c r="G91" s="26">
        <v>32000</v>
      </c>
      <c r="H91" s="26"/>
      <c r="I91" s="26">
        <v>32000</v>
      </c>
      <c r="J91" s="8">
        <f t="shared" si="9"/>
        <v>106000</v>
      </c>
      <c r="K91" s="27"/>
    </row>
    <row r="92" spans="1:11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8">
        <f t="shared" si="9"/>
        <v>0</v>
      </c>
      <c r="K92" s="31"/>
    </row>
    <row r="93" spans="1:11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</v>
      </c>
      <c r="F93" s="8">
        <f>F94+F95+F96+F97</f>
        <v>69</v>
      </c>
      <c r="G93" s="8">
        <f>G94+G95+G96+G97</f>
        <v>47</v>
      </c>
      <c r="H93" s="8">
        <f>H94+H95+H96+H97</f>
        <v>121</v>
      </c>
      <c r="I93" s="8">
        <f>I94+I95+I96+I97</f>
        <v>28</v>
      </c>
      <c r="J93" s="8">
        <f t="shared" si="9"/>
        <v>271</v>
      </c>
      <c r="K93" s="9"/>
    </row>
    <row r="94" spans="1:11">
      <c r="A94" s="5" t="s">
        <v>236</v>
      </c>
      <c r="B94" s="32" t="s">
        <v>245</v>
      </c>
      <c r="C94" s="32"/>
      <c r="D94" s="15"/>
      <c r="E94" s="16"/>
      <c r="F94" s="16"/>
      <c r="G94" s="16"/>
      <c r="H94" s="16">
        <v>55</v>
      </c>
      <c r="I94" s="16"/>
      <c r="J94" s="8">
        <f t="shared" si="9"/>
        <v>55</v>
      </c>
      <c r="K94" s="9"/>
    </row>
    <row r="95" spans="1:11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66</v>
      </c>
      <c r="I95" s="10"/>
      <c r="J95" s="8">
        <f t="shared" si="9"/>
        <v>66</v>
      </c>
      <c r="K95" s="9"/>
    </row>
    <row r="96" spans="1:11">
      <c r="A96" s="5" t="s">
        <v>241</v>
      </c>
      <c r="B96" s="32" t="s">
        <v>249</v>
      </c>
      <c r="C96" s="32"/>
      <c r="D96" s="15"/>
      <c r="E96" s="16"/>
      <c r="F96" s="16">
        <v>69</v>
      </c>
      <c r="G96" s="16">
        <v>47</v>
      </c>
      <c r="H96" s="16"/>
      <c r="I96" s="16">
        <v>28</v>
      </c>
      <c r="J96" s="8">
        <f t="shared" si="9"/>
        <v>144</v>
      </c>
      <c r="K96" s="9"/>
    </row>
    <row r="97" spans="1:11">
      <c r="A97" s="5" t="s">
        <v>244</v>
      </c>
      <c r="B97" s="32" t="s">
        <v>251</v>
      </c>
      <c r="C97" s="32"/>
      <c r="D97" s="15"/>
      <c r="E97" s="16">
        <v>6</v>
      </c>
      <c r="F97" s="16"/>
      <c r="G97" s="16"/>
      <c r="H97" s="16"/>
      <c r="I97" s="16"/>
      <c r="J97" s="8">
        <f t="shared" si="9"/>
        <v>6</v>
      </c>
      <c r="K97" s="9"/>
    </row>
    <row r="98" spans="1:11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>F99+F100+F101+F102</f>
        <v>695</v>
      </c>
      <c r="G98" s="8">
        <f>G99+G100+G101+G102</f>
        <v>525</v>
      </c>
      <c r="H98" s="8">
        <f>H99+H100+H101+H102</f>
        <v>1409</v>
      </c>
      <c r="I98" s="8">
        <f>I99+I100+I101+I102</f>
        <v>272</v>
      </c>
      <c r="J98" s="8">
        <f t="shared" si="9"/>
        <v>2901</v>
      </c>
      <c r="K98" s="9"/>
    </row>
    <row r="99" spans="1:11">
      <c r="A99" s="5" t="s">
        <v>248</v>
      </c>
      <c r="B99" s="32" t="s">
        <v>245</v>
      </c>
      <c r="C99" s="32"/>
      <c r="D99" s="15"/>
      <c r="E99" s="16"/>
      <c r="F99" s="16"/>
      <c r="G99" s="16"/>
      <c r="H99" s="16">
        <v>593</v>
      </c>
      <c r="I99" s="16"/>
      <c r="J99" s="8">
        <f t="shared" si="9"/>
        <v>593</v>
      </c>
      <c r="K99" s="9"/>
    </row>
    <row r="100" spans="1:11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816</v>
      </c>
      <c r="I100" s="10"/>
      <c r="J100" s="8">
        <f t="shared" si="9"/>
        <v>816</v>
      </c>
      <c r="K100" s="9"/>
    </row>
    <row r="101" spans="1:11">
      <c r="A101" s="5" t="s">
        <v>252</v>
      </c>
      <c r="B101" s="32" t="s">
        <v>249</v>
      </c>
      <c r="C101" s="32"/>
      <c r="D101" s="15"/>
      <c r="E101" s="16"/>
      <c r="F101" s="16">
        <v>695</v>
      </c>
      <c r="G101" s="16">
        <v>525</v>
      </c>
      <c r="H101" s="16"/>
      <c r="I101" s="16">
        <v>272</v>
      </c>
      <c r="J101" s="8">
        <f t="shared" si="9"/>
        <v>1492</v>
      </c>
      <c r="K101" s="9"/>
    </row>
    <row r="102" spans="1:11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8">
        <f t="shared" si="9"/>
        <v>0</v>
      </c>
      <c r="K102" s="9"/>
    </row>
    <row r="103" spans="1:11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8">
        <f t="shared" si="9"/>
        <v>0</v>
      </c>
      <c r="K103" s="9"/>
    </row>
    <row r="104" spans="1:11">
      <c r="A104" s="5" t="s">
        <v>257</v>
      </c>
      <c r="B104" s="6" t="s">
        <v>261</v>
      </c>
      <c r="C104" s="6"/>
      <c r="D104" s="7"/>
      <c r="E104" s="10">
        <v>2</v>
      </c>
      <c r="F104" s="10">
        <v>11</v>
      </c>
      <c r="G104" s="10"/>
      <c r="H104" s="10">
        <v>89</v>
      </c>
      <c r="I104" s="10"/>
      <c r="J104" s="8">
        <f t="shared" si="9"/>
        <v>102</v>
      </c>
      <c r="K104" s="9"/>
    </row>
    <row r="105" spans="1:11">
      <c r="A105" s="5" t="s">
        <v>258</v>
      </c>
      <c r="B105" s="32" t="s">
        <v>262</v>
      </c>
      <c r="C105" s="32"/>
      <c r="D105" s="20"/>
      <c r="E105" s="10">
        <v>3660</v>
      </c>
      <c r="F105" s="10">
        <v>8703.26</v>
      </c>
      <c r="G105" s="10">
        <v>5150</v>
      </c>
      <c r="H105" s="10">
        <v>28317.22</v>
      </c>
      <c r="I105" s="10">
        <v>8901.44</v>
      </c>
      <c r="J105" s="8">
        <f t="shared" si="9"/>
        <v>54731.920000000006</v>
      </c>
      <c r="K105" s="9"/>
    </row>
    <row r="106" spans="1:11">
      <c r="A106" s="5" t="s">
        <v>259</v>
      </c>
      <c r="B106" s="32" t="s">
        <v>263</v>
      </c>
      <c r="C106" s="32"/>
      <c r="D106" s="20"/>
      <c r="E106" s="10">
        <v>2700</v>
      </c>
      <c r="F106" s="10">
        <v>3265</v>
      </c>
      <c r="G106" s="10">
        <v>2467</v>
      </c>
      <c r="H106" s="10">
        <v>14894</v>
      </c>
      <c r="I106" s="10">
        <v>3623</v>
      </c>
      <c r="J106" s="8">
        <f t="shared" si="9"/>
        <v>26949</v>
      </c>
      <c r="K106" s="9"/>
    </row>
    <row r="107" spans="1:11">
      <c r="E107" s="86">
        <f t="shared" ref="E107:J107" si="10">E4/E93</f>
        <v>368165.50333333324</v>
      </c>
      <c r="F107" s="1">
        <f t="shared" si="10"/>
        <v>321899.00985507248</v>
      </c>
      <c r="G107" s="1">
        <f t="shared" si="10"/>
        <v>320081.32829787233</v>
      </c>
      <c r="H107" s="86">
        <f t="shared" si="10"/>
        <v>361856.17760330578</v>
      </c>
      <c r="I107" s="1">
        <f t="shared" si="10"/>
        <v>309090.33821428573</v>
      </c>
      <c r="J107" s="1">
        <f t="shared" si="10"/>
        <v>339125.36564575648</v>
      </c>
    </row>
  </sheetData>
  <protectedRanges>
    <protectedRange password="E9C1" sqref="D28 J21:K26 K20 J4:K9 K10 K27 A2:K3 A4:D5 J11:K19 B6:D26 J28:K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K1"/>
  </mergeCells>
  <phoneticPr fontId="3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M107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L3" sqref="L3:L106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3" ht="25.5">
      <c r="A1" s="375" t="s">
        <v>0</v>
      </c>
      <c r="B1" s="376"/>
      <c r="C1" s="376"/>
      <c r="D1" s="376"/>
      <c r="E1" s="376"/>
      <c r="F1" s="376"/>
      <c r="G1" s="376"/>
      <c r="H1" s="376"/>
      <c r="I1" s="376"/>
      <c r="J1" s="376"/>
      <c r="K1" s="376"/>
      <c r="L1" s="376"/>
      <c r="M1" s="376"/>
    </row>
    <row r="2" spans="1:13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328</v>
      </c>
      <c r="F2" s="88" t="s">
        <v>329</v>
      </c>
      <c r="G2" s="88" t="s">
        <v>330</v>
      </c>
      <c r="H2" s="88" t="s">
        <v>331</v>
      </c>
      <c r="I2" s="88" t="s">
        <v>332</v>
      </c>
      <c r="J2" s="88" t="s">
        <v>333</v>
      </c>
      <c r="K2" s="88" t="s">
        <v>334</v>
      </c>
      <c r="L2" s="88" t="s">
        <v>24</v>
      </c>
      <c r="M2" s="89" t="s">
        <v>25</v>
      </c>
    </row>
    <row r="3" spans="1:13">
      <c r="A3" s="90" t="s">
        <v>26</v>
      </c>
      <c r="B3" s="91" t="s">
        <v>27</v>
      </c>
      <c r="C3" s="91"/>
      <c r="D3" s="92" t="s">
        <v>28</v>
      </c>
      <c r="E3" s="19">
        <f t="shared" ref="E3:K3" si="0">E4+E30+E49</f>
        <v>33586065.859999999</v>
      </c>
      <c r="F3" s="19">
        <f t="shared" si="0"/>
        <v>28133770.010000005</v>
      </c>
      <c r="G3" s="19">
        <f t="shared" si="0"/>
        <v>13437116.970000003</v>
      </c>
      <c r="H3" s="19">
        <f t="shared" si="0"/>
        <v>6226551.1099999994</v>
      </c>
      <c r="I3" s="19">
        <f t="shared" si="0"/>
        <v>11842145.690000001</v>
      </c>
      <c r="J3" s="19">
        <f t="shared" si="0"/>
        <v>17522195.940000001</v>
      </c>
      <c r="K3" s="19">
        <f t="shared" si="0"/>
        <v>2105320.39</v>
      </c>
      <c r="L3" s="19">
        <f t="shared" ref="L3:L9" si="1">SUM(E3:K3)</f>
        <v>112853165.97</v>
      </c>
      <c r="M3" s="93"/>
    </row>
    <row r="4" spans="1:13">
      <c r="A4" s="90" t="s">
        <v>29</v>
      </c>
      <c r="B4" s="91" t="s">
        <v>30</v>
      </c>
      <c r="C4" s="91"/>
      <c r="D4" s="92" t="s">
        <v>28</v>
      </c>
      <c r="E4" s="19">
        <f t="shared" ref="E4:K4" si="2">E5+E8+E12+E15+E18+E20+E23+E25+E27+E28+E29</f>
        <v>29501140.84</v>
      </c>
      <c r="F4" s="19">
        <f t="shared" si="2"/>
        <v>23962058.050000004</v>
      </c>
      <c r="G4" s="19">
        <f t="shared" si="2"/>
        <v>10804478.400000002</v>
      </c>
      <c r="H4" s="19">
        <f t="shared" si="2"/>
        <v>5136442.1099999994</v>
      </c>
      <c r="I4" s="19">
        <f t="shared" si="2"/>
        <v>10386064.48</v>
      </c>
      <c r="J4" s="19">
        <f t="shared" si="2"/>
        <v>14836952.6</v>
      </c>
      <c r="K4" s="19">
        <f t="shared" si="2"/>
        <v>1843023.59</v>
      </c>
      <c r="L4" s="19">
        <f t="shared" si="1"/>
        <v>96470160.070000008</v>
      </c>
      <c r="M4" s="93"/>
    </row>
    <row r="5" spans="1:13">
      <c r="A5" s="90" t="s">
        <v>31</v>
      </c>
      <c r="B5" s="91" t="s">
        <v>32</v>
      </c>
      <c r="C5" s="91"/>
      <c r="D5" s="92" t="s">
        <v>28</v>
      </c>
      <c r="E5" s="19">
        <f t="shared" ref="E5:K5" si="3">E6+E7</f>
        <v>4066857</v>
      </c>
      <c r="F5" s="19">
        <f t="shared" si="3"/>
        <v>3473972.5</v>
      </c>
      <c r="G5" s="19">
        <f t="shared" si="3"/>
        <v>1258736</v>
      </c>
      <c r="H5" s="19">
        <f t="shared" si="3"/>
        <v>751200</v>
      </c>
      <c r="I5" s="19">
        <f t="shared" si="3"/>
        <v>1387113</v>
      </c>
      <c r="J5" s="19">
        <f t="shared" si="3"/>
        <v>1600000</v>
      </c>
      <c r="K5" s="19">
        <f t="shared" si="3"/>
        <v>263388</v>
      </c>
      <c r="L5" s="19">
        <f t="shared" si="1"/>
        <v>12801266.5</v>
      </c>
      <c r="M5" s="93"/>
    </row>
    <row r="6" spans="1:13">
      <c r="A6" s="90" t="s">
        <v>33</v>
      </c>
      <c r="B6" s="91" t="s">
        <v>34</v>
      </c>
      <c r="C6" s="91" t="s">
        <v>35</v>
      </c>
      <c r="D6" s="92" t="s">
        <v>36</v>
      </c>
      <c r="E6" s="22">
        <v>2239688</v>
      </c>
      <c r="F6" s="22">
        <v>1857003.8</v>
      </c>
      <c r="G6" s="22">
        <v>829600</v>
      </c>
      <c r="H6" s="22">
        <f>34600*12</f>
        <v>415200</v>
      </c>
      <c r="I6" s="22">
        <v>861353</v>
      </c>
      <c r="J6" s="22">
        <v>1050000</v>
      </c>
      <c r="K6" s="22">
        <v>132660</v>
      </c>
      <c r="L6" s="19">
        <f t="shared" si="1"/>
        <v>7385504.7999999998</v>
      </c>
      <c r="M6" s="94"/>
    </row>
    <row r="7" spans="1:13">
      <c r="A7" s="90" t="s">
        <v>37</v>
      </c>
      <c r="B7" s="91" t="s">
        <v>38</v>
      </c>
      <c r="C7" s="91" t="s">
        <v>35</v>
      </c>
      <c r="D7" s="92" t="s">
        <v>36</v>
      </c>
      <c r="E7" s="22">
        <v>1827169</v>
      </c>
      <c r="F7" s="22">
        <v>1616968.7</v>
      </c>
      <c r="G7" s="22">
        <v>429136</v>
      </c>
      <c r="H7" s="22">
        <f>28000*12</f>
        <v>336000</v>
      </c>
      <c r="I7" s="22">
        <v>525760</v>
      </c>
      <c r="J7" s="22">
        <v>550000</v>
      </c>
      <c r="K7" s="22">
        <v>130728</v>
      </c>
      <c r="L7" s="19">
        <f t="shared" si="1"/>
        <v>5415761.7000000002</v>
      </c>
      <c r="M7" s="93"/>
    </row>
    <row r="8" spans="1:13">
      <c r="A8" s="90" t="s">
        <v>39</v>
      </c>
      <c r="B8" s="91" t="s">
        <v>40</v>
      </c>
      <c r="C8" s="91"/>
      <c r="D8" s="92" t="s">
        <v>28</v>
      </c>
      <c r="E8" s="19">
        <f t="shared" ref="E8:K8" si="4">E9+E10</f>
        <v>428952</v>
      </c>
      <c r="F8" s="19">
        <f t="shared" si="4"/>
        <v>364740</v>
      </c>
      <c r="G8" s="19">
        <f t="shared" si="4"/>
        <v>173960</v>
      </c>
      <c r="H8" s="19">
        <f t="shared" si="4"/>
        <v>91680</v>
      </c>
      <c r="I8" s="19">
        <f t="shared" si="4"/>
        <v>176328</v>
      </c>
      <c r="J8" s="19">
        <f t="shared" si="4"/>
        <v>266100</v>
      </c>
      <c r="K8" s="19">
        <f t="shared" si="4"/>
        <v>26820</v>
      </c>
      <c r="L8" s="19">
        <f t="shared" si="1"/>
        <v>1528580</v>
      </c>
      <c r="M8" s="93"/>
    </row>
    <row r="9" spans="1:13">
      <c r="A9" s="90" t="s">
        <v>41</v>
      </c>
      <c r="B9" s="91" t="s">
        <v>42</v>
      </c>
      <c r="C9" s="91" t="s">
        <v>35</v>
      </c>
      <c r="D9" s="92" t="s">
        <v>36</v>
      </c>
      <c r="E9" s="22">
        <v>6552</v>
      </c>
      <c r="F9" s="22">
        <v>5700</v>
      </c>
      <c r="G9" s="22">
        <v>5000</v>
      </c>
      <c r="H9" s="22">
        <f>600*12</f>
        <v>7200</v>
      </c>
      <c r="I9" s="22">
        <v>2088</v>
      </c>
      <c r="J9" s="22">
        <v>2100</v>
      </c>
      <c r="K9" s="22">
        <v>420</v>
      </c>
      <c r="L9" s="19">
        <f t="shared" si="1"/>
        <v>29060</v>
      </c>
      <c r="M9" s="93"/>
    </row>
    <row r="10" spans="1:13">
      <c r="A10" s="90" t="s">
        <v>43</v>
      </c>
      <c r="B10" s="91" t="s">
        <v>44</v>
      </c>
      <c r="C10" s="91"/>
      <c r="D10" s="92" t="s">
        <v>28</v>
      </c>
      <c r="E10" s="19">
        <f>E11</f>
        <v>422400</v>
      </c>
      <c r="F10" s="19">
        <f t="shared" ref="F10:L10" si="5">F11</f>
        <v>359040</v>
      </c>
      <c r="G10" s="19">
        <f t="shared" si="5"/>
        <v>168960</v>
      </c>
      <c r="H10" s="19">
        <f t="shared" si="5"/>
        <v>84480</v>
      </c>
      <c r="I10" s="19">
        <f t="shared" si="5"/>
        <v>174240</v>
      </c>
      <c r="J10" s="19">
        <f t="shared" si="5"/>
        <v>264000</v>
      </c>
      <c r="K10" s="19">
        <f t="shared" si="5"/>
        <v>26400</v>
      </c>
      <c r="L10" s="19">
        <f t="shared" si="5"/>
        <v>1499520</v>
      </c>
      <c r="M10" s="93"/>
    </row>
    <row r="11" spans="1:13" s="96" customFormat="1">
      <c r="A11" s="90" t="s">
        <v>45</v>
      </c>
      <c r="B11" s="95" t="s">
        <v>46</v>
      </c>
      <c r="C11" s="95" t="s">
        <v>35</v>
      </c>
      <c r="D11" s="93" t="s">
        <v>28</v>
      </c>
      <c r="E11" s="19">
        <f>440*12*E93</f>
        <v>422400</v>
      </c>
      <c r="F11" s="19">
        <f t="shared" ref="F11:K11" si="6">440*12*F93</f>
        <v>359040</v>
      </c>
      <c r="G11" s="19">
        <f t="shared" si="6"/>
        <v>168960</v>
      </c>
      <c r="H11" s="19">
        <f t="shared" si="6"/>
        <v>84480</v>
      </c>
      <c r="I11" s="19">
        <f t="shared" si="6"/>
        <v>174240</v>
      </c>
      <c r="J11" s="19">
        <f t="shared" si="6"/>
        <v>264000</v>
      </c>
      <c r="K11" s="19">
        <f t="shared" si="6"/>
        <v>26400</v>
      </c>
      <c r="L11" s="19">
        <f t="shared" ref="L11:L26" si="7">SUM(E11:K11)</f>
        <v>1499520</v>
      </c>
      <c r="M11" s="93"/>
    </row>
    <row r="12" spans="1:13">
      <c r="A12" s="90" t="s">
        <v>47</v>
      </c>
      <c r="B12" s="91" t="s">
        <v>48</v>
      </c>
      <c r="C12" s="91"/>
      <c r="D12" s="92" t="s">
        <v>49</v>
      </c>
      <c r="E12" s="19">
        <f>E13+E14</f>
        <v>150711.84</v>
      </c>
      <c r="F12" s="19">
        <f t="shared" ref="F12:K12" si="8">F13+F14</f>
        <v>109617.14</v>
      </c>
      <c r="G12" s="19">
        <f t="shared" si="8"/>
        <v>49982.399999999994</v>
      </c>
      <c r="H12" s="19">
        <f t="shared" si="8"/>
        <v>22946.11</v>
      </c>
      <c r="I12" s="19">
        <f t="shared" si="8"/>
        <v>46789.49</v>
      </c>
      <c r="J12" s="19">
        <f t="shared" si="8"/>
        <v>64408.61</v>
      </c>
      <c r="K12" s="19">
        <f t="shared" si="8"/>
        <v>9713.39</v>
      </c>
      <c r="L12" s="19">
        <f t="shared" si="7"/>
        <v>454168.98</v>
      </c>
      <c r="M12" s="93"/>
    </row>
    <row r="13" spans="1:13" s="96" customFormat="1">
      <c r="A13" s="90" t="s">
        <v>50</v>
      </c>
      <c r="B13" s="132" t="s">
        <v>584</v>
      </c>
      <c r="C13" s="95" t="s">
        <v>35</v>
      </c>
      <c r="D13" s="93" t="s">
        <v>51</v>
      </c>
      <c r="E13" s="19">
        <f t="shared" ref="E13:K13" si="9">ROUND(E28/0.07*0.00256,2)</f>
        <v>51034.7</v>
      </c>
      <c r="F13" s="19">
        <f t="shared" si="9"/>
        <v>37119.03</v>
      </c>
      <c r="G13" s="19">
        <f t="shared" si="9"/>
        <v>16925.259999999998</v>
      </c>
      <c r="H13" s="19">
        <f t="shared" si="9"/>
        <v>7770.11</v>
      </c>
      <c r="I13" s="19">
        <f t="shared" si="9"/>
        <v>15844.06</v>
      </c>
      <c r="J13" s="19">
        <f t="shared" si="9"/>
        <v>21810.32</v>
      </c>
      <c r="K13" s="19">
        <f t="shared" si="9"/>
        <v>3289.19</v>
      </c>
      <c r="L13" s="19">
        <f t="shared" si="7"/>
        <v>153792.66999999998</v>
      </c>
      <c r="M13" s="93"/>
    </row>
    <row r="14" spans="1:13" s="96" customFormat="1">
      <c r="A14" s="90" t="s">
        <v>52</v>
      </c>
      <c r="B14" s="132" t="s">
        <v>585</v>
      </c>
      <c r="C14" s="95" t="s">
        <v>35</v>
      </c>
      <c r="D14" s="93" t="s">
        <v>51</v>
      </c>
      <c r="E14" s="19">
        <f t="shared" ref="E14:K14" si="10">ROUND(E28/0.07*0.005,2)</f>
        <v>99677.14</v>
      </c>
      <c r="F14" s="19">
        <f t="shared" si="10"/>
        <v>72498.11</v>
      </c>
      <c r="G14" s="19">
        <f t="shared" si="10"/>
        <v>33057.14</v>
      </c>
      <c r="H14" s="19">
        <f t="shared" si="10"/>
        <v>15176</v>
      </c>
      <c r="I14" s="19">
        <f t="shared" si="10"/>
        <v>30945.43</v>
      </c>
      <c r="J14" s="19">
        <f t="shared" si="10"/>
        <v>42598.29</v>
      </c>
      <c r="K14" s="19">
        <f t="shared" si="10"/>
        <v>6424.2</v>
      </c>
      <c r="L14" s="19">
        <f t="shared" si="7"/>
        <v>300376.31</v>
      </c>
      <c r="M14" s="93"/>
    </row>
    <row r="15" spans="1:13">
      <c r="A15" s="90" t="s">
        <v>53</v>
      </c>
      <c r="B15" s="91" t="s">
        <v>55</v>
      </c>
      <c r="C15" s="91"/>
      <c r="D15" s="92" t="s">
        <v>28</v>
      </c>
      <c r="E15" s="19">
        <v>15304000</v>
      </c>
      <c r="F15" s="19">
        <v>13008400</v>
      </c>
      <c r="G15" s="19">
        <v>6121600</v>
      </c>
      <c r="H15" s="19">
        <v>2793600</v>
      </c>
      <c r="I15" s="19">
        <v>5761800</v>
      </c>
      <c r="J15" s="19">
        <v>8730000</v>
      </c>
      <c r="K15" s="169">
        <v>928500</v>
      </c>
      <c r="L15" s="19">
        <f t="shared" si="7"/>
        <v>52647900</v>
      </c>
      <c r="M15" s="93"/>
    </row>
    <row r="16" spans="1:13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14805148</v>
      </c>
      <c r="F16" s="99">
        <f t="shared" ref="F16:K16" si="11">F15-F17</f>
        <v>12485132.800000001</v>
      </c>
      <c r="G16" s="99">
        <f t="shared" si="11"/>
        <v>5950008</v>
      </c>
      <c r="H16" s="99">
        <f t="shared" si="11"/>
        <v>2793600</v>
      </c>
      <c r="I16" s="99">
        <f t="shared" si="11"/>
        <v>5538884</v>
      </c>
      <c r="J16" s="99">
        <f t="shared" si="11"/>
        <v>8500000</v>
      </c>
      <c r="K16" s="99">
        <f t="shared" si="11"/>
        <v>928500</v>
      </c>
      <c r="L16" s="19">
        <f t="shared" si="7"/>
        <v>51001272.799999997</v>
      </c>
      <c r="M16" s="98"/>
    </row>
    <row r="17" spans="1:13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498852</v>
      </c>
      <c r="F17" s="99">
        <v>523267.2</v>
      </c>
      <c r="G17" s="99">
        <v>171592</v>
      </c>
      <c r="H17" s="99"/>
      <c r="I17" s="99">
        <v>222916</v>
      </c>
      <c r="J17" s="99">
        <v>230000</v>
      </c>
      <c r="K17" s="99"/>
      <c r="L17" s="19">
        <f t="shared" si="7"/>
        <v>1646627.2</v>
      </c>
      <c r="M17" s="98"/>
    </row>
    <row r="18" spans="1:13">
      <c r="A18" s="90" t="s">
        <v>59</v>
      </c>
      <c r="B18" s="91" t="s">
        <v>63</v>
      </c>
      <c r="C18" s="91"/>
      <c r="D18" s="98" t="s">
        <v>28</v>
      </c>
      <c r="E18" s="100">
        <f t="shared" ref="E18:K18" si="12">E19</f>
        <v>2093220</v>
      </c>
      <c r="F18" s="100">
        <f t="shared" si="12"/>
        <v>1522460.4</v>
      </c>
      <c r="G18" s="100">
        <f t="shared" si="12"/>
        <v>694200</v>
      </c>
      <c r="H18" s="100">
        <f t="shared" si="12"/>
        <v>318696</v>
      </c>
      <c r="I18" s="100">
        <f t="shared" si="12"/>
        <v>649854</v>
      </c>
      <c r="J18" s="100">
        <f t="shared" si="12"/>
        <v>894564</v>
      </c>
      <c r="K18" s="100">
        <f t="shared" si="12"/>
        <v>134908.20000000001</v>
      </c>
      <c r="L18" s="19">
        <f t="shared" si="7"/>
        <v>6307902.6000000006</v>
      </c>
      <c r="M18" s="98"/>
    </row>
    <row r="19" spans="1:13">
      <c r="A19" s="90" t="s">
        <v>62</v>
      </c>
      <c r="B19" s="91" t="s">
        <v>65</v>
      </c>
      <c r="C19" s="91" t="s">
        <v>66</v>
      </c>
      <c r="D19" s="98" t="s">
        <v>28</v>
      </c>
      <c r="E19" s="100">
        <f t="shared" ref="E19:K19" si="13">ROUND(E28/0.07*0.105,2)</f>
        <v>2093220</v>
      </c>
      <c r="F19" s="100">
        <f t="shared" si="13"/>
        <v>1522460.4</v>
      </c>
      <c r="G19" s="100">
        <f t="shared" si="13"/>
        <v>694200</v>
      </c>
      <c r="H19" s="100">
        <f t="shared" si="13"/>
        <v>318696</v>
      </c>
      <c r="I19" s="100">
        <f t="shared" si="13"/>
        <v>649854</v>
      </c>
      <c r="J19" s="100">
        <f t="shared" si="13"/>
        <v>894564</v>
      </c>
      <c r="K19" s="100">
        <f t="shared" si="13"/>
        <v>134908.20000000001</v>
      </c>
      <c r="L19" s="19">
        <f t="shared" si="7"/>
        <v>6307902.6000000006</v>
      </c>
      <c r="M19" s="98"/>
    </row>
    <row r="20" spans="1:13">
      <c r="A20" s="90" t="s">
        <v>64</v>
      </c>
      <c r="B20" s="91" t="s">
        <v>68</v>
      </c>
      <c r="C20" s="91"/>
      <c r="D20" s="98" t="s">
        <v>51</v>
      </c>
      <c r="E20" s="100">
        <f t="shared" ref="E20:K20" si="14">E21+E22</f>
        <v>797417.14</v>
      </c>
      <c r="F20" s="100">
        <f t="shared" si="14"/>
        <v>579984.92000000004</v>
      </c>
      <c r="G20" s="100">
        <f t="shared" si="14"/>
        <v>264457.14</v>
      </c>
      <c r="H20" s="100">
        <f t="shared" si="14"/>
        <v>121408</v>
      </c>
      <c r="I20" s="100">
        <f t="shared" si="14"/>
        <v>247563.42</v>
      </c>
      <c r="J20" s="100">
        <f t="shared" si="14"/>
        <v>340786.28</v>
      </c>
      <c r="K20" s="100">
        <f t="shared" si="14"/>
        <v>51393.599999999999</v>
      </c>
      <c r="L20" s="19">
        <f t="shared" si="7"/>
        <v>2403010.5000000005</v>
      </c>
      <c r="M20" s="98"/>
    </row>
    <row r="21" spans="1:13">
      <c r="A21" s="90" t="s">
        <v>67</v>
      </c>
      <c r="B21" s="91" t="s">
        <v>70</v>
      </c>
      <c r="C21" s="91" t="s">
        <v>71</v>
      </c>
      <c r="D21" s="98" t="s">
        <v>51</v>
      </c>
      <c r="E21" s="100">
        <f t="shared" ref="E21:K21" si="15">ROUND(E28/0.07*0.02,2)</f>
        <v>398708.57</v>
      </c>
      <c r="F21" s="100">
        <f t="shared" si="15"/>
        <v>289992.46000000002</v>
      </c>
      <c r="G21" s="100">
        <f t="shared" si="15"/>
        <v>132228.57</v>
      </c>
      <c r="H21" s="100">
        <f t="shared" si="15"/>
        <v>60704</v>
      </c>
      <c r="I21" s="100">
        <f t="shared" si="15"/>
        <v>123781.71</v>
      </c>
      <c r="J21" s="100">
        <f t="shared" si="15"/>
        <v>170393.14</v>
      </c>
      <c r="K21" s="100">
        <f t="shared" si="15"/>
        <v>25696.799999999999</v>
      </c>
      <c r="L21" s="19">
        <f t="shared" si="7"/>
        <v>1201505.2500000002</v>
      </c>
      <c r="M21" s="98"/>
    </row>
    <row r="22" spans="1:13">
      <c r="A22" s="90" t="s">
        <v>69</v>
      </c>
      <c r="B22" s="91" t="s">
        <v>73</v>
      </c>
      <c r="C22" s="91" t="s">
        <v>71</v>
      </c>
      <c r="D22" s="98" t="s">
        <v>51</v>
      </c>
      <c r="E22" s="100">
        <f t="shared" ref="E22:K22" si="16">ROUND(E28/0.07*0.02,2)</f>
        <v>398708.57</v>
      </c>
      <c r="F22" s="100">
        <f t="shared" si="16"/>
        <v>289992.46000000002</v>
      </c>
      <c r="G22" s="100">
        <f t="shared" si="16"/>
        <v>132228.57</v>
      </c>
      <c r="H22" s="100">
        <f t="shared" si="16"/>
        <v>60704</v>
      </c>
      <c r="I22" s="100">
        <f t="shared" si="16"/>
        <v>123781.71</v>
      </c>
      <c r="J22" s="100">
        <f t="shared" si="16"/>
        <v>170393.14</v>
      </c>
      <c r="K22" s="100">
        <f t="shared" si="16"/>
        <v>25696.799999999999</v>
      </c>
      <c r="L22" s="19">
        <f t="shared" si="7"/>
        <v>1201505.2500000002</v>
      </c>
      <c r="M22" s="98"/>
    </row>
    <row r="23" spans="1:13">
      <c r="A23" s="90" t="s">
        <v>72</v>
      </c>
      <c r="B23" s="91" t="s">
        <v>75</v>
      </c>
      <c r="C23" s="91"/>
      <c r="D23" s="92" t="s">
        <v>28</v>
      </c>
      <c r="E23" s="19">
        <f t="shared" ref="E23:K23" si="17">E24</f>
        <v>3189668.57</v>
      </c>
      <c r="F23" s="19">
        <f t="shared" si="17"/>
        <v>2319939.66</v>
      </c>
      <c r="G23" s="19">
        <f t="shared" si="17"/>
        <v>1057828.57</v>
      </c>
      <c r="H23" s="19">
        <f t="shared" si="17"/>
        <v>485632</v>
      </c>
      <c r="I23" s="19">
        <f t="shared" si="17"/>
        <v>990253.71</v>
      </c>
      <c r="J23" s="19">
        <f t="shared" si="17"/>
        <v>1363145.14</v>
      </c>
      <c r="K23" s="19">
        <f t="shared" si="17"/>
        <v>205574.39999999999</v>
      </c>
      <c r="L23" s="19">
        <f t="shared" si="7"/>
        <v>9612042.0500000007</v>
      </c>
      <c r="M23" s="93"/>
    </row>
    <row r="24" spans="1:13" s="96" customFormat="1">
      <c r="A24" s="90" t="s">
        <v>74</v>
      </c>
      <c r="B24" s="95" t="s">
        <v>77</v>
      </c>
      <c r="C24" s="95" t="s">
        <v>78</v>
      </c>
      <c r="D24" s="93" t="s">
        <v>51</v>
      </c>
      <c r="E24" s="19">
        <f t="shared" ref="E24:K24" si="18">ROUND(E28/0.07*0.16,2)</f>
        <v>3189668.57</v>
      </c>
      <c r="F24" s="19">
        <f t="shared" si="18"/>
        <v>2319939.66</v>
      </c>
      <c r="G24" s="19">
        <f t="shared" si="18"/>
        <v>1057828.57</v>
      </c>
      <c r="H24" s="19">
        <f t="shared" si="18"/>
        <v>485632</v>
      </c>
      <c r="I24" s="19">
        <f t="shared" si="18"/>
        <v>990253.71</v>
      </c>
      <c r="J24" s="19">
        <f t="shared" si="18"/>
        <v>1363145.14</v>
      </c>
      <c r="K24" s="19">
        <f t="shared" si="18"/>
        <v>205574.39999999999</v>
      </c>
      <c r="L24" s="19">
        <f t="shared" si="7"/>
        <v>9612042.0500000007</v>
      </c>
      <c r="M24" s="93"/>
    </row>
    <row r="25" spans="1:13">
      <c r="A25" s="90" t="s">
        <v>76</v>
      </c>
      <c r="B25" s="91" t="s">
        <v>80</v>
      </c>
      <c r="C25" s="91"/>
      <c r="D25" s="92" t="s">
        <v>28</v>
      </c>
      <c r="E25" s="19">
        <f t="shared" ref="E25:K25" si="19">E26</f>
        <v>1594834.29</v>
      </c>
      <c r="F25" s="19">
        <f t="shared" si="19"/>
        <v>1159969.83</v>
      </c>
      <c r="G25" s="19">
        <f t="shared" si="19"/>
        <v>528914.29</v>
      </c>
      <c r="H25" s="19">
        <f t="shared" si="19"/>
        <v>242816</v>
      </c>
      <c r="I25" s="19">
        <f t="shared" si="19"/>
        <v>495126.86</v>
      </c>
      <c r="J25" s="19">
        <f t="shared" si="19"/>
        <v>681572.57</v>
      </c>
      <c r="K25" s="19">
        <f t="shared" si="19"/>
        <v>102787.2</v>
      </c>
      <c r="L25" s="19">
        <f t="shared" si="7"/>
        <v>4806021.04</v>
      </c>
      <c r="M25" s="93"/>
    </row>
    <row r="26" spans="1:13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 t="shared" ref="E26:K26" si="20">ROUND(E28/0.07*0.08,2)</f>
        <v>1594834.29</v>
      </c>
      <c r="F26" s="19">
        <f t="shared" si="20"/>
        <v>1159969.83</v>
      </c>
      <c r="G26" s="19">
        <f t="shared" si="20"/>
        <v>528914.29</v>
      </c>
      <c r="H26" s="19">
        <f t="shared" si="20"/>
        <v>242816</v>
      </c>
      <c r="I26" s="19">
        <f t="shared" si="20"/>
        <v>495126.86</v>
      </c>
      <c r="J26" s="19">
        <f t="shared" si="20"/>
        <v>681572.57</v>
      </c>
      <c r="K26" s="19">
        <f t="shared" si="20"/>
        <v>102787.2</v>
      </c>
      <c r="L26" s="19">
        <f t="shared" si="7"/>
        <v>4806021.04</v>
      </c>
      <c r="M26" s="93"/>
    </row>
    <row r="27" spans="1:13" ht="22.5">
      <c r="A27" s="90" t="s">
        <v>81</v>
      </c>
      <c r="B27" s="91" t="s">
        <v>85</v>
      </c>
      <c r="C27" s="97" t="s">
        <v>35</v>
      </c>
      <c r="D27" s="93" t="s">
        <v>86</v>
      </c>
      <c r="E27" s="19">
        <f>6000*E93</f>
        <v>480000</v>
      </c>
      <c r="F27" s="19">
        <f>6000*F93</f>
        <v>408000</v>
      </c>
      <c r="G27" s="19">
        <f t="shared" ref="G27:L27" si="21">6000*G93</f>
        <v>192000</v>
      </c>
      <c r="H27" s="19">
        <f t="shared" si="21"/>
        <v>96000</v>
      </c>
      <c r="I27" s="19">
        <f t="shared" si="21"/>
        <v>198000</v>
      </c>
      <c r="J27" s="19">
        <f t="shared" si="21"/>
        <v>300000</v>
      </c>
      <c r="K27" s="19">
        <f t="shared" si="21"/>
        <v>30000</v>
      </c>
      <c r="L27" s="19">
        <f t="shared" si="21"/>
        <v>1704000</v>
      </c>
      <c r="M27" s="93"/>
    </row>
    <row r="28" spans="1:13">
      <c r="A28" s="90" t="s">
        <v>84</v>
      </c>
      <c r="B28" s="91" t="s">
        <v>88</v>
      </c>
      <c r="C28" s="91" t="s">
        <v>88</v>
      </c>
      <c r="D28" s="92" t="s">
        <v>89</v>
      </c>
      <c r="E28" s="99">
        <v>1395480</v>
      </c>
      <c r="F28" s="99">
        <v>1014973.6</v>
      </c>
      <c r="G28" s="99">
        <v>462800</v>
      </c>
      <c r="H28" s="99">
        <v>212464</v>
      </c>
      <c r="I28" s="99">
        <v>433236</v>
      </c>
      <c r="J28" s="99">
        <v>596376</v>
      </c>
      <c r="K28" s="99">
        <v>89938.8</v>
      </c>
      <c r="L28" s="19">
        <f t="shared" ref="L28:L89" si="22">SUM(E28:K28)</f>
        <v>4205268.4000000004</v>
      </c>
      <c r="M28" s="98"/>
    </row>
    <row r="29" spans="1:13">
      <c r="A29" s="90" t="s">
        <v>87</v>
      </c>
      <c r="B29" s="91" t="s">
        <v>91</v>
      </c>
      <c r="C29" s="91" t="s">
        <v>92</v>
      </c>
      <c r="D29" s="93" t="s">
        <v>93</v>
      </c>
      <c r="E29" s="99"/>
      <c r="F29" s="99"/>
      <c r="G29" s="99"/>
      <c r="H29" s="99"/>
      <c r="I29" s="99"/>
      <c r="J29" s="99"/>
      <c r="K29" s="99"/>
      <c r="L29" s="19">
        <f t="shared" si="22"/>
        <v>0</v>
      </c>
      <c r="M29" s="98"/>
    </row>
    <row r="30" spans="1:13">
      <c r="A30" s="90" t="s">
        <v>90</v>
      </c>
      <c r="B30" s="91" t="s">
        <v>95</v>
      </c>
      <c r="C30" s="91"/>
      <c r="D30" s="92" t="s">
        <v>28</v>
      </c>
      <c r="E30" s="19">
        <f>E31+E39+E42+E44</f>
        <v>13200</v>
      </c>
      <c r="F30" s="19">
        <f t="shared" ref="F30:K30" si="23">F31+F39+F42+F44</f>
        <v>9750</v>
      </c>
      <c r="G30" s="19">
        <f t="shared" si="23"/>
        <v>6720</v>
      </c>
      <c r="H30" s="19">
        <f t="shared" si="23"/>
        <v>1800</v>
      </c>
      <c r="I30" s="19">
        <f t="shared" si="23"/>
        <v>5960</v>
      </c>
      <c r="J30" s="19">
        <f t="shared" si="23"/>
        <v>5300</v>
      </c>
      <c r="K30" s="19">
        <f t="shared" si="23"/>
        <v>0</v>
      </c>
      <c r="L30" s="19">
        <f t="shared" si="22"/>
        <v>42730</v>
      </c>
      <c r="M30" s="93"/>
    </row>
    <row r="31" spans="1:13">
      <c r="A31" s="90" t="s">
        <v>94</v>
      </c>
      <c r="B31" s="91" t="s">
        <v>97</v>
      </c>
      <c r="C31" s="91"/>
      <c r="D31" s="92" t="s">
        <v>28</v>
      </c>
      <c r="E31" s="19">
        <f t="shared" ref="E31:K31" si="24">E32+E33+E34+E35+E36+E37+E38</f>
        <v>0</v>
      </c>
      <c r="F31" s="19">
        <f t="shared" si="24"/>
        <v>0</v>
      </c>
      <c r="G31" s="19">
        <f t="shared" si="24"/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2"/>
        <v>0</v>
      </c>
      <c r="M31" s="93"/>
    </row>
    <row r="32" spans="1:13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19">
        <f t="shared" si="22"/>
        <v>0</v>
      </c>
      <c r="M32" s="98"/>
    </row>
    <row r="33" spans="1:13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19">
        <f t="shared" si="22"/>
        <v>0</v>
      </c>
      <c r="M33" s="98"/>
    </row>
    <row r="34" spans="1:13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19">
        <f t="shared" si="22"/>
        <v>0</v>
      </c>
      <c r="M34" s="98"/>
    </row>
    <row r="35" spans="1:13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19">
        <f t="shared" si="22"/>
        <v>0</v>
      </c>
      <c r="M35" s="98"/>
    </row>
    <row r="36" spans="1:13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19">
        <f t="shared" si="22"/>
        <v>0</v>
      </c>
      <c r="M36" s="98"/>
    </row>
    <row r="37" spans="1:13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19">
        <f t="shared" si="22"/>
        <v>0</v>
      </c>
      <c r="M37" s="98"/>
    </row>
    <row r="38" spans="1:13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19">
        <f t="shared" si="22"/>
        <v>0</v>
      </c>
      <c r="M38" s="98"/>
    </row>
    <row r="39" spans="1:13">
      <c r="A39" s="90" t="s">
        <v>113</v>
      </c>
      <c r="B39" s="91" t="s">
        <v>119</v>
      </c>
      <c r="C39" s="91"/>
      <c r="D39" s="92" t="s">
        <v>28</v>
      </c>
      <c r="E39" s="19">
        <f t="shared" ref="E39:K39" si="25">E40+E41</f>
        <v>0</v>
      </c>
      <c r="F39" s="19">
        <f t="shared" si="25"/>
        <v>0</v>
      </c>
      <c r="G39" s="19">
        <f t="shared" si="25"/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2"/>
        <v>0</v>
      </c>
      <c r="M39" s="93"/>
    </row>
    <row r="40" spans="1:13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9">
        <f t="shared" si="22"/>
        <v>0</v>
      </c>
      <c r="M40" s="93"/>
    </row>
    <row r="41" spans="1:13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9">
        <f t="shared" si="22"/>
        <v>0</v>
      </c>
      <c r="M41" s="93"/>
    </row>
    <row r="42" spans="1:13">
      <c r="A42" s="90" t="s">
        <v>118</v>
      </c>
      <c r="B42" s="91" t="s">
        <v>125</v>
      </c>
      <c r="C42" s="91"/>
      <c r="D42" s="92" t="s">
        <v>28</v>
      </c>
      <c r="E42" s="19">
        <f t="shared" ref="E42:K42" si="26">E43</f>
        <v>5400</v>
      </c>
      <c r="F42" s="19">
        <f t="shared" si="26"/>
        <v>4950</v>
      </c>
      <c r="G42" s="19">
        <f t="shared" si="26"/>
        <v>1920</v>
      </c>
      <c r="H42" s="19">
        <f t="shared" si="26"/>
        <v>1800</v>
      </c>
      <c r="I42" s="19">
        <f t="shared" si="26"/>
        <v>3960</v>
      </c>
      <c r="J42" s="19">
        <f t="shared" si="26"/>
        <v>1800</v>
      </c>
      <c r="K42" s="19">
        <f t="shared" si="26"/>
        <v>0</v>
      </c>
      <c r="L42" s="19">
        <f t="shared" si="22"/>
        <v>19830</v>
      </c>
      <c r="M42" s="93"/>
    </row>
    <row r="43" spans="1:13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5400</v>
      </c>
      <c r="F43" s="22">
        <v>4950</v>
      </c>
      <c r="G43" s="22">
        <v>1920</v>
      </c>
      <c r="H43" s="22">
        <v>1800</v>
      </c>
      <c r="I43" s="22">
        <v>3960</v>
      </c>
      <c r="J43" s="22">
        <v>1800</v>
      </c>
      <c r="K43" s="22"/>
      <c r="L43" s="19">
        <f t="shared" si="22"/>
        <v>19830</v>
      </c>
      <c r="M43" s="93"/>
    </row>
    <row r="44" spans="1:13">
      <c r="A44" s="90" t="s">
        <v>122</v>
      </c>
      <c r="B44" s="91" t="s">
        <v>129</v>
      </c>
      <c r="C44" s="91"/>
      <c r="D44" s="92" t="s">
        <v>28</v>
      </c>
      <c r="E44" s="19">
        <f t="shared" ref="E44:K44" si="27">SUM(E45:E48)</f>
        <v>7800</v>
      </c>
      <c r="F44" s="19">
        <f t="shared" si="27"/>
        <v>4800</v>
      </c>
      <c r="G44" s="19">
        <f t="shared" si="27"/>
        <v>4800</v>
      </c>
      <c r="H44" s="19">
        <f t="shared" si="27"/>
        <v>0</v>
      </c>
      <c r="I44" s="19">
        <f t="shared" si="27"/>
        <v>2000</v>
      </c>
      <c r="J44" s="19">
        <f t="shared" si="27"/>
        <v>3500</v>
      </c>
      <c r="K44" s="19">
        <f t="shared" si="27"/>
        <v>0</v>
      </c>
      <c r="L44" s="19">
        <f t="shared" si="22"/>
        <v>22900</v>
      </c>
      <c r="M44" s="93"/>
    </row>
    <row r="45" spans="1:13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7800</v>
      </c>
      <c r="F45" s="22">
        <v>4800</v>
      </c>
      <c r="G45" s="22">
        <v>4800</v>
      </c>
      <c r="H45" s="22"/>
      <c r="I45" s="22">
        <v>2000</v>
      </c>
      <c r="J45" s="22">
        <v>3500</v>
      </c>
      <c r="K45" s="22"/>
      <c r="L45" s="19">
        <f t="shared" si="22"/>
        <v>22900</v>
      </c>
      <c r="M45" s="93"/>
    </row>
    <row r="46" spans="1:13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9">
        <f t="shared" si="22"/>
        <v>0</v>
      </c>
      <c r="M46" s="93"/>
    </row>
    <row r="47" spans="1:13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9">
        <f t="shared" si="22"/>
        <v>0</v>
      </c>
      <c r="M47" s="93"/>
    </row>
    <row r="48" spans="1:13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19">
        <f t="shared" si="22"/>
        <v>0</v>
      </c>
      <c r="M48" s="98"/>
    </row>
    <row r="49" spans="1:13">
      <c r="A49" s="90" t="s">
        <v>133</v>
      </c>
      <c r="B49" s="91" t="s">
        <v>142</v>
      </c>
      <c r="C49" s="91"/>
      <c r="D49" s="92" t="s">
        <v>28</v>
      </c>
      <c r="E49" s="19">
        <f t="shared" ref="E49:K49" si="28">E50+E68+E70+E72+E74+E76+E78+E80+E82+E90</f>
        <v>4071725.02</v>
      </c>
      <c r="F49" s="19">
        <f t="shared" si="28"/>
        <v>4161961.96</v>
      </c>
      <c r="G49" s="19">
        <f t="shared" si="28"/>
        <v>2625918.5699999998</v>
      </c>
      <c r="H49" s="19">
        <f t="shared" si="28"/>
        <v>1088309</v>
      </c>
      <c r="I49" s="19">
        <f t="shared" si="28"/>
        <v>1450121.21</v>
      </c>
      <c r="J49" s="19">
        <f t="shared" si="28"/>
        <v>2679943.3400000003</v>
      </c>
      <c r="K49" s="19">
        <f t="shared" si="28"/>
        <v>262296.8</v>
      </c>
      <c r="L49" s="19">
        <f t="shared" si="22"/>
        <v>16340275.900000002</v>
      </c>
      <c r="M49" s="93"/>
    </row>
    <row r="50" spans="1:13">
      <c r="A50" s="90" t="s">
        <v>136</v>
      </c>
      <c r="B50" s="91" t="s">
        <v>144</v>
      </c>
      <c r="C50" s="91"/>
      <c r="D50" s="92" t="s">
        <v>145</v>
      </c>
      <c r="E50" s="19">
        <v>2304800</v>
      </c>
      <c r="F50" s="19">
        <v>3033450</v>
      </c>
      <c r="G50" s="19">
        <v>1926000</v>
      </c>
      <c r="H50" s="19">
        <v>858000</v>
      </c>
      <c r="I50" s="19">
        <v>1009580</v>
      </c>
      <c r="J50" s="19">
        <v>1950520</v>
      </c>
      <c r="K50" s="19">
        <v>112000</v>
      </c>
      <c r="L50" s="19">
        <f t="shared" si="22"/>
        <v>11194350</v>
      </c>
      <c r="M50" s="93"/>
    </row>
    <row r="51" spans="1:13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19">
        <f t="shared" si="22"/>
        <v>0</v>
      </c>
      <c r="M51" s="93"/>
    </row>
    <row r="52" spans="1:13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19">
        <f t="shared" si="22"/>
        <v>0</v>
      </c>
      <c r="M52" s="93"/>
    </row>
    <row r="53" spans="1:13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19">
        <f t="shared" si="22"/>
        <v>0</v>
      </c>
      <c r="M53" s="93"/>
    </row>
    <row r="54" spans="1:13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19">
        <f t="shared" si="22"/>
        <v>0</v>
      </c>
      <c r="M54" s="93"/>
    </row>
    <row r="55" spans="1:13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19">
        <f t="shared" si="22"/>
        <v>0</v>
      </c>
      <c r="M55" s="93"/>
    </row>
    <row r="56" spans="1:13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19">
        <f t="shared" si="22"/>
        <v>0</v>
      </c>
      <c r="M56" s="93"/>
    </row>
    <row r="57" spans="1:13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19">
        <f t="shared" si="22"/>
        <v>0</v>
      </c>
      <c r="M57" s="93"/>
    </row>
    <row r="58" spans="1:13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19">
        <f t="shared" si="22"/>
        <v>0</v>
      </c>
      <c r="M58" s="93"/>
    </row>
    <row r="59" spans="1:13">
      <c r="A59" s="90" t="s">
        <v>156</v>
      </c>
      <c r="B59" s="91" t="s">
        <v>163</v>
      </c>
      <c r="C59" s="91" t="s">
        <v>35</v>
      </c>
      <c r="D59" s="102"/>
      <c r="E59" s="22">
        <v>0</v>
      </c>
      <c r="F59" s="22">
        <v>0</v>
      </c>
      <c r="G59" s="22"/>
      <c r="H59" s="22">
        <v>0</v>
      </c>
      <c r="I59" s="22"/>
      <c r="J59" s="22"/>
      <c r="K59" s="22"/>
      <c r="L59" s="19">
        <f t="shared" si="22"/>
        <v>0</v>
      </c>
      <c r="M59" s="93"/>
    </row>
    <row r="60" spans="1:13">
      <c r="A60" s="90" t="s">
        <v>158</v>
      </c>
      <c r="B60" s="91" t="s">
        <v>165</v>
      </c>
      <c r="C60" s="91" t="s">
        <v>166</v>
      </c>
      <c r="D60" s="102" t="s">
        <v>167</v>
      </c>
      <c r="E60" s="22">
        <v>115240</v>
      </c>
      <c r="F60" s="22">
        <v>151672.5</v>
      </c>
      <c r="G60" s="22">
        <v>66768</v>
      </c>
      <c r="H60" s="22">
        <v>10439</v>
      </c>
      <c r="I60" s="22">
        <v>50479</v>
      </c>
      <c r="J60" s="22">
        <v>96239</v>
      </c>
      <c r="K60" s="22">
        <v>5600</v>
      </c>
      <c r="L60" s="19">
        <f t="shared" si="22"/>
        <v>496437.5</v>
      </c>
      <c r="M60" s="93"/>
    </row>
    <row r="61" spans="1:13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19">
        <f t="shared" si="22"/>
        <v>0</v>
      </c>
      <c r="M61" s="93"/>
    </row>
    <row r="62" spans="1:13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19">
        <f t="shared" si="22"/>
        <v>0</v>
      </c>
      <c r="M62" s="93"/>
    </row>
    <row r="63" spans="1:13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19">
        <f t="shared" si="22"/>
        <v>0</v>
      </c>
      <c r="M63" s="93"/>
    </row>
    <row r="64" spans="1:13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19">
        <f t="shared" si="22"/>
        <v>0</v>
      </c>
      <c r="M64" s="93"/>
    </row>
    <row r="65" spans="1:13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19">
        <f t="shared" si="22"/>
        <v>0</v>
      </c>
      <c r="M65" s="93"/>
    </row>
    <row r="66" spans="1:13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19">
        <f t="shared" si="22"/>
        <v>0</v>
      </c>
      <c r="M66" s="93"/>
    </row>
    <row r="67" spans="1:13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19">
        <f t="shared" si="22"/>
        <v>0</v>
      </c>
      <c r="M67" s="93"/>
    </row>
    <row r="68" spans="1:13">
      <c r="A68" s="90" t="s">
        <v>176</v>
      </c>
      <c r="B68" s="91" t="s">
        <v>183</v>
      </c>
      <c r="C68" s="91"/>
      <c r="D68" s="92"/>
      <c r="E68" s="19">
        <f t="shared" ref="E68:K68" si="29">E69</f>
        <v>32000</v>
      </c>
      <c r="F68" s="19">
        <f t="shared" si="29"/>
        <v>27200</v>
      </c>
      <c r="G68" s="19">
        <f t="shared" si="29"/>
        <v>12800</v>
      </c>
      <c r="H68" s="19">
        <f t="shared" si="29"/>
        <v>6400</v>
      </c>
      <c r="I68" s="19">
        <f t="shared" si="29"/>
        <v>13200</v>
      </c>
      <c r="J68" s="19">
        <f t="shared" si="29"/>
        <v>20000</v>
      </c>
      <c r="K68" s="19">
        <f t="shared" si="29"/>
        <v>2000</v>
      </c>
      <c r="L68" s="19">
        <f t="shared" si="22"/>
        <v>113600</v>
      </c>
      <c r="M68" s="93"/>
    </row>
    <row r="69" spans="1:13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 t="shared" ref="E69:K69" si="30">E93*400</f>
        <v>32000</v>
      </c>
      <c r="F69" s="19">
        <f t="shared" si="30"/>
        <v>27200</v>
      </c>
      <c r="G69" s="19">
        <f t="shared" si="30"/>
        <v>12800</v>
      </c>
      <c r="H69" s="19">
        <f t="shared" si="30"/>
        <v>6400</v>
      </c>
      <c r="I69" s="19">
        <f t="shared" si="30"/>
        <v>13200</v>
      </c>
      <c r="J69" s="19">
        <f t="shared" si="30"/>
        <v>20000</v>
      </c>
      <c r="K69" s="19">
        <f t="shared" si="30"/>
        <v>2000</v>
      </c>
      <c r="L69" s="19">
        <f t="shared" si="22"/>
        <v>113600</v>
      </c>
      <c r="M69" s="93"/>
    </row>
    <row r="70" spans="1:13">
      <c r="A70" s="90" t="s">
        <v>180</v>
      </c>
      <c r="B70" s="91" t="s">
        <v>188</v>
      </c>
      <c r="C70" s="91"/>
      <c r="D70" s="92" t="s">
        <v>28</v>
      </c>
      <c r="E70" s="19">
        <f t="shared" ref="E70:K70" si="31">E71</f>
        <v>520152.45</v>
      </c>
      <c r="F70" s="19">
        <f t="shared" si="31"/>
        <v>100471.5</v>
      </c>
      <c r="G70" s="19">
        <f t="shared" si="31"/>
        <v>307530</v>
      </c>
      <c r="H70" s="19">
        <f t="shared" si="31"/>
        <v>22725</v>
      </c>
      <c r="I70" s="19">
        <f t="shared" si="31"/>
        <v>86839.5</v>
      </c>
      <c r="J70" s="19">
        <f t="shared" si="31"/>
        <v>224590.2</v>
      </c>
      <c r="K70" s="19">
        <f t="shared" si="31"/>
        <v>45000</v>
      </c>
      <c r="L70" s="19">
        <f t="shared" si="22"/>
        <v>1307308.6499999999</v>
      </c>
      <c r="M70" s="93"/>
    </row>
    <row r="71" spans="1:13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 t="shared" ref="E71:K71" si="32">E105*15</f>
        <v>520152.45</v>
      </c>
      <c r="F71" s="19">
        <f t="shared" si="32"/>
        <v>100471.5</v>
      </c>
      <c r="G71" s="19">
        <f t="shared" si="32"/>
        <v>307530</v>
      </c>
      <c r="H71" s="19">
        <f t="shared" si="32"/>
        <v>22725</v>
      </c>
      <c r="I71" s="19">
        <f t="shared" si="32"/>
        <v>86839.5</v>
      </c>
      <c r="J71" s="19">
        <f t="shared" si="32"/>
        <v>224590.2</v>
      </c>
      <c r="K71" s="19">
        <f t="shared" si="32"/>
        <v>45000</v>
      </c>
      <c r="L71" s="19">
        <f t="shared" si="22"/>
        <v>1307308.6499999999</v>
      </c>
      <c r="M71" s="93"/>
    </row>
    <row r="72" spans="1:13">
      <c r="A72" s="90" t="s">
        <v>184</v>
      </c>
      <c r="B72" s="91" t="s">
        <v>193</v>
      </c>
      <c r="C72" s="91"/>
      <c r="D72" s="92" t="s">
        <v>28</v>
      </c>
      <c r="E72" s="19">
        <f t="shared" ref="E72:K72" si="33">E73</f>
        <v>178864</v>
      </c>
      <c r="F72" s="19">
        <f t="shared" si="33"/>
        <v>40528</v>
      </c>
      <c r="G72" s="19">
        <f t="shared" si="33"/>
        <v>77120</v>
      </c>
      <c r="H72" s="19">
        <f t="shared" si="33"/>
        <v>1600</v>
      </c>
      <c r="I72" s="19">
        <f t="shared" si="33"/>
        <v>28000</v>
      </c>
      <c r="J72" s="19">
        <f t="shared" si="33"/>
        <v>66440</v>
      </c>
      <c r="K72" s="19">
        <f t="shared" si="33"/>
        <v>24000</v>
      </c>
      <c r="L72" s="19">
        <f t="shared" si="22"/>
        <v>416552</v>
      </c>
      <c r="M72" s="93"/>
    </row>
    <row r="73" spans="1:13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 t="shared" ref="E73:K73" si="34">E106*8</f>
        <v>178864</v>
      </c>
      <c r="F73" s="19">
        <f t="shared" si="34"/>
        <v>40528</v>
      </c>
      <c r="G73" s="19">
        <f t="shared" si="34"/>
        <v>77120</v>
      </c>
      <c r="H73" s="19">
        <f t="shared" si="34"/>
        <v>1600</v>
      </c>
      <c r="I73" s="19">
        <f t="shared" si="34"/>
        <v>28000</v>
      </c>
      <c r="J73" s="19">
        <f t="shared" si="34"/>
        <v>66440</v>
      </c>
      <c r="K73" s="19">
        <f t="shared" si="34"/>
        <v>24000</v>
      </c>
      <c r="L73" s="19">
        <f t="shared" si="22"/>
        <v>416552</v>
      </c>
      <c r="M73" s="93"/>
    </row>
    <row r="74" spans="1:13">
      <c r="A74" s="90" t="s">
        <v>189</v>
      </c>
      <c r="B74" s="91" t="s">
        <v>198</v>
      </c>
      <c r="C74" s="91"/>
      <c r="D74" s="92" t="s">
        <v>28</v>
      </c>
      <c r="E74" s="19">
        <f t="shared" ref="E74:K74" si="35">E75</f>
        <v>0</v>
      </c>
      <c r="F74" s="19">
        <f t="shared" si="35"/>
        <v>0</v>
      </c>
      <c r="G74" s="19">
        <f t="shared" si="35"/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22"/>
        <v>0</v>
      </c>
      <c r="M74" s="93"/>
    </row>
    <row r="75" spans="1:13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9">
        <f t="shared" si="22"/>
        <v>0</v>
      </c>
      <c r="M75" s="93"/>
    </row>
    <row r="76" spans="1:13">
      <c r="A76" s="90" t="s">
        <v>194</v>
      </c>
      <c r="B76" s="91" t="s">
        <v>202</v>
      </c>
      <c r="C76" s="91"/>
      <c r="D76" s="92" t="s">
        <v>28</v>
      </c>
      <c r="E76" s="19">
        <f t="shared" ref="E76:K76" si="36">E77</f>
        <v>345600</v>
      </c>
      <c r="F76" s="19">
        <f t="shared" si="36"/>
        <v>293760</v>
      </c>
      <c r="G76" s="19">
        <f t="shared" si="36"/>
        <v>138240</v>
      </c>
      <c r="H76" s="19">
        <f t="shared" si="36"/>
        <v>69120</v>
      </c>
      <c r="I76" s="19">
        <f t="shared" si="36"/>
        <v>142560</v>
      </c>
      <c r="J76" s="19">
        <f t="shared" si="36"/>
        <v>216000</v>
      </c>
      <c r="K76" s="19">
        <f t="shared" si="36"/>
        <v>21600</v>
      </c>
      <c r="L76" s="19">
        <f t="shared" si="22"/>
        <v>1226880</v>
      </c>
      <c r="M76" s="93"/>
    </row>
    <row r="77" spans="1:13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 t="shared" ref="E77:K77" si="37">E93*4320</f>
        <v>345600</v>
      </c>
      <c r="F77" s="19">
        <f t="shared" si="37"/>
        <v>293760</v>
      </c>
      <c r="G77" s="19">
        <f t="shared" si="37"/>
        <v>138240</v>
      </c>
      <c r="H77" s="19">
        <f t="shared" si="37"/>
        <v>69120</v>
      </c>
      <c r="I77" s="19">
        <f t="shared" si="37"/>
        <v>142560</v>
      </c>
      <c r="J77" s="19">
        <f t="shared" si="37"/>
        <v>216000</v>
      </c>
      <c r="K77" s="19">
        <f t="shared" si="37"/>
        <v>21600</v>
      </c>
      <c r="L77" s="19">
        <f t="shared" si="22"/>
        <v>1226880</v>
      </c>
      <c r="M77" s="93"/>
    </row>
    <row r="78" spans="1:13">
      <c r="A78" s="90" t="s">
        <v>199</v>
      </c>
      <c r="B78" s="91" t="s">
        <v>207</v>
      </c>
      <c r="C78" s="91"/>
      <c r="D78" s="92" t="s">
        <v>28</v>
      </c>
      <c r="E78" s="19">
        <f t="shared" ref="E78:K78" si="38">E79</f>
        <v>398708.57</v>
      </c>
      <c r="F78" s="19">
        <f t="shared" si="38"/>
        <v>289992.46000000002</v>
      </c>
      <c r="G78" s="19">
        <f t="shared" si="38"/>
        <v>132228.57</v>
      </c>
      <c r="H78" s="19">
        <f t="shared" si="38"/>
        <v>60704</v>
      </c>
      <c r="I78" s="19">
        <f t="shared" si="38"/>
        <v>123781.71</v>
      </c>
      <c r="J78" s="19">
        <f t="shared" si="38"/>
        <v>170393.14</v>
      </c>
      <c r="K78" s="19">
        <f t="shared" si="38"/>
        <v>25696.799999999999</v>
      </c>
      <c r="L78" s="19">
        <f t="shared" si="22"/>
        <v>1201505.2500000002</v>
      </c>
      <c r="M78" s="93"/>
    </row>
    <row r="79" spans="1:13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 t="shared" ref="E79:K79" si="39">ROUND(E28/0.07*0.02,2)</f>
        <v>398708.57</v>
      </c>
      <c r="F79" s="19">
        <f t="shared" si="39"/>
        <v>289992.46000000002</v>
      </c>
      <c r="G79" s="19">
        <f t="shared" si="39"/>
        <v>132228.57</v>
      </c>
      <c r="H79" s="19">
        <f t="shared" si="39"/>
        <v>60704</v>
      </c>
      <c r="I79" s="19">
        <f t="shared" si="39"/>
        <v>123781.71</v>
      </c>
      <c r="J79" s="19">
        <f t="shared" si="39"/>
        <v>170393.14</v>
      </c>
      <c r="K79" s="19">
        <f t="shared" si="39"/>
        <v>25696.799999999999</v>
      </c>
      <c r="L79" s="19">
        <f t="shared" si="22"/>
        <v>1201505.2500000002</v>
      </c>
      <c r="M79" s="93"/>
    </row>
    <row r="80" spans="1:13">
      <c r="A80" s="90" t="s">
        <v>203</v>
      </c>
      <c r="B80" s="91" t="s">
        <v>211</v>
      </c>
      <c r="C80" s="91"/>
      <c r="D80" s="92" t="s">
        <v>28</v>
      </c>
      <c r="E80" s="19">
        <f t="shared" ref="E80:K80" si="40">E81</f>
        <v>32000</v>
      </c>
      <c r="F80" s="19">
        <f t="shared" si="40"/>
        <v>32000</v>
      </c>
      <c r="G80" s="19">
        <f t="shared" si="40"/>
        <v>0</v>
      </c>
      <c r="H80" s="19">
        <f t="shared" si="40"/>
        <v>0</v>
      </c>
      <c r="I80" s="19">
        <f t="shared" si="40"/>
        <v>0</v>
      </c>
      <c r="J80" s="19">
        <f t="shared" si="40"/>
        <v>0</v>
      </c>
      <c r="K80" s="19">
        <f t="shared" si="40"/>
        <v>0</v>
      </c>
      <c r="L80" s="19">
        <f t="shared" si="22"/>
        <v>64000</v>
      </c>
      <c r="M80" s="93"/>
    </row>
    <row r="81" spans="1:13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/>
      <c r="K81" s="22"/>
      <c r="L81" s="19">
        <f t="shared" si="22"/>
        <v>64000</v>
      </c>
      <c r="M81" s="93"/>
    </row>
    <row r="82" spans="1:13">
      <c r="A82" s="90" t="s">
        <v>208</v>
      </c>
      <c r="B82" s="91" t="s">
        <v>216</v>
      </c>
      <c r="C82" s="91"/>
      <c r="D82" s="92" t="s">
        <v>28</v>
      </c>
      <c r="E82" s="19">
        <f t="shared" ref="E82:K82" si="41">E83+E86+E89</f>
        <v>259600</v>
      </c>
      <c r="F82" s="19">
        <f t="shared" si="41"/>
        <v>344560</v>
      </c>
      <c r="G82" s="19">
        <f t="shared" si="41"/>
        <v>0</v>
      </c>
      <c r="H82" s="19">
        <f t="shared" si="41"/>
        <v>37760</v>
      </c>
      <c r="I82" s="19">
        <f t="shared" si="41"/>
        <v>14160</v>
      </c>
      <c r="J82" s="19">
        <f t="shared" si="41"/>
        <v>0</v>
      </c>
      <c r="K82" s="19">
        <f t="shared" si="41"/>
        <v>0</v>
      </c>
      <c r="L82" s="19">
        <f t="shared" si="22"/>
        <v>656080</v>
      </c>
      <c r="M82" s="93"/>
    </row>
    <row r="83" spans="1:13">
      <c r="A83" s="90" t="s">
        <v>210</v>
      </c>
      <c r="B83" s="91" t="s">
        <v>218</v>
      </c>
      <c r="C83" s="91"/>
      <c r="D83" s="92" t="s">
        <v>28</v>
      </c>
      <c r="E83" s="19">
        <f t="shared" ref="E83:K83" si="42">E84+E85</f>
        <v>0</v>
      </c>
      <c r="F83" s="19">
        <f t="shared" si="42"/>
        <v>0</v>
      </c>
      <c r="G83" s="19">
        <f t="shared" si="42"/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22"/>
        <v>0</v>
      </c>
      <c r="M83" s="93"/>
    </row>
    <row r="84" spans="1:13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19">
        <f t="shared" si="22"/>
        <v>0</v>
      </c>
      <c r="M84" s="98"/>
    </row>
    <row r="85" spans="1:13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19">
        <f t="shared" si="22"/>
        <v>0</v>
      </c>
      <c r="M85" s="98"/>
    </row>
    <row r="86" spans="1:13">
      <c r="A86" s="90" t="s">
        <v>217</v>
      </c>
      <c r="B86" s="91" t="s">
        <v>225</v>
      </c>
      <c r="C86" s="91"/>
      <c r="D86" s="92" t="s">
        <v>28</v>
      </c>
      <c r="E86" s="19">
        <f t="shared" ref="E86:K86" si="43">E87+E88</f>
        <v>259600</v>
      </c>
      <c r="F86" s="19">
        <f t="shared" si="43"/>
        <v>344560</v>
      </c>
      <c r="G86" s="19">
        <f t="shared" si="43"/>
        <v>0</v>
      </c>
      <c r="H86" s="19">
        <f t="shared" si="43"/>
        <v>37760</v>
      </c>
      <c r="I86" s="19">
        <f t="shared" si="43"/>
        <v>14160</v>
      </c>
      <c r="J86" s="19">
        <f t="shared" si="43"/>
        <v>0</v>
      </c>
      <c r="K86" s="19">
        <f t="shared" si="43"/>
        <v>0</v>
      </c>
      <c r="L86" s="19">
        <f t="shared" si="22"/>
        <v>656080</v>
      </c>
      <c r="M86" s="93"/>
    </row>
    <row r="87" spans="1:13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 t="shared" ref="E87:K87" si="44">E104*400</f>
        <v>22000</v>
      </c>
      <c r="F87" s="19">
        <f t="shared" si="44"/>
        <v>29200</v>
      </c>
      <c r="G87" s="19">
        <f t="shared" si="44"/>
        <v>0</v>
      </c>
      <c r="H87" s="19">
        <f t="shared" si="44"/>
        <v>3200</v>
      </c>
      <c r="I87" s="19">
        <f t="shared" si="44"/>
        <v>1200</v>
      </c>
      <c r="J87" s="19">
        <f t="shared" si="44"/>
        <v>0</v>
      </c>
      <c r="K87" s="19">
        <f t="shared" si="44"/>
        <v>0</v>
      </c>
      <c r="L87" s="19">
        <f t="shared" si="22"/>
        <v>55600</v>
      </c>
      <c r="M87" s="93"/>
    </row>
    <row r="88" spans="1:13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 t="shared" ref="E88:K88" si="45">E104*4320</f>
        <v>237600</v>
      </c>
      <c r="F88" s="19">
        <f t="shared" si="45"/>
        <v>315360</v>
      </c>
      <c r="G88" s="19">
        <f t="shared" si="45"/>
        <v>0</v>
      </c>
      <c r="H88" s="19">
        <f t="shared" si="45"/>
        <v>34560</v>
      </c>
      <c r="I88" s="19">
        <f t="shared" si="45"/>
        <v>12960</v>
      </c>
      <c r="J88" s="19">
        <f t="shared" si="45"/>
        <v>0</v>
      </c>
      <c r="K88" s="19">
        <f t="shared" si="45"/>
        <v>0</v>
      </c>
      <c r="L88" s="19">
        <f t="shared" si="22"/>
        <v>600480</v>
      </c>
      <c r="M88" s="93"/>
    </row>
    <row r="89" spans="1:13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9">
        <f t="shared" si="22"/>
        <v>0</v>
      </c>
      <c r="M89" s="98"/>
    </row>
    <row r="90" spans="1:13">
      <c r="A90" s="90" t="s">
        <v>226</v>
      </c>
      <c r="B90" s="91" t="s">
        <v>235</v>
      </c>
      <c r="C90" s="91"/>
      <c r="D90" s="92" t="s">
        <v>28</v>
      </c>
      <c r="E90" s="19">
        <f t="shared" ref="E90:K90" si="46">E91</f>
        <v>0</v>
      </c>
      <c r="F90" s="19">
        <f t="shared" si="46"/>
        <v>0</v>
      </c>
      <c r="G90" s="19">
        <f t="shared" si="46"/>
        <v>32000</v>
      </c>
      <c r="H90" s="19">
        <f t="shared" si="46"/>
        <v>32000</v>
      </c>
      <c r="I90" s="19">
        <f t="shared" si="46"/>
        <v>32000</v>
      </c>
      <c r="J90" s="19">
        <f t="shared" si="46"/>
        <v>32000</v>
      </c>
      <c r="K90" s="19">
        <f t="shared" si="46"/>
        <v>32000</v>
      </c>
      <c r="L90" s="19">
        <f t="shared" ref="L90:L106" si="47">SUM(E90:K90)</f>
        <v>160000</v>
      </c>
      <c r="M90" s="93"/>
    </row>
    <row r="91" spans="1:13" ht="68.25" thickBot="1">
      <c r="A91" s="90" t="s">
        <v>229</v>
      </c>
      <c r="B91" s="105" t="s">
        <v>237</v>
      </c>
      <c r="C91" s="91" t="s">
        <v>35</v>
      </c>
      <c r="D91" s="106" t="s">
        <v>238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32000</v>
      </c>
      <c r="K91" s="107">
        <v>32000</v>
      </c>
      <c r="L91" s="19">
        <f t="shared" si="47"/>
        <v>160000</v>
      </c>
      <c r="M91" s="108"/>
    </row>
    <row r="92" spans="1:13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9">
        <f t="shared" si="47"/>
        <v>0</v>
      </c>
      <c r="M92" s="112"/>
    </row>
    <row r="93" spans="1:13" ht="22.5">
      <c r="A93" s="90" t="s">
        <v>234</v>
      </c>
      <c r="B93" s="91" t="s">
        <v>242</v>
      </c>
      <c r="C93" s="91"/>
      <c r="D93" s="92" t="s">
        <v>243</v>
      </c>
      <c r="E93" s="19">
        <f t="shared" ref="E93:K93" si="48">E94+E95+E96+E97</f>
        <v>80</v>
      </c>
      <c r="F93" s="19">
        <f t="shared" si="48"/>
        <v>68</v>
      </c>
      <c r="G93" s="19">
        <f t="shared" si="48"/>
        <v>32</v>
      </c>
      <c r="H93" s="19">
        <f t="shared" si="48"/>
        <v>16</v>
      </c>
      <c r="I93" s="19">
        <f t="shared" si="48"/>
        <v>33</v>
      </c>
      <c r="J93" s="19">
        <f t="shared" si="48"/>
        <v>50</v>
      </c>
      <c r="K93" s="19">
        <f t="shared" si="48"/>
        <v>5</v>
      </c>
      <c r="L93" s="19">
        <f t="shared" si="47"/>
        <v>284</v>
      </c>
      <c r="M93" s="93"/>
    </row>
    <row r="94" spans="1:13">
      <c r="A94" s="90" t="s">
        <v>236</v>
      </c>
      <c r="B94" s="113" t="s">
        <v>245</v>
      </c>
      <c r="C94" s="113"/>
      <c r="D94" s="98"/>
      <c r="E94" s="99">
        <v>80</v>
      </c>
      <c r="F94" s="99"/>
      <c r="G94" s="99"/>
      <c r="H94" s="99"/>
      <c r="I94" s="99"/>
      <c r="J94" s="99"/>
      <c r="K94" s="99"/>
      <c r="L94" s="19">
        <f t="shared" si="47"/>
        <v>80</v>
      </c>
      <c r="M94" s="93"/>
    </row>
    <row r="95" spans="1:13">
      <c r="A95" s="90" t="s">
        <v>239</v>
      </c>
      <c r="B95" s="113" t="s">
        <v>247</v>
      </c>
      <c r="C95" s="113"/>
      <c r="D95" s="92"/>
      <c r="E95" s="22"/>
      <c r="F95" s="22">
        <v>68</v>
      </c>
      <c r="G95" s="22">
        <v>32</v>
      </c>
      <c r="H95" s="22"/>
      <c r="I95" s="22"/>
      <c r="J95" s="22"/>
      <c r="K95" s="22"/>
      <c r="L95" s="19">
        <f t="shared" si="47"/>
        <v>100</v>
      </c>
      <c r="M95" s="93"/>
    </row>
    <row r="96" spans="1:13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>
        <v>16</v>
      </c>
      <c r="I96" s="99">
        <v>33</v>
      </c>
      <c r="J96" s="99">
        <v>50</v>
      </c>
      <c r="K96" s="99"/>
      <c r="L96" s="19">
        <f t="shared" si="47"/>
        <v>99</v>
      </c>
      <c r="M96" s="93"/>
    </row>
    <row r="97" spans="1:13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>
        <v>5</v>
      </c>
      <c r="L97" s="19">
        <f t="shared" si="47"/>
        <v>5</v>
      </c>
      <c r="M97" s="93"/>
    </row>
    <row r="98" spans="1:13" ht="22.5">
      <c r="A98" s="90" t="s">
        <v>246</v>
      </c>
      <c r="B98" s="91" t="s">
        <v>253</v>
      </c>
      <c r="C98" s="91"/>
      <c r="D98" s="92" t="s">
        <v>254</v>
      </c>
      <c r="E98" s="19">
        <f t="shared" ref="E98:K98" si="49">E99+E100+E101+E102</f>
        <v>688</v>
      </c>
      <c r="F98" s="19">
        <f t="shared" si="49"/>
        <v>945</v>
      </c>
      <c r="G98" s="19">
        <f t="shared" si="49"/>
        <v>416</v>
      </c>
      <c r="H98" s="19">
        <f t="shared" si="49"/>
        <v>73</v>
      </c>
      <c r="I98" s="19">
        <f t="shared" si="49"/>
        <v>353</v>
      </c>
      <c r="J98" s="19">
        <f t="shared" si="49"/>
        <v>673</v>
      </c>
      <c r="K98" s="19">
        <f t="shared" si="49"/>
        <v>0</v>
      </c>
      <c r="L98" s="19">
        <f t="shared" si="47"/>
        <v>3148</v>
      </c>
      <c r="M98" s="93"/>
    </row>
    <row r="99" spans="1:13">
      <c r="A99" s="90" t="s">
        <v>248</v>
      </c>
      <c r="B99" s="113" t="s">
        <v>245</v>
      </c>
      <c r="C99" s="113"/>
      <c r="D99" s="98"/>
      <c r="E99" s="99">
        <v>688</v>
      </c>
      <c r="F99" s="99"/>
      <c r="G99" s="99"/>
      <c r="H99" s="99"/>
      <c r="I99" s="99"/>
      <c r="J99" s="99"/>
      <c r="K99" s="99"/>
      <c r="L99" s="19">
        <f t="shared" si="47"/>
        <v>688</v>
      </c>
      <c r="M99" s="93"/>
    </row>
    <row r="100" spans="1:13">
      <c r="A100" s="90" t="s">
        <v>250</v>
      </c>
      <c r="B100" s="113" t="s">
        <v>247</v>
      </c>
      <c r="C100" s="113"/>
      <c r="D100" s="92"/>
      <c r="E100" s="22"/>
      <c r="F100" s="22">
        <v>945</v>
      </c>
      <c r="G100" s="22">
        <v>416</v>
      </c>
      <c r="H100" s="22"/>
      <c r="I100" s="22"/>
      <c r="J100" s="22"/>
      <c r="K100" s="22"/>
      <c r="L100" s="19">
        <f t="shared" si="47"/>
        <v>1361</v>
      </c>
      <c r="M100" s="93"/>
    </row>
    <row r="101" spans="1:13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>
        <v>73</v>
      </c>
      <c r="I101" s="99">
        <v>353</v>
      </c>
      <c r="J101" s="99">
        <v>673</v>
      </c>
      <c r="K101" s="99"/>
      <c r="L101" s="19">
        <f t="shared" si="47"/>
        <v>1099</v>
      </c>
      <c r="M101" s="93"/>
    </row>
    <row r="102" spans="1:13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19">
        <f t="shared" si="47"/>
        <v>0</v>
      </c>
      <c r="M102" s="93"/>
    </row>
    <row r="103" spans="1:13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9">
        <f t="shared" si="47"/>
        <v>0</v>
      </c>
      <c r="M103" s="93"/>
    </row>
    <row r="104" spans="1:13">
      <c r="A104" s="90" t="s">
        <v>257</v>
      </c>
      <c r="B104" s="91" t="s">
        <v>261</v>
      </c>
      <c r="C104" s="91"/>
      <c r="D104" s="92"/>
      <c r="E104" s="22">
        <v>55</v>
      </c>
      <c r="F104" s="22">
        <v>73</v>
      </c>
      <c r="G104" s="22"/>
      <c r="H104" s="22">
        <v>8</v>
      </c>
      <c r="I104" s="22">
        <v>3</v>
      </c>
      <c r="J104" s="22"/>
      <c r="K104" s="22"/>
      <c r="L104" s="19">
        <f t="shared" si="47"/>
        <v>139</v>
      </c>
      <c r="M104" s="93"/>
    </row>
    <row r="105" spans="1:13">
      <c r="A105" s="90" t="s">
        <v>258</v>
      </c>
      <c r="B105" s="113" t="s">
        <v>262</v>
      </c>
      <c r="C105" s="113"/>
      <c r="D105" s="102"/>
      <c r="E105" s="22">
        <v>34676.83</v>
      </c>
      <c r="F105" s="22">
        <v>6698.1</v>
      </c>
      <c r="G105" s="22">
        <v>20502</v>
      </c>
      <c r="H105" s="22">
        <v>1515</v>
      </c>
      <c r="I105" s="22">
        <v>5789.3</v>
      </c>
      <c r="J105" s="22">
        <v>14972.68</v>
      </c>
      <c r="K105" s="22">
        <v>3000</v>
      </c>
      <c r="L105" s="19">
        <f t="shared" si="47"/>
        <v>87153.91</v>
      </c>
      <c r="M105" s="93"/>
    </row>
    <row r="106" spans="1:13">
      <c r="A106" s="90" t="s">
        <v>259</v>
      </c>
      <c r="B106" s="113" t="s">
        <v>263</v>
      </c>
      <c r="C106" s="113"/>
      <c r="D106" s="102"/>
      <c r="E106" s="22">
        <v>22358</v>
      </c>
      <c r="F106" s="22">
        <v>5066</v>
      </c>
      <c r="G106" s="22">
        <v>9640</v>
      </c>
      <c r="H106" s="22">
        <v>200</v>
      </c>
      <c r="I106" s="22">
        <v>3500</v>
      </c>
      <c r="J106" s="22">
        <v>8305</v>
      </c>
      <c r="K106" s="22">
        <v>3000</v>
      </c>
      <c r="L106" s="19">
        <f t="shared" si="47"/>
        <v>52069</v>
      </c>
      <c r="M106" s="93"/>
    </row>
    <row r="107" spans="1:13">
      <c r="E107" s="86">
        <f t="shared" ref="E107:L107" si="50">E4/E93</f>
        <v>368764.26049999997</v>
      </c>
      <c r="F107" s="86">
        <f t="shared" si="50"/>
        <v>352383.20661764714</v>
      </c>
      <c r="G107" s="86">
        <f t="shared" si="50"/>
        <v>337639.95000000007</v>
      </c>
      <c r="H107" s="86">
        <f t="shared" si="50"/>
        <v>321027.63187499996</v>
      </c>
      <c r="I107" s="86">
        <f t="shared" si="50"/>
        <v>314729.22666666668</v>
      </c>
      <c r="J107" s="86">
        <f t="shared" si="50"/>
        <v>296739.05199999997</v>
      </c>
      <c r="K107" s="86">
        <f t="shared" si="50"/>
        <v>368604.71799999999</v>
      </c>
      <c r="L107" s="86">
        <f t="shared" si="50"/>
        <v>339683.66221830988</v>
      </c>
    </row>
  </sheetData>
  <protectedRanges>
    <protectedRange password="E9C1" sqref="D28 L21:M26 M20 L4:M9 M10 M27 A2:M3 A4:D5 L11:M19 B6:D26 L28:M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M1"/>
  </mergeCells>
  <phoneticPr fontId="3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Q77" activePane="bottomRight" state="frozen"/>
      <selection pane="topRight" activeCell="E1" sqref="E1"/>
      <selection pane="bottomLeft" activeCell="A3" sqref="A3"/>
      <selection pane="bottomRight" activeCell="Y3" sqref="Y3:Y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6" ht="25.5">
      <c r="A1" s="373" t="s">
        <v>264</v>
      </c>
      <c r="B1" s="374"/>
      <c r="C1" s="374"/>
      <c r="D1" s="374"/>
      <c r="E1" s="374"/>
      <c r="F1" s="374"/>
      <c r="G1" s="374"/>
      <c r="H1" s="374"/>
      <c r="I1" s="374"/>
      <c r="J1" s="374"/>
      <c r="K1" s="374"/>
      <c r="L1" s="374"/>
      <c r="M1" s="374"/>
      <c r="N1" s="374"/>
      <c r="O1" s="374"/>
      <c r="P1" s="374"/>
      <c r="Q1" s="374"/>
      <c r="R1" s="374"/>
      <c r="S1" s="374"/>
      <c r="T1" s="374"/>
      <c r="U1" s="374"/>
      <c r="V1" s="374"/>
      <c r="W1" s="374"/>
      <c r="X1" s="374"/>
      <c r="Y1" s="374"/>
      <c r="Z1" s="374"/>
    </row>
    <row r="2" spans="1:26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546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  <c r="M2" s="3" t="s">
        <v>12</v>
      </c>
      <c r="N2" s="3" t="s">
        <v>13</v>
      </c>
      <c r="O2" s="3" t="s">
        <v>14</v>
      </c>
      <c r="P2" s="3" t="s">
        <v>15</v>
      </c>
      <c r="Q2" s="3" t="s">
        <v>16</v>
      </c>
      <c r="R2" s="3" t="s">
        <v>17</v>
      </c>
      <c r="S2" s="3" t="s">
        <v>18</v>
      </c>
      <c r="T2" s="3" t="s">
        <v>19</v>
      </c>
      <c r="U2" s="3" t="s">
        <v>20</v>
      </c>
      <c r="V2" s="3" t="s">
        <v>21</v>
      </c>
      <c r="W2" s="3" t="s">
        <v>22</v>
      </c>
      <c r="X2" s="3" t="s">
        <v>23</v>
      </c>
      <c r="Y2" s="3" t="s">
        <v>24</v>
      </c>
      <c r="Z2" s="4" t="s">
        <v>25</v>
      </c>
    </row>
    <row r="3" spans="1:26">
      <c r="A3" s="5" t="s">
        <v>26</v>
      </c>
      <c r="B3" s="6" t="s">
        <v>27</v>
      </c>
      <c r="C3" s="6"/>
      <c r="D3" s="7" t="s">
        <v>28</v>
      </c>
      <c r="E3" s="8">
        <f t="shared" ref="E3:X3" si="0">E4+E30+E49</f>
        <v>38765939.359999999</v>
      </c>
      <c r="F3" s="8">
        <f t="shared" si="0"/>
        <v>56633440.209999993</v>
      </c>
      <c r="G3" s="8">
        <f t="shared" si="0"/>
        <v>111879670.57000001</v>
      </c>
      <c r="H3" s="8">
        <f t="shared" si="0"/>
        <v>24265384.860000003</v>
      </c>
      <c r="I3" s="8">
        <f t="shared" si="0"/>
        <v>6143210.8600000003</v>
      </c>
      <c r="J3" s="8">
        <f t="shared" si="0"/>
        <v>7660654.5700000003</v>
      </c>
      <c r="K3" s="8">
        <f t="shared" si="0"/>
        <v>28895740.710000001</v>
      </c>
      <c r="L3" s="8">
        <f t="shared" si="0"/>
        <v>36188164.43</v>
      </c>
      <c r="M3" s="8">
        <f t="shared" si="0"/>
        <v>141797140.71000001</v>
      </c>
      <c r="N3" s="8">
        <f t="shared" si="0"/>
        <v>10796882.289999999</v>
      </c>
      <c r="O3" s="8">
        <f t="shared" si="0"/>
        <v>15843503</v>
      </c>
      <c r="P3" s="8">
        <f t="shared" si="0"/>
        <v>40889917.43</v>
      </c>
      <c r="Q3" s="8">
        <f t="shared" si="0"/>
        <v>2880389.71</v>
      </c>
      <c r="R3" s="8">
        <f t="shared" si="0"/>
        <v>50750254.57</v>
      </c>
      <c r="S3" s="8">
        <f t="shared" si="0"/>
        <v>16833771.859999999</v>
      </c>
      <c r="T3" s="8">
        <f t="shared" si="0"/>
        <v>18699787.460000001</v>
      </c>
      <c r="U3" s="8">
        <f t="shared" si="0"/>
        <v>25301419.859999996</v>
      </c>
      <c r="V3" s="8">
        <f t="shared" si="0"/>
        <v>32445915.57</v>
      </c>
      <c r="W3" s="8">
        <f t="shared" si="0"/>
        <v>2849239.29</v>
      </c>
      <c r="X3" s="8">
        <f t="shared" si="0"/>
        <v>17607235.43</v>
      </c>
      <c r="Y3" s="8">
        <f t="shared" ref="Y3:Y9" si="1">SUM(E3:X3)</f>
        <v>687127662.75</v>
      </c>
      <c r="Z3" s="9"/>
    </row>
    <row r="4" spans="1:26">
      <c r="A4" s="5" t="s">
        <v>29</v>
      </c>
      <c r="B4" s="6" t="s">
        <v>30</v>
      </c>
      <c r="C4" s="6"/>
      <c r="D4" s="7" t="s">
        <v>28</v>
      </c>
      <c r="E4" s="8">
        <f t="shared" ref="E4:X4" si="2">E5+E8+E12+E15+E18+E20+E23+E25+E27+E28+E29</f>
        <v>33625418.5</v>
      </c>
      <c r="F4" s="8">
        <f t="shared" si="2"/>
        <v>47512582.399999999</v>
      </c>
      <c r="G4" s="8">
        <f t="shared" si="2"/>
        <v>97275571.350000009</v>
      </c>
      <c r="H4" s="8">
        <f t="shared" si="2"/>
        <v>21123629.950000003</v>
      </c>
      <c r="I4" s="8">
        <f t="shared" si="2"/>
        <v>4988503</v>
      </c>
      <c r="J4" s="8">
        <f t="shared" si="2"/>
        <v>6476029.2000000002</v>
      </c>
      <c r="K4" s="8">
        <f t="shared" si="2"/>
        <v>25669567</v>
      </c>
      <c r="L4" s="8">
        <f t="shared" si="2"/>
        <v>31323832.949999999</v>
      </c>
      <c r="M4" s="8">
        <f t="shared" si="2"/>
        <v>119843198.60000001</v>
      </c>
      <c r="N4" s="8">
        <f t="shared" si="2"/>
        <v>9315145.1999999993</v>
      </c>
      <c r="O4" s="8">
        <f t="shared" si="2"/>
        <v>13732215</v>
      </c>
      <c r="P4" s="8">
        <f t="shared" si="2"/>
        <v>34971636.049999997</v>
      </c>
      <c r="Q4" s="8">
        <f t="shared" si="2"/>
        <v>1884444.4000000001</v>
      </c>
      <c r="R4" s="8">
        <f t="shared" si="2"/>
        <v>42753857.850000001</v>
      </c>
      <c r="S4" s="8">
        <f t="shared" si="2"/>
        <v>14725975</v>
      </c>
      <c r="T4" s="8">
        <f t="shared" si="2"/>
        <v>15254241</v>
      </c>
      <c r="U4" s="8">
        <f t="shared" si="2"/>
        <v>21861041.549999997</v>
      </c>
      <c r="V4" s="8">
        <f t="shared" si="2"/>
        <v>28234179.699999999</v>
      </c>
      <c r="W4" s="8">
        <f t="shared" si="2"/>
        <v>2512997</v>
      </c>
      <c r="X4" s="8">
        <f t="shared" si="2"/>
        <v>14839628.399999999</v>
      </c>
      <c r="Y4" s="8">
        <f t="shared" si="1"/>
        <v>587923694.10000002</v>
      </c>
      <c r="Z4" s="9"/>
    </row>
    <row r="5" spans="1:26">
      <c r="A5" s="5" t="s">
        <v>31</v>
      </c>
      <c r="B5" s="6" t="s">
        <v>32</v>
      </c>
      <c r="C5" s="6"/>
      <c r="D5" s="7" t="s">
        <v>28</v>
      </c>
      <c r="E5" s="8">
        <f>E6+E7</f>
        <v>4504800.09</v>
      </c>
      <c r="F5" s="8">
        <f>F6+F7</f>
        <v>5478000.8100000005</v>
      </c>
      <c r="G5" s="8">
        <f t="shared" ref="G5:X5" si="3">G6+G7</f>
        <v>13733004.92</v>
      </c>
      <c r="H5" s="8">
        <f t="shared" si="3"/>
        <v>2996232.2800000003</v>
      </c>
      <c r="I5" s="8">
        <f t="shared" si="3"/>
        <v>616284.17999999993</v>
      </c>
      <c r="J5" s="8">
        <f t="shared" si="3"/>
        <v>796740.24</v>
      </c>
      <c r="K5" s="8">
        <f t="shared" si="3"/>
        <v>3642997.34</v>
      </c>
      <c r="L5" s="8">
        <f t="shared" si="3"/>
        <v>4480219.6400000006</v>
      </c>
      <c r="M5" s="8">
        <f t="shared" si="3"/>
        <v>15521112.369999999</v>
      </c>
      <c r="N5" s="8">
        <f t="shared" si="3"/>
        <v>1175112.8999999999</v>
      </c>
      <c r="O5" s="8">
        <f t="shared" si="3"/>
        <v>1993140.5</v>
      </c>
      <c r="P5" s="8">
        <f t="shared" si="3"/>
        <v>4493892.5299999993</v>
      </c>
      <c r="Q5" s="8">
        <f t="shared" si="3"/>
        <v>253296.41</v>
      </c>
      <c r="R5" s="8">
        <f t="shared" si="3"/>
        <v>5220012.7300000004</v>
      </c>
      <c r="S5" s="8">
        <f t="shared" si="3"/>
        <v>2161116.08</v>
      </c>
      <c r="T5" s="8">
        <f t="shared" si="3"/>
        <v>2164176.96</v>
      </c>
      <c r="U5" s="8">
        <f t="shared" si="3"/>
        <v>2990964.1</v>
      </c>
      <c r="V5" s="8">
        <f t="shared" si="3"/>
        <v>4068312.82</v>
      </c>
      <c r="W5" s="8">
        <f t="shared" si="3"/>
        <v>340788.29000000004</v>
      </c>
      <c r="X5" s="8">
        <f t="shared" si="3"/>
        <v>1907640.33</v>
      </c>
      <c r="Y5" s="8">
        <f t="shared" si="1"/>
        <v>78537845.519999981</v>
      </c>
      <c r="Z5" s="9"/>
    </row>
    <row r="6" spans="1:26">
      <c r="A6" s="5" t="s">
        <v>33</v>
      </c>
      <c r="B6" s="6" t="s">
        <v>34</v>
      </c>
      <c r="C6" s="6" t="s">
        <v>35</v>
      </c>
      <c r="D6" s="7" t="s">
        <v>36</v>
      </c>
      <c r="E6" s="10">
        <f>216400*12+0.09</f>
        <v>2596800.09</v>
      </c>
      <c r="F6" s="10">
        <f>285500*12+0.81</f>
        <v>3426000.81</v>
      </c>
      <c r="G6" s="10">
        <f>642871*12+0.92</f>
        <v>7714452.9199999999</v>
      </c>
      <c r="H6" s="10">
        <f>129982*12+0.28</f>
        <v>1559784.28</v>
      </c>
      <c r="I6" s="10">
        <f>33132*12+0.18</f>
        <v>397584.18</v>
      </c>
      <c r="J6" s="10">
        <f>43054*12+0.24</f>
        <v>516648.24</v>
      </c>
      <c r="K6" s="10">
        <f>171591*12+0.7</f>
        <v>2059092.7</v>
      </c>
      <c r="L6" s="10">
        <f>210069.6*12+0.44</f>
        <v>2520835.64</v>
      </c>
      <c r="M6" s="10">
        <f>760620*12+0.37</f>
        <v>9127440.3699999992</v>
      </c>
      <c r="N6" s="10">
        <f>61254*12+0.9</f>
        <v>735048.9</v>
      </c>
      <c r="O6" s="10">
        <f>1104180+0.5</f>
        <v>1104180.5</v>
      </c>
      <c r="P6" s="10">
        <f>2829180+0.53</f>
        <v>2829180.53</v>
      </c>
      <c r="Q6" s="10">
        <f>161172+0.41</f>
        <v>161172.41</v>
      </c>
      <c r="R6" s="10">
        <f>270390*12+0.73</f>
        <v>3244680.73</v>
      </c>
      <c r="S6" s="10">
        <f>95933*12+0.08</f>
        <v>1151196.08</v>
      </c>
      <c r="T6" s="10">
        <f>106175*12+0.96</f>
        <v>1274100.96</v>
      </c>
      <c r="U6" s="10">
        <f>1584660+0.1</f>
        <v>1584660.1</v>
      </c>
      <c r="V6" s="10">
        <f>2189820+0.82</f>
        <v>2189820.8199999998</v>
      </c>
      <c r="W6" s="10">
        <f>179832+0.29</f>
        <v>179832.29</v>
      </c>
      <c r="X6" s="10">
        <f>103500*12+0.33</f>
        <v>1242000.33</v>
      </c>
      <c r="Y6" s="8">
        <f t="shared" si="1"/>
        <v>45614512.879999988</v>
      </c>
      <c r="Z6" s="11"/>
    </row>
    <row r="7" spans="1:26">
      <c r="A7" s="5" t="s">
        <v>37</v>
      </c>
      <c r="B7" s="6" t="s">
        <v>38</v>
      </c>
      <c r="C7" s="6" t="s">
        <v>35</v>
      </c>
      <c r="D7" s="7" t="s">
        <v>36</v>
      </c>
      <c r="E7" s="10">
        <f>159000*12</f>
        <v>1908000</v>
      </c>
      <c r="F7" s="10">
        <f>171000*12</f>
        <v>2052000</v>
      </c>
      <c r="G7" s="10">
        <f>501546*12</f>
        <v>6018552</v>
      </c>
      <c r="H7" s="10">
        <f>119704*12</f>
        <v>1436448</v>
      </c>
      <c r="I7" s="10">
        <f>18225*12</f>
        <v>218700</v>
      </c>
      <c r="J7" s="10">
        <f>23341*12</f>
        <v>280092</v>
      </c>
      <c r="K7" s="10">
        <f>131992*12+0.64</f>
        <v>1583904.64</v>
      </c>
      <c r="L7" s="10">
        <f>163282*12</f>
        <v>1959384</v>
      </c>
      <c r="M7" s="10">
        <f>532806*12</f>
        <v>6393672</v>
      </c>
      <c r="N7" s="10">
        <f>36672*12</f>
        <v>440064</v>
      </c>
      <c r="O7" s="10">
        <v>888960</v>
      </c>
      <c r="P7" s="10">
        <v>1664712</v>
      </c>
      <c r="Q7" s="10">
        <v>92124</v>
      </c>
      <c r="R7" s="10">
        <f>164611*12</f>
        <v>1975332</v>
      </c>
      <c r="S7" s="10">
        <f>84160*12</f>
        <v>1009920</v>
      </c>
      <c r="T7" s="10">
        <f>74173*12</f>
        <v>890076</v>
      </c>
      <c r="U7" s="10">
        <v>1406304</v>
      </c>
      <c r="V7" s="10">
        <v>1878492</v>
      </c>
      <c r="W7" s="10">
        <v>160956</v>
      </c>
      <c r="X7" s="10">
        <f>55470*12</f>
        <v>665640</v>
      </c>
      <c r="Y7" s="8">
        <f t="shared" si="1"/>
        <v>32923332.640000001</v>
      </c>
      <c r="Z7" s="9"/>
    </row>
    <row r="8" spans="1:26">
      <c r="A8" s="5" t="s">
        <v>39</v>
      </c>
      <c r="B8" s="6" t="s">
        <v>40</v>
      </c>
      <c r="C8" s="6"/>
      <c r="D8" s="7" t="s">
        <v>28</v>
      </c>
      <c r="E8" s="8">
        <f>E9+E10</f>
        <v>513636</v>
      </c>
      <c r="F8" s="8">
        <f>F9+F10</f>
        <v>734124</v>
      </c>
      <c r="G8" s="8">
        <f t="shared" ref="G8:X8" si="4">G9+G10</f>
        <v>1492248</v>
      </c>
      <c r="H8" s="8">
        <f t="shared" si="4"/>
        <v>321660</v>
      </c>
      <c r="I8" s="8">
        <f t="shared" si="4"/>
        <v>85344</v>
      </c>
      <c r="J8" s="8">
        <f t="shared" si="4"/>
        <v>111648</v>
      </c>
      <c r="K8" s="8">
        <f t="shared" si="4"/>
        <v>423576</v>
      </c>
      <c r="L8" s="8">
        <f t="shared" si="4"/>
        <v>525576</v>
      </c>
      <c r="M8" s="8">
        <f t="shared" si="4"/>
        <v>1832088</v>
      </c>
      <c r="N8" s="8">
        <f t="shared" si="4"/>
        <v>154788</v>
      </c>
      <c r="O8" s="8">
        <f t="shared" si="4"/>
        <v>230424</v>
      </c>
      <c r="P8" s="8">
        <f t="shared" si="4"/>
        <v>527928</v>
      </c>
      <c r="Q8" s="8">
        <f t="shared" si="4"/>
        <v>32124</v>
      </c>
      <c r="R8" s="8">
        <f t="shared" si="4"/>
        <v>661200</v>
      </c>
      <c r="S8" s="8">
        <f t="shared" si="4"/>
        <v>241356</v>
      </c>
      <c r="T8" s="8">
        <f t="shared" si="4"/>
        <v>234564</v>
      </c>
      <c r="U8" s="8">
        <f t="shared" si="4"/>
        <v>332256</v>
      </c>
      <c r="V8" s="8">
        <f t="shared" si="4"/>
        <v>418272</v>
      </c>
      <c r="W8" s="8">
        <f t="shared" si="4"/>
        <v>37428</v>
      </c>
      <c r="X8" s="8">
        <f t="shared" si="4"/>
        <v>256044</v>
      </c>
      <c r="Y8" s="8">
        <f t="shared" si="1"/>
        <v>9166284</v>
      </c>
      <c r="Z8" s="9"/>
    </row>
    <row r="9" spans="1:26">
      <c r="A9" s="5" t="s">
        <v>41</v>
      </c>
      <c r="B9" s="6" t="s">
        <v>42</v>
      </c>
      <c r="C9" s="6" t="s">
        <v>35</v>
      </c>
      <c r="D9" s="7" t="s">
        <v>36</v>
      </c>
      <c r="E9" s="10">
        <f>563*12</f>
        <v>6756</v>
      </c>
      <c r="F9" s="10">
        <f>457*12</f>
        <v>5484</v>
      </c>
      <c r="G9" s="10">
        <f>1594*12</f>
        <v>19128</v>
      </c>
      <c r="H9" s="10">
        <f>405*12</f>
        <v>4860</v>
      </c>
      <c r="I9" s="10">
        <f>72*12</f>
        <v>864</v>
      </c>
      <c r="J9" s="10">
        <f>64*12</f>
        <v>768</v>
      </c>
      <c r="K9" s="10">
        <f>538*12</f>
        <v>6456</v>
      </c>
      <c r="L9" s="10">
        <f>678*12</f>
        <v>8136</v>
      </c>
      <c r="M9" s="10">
        <f>1754*12</f>
        <v>21048</v>
      </c>
      <c r="N9" s="10">
        <f>139*12</f>
        <v>1668</v>
      </c>
      <c r="O9" s="10">
        <v>3384</v>
      </c>
      <c r="P9" s="10">
        <v>5208</v>
      </c>
      <c r="Q9" s="10">
        <v>444</v>
      </c>
      <c r="R9" s="10">
        <f>540*12</f>
        <v>6480</v>
      </c>
      <c r="S9" s="10">
        <f>313*12</f>
        <v>3756</v>
      </c>
      <c r="T9" s="10">
        <f>187*12</f>
        <v>2244</v>
      </c>
      <c r="U9" s="10">
        <v>4896</v>
      </c>
      <c r="V9" s="10">
        <v>6432</v>
      </c>
      <c r="W9" s="10">
        <v>468</v>
      </c>
      <c r="X9" s="10">
        <f>217*12</f>
        <v>2604</v>
      </c>
      <c r="Y9" s="8">
        <f t="shared" si="1"/>
        <v>111084</v>
      </c>
      <c r="Z9" s="9"/>
    </row>
    <row r="10" spans="1:26">
      <c r="A10" s="5" t="s">
        <v>43</v>
      </c>
      <c r="B10" s="6" t="s">
        <v>44</v>
      </c>
      <c r="C10" s="6"/>
      <c r="D10" s="7" t="s">
        <v>28</v>
      </c>
      <c r="E10" s="8">
        <f>E11</f>
        <v>506880</v>
      </c>
      <c r="F10" s="8">
        <f>F11</f>
        <v>728640</v>
      </c>
      <c r="G10" s="8">
        <f t="shared" ref="G10:Y10" si="5">G11</f>
        <v>1473120</v>
      </c>
      <c r="H10" s="8">
        <f t="shared" si="5"/>
        <v>316800</v>
      </c>
      <c r="I10" s="8">
        <f t="shared" si="5"/>
        <v>84480</v>
      </c>
      <c r="J10" s="8">
        <f t="shared" si="5"/>
        <v>110880</v>
      </c>
      <c r="K10" s="8">
        <f t="shared" si="5"/>
        <v>417120</v>
      </c>
      <c r="L10" s="8">
        <f t="shared" si="5"/>
        <v>517440</v>
      </c>
      <c r="M10" s="8">
        <f t="shared" si="5"/>
        <v>1811040</v>
      </c>
      <c r="N10" s="8">
        <f t="shared" si="5"/>
        <v>153120</v>
      </c>
      <c r="O10" s="8">
        <f t="shared" si="5"/>
        <v>227040</v>
      </c>
      <c r="P10" s="8">
        <f t="shared" si="5"/>
        <v>522720</v>
      </c>
      <c r="Q10" s="8">
        <f t="shared" si="5"/>
        <v>31680</v>
      </c>
      <c r="R10" s="8">
        <f t="shared" si="5"/>
        <v>654720</v>
      </c>
      <c r="S10" s="8">
        <f t="shared" si="5"/>
        <v>237600</v>
      </c>
      <c r="T10" s="8">
        <f t="shared" si="5"/>
        <v>232320</v>
      </c>
      <c r="U10" s="8">
        <f t="shared" si="5"/>
        <v>327360</v>
      </c>
      <c r="V10" s="8">
        <f t="shared" si="5"/>
        <v>411840</v>
      </c>
      <c r="W10" s="8">
        <f t="shared" si="5"/>
        <v>36960</v>
      </c>
      <c r="X10" s="8">
        <f t="shared" si="5"/>
        <v>253440</v>
      </c>
      <c r="Y10" s="8">
        <f t="shared" si="5"/>
        <v>9055200</v>
      </c>
      <c r="Z10" s="9"/>
    </row>
    <row r="11" spans="1:26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 t="shared" ref="E11:X11" si="6">440*12*E93</f>
        <v>506880</v>
      </c>
      <c r="F11" s="8">
        <f t="shared" si="6"/>
        <v>728640</v>
      </c>
      <c r="G11" s="8">
        <f t="shared" si="6"/>
        <v>1473120</v>
      </c>
      <c r="H11" s="8">
        <f t="shared" si="6"/>
        <v>316800</v>
      </c>
      <c r="I11" s="8">
        <f t="shared" si="6"/>
        <v>84480</v>
      </c>
      <c r="J11" s="8">
        <f t="shared" si="6"/>
        <v>110880</v>
      </c>
      <c r="K11" s="8">
        <f t="shared" si="6"/>
        <v>417120</v>
      </c>
      <c r="L11" s="8">
        <f t="shared" si="6"/>
        <v>517440</v>
      </c>
      <c r="M11" s="8">
        <f t="shared" si="6"/>
        <v>1811040</v>
      </c>
      <c r="N11" s="8">
        <f t="shared" si="6"/>
        <v>153120</v>
      </c>
      <c r="O11" s="8">
        <f t="shared" si="6"/>
        <v>227040</v>
      </c>
      <c r="P11" s="8">
        <f t="shared" si="6"/>
        <v>522720</v>
      </c>
      <c r="Q11" s="8">
        <f t="shared" si="6"/>
        <v>31680</v>
      </c>
      <c r="R11" s="8">
        <f t="shared" si="6"/>
        <v>654720</v>
      </c>
      <c r="S11" s="8">
        <f t="shared" si="6"/>
        <v>237600</v>
      </c>
      <c r="T11" s="8">
        <f t="shared" si="6"/>
        <v>232320</v>
      </c>
      <c r="U11" s="8">
        <f t="shared" si="6"/>
        <v>327360</v>
      </c>
      <c r="V11" s="8">
        <f t="shared" si="6"/>
        <v>411840</v>
      </c>
      <c r="W11" s="8">
        <f t="shared" si="6"/>
        <v>36960</v>
      </c>
      <c r="X11" s="8">
        <f t="shared" si="6"/>
        <v>253440</v>
      </c>
      <c r="Y11" s="8">
        <f t="shared" ref="Y11:Y26" si="7">SUM(E11:X11)</f>
        <v>9055200</v>
      </c>
      <c r="Z11" s="9"/>
    </row>
    <row r="12" spans="1:26">
      <c r="A12" s="5" t="s">
        <v>47</v>
      </c>
      <c r="B12" s="6" t="s">
        <v>48</v>
      </c>
      <c r="C12" s="6"/>
      <c r="D12" s="7" t="s">
        <v>49</v>
      </c>
      <c r="E12" s="8">
        <f>E13+E14</f>
        <v>157982.40000000002</v>
      </c>
      <c r="F12" s="8">
        <f t="shared" ref="F12:X12" si="8">F13+F14</f>
        <v>230007.59999999998</v>
      </c>
      <c r="G12" s="8">
        <f t="shared" si="8"/>
        <v>441342.43000000005</v>
      </c>
      <c r="H12" s="8">
        <f t="shared" si="8"/>
        <v>97535.66</v>
      </c>
      <c r="I12" s="8">
        <f t="shared" si="8"/>
        <v>22836.809999999998</v>
      </c>
      <c r="J12" s="8">
        <f t="shared" si="8"/>
        <v>29010.959999999999</v>
      </c>
      <c r="K12" s="8">
        <f t="shared" si="8"/>
        <v>119891.66999999998</v>
      </c>
      <c r="L12" s="8">
        <f t="shared" si="8"/>
        <v>140871.31</v>
      </c>
      <c r="M12" s="8">
        <f t="shared" si="8"/>
        <v>569028.24</v>
      </c>
      <c r="N12" s="8">
        <f t="shared" si="8"/>
        <v>44910.29</v>
      </c>
      <c r="O12" s="8">
        <f t="shared" si="8"/>
        <v>61172.5</v>
      </c>
      <c r="P12" s="8">
        <f t="shared" si="8"/>
        <v>170255.52000000002</v>
      </c>
      <c r="Q12" s="8">
        <f t="shared" si="8"/>
        <v>8424</v>
      </c>
      <c r="R12" s="8">
        <f t="shared" si="8"/>
        <v>202785.12</v>
      </c>
      <c r="S12" s="8">
        <f t="shared" si="8"/>
        <v>68586.91</v>
      </c>
      <c r="T12" s="8">
        <f t="shared" si="8"/>
        <v>68224.03</v>
      </c>
      <c r="U12" s="8">
        <f t="shared" si="8"/>
        <v>103051.44</v>
      </c>
      <c r="V12" s="8">
        <f t="shared" si="8"/>
        <v>136604.88</v>
      </c>
      <c r="W12" s="8">
        <f t="shared" si="8"/>
        <v>12958.7</v>
      </c>
      <c r="X12" s="8">
        <f t="shared" si="8"/>
        <v>65492.07</v>
      </c>
      <c r="Y12" s="8">
        <f t="shared" si="7"/>
        <v>2750972.54</v>
      </c>
      <c r="Z12" s="9"/>
    </row>
    <row r="13" spans="1:26" s="13" customFormat="1">
      <c r="A13" s="5" t="s">
        <v>50</v>
      </c>
      <c r="B13" s="49" t="s">
        <v>584</v>
      </c>
      <c r="C13" s="12" t="s">
        <v>35</v>
      </c>
      <c r="D13" s="9" t="s">
        <v>51</v>
      </c>
      <c r="E13" s="8">
        <f>ROUND(E28/0.07*0.00256,2)</f>
        <v>53496.69</v>
      </c>
      <c r="F13" s="8">
        <f>ROUND(F28/0.07*0.00256,2)</f>
        <v>77886.17</v>
      </c>
      <c r="G13" s="8">
        <f t="shared" ref="G13:X13" si="9">ROUND(G28/0.07*0.00256,2)</f>
        <v>149449.29</v>
      </c>
      <c r="H13" s="8">
        <f t="shared" si="9"/>
        <v>33027.949999999997</v>
      </c>
      <c r="I13" s="8">
        <f t="shared" si="9"/>
        <v>7733.1</v>
      </c>
      <c r="J13" s="8">
        <f t="shared" si="9"/>
        <v>9823.82</v>
      </c>
      <c r="K13" s="8">
        <f t="shared" si="9"/>
        <v>40598.239999999998</v>
      </c>
      <c r="L13" s="8">
        <f t="shared" si="9"/>
        <v>47702.45</v>
      </c>
      <c r="M13" s="8">
        <f t="shared" si="9"/>
        <v>192686.81</v>
      </c>
      <c r="N13" s="8">
        <f t="shared" si="9"/>
        <v>15207.72</v>
      </c>
      <c r="O13" s="8">
        <f t="shared" si="9"/>
        <v>20714.5</v>
      </c>
      <c r="P13" s="8">
        <f t="shared" si="9"/>
        <v>57652.66</v>
      </c>
      <c r="Q13" s="8">
        <f t="shared" si="9"/>
        <v>2852.57</v>
      </c>
      <c r="R13" s="8">
        <f t="shared" si="9"/>
        <v>68667.98</v>
      </c>
      <c r="S13" s="8">
        <f t="shared" si="9"/>
        <v>23225.200000000001</v>
      </c>
      <c r="T13" s="8">
        <f t="shared" si="9"/>
        <v>23102.32</v>
      </c>
      <c r="U13" s="8">
        <f t="shared" si="9"/>
        <v>34895.730000000003</v>
      </c>
      <c r="V13" s="8">
        <f t="shared" si="9"/>
        <v>46257.74</v>
      </c>
      <c r="W13" s="8">
        <f t="shared" si="9"/>
        <v>4388.13</v>
      </c>
      <c r="X13" s="8">
        <f t="shared" si="9"/>
        <v>22177.21</v>
      </c>
      <c r="Y13" s="8">
        <f t="shared" si="7"/>
        <v>931546.2799999998</v>
      </c>
      <c r="Z13" s="9"/>
    </row>
    <row r="14" spans="1:26" s="13" customFormat="1">
      <c r="A14" s="5" t="s">
        <v>52</v>
      </c>
      <c r="B14" s="49" t="s">
        <v>585</v>
      </c>
      <c r="C14" s="12" t="s">
        <v>35</v>
      </c>
      <c r="D14" s="9" t="s">
        <v>51</v>
      </c>
      <c r="E14" s="8">
        <f>ROUND(E28/0.07*0.005,2)</f>
        <v>104485.71</v>
      </c>
      <c r="F14" s="8">
        <f>ROUND(F28/0.07*0.005,2)</f>
        <v>152121.43</v>
      </c>
      <c r="G14" s="8">
        <f t="shared" ref="G14:X14" si="10">ROUND(G28/0.07*0.005,2)</f>
        <v>291893.14</v>
      </c>
      <c r="H14" s="8">
        <f t="shared" si="10"/>
        <v>64507.71</v>
      </c>
      <c r="I14" s="8">
        <f t="shared" si="10"/>
        <v>15103.71</v>
      </c>
      <c r="J14" s="8">
        <f t="shared" si="10"/>
        <v>19187.14</v>
      </c>
      <c r="K14" s="8">
        <f t="shared" si="10"/>
        <v>79293.429999999993</v>
      </c>
      <c r="L14" s="8">
        <f t="shared" si="10"/>
        <v>93168.86</v>
      </c>
      <c r="M14" s="8">
        <f t="shared" si="10"/>
        <v>376341.43</v>
      </c>
      <c r="N14" s="8">
        <f t="shared" si="10"/>
        <v>29702.57</v>
      </c>
      <c r="O14" s="8">
        <f t="shared" si="10"/>
        <v>40458</v>
      </c>
      <c r="P14" s="8">
        <f t="shared" si="10"/>
        <v>112602.86</v>
      </c>
      <c r="Q14" s="8">
        <f t="shared" si="10"/>
        <v>5571.43</v>
      </c>
      <c r="R14" s="8">
        <f t="shared" si="10"/>
        <v>134117.14000000001</v>
      </c>
      <c r="S14" s="8">
        <f t="shared" si="10"/>
        <v>45361.71</v>
      </c>
      <c r="T14" s="8">
        <f t="shared" si="10"/>
        <v>45121.71</v>
      </c>
      <c r="U14" s="8">
        <f t="shared" si="10"/>
        <v>68155.710000000006</v>
      </c>
      <c r="V14" s="8">
        <f t="shared" si="10"/>
        <v>90347.14</v>
      </c>
      <c r="W14" s="8">
        <f t="shared" si="10"/>
        <v>8570.57</v>
      </c>
      <c r="X14" s="8">
        <f t="shared" si="10"/>
        <v>43314.86</v>
      </c>
      <c r="Y14" s="8">
        <f t="shared" si="7"/>
        <v>1819426.26</v>
      </c>
      <c r="Z14" s="9"/>
    </row>
    <row r="15" spans="1:26">
      <c r="A15" s="5" t="s">
        <v>53</v>
      </c>
      <c r="B15" s="6" t="s">
        <v>55</v>
      </c>
      <c r="C15" s="6"/>
      <c r="D15" s="7" t="s">
        <v>28</v>
      </c>
      <c r="E15" s="8">
        <v>18364800</v>
      </c>
      <c r="F15" s="8">
        <v>26399400</v>
      </c>
      <c r="G15" s="8">
        <v>53372700</v>
      </c>
      <c r="H15" s="8">
        <v>11478000</v>
      </c>
      <c r="I15" s="8">
        <v>2793600</v>
      </c>
      <c r="J15" s="8">
        <v>3666600</v>
      </c>
      <c r="K15" s="8">
        <v>13793400</v>
      </c>
      <c r="L15" s="8">
        <v>17110800</v>
      </c>
      <c r="M15" s="8">
        <v>65615900</v>
      </c>
      <c r="N15" s="8">
        <v>5063400</v>
      </c>
      <c r="O15" s="8">
        <v>7507800</v>
      </c>
      <c r="P15" s="8">
        <v>18938700</v>
      </c>
      <c r="Q15" s="8">
        <v>1047600</v>
      </c>
      <c r="R15" s="8">
        <v>23721200</v>
      </c>
      <c r="S15" s="8">
        <v>7857000</v>
      </c>
      <c r="T15" s="8">
        <v>8417200</v>
      </c>
      <c r="U15" s="8">
        <v>11860600</v>
      </c>
      <c r="V15" s="8">
        <v>14921400</v>
      </c>
      <c r="W15" s="8">
        <v>1299900</v>
      </c>
      <c r="X15" s="8">
        <v>8380800</v>
      </c>
      <c r="Y15" s="8">
        <f t="shared" si="7"/>
        <v>321610800</v>
      </c>
      <c r="Z15" s="9"/>
    </row>
    <row r="16" spans="1:26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18158340</v>
      </c>
      <c r="F16" s="16">
        <f t="shared" ref="F16:X16" si="11">F15-F17</f>
        <v>25898912</v>
      </c>
      <c r="G16" s="16">
        <f t="shared" si="11"/>
        <v>52901236</v>
      </c>
      <c r="H16" s="16">
        <f t="shared" si="11"/>
        <v>11078016</v>
      </c>
      <c r="I16" s="16">
        <f t="shared" si="11"/>
        <v>2614464</v>
      </c>
      <c r="J16" s="16">
        <f t="shared" si="11"/>
        <v>3666600</v>
      </c>
      <c r="K16" s="16">
        <f t="shared" si="11"/>
        <v>13793400</v>
      </c>
      <c r="L16" s="16">
        <f t="shared" si="11"/>
        <v>16828656</v>
      </c>
      <c r="M16" s="16">
        <f t="shared" si="11"/>
        <v>65038224</v>
      </c>
      <c r="N16" s="16">
        <f t="shared" si="11"/>
        <v>4880704</v>
      </c>
      <c r="O16" s="16">
        <f t="shared" si="11"/>
        <v>7323856</v>
      </c>
      <c r="P16" s="16">
        <f t="shared" si="11"/>
        <v>18716388</v>
      </c>
      <c r="Q16" s="16">
        <f t="shared" si="11"/>
        <v>892244</v>
      </c>
      <c r="R16" s="16">
        <f t="shared" si="11"/>
        <v>23504600</v>
      </c>
      <c r="S16" s="16">
        <f t="shared" si="11"/>
        <v>7679164</v>
      </c>
      <c r="T16" s="16">
        <f t="shared" si="11"/>
        <v>8251128</v>
      </c>
      <c r="U16" s="16">
        <f t="shared" si="11"/>
        <v>11463016</v>
      </c>
      <c r="V16" s="16">
        <f t="shared" si="11"/>
        <v>14727620</v>
      </c>
      <c r="W16" s="16">
        <f t="shared" si="11"/>
        <v>1299900</v>
      </c>
      <c r="X16" s="16">
        <f t="shared" si="11"/>
        <v>8199496</v>
      </c>
      <c r="Y16" s="8">
        <f t="shared" si="7"/>
        <v>316915964</v>
      </c>
      <c r="Z16" s="15"/>
    </row>
    <row r="17" spans="1:26">
      <c r="A17" s="5" t="s">
        <v>56</v>
      </c>
      <c r="B17" s="14" t="s">
        <v>60</v>
      </c>
      <c r="C17" s="14" t="s">
        <v>35</v>
      </c>
      <c r="D17" s="15" t="s">
        <v>61</v>
      </c>
      <c r="E17" s="16">
        <v>206460</v>
      </c>
      <c r="F17" s="16">
        <v>500488</v>
      </c>
      <c r="G17" s="16">
        <v>471464</v>
      </c>
      <c r="H17" s="16">
        <v>399984</v>
      </c>
      <c r="I17" s="16">
        <v>179136</v>
      </c>
      <c r="J17" s="16"/>
      <c r="K17" s="16"/>
      <c r="L17" s="16">
        <v>282144</v>
      </c>
      <c r="M17" s="16">
        <v>577676</v>
      </c>
      <c r="N17" s="16">
        <v>182696</v>
      </c>
      <c r="O17" s="16">
        <v>183944</v>
      </c>
      <c r="P17" s="16">
        <v>222312</v>
      </c>
      <c r="Q17" s="16">
        <f>(2825+9288)*12+2000*5</f>
        <v>155356</v>
      </c>
      <c r="R17" s="16">
        <v>216600</v>
      </c>
      <c r="S17" s="16">
        <v>177836</v>
      </c>
      <c r="T17" s="16">
        <v>166072</v>
      </c>
      <c r="U17" s="16">
        <v>397584</v>
      </c>
      <c r="V17" s="16">
        <v>193780</v>
      </c>
      <c r="W17" s="16"/>
      <c r="X17" s="16">
        <v>181304</v>
      </c>
      <c r="Y17" s="8">
        <f t="shared" si="7"/>
        <v>4694836</v>
      </c>
      <c r="Z17" s="15"/>
    </row>
    <row r="18" spans="1:26">
      <c r="A18" s="5" t="s">
        <v>59</v>
      </c>
      <c r="B18" s="6" t="s">
        <v>63</v>
      </c>
      <c r="C18" s="6"/>
      <c r="D18" s="15" t="s">
        <v>28</v>
      </c>
      <c r="E18" s="17">
        <f>E19</f>
        <v>2194200</v>
      </c>
      <c r="F18" s="17">
        <f>F19</f>
        <v>3194550</v>
      </c>
      <c r="G18" s="17">
        <f t="shared" ref="G18:X18" si="12">G19</f>
        <v>6129756</v>
      </c>
      <c r="H18" s="17">
        <f t="shared" si="12"/>
        <v>1354662</v>
      </c>
      <c r="I18" s="17">
        <f t="shared" si="12"/>
        <v>317178</v>
      </c>
      <c r="J18" s="17">
        <f t="shared" si="12"/>
        <v>402930</v>
      </c>
      <c r="K18" s="17">
        <f t="shared" si="12"/>
        <v>1665162</v>
      </c>
      <c r="L18" s="17">
        <f t="shared" si="12"/>
        <v>1956546</v>
      </c>
      <c r="M18" s="17">
        <f t="shared" si="12"/>
        <v>7903170</v>
      </c>
      <c r="N18" s="17">
        <f t="shared" si="12"/>
        <v>623754</v>
      </c>
      <c r="O18" s="17">
        <f t="shared" si="12"/>
        <v>849618</v>
      </c>
      <c r="P18" s="17">
        <f t="shared" si="12"/>
        <v>2364660</v>
      </c>
      <c r="Q18" s="17">
        <f t="shared" si="12"/>
        <v>117000</v>
      </c>
      <c r="R18" s="17">
        <f t="shared" si="12"/>
        <v>2816460</v>
      </c>
      <c r="S18" s="17">
        <f t="shared" si="12"/>
        <v>952596</v>
      </c>
      <c r="T18" s="17">
        <f t="shared" si="12"/>
        <v>947556</v>
      </c>
      <c r="U18" s="17">
        <f t="shared" si="12"/>
        <v>1431270</v>
      </c>
      <c r="V18" s="17">
        <f t="shared" si="12"/>
        <v>1897290</v>
      </c>
      <c r="W18" s="17">
        <f t="shared" si="12"/>
        <v>179982</v>
      </c>
      <c r="X18" s="17">
        <f t="shared" si="12"/>
        <v>909612</v>
      </c>
      <c r="Y18" s="8">
        <f t="shared" si="7"/>
        <v>38207952</v>
      </c>
      <c r="Z18" s="15"/>
    </row>
    <row r="19" spans="1:26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2194200</v>
      </c>
      <c r="F19" s="17">
        <f>ROUND(F28/0.07*0.105,2)</f>
        <v>3194550</v>
      </c>
      <c r="G19" s="17">
        <f t="shared" ref="G19:X19" si="13">ROUND(G28/0.07*0.105,2)</f>
        <v>6129756</v>
      </c>
      <c r="H19" s="17">
        <f t="shared" si="13"/>
        <v>1354662</v>
      </c>
      <c r="I19" s="17">
        <f t="shared" si="13"/>
        <v>317178</v>
      </c>
      <c r="J19" s="17">
        <f t="shared" si="13"/>
        <v>402930</v>
      </c>
      <c r="K19" s="17">
        <f t="shared" si="13"/>
        <v>1665162</v>
      </c>
      <c r="L19" s="17">
        <f t="shared" si="13"/>
        <v>1956546</v>
      </c>
      <c r="M19" s="17">
        <f t="shared" si="13"/>
        <v>7903170</v>
      </c>
      <c r="N19" s="17">
        <f t="shared" si="13"/>
        <v>623754</v>
      </c>
      <c r="O19" s="17">
        <f t="shared" si="13"/>
        <v>849618</v>
      </c>
      <c r="P19" s="17">
        <f t="shared" si="13"/>
        <v>2364660</v>
      </c>
      <c r="Q19" s="17">
        <f t="shared" si="13"/>
        <v>117000</v>
      </c>
      <c r="R19" s="17">
        <f t="shared" si="13"/>
        <v>2816460</v>
      </c>
      <c r="S19" s="17">
        <f t="shared" si="13"/>
        <v>952596</v>
      </c>
      <c r="T19" s="17">
        <f t="shared" si="13"/>
        <v>947556</v>
      </c>
      <c r="U19" s="17">
        <f t="shared" si="13"/>
        <v>1431270</v>
      </c>
      <c r="V19" s="17">
        <f t="shared" si="13"/>
        <v>1897290</v>
      </c>
      <c r="W19" s="17">
        <f t="shared" si="13"/>
        <v>179982</v>
      </c>
      <c r="X19" s="17">
        <f t="shared" si="13"/>
        <v>909612</v>
      </c>
      <c r="Y19" s="8">
        <f t="shared" si="7"/>
        <v>38207952</v>
      </c>
      <c r="Z19" s="15"/>
    </row>
    <row r="20" spans="1:26">
      <c r="A20" s="5" t="s">
        <v>64</v>
      </c>
      <c r="B20" s="6" t="s">
        <v>68</v>
      </c>
      <c r="C20" s="6"/>
      <c r="D20" s="15" t="s">
        <v>51</v>
      </c>
      <c r="E20" s="17">
        <f>E21+E22</f>
        <v>835885.72</v>
      </c>
      <c r="F20" s="17">
        <f>F21+F22</f>
        <v>1216971.42</v>
      </c>
      <c r="G20" s="17">
        <f t="shared" ref="G20:X20" si="14">G21+G22</f>
        <v>2335145.14</v>
      </c>
      <c r="H20" s="17">
        <f t="shared" si="14"/>
        <v>516061.72</v>
      </c>
      <c r="I20" s="17">
        <f t="shared" si="14"/>
        <v>120829.72</v>
      </c>
      <c r="J20" s="17">
        <f t="shared" si="14"/>
        <v>153497.14000000001</v>
      </c>
      <c r="K20" s="17">
        <f t="shared" si="14"/>
        <v>634347.42000000004</v>
      </c>
      <c r="L20" s="17">
        <f t="shared" si="14"/>
        <v>745350.86</v>
      </c>
      <c r="M20" s="17">
        <f t="shared" si="14"/>
        <v>3010731.42</v>
      </c>
      <c r="N20" s="17">
        <f t="shared" si="14"/>
        <v>237620.58</v>
      </c>
      <c r="O20" s="17">
        <f t="shared" si="14"/>
        <v>323664</v>
      </c>
      <c r="P20" s="17">
        <f t="shared" si="14"/>
        <v>900822.86</v>
      </c>
      <c r="Q20" s="17">
        <f t="shared" si="14"/>
        <v>44571.42</v>
      </c>
      <c r="R20" s="17">
        <f t="shared" si="14"/>
        <v>1072937.1399999999</v>
      </c>
      <c r="S20" s="17">
        <f t="shared" si="14"/>
        <v>362893.72</v>
      </c>
      <c r="T20" s="17">
        <f t="shared" si="14"/>
        <v>360973.72</v>
      </c>
      <c r="U20" s="17">
        <f t="shared" si="14"/>
        <v>545245.72</v>
      </c>
      <c r="V20" s="17">
        <f t="shared" si="14"/>
        <v>722777.14</v>
      </c>
      <c r="W20" s="17">
        <f t="shared" si="14"/>
        <v>68564.58</v>
      </c>
      <c r="X20" s="17">
        <f t="shared" si="14"/>
        <v>346518.86</v>
      </c>
      <c r="Y20" s="8">
        <f t="shared" si="7"/>
        <v>14555410.300000001</v>
      </c>
      <c r="Z20" s="15"/>
    </row>
    <row r="21" spans="1:26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417942.86</v>
      </c>
      <c r="F21" s="17">
        <f>ROUND(F28/0.07*0.02,2)</f>
        <v>608485.71</v>
      </c>
      <c r="G21" s="17">
        <f t="shared" ref="G21:X21" si="15">ROUND(G28/0.07*0.02,2)</f>
        <v>1167572.57</v>
      </c>
      <c r="H21" s="17">
        <f t="shared" si="15"/>
        <v>258030.86</v>
      </c>
      <c r="I21" s="17">
        <f t="shared" si="15"/>
        <v>60414.86</v>
      </c>
      <c r="J21" s="17">
        <f t="shared" si="15"/>
        <v>76748.570000000007</v>
      </c>
      <c r="K21" s="17">
        <f t="shared" si="15"/>
        <v>317173.71000000002</v>
      </c>
      <c r="L21" s="17">
        <f t="shared" si="15"/>
        <v>372675.43</v>
      </c>
      <c r="M21" s="17">
        <f t="shared" si="15"/>
        <v>1505365.71</v>
      </c>
      <c r="N21" s="17">
        <f t="shared" si="15"/>
        <v>118810.29</v>
      </c>
      <c r="O21" s="17">
        <f t="shared" si="15"/>
        <v>161832</v>
      </c>
      <c r="P21" s="17">
        <f t="shared" si="15"/>
        <v>450411.43</v>
      </c>
      <c r="Q21" s="17">
        <f t="shared" si="15"/>
        <v>22285.71</v>
      </c>
      <c r="R21" s="17">
        <f t="shared" si="15"/>
        <v>536468.56999999995</v>
      </c>
      <c r="S21" s="17">
        <f t="shared" si="15"/>
        <v>181446.86</v>
      </c>
      <c r="T21" s="17">
        <f t="shared" si="15"/>
        <v>180486.86</v>
      </c>
      <c r="U21" s="17">
        <f t="shared" si="15"/>
        <v>272622.86</v>
      </c>
      <c r="V21" s="17">
        <f t="shared" si="15"/>
        <v>361388.57</v>
      </c>
      <c r="W21" s="17">
        <f t="shared" si="15"/>
        <v>34282.29</v>
      </c>
      <c r="X21" s="17">
        <f t="shared" si="15"/>
        <v>173259.43</v>
      </c>
      <c r="Y21" s="8">
        <f t="shared" si="7"/>
        <v>7277705.1500000004</v>
      </c>
      <c r="Z21" s="15"/>
    </row>
    <row r="22" spans="1:26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417942.86</v>
      </c>
      <c r="F22" s="17">
        <f>ROUND(F28/0.07*0.02,2)</f>
        <v>608485.71</v>
      </c>
      <c r="G22" s="17">
        <f t="shared" ref="G22:X22" si="16">ROUND(G28/0.07*0.02,2)</f>
        <v>1167572.57</v>
      </c>
      <c r="H22" s="17">
        <f t="shared" si="16"/>
        <v>258030.86</v>
      </c>
      <c r="I22" s="17">
        <f t="shared" si="16"/>
        <v>60414.86</v>
      </c>
      <c r="J22" s="17">
        <f t="shared" si="16"/>
        <v>76748.570000000007</v>
      </c>
      <c r="K22" s="17">
        <f t="shared" si="16"/>
        <v>317173.71000000002</v>
      </c>
      <c r="L22" s="17">
        <f t="shared" si="16"/>
        <v>372675.43</v>
      </c>
      <c r="M22" s="17">
        <f t="shared" si="16"/>
        <v>1505365.71</v>
      </c>
      <c r="N22" s="17">
        <f t="shared" si="16"/>
        <v>118810.29</v>
      </c>
      <c r="O22" s="17">
        <f t="shared" si="16"/>
        <v>161832</v>
      </c>
      <c r="P22" s="17">
        <f t="shared" si="16"/>
        <v>450411.43</v>
      </c>
      <c r="Q22" s="17">
        <f t="shared" si="16"/>
        <v>22285.71</v>
      </c>
      <c r="R22" s="17">
        <f t="shared" si="16"/>
        <v>536468.56999999995</v>
      </c>
      <c r="S22" s="17">
        <f t="shared" si="16"/>
        <v>181446.86</v>
      </c>
      <c r="T22" s="17">
        <f t="shared" si="16"/>
        <v>180486.86</v>
      </c>
      <c r="U22" s="17">
        <f t="shared" si="16"/>
        <v>272622.86</v>
      </c>
      <c r="V22" s="17">
        <f t="shared" si="16"/>
        <v>361388.57</v>
      </c>
      <c r="W22" s="17">
        <f t="shared" si="16"/>
        <v>34282.29</v>
      </c>
      <c r="X22" s="17">
        <f t="shared" si="16"/>
        <v>173259.43</v>
      </c>
      <c r="Y22" s="8">
        <f t="shared" si="7"/>
        <v>7277705.1500000004</v>
      </c>
      <c r="Z22" s="15"/>
    </row>
    <row r="23" spans="1:26">
      <c r="A23" s="5" t="s">
        <v>72</v>
      </c>
      <c r="B23" s="6" t="s">
        <v>75</v>
      </c>
      <c r="C23" s="6"/>
      <c r="D23" s="7" t="s">
        <v>28</v>
      </c>
      <c r="E23" s="8">
        <f>E24</f>
        <v>3343542.86</v>
      </c>
      <c r="F23" s="8">
        <f>F24</f>
        <v>4867885.71</v>
      </c>
      <c r="G23" s="8">
        <f t="shared" ref="G23:X23" si="17">G24</f>
        <v>9340580.5700000003</v>
      </c>
      <c r="H23" s="8">
        <f t="shared" si="17"/>
        <v>2064246.86</v>
      </c>
      <c r="I23" s="8">
        <f t="shared" si="17"/>
        <v>483318.86</v>
      </c>
      <c r="J23" s="8">
        <f t="shared" si="17"/>
        <v>613988.56999999995</v>
      </c>
      <c r="K23" s="8">
        <f t="shared" si="17"/>
        <v>2537389.71</v>
      </c>
      <c r="L23" s="8">
        <f t="shared" si="17"/>
        <v>2981403.43</v>
      </c>
      <c r="M23" s="8">
        <f t="shared" si="17"/>
        <v>12042925.710000001</v>
      </c>
      <c r="N23" s="8">
        <f t="shared" si="17"/>
        <v>950482.29</v>
      </c>
      <c r="O23" s="8">
        <f t="shared" si="17"/>
        <v>1294656</v>
      </c>
      <c r="P23" s="8">
        <f t="shared" si="17"/>
        <v>3603291.43</v>
      </c>
      <c r="Q23" s="8">
        <f t="shared" si="17"/>
        <v>178285.71</v>
      </c>
      <c r="R23" s="8">
        <f t="shared" si="17"/>
        <v>4291748.57</v>
      </c>
      <c r="S23" s="8">
        <f t="shared" si="17"/>
        <v>1451574.86</v>
      </c>
      <c r="T23" s="8">
        <f t="shared" si="17"/>
        <v>1443894.86</v>
      </c>
      <c r="U23" s="8">
        <f t="shared" si="17"/>
        <v>2180982.86</v>
      </c>
      <c r="V23" s="8">
        <f t="shared" si="17"/>
        <v>2891108.57</v>
      </c>
      <c r="W23" s="8">
        <f t="shared" si="17"/>
        <v>274258.28999999998</v>
      </c>
      <c r="X23" s="8">
        <f t="shared" si="17"/>
        <v>1386075.43</v>
      </c>
      <c r="Y23" s="8">
        <f t="shared" si="7"/>
        <v>58221641.149999999</v>
      </c>
      <c r="Z23" s="9"/>
    </row>
    <row r="24" spans="1:26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3343542.86</v>
      </c>
      <c r="F24" s="8">
        <f>ROUND(F28/0.07*0.16,2)</f>
        <v>4867885.71</v>
      </c>
      <c r="G24" s="8">
        <f t="shared" ref="G24:X24" si="18">ROUND(G28/0.07*0.16,2)</f>
        <v>9340580.5700000003</v>
      </c>
      <c r="H24" s="8">
        <f t="shared" si="18"/>
        <v>2064246.86</v>
      </c>
      <c r="I24" s="8">
        <f t="shared" si="18"/>
        <v>483318.86</v>
      </c>
      <c r="J24" s="8">
        <f t="shared" si="18"/>
        <v>613988.56999999995</v>
      </c>
      <c r="K24" s="8">
        <f t="shared" si="18"/>
        <v>2537389.71</v>
      </c>
      <c r="L24" s="8">
        <f t="shared" si="18"/>
        <v>2981403.43</v>
      </c>
      <c r="M24" s="8">
        <f t="shared" si="18"/>
        <v>12042925.710000001</v>
      </c>
      <c r="N24" s="8">
        <f t="shared" si="18"/>
        <v>950482.29</v>
      </c>
      <c r="O24" s="8">
        <f t="shared" si="18"/>
        <v>1294656</v>
      </c>
      <c r="P24" s="8">
        <f t="shared" si="18"/>
        <v>3603291.43</v>
      </c>
      <c r="Q24" s="8">
        <f t="shared" si="18"/>
        <v>178285.71</v>
      </c>
      <c r="R24" s="8">
        <f t="shared" si="18"/>
        <v>4291748.57</v>
      </c>
      <c r="S24" s="8">
        <f t="shared" si="18"/>
        <v>1451574.86</v>
      </c>
      <c r="T24" s="8">
        <f t="shared" si="18"/>
        <v>1443894.86</v>
      </c>
      <c r="U24" s="8">
        <f t="shared" si="18"/>
        <v>2180982.86</v>
      </c>
      <c r="V24" s="8">
        <f t="shared" si="18"/>
        <v>2891108.57</v>
      </c>
      <c r="W24" s="8">
        <f t="shared" si="18"/>
        <v>274258.28999999998</v>
      </c>
      <c r="X24" s="8">
        <f t="shared" si="18"/>
        <v>1386075.43</v>
      </c>
      <c r="Y24" s="8">
        <f t="shared" si="7"/>
        <v>58221641.149999999</v>
      </c>
      <c r="Z24" s="9"/>
    </row>
    <row r="25" spans="1:26">
      <c r="A25" s="5" t="s">
        <v>76</v>
      </c>
      <c r="B25" s="6" t="s">
        <v>80</v>
      </c>
      <c r="C25" s="6"/>
      <c r="D25" s="7" t="s">
        <v>28</v>
      </c>
      <c r="E25" s="8">
        <f>E26</f>
        <v>1671771.43</v>
      </c>
      <c r="F25" s="8">
        <f>F26</f>
        <v>2433942.86</v>
      </c>
      <c r="G25" s="8">
        <f t="shared" ref="G25:X25" si="19">G26</f>
        <v>4670290.29</v>
      </c>
      <c r="H25" s="8">
        <f t="shared" si="19"/>
        <v>1032123.43</v>
      </c>
      <c r="I25" s="8">
        <f t="shared" si="19"/>
        <v>241659.43</v>
      </c>
      <c r="J25" s="8">
        <f t="shared" si="19"/>
        <v>306994.28999999998</v>
      </c>
      <c r="K25" s="8">
        <f t="shared" si="19"/>
        <v>1268694.8600000001</v>
      </c>
      <c r="L25" s="8">
        <f t="shared" si="19"/>
        <v>1490701.71</v>
      </c>
      <c r="M25" s="8">
        <f t="shared" si="19"/>
        <v>6021462.8600000003</v>
      </c>
      <c r="N25" s="8">
        <f t="shared" si="19"/>
        <v>475241.14</v>
      </c>
      <c r="O25" s="8">
        <f t="shared" si="19"/>
        <v>647328</v>
      </c>
      <c r="P25" s="8">
        <f t="shared" si="19"/>
        <v>1801645.71</v>
      </c>
      <c r="Q25" s="8">
        <f t="shared" si="19"/>
        <v>89142.86</v>
      </c>
      <c r="R25" s="8">
        <f t="shared" si="19"/>
        <v>2145874.29</v>
      </c>
      <c r="S25" s="8">
        <f t="shared" si="19"/>
        <v>725787.43</v>
      </c>
      <c r="T25" s="8">
        <f t="shared" si="19"/>
        <v>721947.43</v>
      </c>
      <c r="U25" s="8">
        <f t="shared" si="19"/>
        <v>1090491.43</v>
      </c>
      <c r="V25" s="8">
        <f t="shared" si="19"/>
        <v>1445554.29</v>
      </c>
      <c r="W25" s="8">
        <f t="shared" si="19"/>
        <v>137129.14000000001</v>
      </c>
      <c r="X25" s="8">
        <f t="shared" si="19"/>
        <v>693037.71</v>
      </c>
      <c r="Y25" s="8">
        <f t="shared" si="7"/>
        <v>29110820.589999996</v>
      </c>
      <c r="Z25" s="9"/>
    </row>
    <row r="26" spans="1:26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1671771.43</v>
      </c>
      <c r="F26" s="8">
        <f>ROUND(F28/0.07*0.08,2)</f>
        <v>2433942.86</v>
      </c>
      <c r="G26" s="8">
        <f t="shared" ref="G26:X26" si="20">ROUND(G28/0.07*0.08,2)</f>
        <v>4670290.29</v>
      </c>
      <c r="H26" s="8">
        <f t="shared" si="20"/>
        <v>1032123.43</v>
      </c>
      <c r="I26" s="8">
        <f t="shared" si="20"/>
        <v>241659.43</v>
      </c>
      <c r="J26" s="8">
        <f t="shared" si="20"/>
        <v>306994.28999999998</v>
      </c>
      <c r="K26" s="8">
        <f t="shared" si="20"/>
        <v>1268694.8600000001</v>
      </c>
      <c r="L26" s="8">
        <f t="shared" si="20"/>
        <v>1490701.71</v>
      </c>
      <c r="M26" s="8">
        <f t="shared" si="20"/>
        <v>6021462.8600000003</v>
      </c>
      <c r="N26" s="8">
        <f t="shared" si="20"/>
        <v>475241.14</v>
      </c>
      <c r="O26" s="8">
        <f t="shared" si="20"/>
        <v>647328</v>
      </c>
      <c r="P26" s="8">
        <f t="shared" si="20"/>
        <v>1801645.71</v>
      </c>
      <c r="Q26" s="8">
        <f t="shared" si="20"/>
        <v>89142.86</v>
      </c>
      <c r="R26" s="8">
        <f t="shared" si="20"/>
        <v>2145874.29</v>
      </c>
      <c r="S26" s="8">
        <f t="shared" si="20"/>
        <v>725787.43</v>
      </c>
      <c r="T26" s="8">
        <f t="shared" si="20"/>
        <v>721947.43</v>
      </c>
      <c r="U26" s="8">
        <f t="shared" si="20"/>
        <v>1090491.43</v>
      </c>
      <c r="V26" s="8">
        <f t="shared" si="20"/>
        <v>1445554.29</v>
      </c>
      <c r="W26" s="8">
        <f t="shared" si="20"/>
        <v>137129.14000000001</v>
      </c>
      <c r="X26" s="8">
        <f t="shared" si="20"/>
        <v>693037.71</v>
      </c>
      <c r="Y26" s="8">
        <f t="shared" si="7"/>
        <v>29110820.589999996</v>
      </c>
      <c r="Z26" s="9"/>
    </row>
    <row r="27" spans="1:26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576000</v>
      </c>
      <c r="F27" s="8">
        <f>6000*F93</f>
        <v>828000</v>
      </c>
      <c r="G27" s="8">
        <f t="shared" ref="G27:Y27" si="21">6000*G93</f>
        <v>1674000</v>
      </c>
      <c r="H27" s="8">
        <f t="shared" si="21"/>
        <v>360000</v>
      </c>
      <c r="I27" s="8">
        <f t="shared" si="21"/>
        <v>96000</v>
      </c>
      <c r="J27" s="8">
        <f t="shared" si="21"/>
        <v>126000</v>
      </c>
      <c r="K27" s="8">
        <f t="shared" si="21"/>
        <v>474000</v>
      </c>
      <c r="L27" s="8">
        <f t="shared" si="21"/>
        <v>588000</v>
      </c>
      <c r="M27" s="8">
        <f t="shared" si="21"/>
        <v>2058000</v>
      </c>
      <c r="N27" s="8">
        <f t="shared" si="21"/>
        <v>174000</v>
      </c>
      <c r="O27" s="8">
        <f t="shared" si="21"/>
        <v>258000</v>
      </c>
      <c r="P27" s="8">
        <f t="shared" si="21"/>
        <v>594000</v>
      </c>
      <c r="Q27" s="8">
        <f t="shared" si="21"/>
        <v>36000</v>
      </c>
      <c r="R27" s="8">
        <f t="shared" si="21"/>
        <v>744000</v>
      </c>
      <c r="S27" s="8">
        <f t="shared" si="21"/>
        <v>270000</v>
      </c>
      <c r="T27" s="8">
        <f t="shared" si="21"/>
        <v>264000</v>
      </c>
      <c r="U27" s="8">
        <f t="shared" si="21"/>
        <v>372000</v>
      </c>
      <c r="V27" s="8">
        <f t="shared" si="21"/>
        <v>468000</v>
      </c>
      <c r="W27" s="8">
        <f t="shared" si="21"/>
        <v>42000</v>
      </c>
      <c r="X27" s="8">
        <f t="shared" si="21"/>
        <v>288000</v>
      </c>
      <c r="Y27" s="8">
        <f t="shared" si="21"/>
        <v>10290000</v>
      </c>
      <c r="Z27" s="9"/>
    </row>
    <row r="28" spans="1:26">
      <c r="A28" s="5" t="s">
        <v>84</v>
      </c>
      <c r="B28" s="6" t="s">
        <v>88</v>
      </c>
      <c r="C28" s="6" t="s">
        <v>88</v>
      </c>
      <c r="D28" s="7" t="s">
        <v>89</v>
      </c>
      <c r="E28" s="16">
        <f>121900*12</f>
        <v>1462800</v>
      </c>
      <c r="F28" s="16">
        <f>177475*12</f>
        <v>2129700</v>
      </c>
      <c r="G28" s="16">
        <f>340542*12</f>
        <v>4086504</v>
      </c>
      <c r="H28" s="16">
        <f>75259*12</f>
        <v>903108</v>
      </c>
      <c r="I28" s="16">
        <f>17621*12</f>
        <v>211452</v>
      </c>
      <c r="J28" s="16">
        <f>22385*12</f>
        <v>268620</v>
      </c>
      <c r="K28" s="16">
        <f>92509*12</f>
        <v>1110108</v>
      </c>
      <c r="L28" s="16">
        <f>108697*12</f>
        <v>1304364</v>
      </c>
      <c r="M28" s="16">
        <f>439065*12</f>
        <v>5268780</v>
      </c>
      <c r="N28" s="16">
        <f>34653*12</f>
        <v>415836</v>
      </c>
      <c r="O28" s="16">
        <v>566412</v>
      </c>
      <c r="P28" s="16">
        <v>1576440</v>
      </c>
      <c r="Q28" s="16">
        <v>78000</v>
      </c>
      <c r="R28" s="16">
        <f>156470*12</f>
        <v>1877640</v>
      </c>
      <c r="S28" s="16">
        <f>52922*12</f>
        <v>635064</v>
      </c>
      <c r="T28" s="16">
        <f>52642*12</f>
        <v>631704</v>
      </c>
      <c r="U28" s="16">
        <v>954180</v>
      </c>
      <c r="V28" s="16">
        <v>1264860</v>
      </c>
      <c r="W28" s="16">
        <v>119988</v>
      </c>
      <c r="X28" s="16">
        <f>50534*12</f>
        <v>606408</v>
      </c>
      <c r="Y28" s="8">
        <f t="shared" ref="Y28:Y89" si="22">SUM(E28:X28)</f>
        <v>25471968</v>
      </c>
      <c r="Z28" s="15"/>
    </row>
    <row r="29" spans="1:26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8">
        <f t="shared" si="22"/>
        <v>0</v>
      </c>
      <c r="Z29" s="15"/>
    </row>
    <row r="30" spans="1:26">
      <c r="A30" s="5" t="s">
        <v>90</v>
      </c>
      <c r="B30" s="6" t="s">
        <v>95</v>
      </c>
      <c r="C30" s="6"/>
      <c r="D30" s="7" t="s">
        <v>28</v>
      </c>
      <c r="E30" s="8">
        <f t="shared" ref="E30:F30" si="23">E31+E39+E42+E44</f>
        <v>9480</v>
      </c>
      <c r="F30" s="8">
        <f t="shared" si="23"/>
        <v>5960</v>
      </c>
      <c r="G30" s="8">
        <f t="shared" ref="G30" si="24">G31+G39+G42+G44</f>
        <v>64021.2</v>
      </c>
      <c r="H30" s="8">
        <f t="shared" ref="H30" si="25">H31+H39+H42+H44</f>
        <v>3120</v>
      </c>
      <c r="I30" s="8">
        <f t="shared" ref="I30" si="26">I31+I39+I42+I44</f>
        <v>1120</v>
      </c>
      <c r="J30" s="8">
        <f t="shared" ref="J30" si="27">J31+J39+J42+J44</f>
        <v>2760</v>
      </c>
      <c r="K30" s="8">
        <f t="shared" ref="K30" si="28">K31+K39+K42+K44</f>
        <v>14920</v>
      </c>
      <c r="L30" s="8">
        <f t="shared" ref="L30:Q30" si="29">L31+L39+L42+L44</f>
        <v>12920</v>
      </c>
      <c r="M30" s="8">
        <f t="shared" si="29"/>
        <v>31280</v>
      </c>
      <c r="N30" s="8">
        <f t="shared" si="29"/>
        <v>5520</v>
      </c>
      <c r="O30" s="8">
        <f t="shared" si="29"/>
        <v>6360</v>
      </c>
      <c r="P30" s="8">
        <f t="shared" si="29"/>
        <v>7300</v>
      </c>
      <c r="Q30" s="8">
        <f t="shared" si="29"/>
        <v>720</v>
      </c>
      <c r="R30" s="8">
        <f>R31+R39+R42+R44</f>
        <v>13130</v>
      </c>
      <c r="S30" s="8">
        <f t="shared" ref="S30:X30" si="30">S31+S39+S42+S44</f>
        <v>3660</v>
      </c>
      <c r="T30" s="8">
        <f t="shared" si="30"/>
        <v>2600</v>
      </c>
      <c r="U30" s="8">
        <f t="shared" si="30"/>
        <v>4620</v>
      </c>
      <c r="V30" s="8">
        <f t="shared" si="30"/>
        <v>11280</v>
      </c>
      <c r="W30" s="8">
        <f t="shared" si="30"/>
        <v>360</v>
      </c>
      <c r="X30" s="8">
        <f t="shared" si="30"/>
        <v>7040</v>
      </c>
      <c r="Y30" s="8">
        <f t="shared" si="22"/>
        <v>208171.2</v>
      </c>
      <c r="Z30" s="9"/>
    </row>
    <row r="31" spans="1:26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 t="shared" ref="G31:X31" si="31">G32+G33+G34+G35+G36+G37+G38</f>
        <v>0</v>
      </c>
      <c r="H31" s="8">
        <f t="shared" si="31"/>
        <v>0</v>
      </c>
      <c r="I31" s="8">
        <f t="shared" si="31"/>
        <v>0</v>
      </c>
      <c r="J31" s="8">
        <f t="shared" si="31"/>
        <v>0</v>
      </c>
      <c r="K31" s="8">
        <f t="shared" si="31"/>
        <v>0</v>
      </c>
      <c r="L31" s="8">
        <f t="shared" si="31"/>
        <v>0</v>
      </c>
      <c r="M31" s="8">
        <f t="shared" si="31"/>
        <v>0</v>
      </c>
      <c r="N31" s="8">
        <f t="shared" si="31"/>
        <v>0</v>
      </c>
      <c r="O31" s="8">
        <f t="shared" si="31"/>
        <v>0</v>
      </c>
      <c r="P31" s="8">
        <f t="shared" si="31"/>
        <v>0</v>
      </c>
      <c r="Q31" s="8">
        <f t="shared" si="31"/>
        <v>0</v>
      </c>
      <c r="R31" s="8">
        <f t="shared" si="31"/>
        <v>0</v>
      </c>
      <c r="S31" s="8">
        <f t="shared" si="31"/>
        <v>0</v>
      </c>
      <c r="T31" s="8">
        <f t="shared" si="31"/>
        <v>0</v>
      </c>
      <c r="U31" s="8">
        <f t="shared" si="31"/>
        <v>0</v>
      </c>
      <c r="V31" s="8">
        <f t="shared" si="31"/>
        <v>0</v>
      </c>
      <c r="W31" s="8">
        <f t="shared" si="31"/>
        <v>0</v>
      </c>
      <c r="X31" s="8">
        <f t="shared" si="31"/>
        <v>0</v>
      </c>
      <c r="Y31" s="8">
        <f t="shared" si="22"/>
        <v>0</v>
      </c>
      <c r="Z31" s="9"/>
    </row>
    <row r="32" spans="1:26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8">
        <f t="shared" si="22"/>
        <v>0</v>
      </c>
      <c r="Z32" s="15"/>
    </row>
    <row r="33" spans="1:26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8">
        <f t="shared" si="22"/>
        <v>0</v>
      </c>
      <c r="Z33" s="15"/>
    </row>
    <row r="34" spans="1:26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8">
        <f t="shared" si="22"/>
        <v>0</v>
      </c>
      <c r="Z34" s="15"/>
    </row>
    <row r="35" spans="1:26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8">
        <f t="shared" si="22"/>
        <v>0</v>
      </c>
      <c r="Z35" s="15"/>
    </row>
    <row r="36" spans="1:26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8">
        <f t="shared" si="22"/>
        <v>0</v>
      </c>
      <c r="Z36" s="15"/>
    </row>
    <row r="37" spans="1:26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8">
        <f t="shared" si="22"/>
        <v>0</v>
      </c>
      <c r="Z37" s="15"/>
    </row>
    <row r="38" spans="1:26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8">
        <f t="shared" si="22"/>
        <v>0</v>
      </c>
      <c r="Z38" s="15"/>
    </row>
    <row r="39" spans="1:26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 t="shared" ref="G39:X39" si="32">G40+G41</f>
        <v>0</v>
      </c>
      <c r="H39" s="8">
        <f t="shared" si="32"/>
        <v>0</v>
      </c>
      <c r="I39" s="8">
        <f t="shared" si="32"/>
        <v>0</v>
      </c>
      <c r="J39" s="8">
        <f t="shared" si="32"/>
        <v>0</v>
      </c>
      <c r="K39" s="8">
        <f t="shared" si="32"/>
        <v>0</v>
      </c>
      <c r="L39" s="8">
        <f t="shared" si="32"/>
        <v>0</v>
      </c>
      <c r="M39" s="8">
        <f t="shared" si="32"/>
        <v>0</v>
      </c>
      <c r="N39" s="8">
        <f t="shared" si="32"/>
        <v>0</v>
      </c>
      <c r="O39" s="8">
        <f t="shared" si="32"/>
        <v>0</v>
      </c>
      <c r="P39" s="8">
        <f t="shared" si="32"/>
        <v>0</v>
      </c>
      <c r="Q39" s="8">
        <f t="shared" si="32"/>
        <v>0</v>
      </c>
      <c r="R39" s="8">
        <f t="shared" si="32"/>
        <v>0</v>
      </c>
      <c r="S39" s="8">
        <f t="shared" si="32"/>
        <v>0</v>
      </c>
      <c r="T39" s="8">
        <f t="shared" si="32"/>
        <v>0</v>
      </c>
      <c r="U39" s="8">
        <f t="shared" si="32"/>
        <v>0</v>
      </c>
      <c r="V39" s="8">
        <f t="shared" si="32"/>
        <v>0</v>
      </c>
      <c r="W39" s="8">
        <f t="shared" si="32"/>
        <v>0</v>
      </c>
      <c r="X39" s="8">
        <f t="shared" si="32"/>
        <v>0</v>
      </c>
      <c r="Y39" s="8">
        <f t="shared" si="22"/>
        <v>0</v>
      </c>
      <c r="Z39" s="9"/>
    </row>
    <row r="40" spans="1:26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8">
        <f t="shared" si="22"/>
        <v>0</v>
      </c>
      <c r="Z40" s="9"/>
    </row>
    <row r="41" spans="1:26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8">
        <f t="shared" si="22"/>
        <v>0</v>
      </c>
      <c r="Z41" s="9"/>
    </row>
    <row r="42" spans="1:26">
      <c r="A42" s="5" t="s">
        <v>118</v>
      </c>
      <c r="B42" s="6" t="s">
        <v>125</v>
      </c>
      <c r="C42" s="6"/>
      <c r="D42" s="7" t="s">
        <v>28</v>
      </c>
      <c r="E42" s="8">
        <f>E43</f>
        <v>6480</v>
      </c>
      <c r="F42" s="8">
        <f>F43</f>
        <v>3960</v>
      </c>
      <c r="G42" s="8">
        <f t="shared" ref="G42:X42" si="33">G43</f>
        <v>17280</v>
      </c>
      <c r="H42" s="8">
        <f t="shared" si="33"/>
        <v>2520</v>
      </c>
      <c r="I42" s="8">
        <f t="shared" si="33"/>
        <v>720</v>
      </c>
      <c r="J42" s="8">
        <f t="shared" si="33"/>
        <v>2160</v>
      </c>
      <c r="K42" s="8">
        <f t="shared" si="33"/>
        <v>7920</v>
      </c>
      <c r="L42" s="8">
        <f t="shared" si="33"/>
        <v>7920</v>
      </c>
      <c r="M42" s="8">
        <f t="shared" si="33"/>
        <v>20880</v>
      </c>
      <c r="N42" s="8">
        <f t="shared" si="33"/>
        <v>2520</v>
      </c>
      <c r="O42" s="8">
        <f t="shared" si="33"/>
        <v>5760</v>
      </c>
      <c r="P42" s="8">
        <f t="shared" si="33"/>
        <v>5850</v>
      </c>
      <c r="Q42" s="8">
        <f t="shared" si="33"/>
        <v>720</v>
      </c>
      <c r="R42" s="8">
        <f t="shared" si="33"/>
        <v>5130</v>
      </c>
      <c r="S42" s="8">
        <f t="shared" si="33"/>
        <v>3210</v>
      </c>
      <c r="T42" s="8">
        <f t="shared" si="33"/>
        <v>600</v>
      </c>
      <c r="U42" s="8">
        <f t="shared" si="33"/>
        <v>4320</v>
      </c>
      <c r="V42" s="8">
        <f t="shared" si="33"/>
        <v>10080</v>
      </c>
      <c r="W42" s="8">
        <f t="shared" si="33"/>
        <v>360</v>
      </c>
      <c r="X42" s="8">
        <f t="shared" si="33"/>
        <v>3390</v>
      </c>
      <c r="Y42" s="8">
        <f t="shared" si="22"/>
        <v>111780</v>
      </c>
      <c r="Z42" s="9"/>
    </row>
    <row r="43" spans="1:26">
      <c r="A43" s="5" t="s">
        <v>120</v>
      </c>
      <c r="B43" s="6" t="s">
        <v>127</v>
      </c>
      <c r="C43" s="6" t="s">
        <v>35</v>
      </c>
      <c r="D43" s="7" t="s">
        <v>36</v>
      </c>
      <c r="E43" s="10">
        <v>6480</v>
      </c>
      <c r="F43" s="10">
        <v>3960</v>
      </c>
      <c r="G43" s="10">
        <f>1440*12</f>
        <v>17280</v>
      </c>
      <c r="H43" s="10">
        <f>210*12</f>
        <v>2520</v>
      </c>
      <c r="I43" s="10">
        <f>60*12</f>
        <v>720</v>
      </c>
      <c r="J43" s="10">
        <f>180*12</f>
        <v>2160</v>
      </c>
      <c r="K43" s="10">
        <f>660*12</f>
        <v>7920</v>
      </c>
      <c r="L43" s="10">
        <f>660*12</f>
        <v>7920</v>
      </c>
      <c r="M43" s="10">
        <f>1740*12</f>
        <v>20880</v>
      </c>
      <c r="N43" s="10">
        <f>210*12</f>
        <v>2520</v>
      </c>
      <c r="O43" s="10">
        <v>5760</v>
      </c>
      <c r="P43" s="10">
        <v>5850</v>
      </c>
      <c r="Q43" s="10">
        <v>720</v>
      </c>
      <c r="R43" s="10">
        <v>5130</v>
      </c>
      <c r="S43" s="10">
        <v>3210</v>
      </c>
      <c r="T43" s="10">
        <v>600</v>
      </c>
      <c r="U43" s="10">
        <v>4320</v>
      </c>
      <c r="V43" s="10">
        <v>10080</v>
      </c>
      <c r="W43" s="10">
        <v>360</v>
      </c>
      <c r="X43" s="10">
        <v>3390</v>
      </c>
      <c r="Y43" s="8">
        <f t="shared" si="22"/>
        <v>111780</v>
      </c>
      <c r="Z43" s="9"/>
    </row>
    <row r="44" spans="1:26">
      <c r="A44" s="5" t="s">
        <v>122</v>
      </c>
      <c r="B44" s="6" t="s">
        <v>129</v>
      </c>
      <c r="C44" s="6"/>
      <c r="D44" s="7" t="s">
        <v>28</v>
      </c>
      <c r="E44" s="8">
        <f>SUM(E45:E48)</f>
        <v>3000</v>
      </c>
      <c r="F44" s="8">
        <f>SUM(F45:F48)</f>
        <v>2000</v>
      </c>
      <c r="G44" s="8">
        <f t="shared" ref="G44:X44" si="34">SUM(G45:G48)</f>
        <v>46741.2</v>
      </c>
      <c r="H44" s="8">
        <f t="shared" si="34"/>
        <v>600</v>
      </c>
      <c r="I44" s="8">
        <f t="shared" si="34"/>
        <v>400</v>
      </c>
      <c r="J44" s="8">
        <f t="shared" si="34"/>
        <v>600</v>
      </c>
      <c r="K44" s="8">
        <f t="shared" si="34"/>
        <v>7000</v>
      </c>
      <c r="L44" s="8">
        <f t="shared" si="34"/>
        <v>5000</v>
      </c>
      <c r="M44" s="8">
        <f t="shared" si="34"/>
        <v>10400</v>
      </c>
      <c r="N44" s="8">
        <f t="shared" si="34"/>
        <v>3000</v>
      </c>
      <c r="O44" s="8">
        <f t="shared" si="34"/>
        <v>600</v>
      </c>
      <c r="P44" s="8">
        <f t="shared" si="34"/>
        <v>1450</v>
      </c>
      <c r="Q44" s="8">
        <f t="shared" si="34"/>
        <v>0</v>
      </c>
      <c r="R44" s="8">
        <f t="shared" si="34"/>
        <v>8000</v>
      </c>
      <c r="S44" s="8">
        <f t="shared" si="34"/>
        <v>450</v>
      </c>
      <c r="T44" s="8">
        <f t="shared" si="34"/>
        <v>2000</v>
      </c>
      <c r="U44" s="8">
        <f t="shared" si="34"/>
        <v>300</v>
      </c>
      <c r="V44" s="8">
        <f t="shared" si="34"/>
        <v>1200</v>
      </c>
      <c r="W44" s="8">
        <f t="shared" si="34"/>
        <v>0</v>
      </c>
      <c r="X44" s="8">
        <f t="shared" si="34"/>
        <v>3650</v>
      </c>
      <c r="Y44" s="8">
        <f t="shared" si="22"/>
        <v>96391.2</v>
      </c>
      <c r="Z44" s="9"/>
    </row>
    <row r="45" spans="1:26">
      <c r="A45" s="5" t="s">
        <v>124</v>
      </c>
      <c r="B45" s="6" t="s">
        <v>131</v>
      </c>
      <c r="C45" s="6" t="s">
        <v>35</v>
      </c>
      <c r="D45" s="7" t="s">
        <v>132</v>
      </c>
      <c r="E45" s="10">
        <v>3000</v>
      </c>
      <c r="F45" s="10">
        <v>2000</v>
      </c>
      <c r="G45" s="10">
        <v>3950</v>
      </c>
      <c r="H45" s="10">
        <v>600</v>
      </c>
      <c r="I45" s="10">
        <v>400</v>
      </c>
      <c r="J45" s="10">
        <v>600</v>
      </c>
      <c r="K45" s="10">
        <v>7000</v>
      </c>
      <c r="L45" s="10">
        <v>5000</v>
      </c>
      <c r="M45" s="10">
        <v>10400</v>
      </c>
      <c r="N45" s="10">
        <v>3000</v>
      </c>
      <c r="O45" s="10">
        <v>600</v>
      </c>
      <c r="P45" s="10">
        <v>1450</v>
      </c>
      <c r="Q45" s="10">
        <v>0</v>
      </c>
      <c r="R45" s="10">
        <v>8000</v>
      </c>
      <c r="S45" s="10">
        <v>450</v>
      </c>
      <c r="T45" s="10">
        <v>2000</v>
      </c>
      <c r="U45" s="10">
        <v>300</v>
      </c>
      <c r="V45" s="10">
        <v>1200</v>
      </c>
      <c r="W45" s="10"/>
      <c r="X45" s="10">
        <v>3650</v>
      </c>
      <c r="Y45" s="19">
        <f t="shared" si="22"/>
        <v>53600</v>
      </c>
      <c r="Z45" s="9"/>
    </row>
    <row r="46" spans="1:26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8">
        <f t="shared" si="22"/>
        <v>0</v>
      </c>
      <c r="Z46" s="9"/>
    </row>
    <row r="47" spans="1:26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8">
        <f t="shared" si="22"/>
        <v>0</v>
      </c>
      <c r="Z47" s="9"/>
    </row>
    <row r="48" spans="1:26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>
        <v>42791.199999999997</v>
      </c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8">
        <f t="shared" si="22"/>
        <v>42791.199999999997</v>
      </c>
      <c r="Z48" s="15"/>
    </row>
    <row r="49" spans="1:26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5131040.8600000003</v>
      </c>
      <c r="F49" s="8">
        <f>F50+F68+F70+F72+F74+F76+F78+F80+F82+F90</f>
        <v>9114897.8099999987</v>
      </c>
      <c r="G49" s="8">
        <f t="shared" ref="G49:X49" si="35">G50+G68+G70+G72+G74+G76+G78+G80+G82+G90</f>
        <v>14540078.02</v>
      </c>
      <c r="H49" s="8">
        <f t="shared" si="35"/>
        <v>3138634.9099999997</v>
      </c>
      <c r="I49" s="8">
        <f t="shared" si="35"/>
        <v>1153587.8600000001</v>
      </c>
      <c r="J49" s="8">
        <f t="shared" si="35"/>
        <v>1181865.3700000001</v>
      </c>
      <c r="K49" s="8">
        <f t="shared" si="35"/>
        <v>3211253.71</v>
      </c>
      <c r="L49" s="8">
        <f t="shared" si="35"/>
        <v>4851411.4799999995</v>
      </c>
      <c r="M49" s="8">
        <f t="shared" si="35"/>
        <v>21922662.109999999</v>
      </c>
      <c r="N49" s="8">
        <f t="shared" si="35"/>
        <v>1476217.09</v>
      </c>
      <c r="O49" s="8">
        <f t="shared" si="35"/>
        <v>2104928</v>
      </c>
      <c r="P49" s="8">
        <f t="shared" si="35"/>
        <v>5910981.3799999999</v>
      </c>
      <c r="Q49" s="8">
        <f t="shared" si="35"/>
        <v>995225.30999999994</v>
      </c>
      <c r="R49" s="8">
        <f t="shared" si="35"/>
        <v>7983266.7200000007</v>
      </c>
      <c r="S49" s="8">
        <f t="shared" si="35"/>
        <v>2104136.86</v>
      </c>
      <c r="T49" s="8">
        <f t="shared" si="35"/>
        <v>3442946.46</v>
      </c>
      <c r="U49" s="8">
        <f t="shared" si="35"/>
        <v>3435758.31</v>
      </c>
      <c r="V49" s="8">
        <f t="shared" si="35"/>
        <v>4200455.8699999992</v>
      </c>
      <c r="W49" s="8">
        <f t="shared" si="35"/>
        <v>335882.29</v>
      </c>
      <c r="X49" s="8">
        <f t="shared" si="35"/>
        <v>2760567.0300000003</v>
      </c>
      <c r="Y49" s="8">
        <f t="shared" si="22"/>
        <v>98995797.450000003</v>
      </c>
      <c r="Z49" s="9"/>
    </row>
    <row r="50" spans="1:26">
      <c r="A50" s="5" t="s">
        <v>136</v>
      </c>
      <c r="B50" s="6" t="s">
        <v>144</v>
      </c>
      <c r="C50" s="6"/>
      <c r="D50" s="7" t="s">
        <v>145</v>
      </c>
      <c r="E50" s="8">
        <v>3748650</v>
      </c>
      <c r="F50" s="8">
        <v>7405470</v>
      </c>
      <c r="G50" s="8">
        <v>10837250</v>
      </c>
      <c r="H50" s="8">
        <v>2375400</v>
      </c>
      <c r="I50" s="8">
        <v>858000</v>
      </c>
      <c r="J50" s="8">
        <v>858000</v>
      </c>
      <c r="K50" s="8">
        <v>2253680</v>
      </c>
      <c r="L50" s="8">
        <v>3566420</v>
      </c>
      <c r="M50" s="8">
        <v>17629320</v>
      </c>
      <c r="N50" s="8">
        <v>1118260</v>
      </c>
      <c r="O50" s="8">
        <v>1507220</v>
      </c>
      <c r="P50" s="8">
        <v>4753650</v>
      </c>
      <c r="Q50" s="8">
        <v>858000</v>
      </c>
      <c r="R50" s="8">
        <v>6541980</v>
      </c>
      <c r="S50" s="8">
        <v>1430000</v>
      </c>
      <c r="T50" s="8">
        <v>2409820</v>
      </c>
      <c r="U50" s="8">
        <v>2596890</v>
      </c>
      <c r="V50" s="8">
        <v>2978150</v>
      </c>
      <c r="W50" s="8">
        <v>156800</v>
      </c>
      <c r="X50" s="8">
        <v>2073500</v>
      </c>
      <c r="Y50" s="8">
        <f t="shared" si="22"/>
        <v>75956460</v>
      </c>
      <c r="Z50" s="9"/>
    </row>
    <row r="51" spans="1:26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8">
        <f t="shared" si="22"/>
        <v>0</v>
      </c>
      <c r="Z51" s="9"/>
    </row>
    <row r="52" spans="1:26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8">
        <f t="shared" si="22"/>
        <v>0</v>
      </c>
      <c r="Z52" s="9"/>
    </row>
    <row r="53" spans="1:26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8">
        <f t="shared" si="22"/>
        <v>0</v>
      </c>
      <c r="Z53" s="9"/>
    </row>
    <row r="54" spans="1:26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8">
        <f t="shared" si="22"/>
        <v>0</v>
      </c>
      <c r="Z54" s="9"/>
    </row>
    <row r="55" spans="1:26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8">
        <f t="shared" si="22"/>
        <v>0</v>
      </c>
      <c r="Z55" s="9"/>
    </row>
    <row r="56" spans="1:26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8">
        <f t="shared" si="22"/>
        <v>0</v>
      </c>
      <c r="Z56" s="9"/>
    </row>
    <row r="57" spans="1:26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8">
        <f t="shared" si="22"/>
        <v>0</v>
      </c>
      <c r="Z57" s="9"/>
    </row>
    <row r="58" spans="1:26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8">
        <f t="shared" si="22"/>
        <v>0</v>
      </c>
      <c r="Z58" s="9"/>
    </row>
    <row r="59" spans="1:26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8">
        <f t="shared" si="22"/>
        <v>0</v>
      </c>
      <c r="Z59" s="9"/>
    </row>
    <row r="60" spans="1:26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187432.5</v>
      </c>
      <c r="F60" s="10">
        <v>370273.5</v>
      </c>
      <c r="G60" s="10">
        <v>541862.5</v>
      </c>
      <c r="H60" s="10">
        <v>118770</v>
      </c>
      <c r="I60" s="10">
        <v>19877</v>
      </c>
      <c r="J60" s="10">
        <v>40469</v>
      </c>
      <c r="K60" s="10">
        <v>112684</v>
      </c>
      <c r="L60" s="10">
        <v>170027</v>
      </c>
      <c r="M60" s="10">
        <v>881466.00000000012</v>
      </c>
      <c r="N60" s="10">
        <v>55913</v>
      </c>
      <c r="O60" s="10">
        <v>66638</v>
      </c>
      <c r="P60" s="10">
        <v>237682.5</v>
      </c>
      <c r="Q60" s="10">
        <v>6149</v>
      </c>
      <c r="R60" s="10">
        <v>327099</v>
      </c>
      <c r="S60" s="10">
        <v>65351</v>
      </c>
      <c r="T60" s="10">
        <v>120491</v>
      </c>
      <c r="U60" s="10">
        <v>129844.5</v>
      </c>
      <c r="V60" s="10">
        <v>148907.5</v>
      </c>
      <c r="W60" s="10">
        <v>7840</v>
      </c>
      <c r="X60" s="10">
        <v>84084</v>
      </c>
      <c r="Y60" s="8">
        <f t="shared" si="22"/>
        <v>3692861</v>
      </c>
      <c r="Z60" s="9"/>
    </row>
    <row r="61" spans="1:26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8">
        <f t="shared" si="22"/>
        <v>0</v>
      </c>
      <c r="Z61" s="9"/>
    </row>
    <row r="62" spans="1:26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8">
        <f t="shared" si="22"/>
        <v>0</v>
      </c>
      <c r="Z62" s="9"/>
    </row>
    <row r="63" spans="1:26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8">
        <f t="shared" si="22"/>
        <v>0</v>
      </c>
      <c r="Z63" s="9"/>
    </row>
    <row r="64" spans="1:26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8">
        <f t="shared" si="22"/>
        <v>0</v>
      </c>
      <c r="Z64" s="9"/>
    </row>
    <row r="65" spans="1:26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8">
        <f t="shared" si="22"/>
        <v>0</v>
      </c>
      <c r="Z65" s="9"/>
    </row>
    <row r="66" spans="1:26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8">
        <f t="shared" si="22"/>
        <v>0</v>
      </c>
      <c r="Z66" s="9"/>
    </row>
    <row r="67" spans="1:26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8">
        <f t="shared" si="22"/>
        <v>0</v>
      </c>
      <c r="Z67" s="9"/>
    </row>
    <row r="68" spans="1:26">
      <c r="A68" s="5" t="s">
        <v>176</v>
      </c>
      <c r="B68" s="6" t="s">
        <v>183</v>
      </c>
      <c r="C68" s="6"/>
      <c r="D68" s="7"/>
      <c r="E68" s="8">
        <f>E69</f>
        <v>38400</v>
      </c>
      <c r="F68" s="8">
        <f>F69</f>
        <v>55200</v>
      </c>
      <c r="G68" s="8">
        <f t="shared" ref="G68:X68" si="36">G69</f>
        <v>111600</v>
      </c>
      <c r="H68" s="8">
        <f t="shared" si="36"/>
        <v>24000</v>
      </c>
      <c r="I68" s="8">
        <f t="shared" si="36"/>
        <v>6400</v>
      </c>
      <c r="J68" s="8">
        <f t="shared" si="36"/>
        <v>8400</v>
      </c>
      <c r="K68" s="8">
        <f t="shared" si="36"/>
        <v>31600</v>
      </c>
      <c r="L68" s="8">
        <f t="shared" si="36"/>
        <v>39200</v>
      </c>
      <c r="M68" s="8">
        <f t="shared" si="36"/>
        <v>137200</v>
      </c>
      <c r="N68" s="8">
        <f t="shared" si="36"/>
        <v>11600</v>
      </c>
      <c r="O68" s="8">
        <f t="shared" si="36"/>
        <v>17200</v>
      </c>
      <c r="P68" s="8">
        <f t="shared" si="36"/>
        <v>39600</v>
      </c>
      <c r="Q68" s="8">
        <f t="shared" si="36"/>
        <v>2400</v>
      </c>
      <c r="R68" s="8">
        <f t="shared" si="36"/>
        <v>49600</v>
      </c>
      <c r="S68" s="8">
        <f t="shared" si="36"/>
        <v>18000</v>
      </c>
      <c r="T68" s="8">
        <f t="shared" si="36"/>
        <v>17600</v>
      </c>
      <c r="U68" s="8">
        <f t="shared" si="36"/>
        <v>24800</v>
      </c>
      <c r="V68" s="8">
        <f t="shared" si="36"/>
        <v>31200</v>
      </c>
      <c r="W68" s="8">
        <f t="shared" si="36"/>
        <v>2800</v>
      </c>
      <c r="X68" s="8">
        <f t="shared" si="36"/>
        <v>19200</v>
      </c>
      <c r="Y68" s="8">
        <f t="shared" si="22"/>
        <v>686000</v>
      </c>
      <c r="Z68" s="9"/>
    </row>
    <row r="69" spans="1:26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38400</v>
      </c>
      <c r="F69" s="8">
        <f>F93*400</f>
        <v>55200</v>
      </c>
      <c r="G69" s="8">
        <f t="shared" ref="G69:X69" si="37">G93*400</f>
        <v>111600</v>
      </c>
      <c r="H69" s="8">
        <f t="shared" si="37"/>
        <v>24000</v>
      </c>
      <c r="I69" s="8">
        <f t="shared" si="37"/>
        <v>6400</v>
      </c>
      <c r="J69" s="8">
        <f t="shared" si="37"/>
        <v>8400</v>
      </c>
      <c r="K69" s="8">
        <f t="shared" si="37"/>
        <v>31600</v>
      </c>
      <c r="L69" s="8">
        <f t="shared" si="37"/>
        <v>39200</v>
      </c>
      <c r="M69" s="8">
        <f t="shared" si="37"/>
        <v>137200</v>
      </c>
      <c r="N69" s="8">
        <f t="shared" si="37"/>
        <v>11600</v>
      </c>
      <c r="O69" s="8">
        <f t="shared" si="37"/>
        <v>17200</v>
      </c>
      <c r="P69" s="8">
        <f t="shared" si="37"/>
        <v>39600</v>
      </c>
      <c r="Q69" s="8">
        <f t="shared" si="37"/>
        <v>2400</v>
      </c>
      <c r="R69" s="8">
        <f t="shared" si="37"/>
        <v>49600</v>
      </c>
      <c r="S69" s="8">
        <f t="shared" si="37"/>
        <v>18000</v>
      </c>
      <c r="T69" s="8">
        <f t="shared" si="37"/>
        <v>17600</v>
      </c>
      <c r="U69" s="8">
        <f t="shared" si="37"/>
        <v>24800</v>
      </c>
      <c r="V69" s="8">
        <f t="shared" si="37"/>
        <v>31200</v>
      </c>
      <c r="W69" s="8">
        <f t="shared" si="37"/>
        <v>2800</v>
      </c>
      <c r="X69" s="8">
        <f t="shared" si="37"/>
        <v>19200</v>
      </c>
      <c r="Y69" s="8">
        <f t="shared" si="22"/>
        <v>686000</v>
      </c>
      <c r="Z69" s="9"/>
    </row>
    <row r="70" spans="1:26">
      <c r="A70" s="5" t="s">
        <v>180</v>
      </c>
      <c r="B70" s="6" t="s">
        <v>188</v>
      </c>
      <c r="C70" s="6"/>
      <c r="D70" s="7" t="s">
        <v>28</v>
      </c>
      <c r="E70" s="8">
        <f>E71</f>
        <v>197400</v>
      </c>
      <c r="F70" s="8">
        <f>F71</f>
        <v>223022.09999999998</v>
      </c>
      <c r="G70" s="8">
        <f t="shared" ref="G70:X70" si="38">G71</f>
        <v>517599.44999999995</v>
      </c>
      <c r="H70" s="8">
        <f t="shared" si="38"/>
        <v>71644.05</v>
      </c>
      <c r="I70" s="8">
        <f t="shared" si="38"/>
        <v>104925</v>
      </c>
      <c r="J70" s="8">
        <f t="shared" si="38"/>
        <v>97500</v>
      </c>
      <c r="K70" s="8">
        <f t="shared" si="38"/>
        <v>198000</v>
      </c>
      <c r="L70" s="8">
        <f t="shared" si="38"/>
        <v>147436.04999999999</v>
      </c>
      <c r="M70" s="8">
        <f t="shared" si="38"/>
        <v>522704.39999999997</v>
      </c>
      <c r="N70" s="8">
        <f t="shared" si="38"/>
        <v>55978.8</v>
      </c>
      <c r="O70" s="8">
        <f t="shared" si="38"/>
        <v>69180</v>
      </c>
      <c r="P70" s="8">
        <f t="shared" si="38"/>
        <v>170335.94999999998</v>
      </c>
      <c r="Q70" s="8">
        <f t="shared" si="38"/>
        <v>36120</v>
      </c>
      <c r="R70" s="8">
        <f t="shared" si="38"/>
        <v>215058.15</v>
      </c>
      <c r="S70" s="8">
        <f t="shared" si="38"/>
        <v>64290</v>
      </c>
      <c r="T70" s="8">
        <f t="shared" si="38"/>
        <v>484500</v>
      </c>
      <c r="U70" s="8">
        <f t="shared" si="38"/>
        <v>69477.45</v>
      </c>
      <c r="V70" s="8">
        <f t="shared" si="38"/>
        <v>125589.30000000002</v>
      </c>
      <c r="W70" s="8">
        <f t="shared" si="38"/>
        <v>42000</v>
      </c>
      <c r="X70" s="8">
        <f t="shared" si="38"/>
        <v>202170</v>
      </c>
      <c r="Y70" s="8">
        <f t="shared" si="22"/>
        <v>3614930.7</v>
      </c>
      <c r="Z70" s="9"/>
    </row>
    <row r="71" spans="1:26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197400</v>
      </c>
      <c r="F71" s="8">
        <f>F105*15</f>
        <v>223022.09999999998</v>
      </c>
      <c r="G71" s="8">
        <f t="shared" ref="G71:X71" si="39">G105*15</f>
        <v>517599.44999999995</v>
      </c>
      <c r="H71" s="8">
        <f t="shared" si="39"/>
        <v>71644.05</v>
      </c>
      <c r="I71" s="8">
        <f t="shared" si="39"/>
        <v>104925</v>
      </c>
      <c r="J71" s="8">
        <f t="shared" si="39"/>
        <v>97500</v>
      </c>
      <c r="K71" s="8">
        <f t="shared" si="39"/>
        <v>198000</v>
      </c>
      <c r="L71" s="8">
        <f t="shared" si="39"/>
        <v>147436.04999999999</v>
      </c>
      <c r="M71" s="8">
        <f t="shared" si="39"/>
        <v>522704.39999999997</v>
      </c>
      <c r="N71" s="8">
        <f t="shared" si="39"/>
        <v>55978.8</v>
      </c>
      <c r="O71" s="8">
        <f t="shared" si="39"/>
        <v>69180</v>
      </c>
      <c r="P71" s="8">
        <f t="shared" si="39"/>
        <v>170335.94999999998</v>
      </c>
      <c r="Q71" s="8">
        <f t="shared" si="39"/>
        <v>36120</v>
      </c>
      <c r="R71" s="8">
        <f t="shared" si="39"/>
        <v>215058.15</v>
      </c>
      <c r="S71" s="8">
        <f t="shared" si="39"/>
        <v>64290</v>
      </c>
      <c r="T71" s="8">
        <f t="shared" si="39"/>
        <v>484500</v>
      </c>
      <c r="U71" s="8">
        <f t="shared" si="39"/>
        <v>69477.45</v>
      </c>
      <c r="V71" s="8">
        <f t="shared" si="39"/>
        <v>125589.30000000002</v>
      </c>
      <c r="W71" s="8">
        <f t="shared" si="39"/>
        <v>42000</v>
      </c>
      <c r="X71" s="8">
        <f t="shared" si="39"/>
        <v>202170</v>
      </c>
      <c r="Y71" s="8">
        <f t="shared" si="22"/>
        <v>3614930.7</v>
      </c>
      <c r="Z71" s="9"/>
    </row>
    <row r="72" spans="1:26">
      <c r="A72" s="5" t="s">
        <v>184</v>
      </c>
      <c r="B72" s="6" t="s">
        <v>193</v>
      </c>
      <c r="C72" s="6"/>
      <c r="D72" s="7" t="s">
        <v>28</v>
      </c>
      <c r="E72" s="8">
        <f>E73</f>
        <v>69528</v>
      </c>
      <c r="F72" s="8">
        <f>F73</f>
        <v>52960</v>
      </c>
      <c r="G72" s="8">
        <f t="shared" ref="G72:X72" si="40">G73</f>
        <v>139576</v>
      </c>
      <c r="H72" s="8">
        <f t="shared" si="40"/>
        <v>28680</v>
      </c>
      <c r="I72" s="8">
        <f t="shared" si="40"/>
        <v>22728</v>
      </c>
      <c r="J72" s="8">
        <f t="shared" si="40"/>
        <v>18496.8</v>
      </c>
      <c r="K72" s="8">
        <f t="shared" si="40"/>
        <v>32800</v>
      </c>
      <c r="L72" s="8">
        <f t="shared" si="40"/>
        <v>42640</v>
      </c>
      <c r="M72" s="8">
        <f t="shared" si="40"/>
        <v>98712</v>
      </c>
      <c r="N72" s="8">
        <f t="shared" si="40"/>
        <v>14288</v>
      </c>
      <c r="O72" s="8">
        <f t="shared" si="40"/>
        <v>13736</v>
      </c>
      <c r="P72" s="8">
        <f t="shared" si="40"/>
        <v>32584</v>
      </c>
      <c r="Q72" s="8">
        <f t="shared" si="40"/>
        <v>18499.599999999999</v>
      </c>
      <c r="R72" s="8">
        <f t="shared" si="40"/>
        <v>63040</v>
      </c>
      <c r="S72" s="8">
        <f t="shared" si="40"/>
        <v>18800</v>
      </c>
      <c r="T72" s="8">
        <f t="shared" si="40"/>
        <v>104859.6</v>
      </c>
      <c r="U72" s="8">
        <f t="shared" si="40"/>
        <v>25808</v>
      </c>
      <c r="V72" s="8">
        <f t="shared" si="40"/>
        <v>51968</v>
      </c>
      <c r="W72" s="8">
        <f t="shared" si="40"/>
        <v>0</v>
      </c>
      <c r="X72" s="8">
        <f t="shared" si="40"/>
        <v>48357.599999999999</v>
      </c>
      <c r="Y72" s="8">
        <f t="shared" si="22"/>
        <v>898061.6</v>
      </c>
      <c r="Z72" s="9"/>
    </row>
    <row r="73" spans="1:26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69528</v>
      </c>
      <c r="F73" s="8">
        <f>F106*8</f>
        <v>52960</v>
      </c>
      <c r="G73" s="8">
        <f t="shared" ref="G73:X73" si="41">G106*8</f>
        <v>139576</v>
      </c>
      <c r="H73" s="8">
        <f t="shared" si="41"/>
        <v>28680</v>
      </c>
      <c r="I73" s="8">
        <f t="shared" si="41"/>
        <v>22728</v>
      </c>
      <c r="J73" s="8">
        <f t="shared" si="41"/>
        <v>18496.8</v>
      </c>
      <c r="K73" s="8">
        <f t="shared" si="41"/>
        <v>32800</v>
      </c>
      <c r="L73" s="8">
        <f t="shared" si="41"/>
        <v>42640</v>
      </c>
      <c r="M73" s="8">
        <f t="shared" si="41"/>
        <v>98712</v>
      </c>
      <c r="N73" s="8">
        <f t="shared" si="41"/>
        <v>14288</v>
      </c>
      <c r="O73" s="8">
        <f t="shared" si="41"/>
        <v>13736</v>
      </c>
      <c r="P73" s="8">
        <f t="shared" si="41"/>
        <v>32584</v>
      </c>
      <c r="Q73" s="8">
        <f t="shared" si="41"/>
        <v>18499.599999999999</v>
      </c>
      <c r="R73" s="8">
        <f t="shared" si="41"/>
        <v>63040</v>
      </c>
      <c r="S73" s="8">
        <f t="shared" si="41"/>
        <v>18800</v>
      </c>
      <c r="T73" s="8">
        <f t="shared" si="41"/>
        <v>104859.6</v>
      </c>
      <c r="U73" s="8">
        <f t="shared" si="41"/>
        <v>25808</v>
      </c>
      <c r="V73" s="8">
        <f t="shared" si="41"/>
        <v>51968</v>
      </c>
      <c r="W73" s="8">
        <f t="shared" si="41"/>
        <v>0</v>
      </c>
      <c r="X73" s="8">
        <f t="shared" si="41"/>
        <v>48357.599999999999</v>
      </c>
      <c r="Y73" s="8">
        <f t="shared" si="22"/>
        <v>898061.6</v>
      </c>
      <c r="Z73" s="9"/>
    </row>
    <row r="74" spans="1:26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 t="shared" ref="G74:X74" si="42">G75</f>
        <v>0</v>
      </c>
      <c r="H74" s="8">
        <f t="shared" si="42"/>
        <v>0</v>
      </c>
      <c r="I74" s="8">
        <f t="shared" si="42"/>
        <v>0</v>
      </c>
      <c r="J74" s="8">
        <f t="shared" si="42"/>
        <v>0</v>
      </c>
      <c r="K74" s="8">
        <f t="shared" si="42"/>
        <v>0</v>
      </c>
      <c r="L74" s="8">
        <f t="shared" si="42"/>
        <v>0</v>
      </c>
      <c r="M74" s="8">
        <f t="shared" si="42"/>
        <v>0</v>
      </c>
      <c r="N74" s="8">
        <f t="shared" si="42"/>
        <v>0</v>
      </c>
      <c r="O74" s="8">
        <f t="shared" si="42"/>
        <v>0</v>
      </c>
      <c r="P74" s="8">
        <f t="shared" si="42"/>
        <v>0</v>
      </c>
      <c r="Q74" s="8">
        <f t="shared" si="42"/>
        <v>0</v>
      </c>
      <c r="R74" s="8">
        <f t="shared" si="42"/>
        <v>0</v>
      </c>
      <c r="S74" s="8">
        <f t="shared" si="42"/>
        <v>0</v>
      </c>
      <c r="T74" s="8">
        <f t="shared" si="42"/>
        <v>0</v>
      </c>
      <c r="U74" s="8">
        <f t="shared" si="42"/>
        <v>0</v>
      </c>
      <c r="V74" s="8">
        <f t="shared" si="42"/>
        <v>0</v>
      </c>
      <c r="W74" s="8">
        <f t="shared" si="42"/>
        <v>0</v>
      </c>
      <c r="X74" s="8">
        <f t="shared" si="42"/>
        <v>0</v>
      </c>
      <c r="Y74" s="8">
        <f t="shared" si="22"/>
        <v>0</v>
      </c>
      <c r="Z74" s="9"/>
    </row>
    <row r="75" spans="1:26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8">
        <f t="shared" si="22"/>
        <v>0</v>
      </c>
      <c r="Z75" s="9"/>
    </row>
    <row r="76" spans="1:26">
      <c r="A76" s="5" t="s">
        <v>194</v>
      </c>
      <c r="B76" s="6" t="s">
        <v>202</v>
      </c>
      <c r="C76" s="6"/>
      <c r="D76" s="7" t="s">
        <v>28</v>
      </c>
      <c r="E76" s="8">
        <f>E77</f>
        <v>414720</v>
      </c>
      <c r="F76" s="8">
        <f>F77</f>
        <v>596160</v>
      </c>
      <c r="G76" s="8">
        <f t="shared" ref="G76:X76" si="43">G77</f>
        <v>1205280</v>
      </c>
      <c r="H76" s="8">
        <f t="shared" si="43"/>
        <v>259200</v>
      </c>
      <c r="I76" s="8">
        <f t="shared" si="43"/>
        <v>69120</v>
      </c>
      <c r="J76" s="8">
        <f t="shared" si="43"/>
        <v>90720</v>
      </c>
      <c r="K76" s="8">
        <f t="shared" si="43"/>
        <v>341280</v>
      </c>
      <c r="L76" s="8">
        <f t="shared" si="43"/>
        <v>423360</v>
      </c>
      <c r="M76" s="8">
        <f t="shared" si="43"/>
        <v>1481760</v>
      </c>
      <c r="N76" s="8">
        <f t="shared" si="43"/>
        <v>125280</v>
      </c>
      <c r="O76" s="8">
        <f t="shared" si="43"/>
        <v>185760</v>
      </c>
      <c r="P76" s="8">
        <f t="shared" si="43"/>
        <v>427680</v>
      </c>
      <c r="Q76" s="8">
        <f t="shared" si="43"/>
        <v>25920</v>
      </c>
      <c r="R76" s="8">
        <f t="shared" si="43"/>
        <v>535680</v>
      </c>
      <c r="S76" s="8">
        <f t="shared" si="43"/>
        <v>194400</v>
      </c>
      <c r="T76" s="8">
        <f t="shared" si="43"/>
        <v>190080</v>
      </c>
      <c r="U76" s="8">
        <f t="shared" si="43"/>
        <v>267840</v>
      </c>
      <c r="V76" s="8">
        <f t="shared" si="43"/>
        <v>336960</v>
      </c>
      <c r="W76" s="8">
        <f t="shared" si="43"/>
        <v>30240</v>
      </c>
      <c r="X76" s="8">
        <f t="shared" si="43"/>
        <v>207360</v>
      </c>
      <c r="Y76" s="8">
        <f t="shared" si="22"/>
        <v>7408800</v>
      </c>
      <c r="Z76" s="9"/>
    </row>
    <row r="77" spans="1:26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414720</v>
      </c>
      <c r="F77" s="8">
        <f>F93*4320</f>
        <v>596160</v>
      </c>
      <c r="G77" s="8">
        <f t="shared" ref="G77:X77" si="44">G93*4320</f>
        <v>1205280</v>
      </c>
      <c r="H77" s="8">
        <f t="shared" si="44"/>
        <v>259200</v>
      </c>
      <c r="I77" s="8">
        <f t="shared" si="44"/>
        <v>69120</v>
      </c>
      <c r="J77" s="8">
        <f t="shared" si="44"/>
        <v>90720</v>
      </c>
      <c r="K77" s="8">
        <f t="shared" si="44"/>
        <v>341280</v>
      </c>
      <c r="L77" s="8">
        <f t="shared" si="44"/>
        <v>423360</v>
      </c>
      <c r="M77" s="8">
        <f t="shared" si="44"/>
        <v>1481760</v>
      </c>
      <c r="N77" s="8">
        <f t="shared" si="44"/>
        <v>125280</v>
      </c>
      <c r="O77" s="8">
        <f t="shared" si="44"/>
        <v>185760</v>
      </c>
      <c r="P77" s="8">
        <f t="shared" si="44"/>
        <v>427680</v>
      </c>
      <c r="Q77" s="8">
        <f t="shared" si="44"/>
        <v>25920</v>
      </c>
      <c r="R77" s="8">
        <f t="shared" si="44"/>
        <v>535680</v>
      </c>
      <c r="S77" s="8">
        <f t="shared" si="44"/>
        <v>194400</v>
      </c>
      <c r="T77" s="8">
        <f t="shared" si="44"/>
        <v>190080</v>
      </c>
      <c r="U77" s="8">
        <f t="shared" si="44"/>
        <v>267840</v>
      </c>
      <c r="V77" s="8">
        <f t="shared" si="44"/>
        <v>336960</v>
      </c>
      <c r="W77" s="8">
        <f t="shared" si="44"/>
        <v>30240</v>
      </c>
      <c r="X77" s="8">
        <f t="shared" si="44"/>
        <v>207360</v>
      </c>
      <c r="Y77" s="8">
        <f t="shared" si="22"/>
        <v>7408800</v>
      </c>
      <c r="Z77" s="9"/>
    </row>
    <row r="78" spans="1:26">
      <c r="A78" s="5" t="s">
        <v>199</v>
      </c>
      <c r="B78" s="6" t="s">
        <v>207</v>
      </c>
      <c r="C78" s="6"/>
      <c r="D78" s="7" t="s">
        <v>28</v>
      </c>
      <c r="E78" s="8">
        <f>E79</f>
        <v>417942.86</v>
      </c>
      <c r="F78" s="8">
        <f>F79</f>
        <v>608485.71</v>
      </c>
      <c r="G78" s="8">
        <f t="shared" ref="G78:X78" si="45">G79</f>
        <v>1167572.57</v>
      </c>
      <c r="H78" s="8">
        <f t="shared" si="45"/>
        <v>258030.86</v>
      </c>
      <c r="I78" s="8">
        <f t="shared" si="45"/>
        <v>60414.86</v>
      </c>
      <c r="J78" s="8">
        <f t="shared" si="45"/>
        <v>76748.570000000007</v>
      </c>
      <c r="K78" s="8">
        <f t="shared" si="45"/>
        <v>317173.71000000002</v>
      </c>
      <c r="L78" s="8">
        <f t="shared" si="45"/>
        <v>372675.43</v>
      </c>
      <c r="M78" s="8">
        <f t="shared" si="45"/>
        <v>1505365.71</v>
      </c>
      <c r="N78" s="8">
        <f t="shared" si="45"/>
        <v>118810.29</v>
      </c>
      <c r="O78" s="8">
        <f t="shared" si="45"/>
        <v>161832</v>
      </c>
      <c r="P78" s="8">
        <f t="shared" si="45"/>
        <v>450411.43</v>
      </c>
      <c r="Q78" s="8">
        <f t="shared" si="45"/>
        <v>22285.71</v>
      </c>
      <c r="R78" s="8">
        <f t="shared" si="45"/>
        <v>536468.56999999995</v>
      </c>
      <c r="S78" s="8">
        <f t="shared" si="45"/>
        <v>181446.86</v>
      </c>
      <c r="T78" s="8">
        <f t="shared" si="45"/>
        <v>180486.86</v>
      </c>
      <c r="U78" s="8">
        <f t="shared" si="45"/>
        <v>272622.86</v>
      </c>
      <c r="V78" s="8">
        <f t="shared" si="45"/>
        <v>361388.57</v>
      </c>
      <c r="W78" s="8">
        <f t="shared" si="45"/>
        <v>34282.29</v>
      </c>
      <c r="X78" s="8">
        <f t="shared" si="45"/>
        <v>173259.43</v>
      </c>
      <c r="Y78" s="8">
        <f t="shared" si="22"/>
        <v>7277705.1500000004</v>
      </c>
      <c r="Z78" s="9"/>
    </row>
    <row r="79" spans="1:26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417942.86</v>
      </c>
      <c r="F79" s="8">
        <f>ROUND(F28/0.07*0.02,2)</f>
        <v>608485.71</v>
      </c>
      <c r="G79" s="8">
        <f t="shared" ref="G79:X79" si="46">ROUND(G28/0.07*0.02,2)</f>
        <v>1167572.57</v>
      </c>
      <c r="H79" s="8">
        <f t="shared" si="46"/>
        <v>258030.86</v>
      </c>
      <c r="I79" s="8">
        <f t="shared" si="46"/>
        <v>60414.86</v>
      </c>
      <c r="J79" s="8">
        <f t="shared" si="46"/>
        <v>76748.570000000007</v>
      </c>
      <c r="K79" s="8">
        <f t="shared" si="46"/>
        <v>317173.71000000002</v>
      </c>
      <c r="L79" s="8">
        <f t="shared" si="46"/>
        <v>372675.43</v>
      </c>
      <c r="M79" s="8">
        <f t="shared" si="46"/>
        <v>1505365.71</v>
      </c>
      <c r="N79" s="8">
        <f t="shared" si="46"/>
        <v>118810.29</v>
      </c>
      <c r="O79" s="8">
        <f t="shared" si="46"/>
        <v>161832</v>
      </c>
      <c r="P79" s="8">
        <f t="shared" si="46"/>
        <v>450411.43</v>
      </c>
      <c r="Q79" s="8">
        <f t="shared" si="46"/>
        <v>22285.71</v>
      </c>
      <c r="R79" s="8">
        <f t="shared" si="46"/>
        <v>536468.56999999995</v>
      </c>
      <c r="S79" s="8">
        <f t="shared" si="46"/>
        <v>181446.86</v>
      </c>
      <c r="T79" s="8">
        <f t="shared" si="46"/>
        <v>180486.86</v>
      </c>
      <c r="U79" s="8">
        <f t="shared" si="46"/>
        <v>272622.86</v>
      </c>
      <c r="V79" s="8">
        <f t="shared" si="46"/>
        <v>361388.57</v>
      </c>
      <c r="W79" s="8">
        <f t="shared" si="46"/>
        <v>34282.29</v>
      </c>
      <c r="X79" s="8">
        <f t="shared" si="46"/>
        <v>173259.43</v>
      </c>
      <c r="Y79" s="8">
        <f t="shared" si="22"/>
        <v>7277705.1500000004</v>
      </c>
      <c r="Z79" s="9"/>
    </row>
    <row r="80" spans="1:26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>F81</f>
        <v>0</v>
      </c>
      <c r="G80" s="8">
        <f t="shared" ref="G80:X80" si="47">G81</f>
        <v>32000</v>
      </c>
      <c r="H80" s="8">
        <f t="shared" si="47"/>
        <v>32000</v>
      </c>
      <c r="I80" s="8">
        <f t="shared" si="47"/>
        <v>0</v>
      </c>
      <c r="J80" s="8">
        <f t="shared" si="47"/>
        <v>0</v>
      </c>
      <c r="K80" s="8">
        <f t="shared" si="47"/>
        <v>0</v>
      </c>
      <c r="L80" s="8">
        <f t="shared" si="47"/>
        <v>32000</v>
      </c>
      <c r="M80" s="8">
        <f t="shared" si="47"/>
        <v>32000</v>
      </c>
      <c r="N80" s="8">
        <f t="shared" si="47"/>
        <v>32000</v>
      </c>
      <c r="O80" s="8">
        <f t="shared" si="47"/>
        <v>0</v>
      </c>
      <c r="P80" s="8">
        <f t="shared" si="47"/>
        <v>32000</v>
      </c>
      <c r="Q80" s="8">
        <f t="shared" si="47"/>
        <v>0</v>
      </c>
      <c r="R80" s="8">
        <f t="shared" si="47"/>
        <v>32000</v>
      </c>
      <c r="S80" s="8">
        <f t="shared" si="47"/>
        <v>0</v>
      </c>
      <c r="T80" s="8">
        <f t="shared" si="47"/>
        <v>0</v>
      </c>
      <c r="U80" s="8">
        <f t="shared" si="47"/>
        <v>32000</v>
      </c>
      <c r="V80" s="8">
        <f t="shared" si="47"/>
        <v>32000</v>
      </c>
      <c r="W80" s="8">
        <f t="shared" si="47"/>
        <v>0</v>
      </c>
      <c r="X80" s="8">
        <f t="shared" si="47"/>
        <v>0</v>
      </c>
      <c r="Y80" s="8">
        <f t="shared" si="22"/>
        <v>320000</v>
      </c>
      <c r="Z80" s="9"/>
    </row>
    <row r="81" spans="1:26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/>
      <c r="G81" s="10">
        <v>32000</v>
      </c>
      <c r="H81" s="10">
        <v>32000</v>
      </c>
      <c r="I81" s="10"/>
      <c r="J81" s="10"/>
      <c r="K81" s="10"/>
      <c r="L81" s="10">
        <v>32000</v>
      </c>
      <c r="M81" s="10">
        <v>32000</v>
      </c>
      <c r="N81" s="10">
        <v>32000</v>
      </c>
      <c r="O81" s="10"/>
      <c r="P81" s="10">
        <v>32000</v>
      </c>
      <c r="Q81" s="10"/>
      <c r="R81" s="10">
        <v>32000</v>
      </c>
      <c r="S81" s="22"/>
      <c r="T81" s="10"/>
      <c r="U81" s="10">
        <v>32000</v>
      </c>
      <c r="V81" s="10">
        <v>32000</v>
      </c>
      <c r="W81" s="10"/>
      <c r="X81" s="10"/>
      <c r="Y81" s="8">
        <f t="shared" si="22"/>
        <v>320000</v>
      </c>
      <c r="Z81" s="9"/>
    </row>
    <row r="82" spans="1:26">
      <c r="A82" s="5" t="s">
        <v>208</v>
      </c>
      <c r="B82" s="6" t="s">
        <v>216</v>
      </c>
      <c r="C82" s="6"/>
      <c r="D82" s="7" t="s">
        <v>28</v>
      </c>
      <c r="E82" s="8">
        <f>E83+E86+E89</f>
        <v>212400</v>
      </c>
      <c r="F82" s="8">
        <f>F83+F86+F89</f>
        <v>141600</v>
      </c>
      <c r="G82" s="8">
        <f t="shared" ref="G82:X82" si="48">G83+G86+G89</f>
        <v>519200</v>
      </c>
      <c r="H82" s="8">
        <f t="shared" si="48"/>
        <v>89680</v>
      </c>
      <c r="I82" s="8">
        <f t="shared" si="48"/>
        <v>0</v>
      </c>
      <c r="J82" s="8">
        <f t="shared" si="48"/>
        <v>0</v>
      </c>
      <c r="K82" s="8">
        <f t="shared" si="48"/>
        <v>4720</v>
      </c>
      <c r="L82" s="8">
        <f t="shared" si="48"/>
        <v>207680</v>
      </c>
      <c r="M82" s="8">
        <f t="shared" si="48"/>
        <v>495600</v>
      </c>
      <c r="N82" s="8">
        <f t="shared" si="48"/>
        <v>0</v>
      </c>
      <c r="O82" s="8">
        <f t="shared" si="48"/>
        <v>118000</v>
      </c>
      <c r="P82" s="8">
        <f t="shared" si="48"/>
        <v>4720</v>
      </c>
      <c r="Q82" s="8">
        <f t="shared" si="48"/>
        <v>0</v>
      </c>
      <c r="R82" s="8">
        <f t="shared" si="48"/>
        <v>9440</v>
      </c>
      <c r="S82" s="8">
        <f t="shared" si="48"/>
        <v>165200</v>
      </c>
      <c r="T82" s="8">
        <f t="shared" si="48"/>
        <v>23600</v>
      </c>
      <c r="U82" s="8">
        <f t="shared" si="48"/>
        <v>146320</v>
      </c>
      <c r="V82" s="8">
        <f t="shared" si="48"/>
        <v>283200</v>
      </c>
      <c r="W82" s="8">
        <f t="shared" si="48"/>
        <v>37760</v>
      </c>
      <c r="X82" s="8">
        <f t="shared" si="48"/>
        <v>4720</v>
      </c>
      <c r="Y82" s="8">
        <f t="shared" si="22"/>
        <v>2463840</v>
      </c>
      <c r="Z82" s="9"/>
    </row>
    <row r="83" spans="1:26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 t="shared" ref="G83:X83" si="49">G84+G85</f>
        <v>0</v>
      </c>
      <c r="H83" s="8">
        <f t="shared" si="49"/>
        <v>0</v>
      </c>
      <c r="I83" s="8">
        <f t="shared" si="49"/>
        <v>0</v>
      </c>
      <c r="J83" s="8">
        <f t="shared" si="49"/>
        <v>0</v>
      </c>
      <c r="K83" s="8">
        <f t="shared" si="49"/>
        <v>0</v>
      </c>
      <c r="L83" s="8">
        <f t="shared" si="49"/>
        <v>0</v>
      </c>
      <c r="M83" s="8">
        <f t="shared" si="49"/>
        <v>0</v>
      </c>
      <c r="N83" s="8">
        <f t="shared" si="49"/>
        <v>0</v>
      </c>
      <c r="O83" s="8">
        <f t="shared" si="49"/>
        <v>0</v>
      </c>
      <c r="P83" s="8">
        <f t="shared" si="49"/>
        <v>0</v>
      </c>
      <c r="Q83" s="8">
        <f t="shared" si="49"/>
        <v>0</v>
      </c>
      <c r="R83" s="8">
        <f t="shared" si="49"/>
        <v>0</v>
      </c>
      <c r="S83" s="8">
        <f t="shared" si="49"/>
        <v>0</v>
      </c>
      <c r="T83" s="8">
        <f t="shared" si="49"/>
        <v>0</v>
      </c>
      <c r="U83" s="8">
        <f t="shared" si="49"/>
        <v>0</v>
      </c>
      <c r="V83" s="8">
        <f t="shared" si="49"/>
        <v>0</v>
      </c>
      <c r="W83" s="8">
        <f t="shared" si="49"/>
        <v>0</v>
      </c>
      <c r="X83" s="8">
        <f t="shared" si="49"/>
        <v>0</v>
      </c>
      <c r="Y83" s="8">
        <f t="shared" si="22"/>
        <v>0</v>
      </c>
      <c r="Z83" s="9"/>
    </row>
    <row r="84" spans="1:26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8">
        <f t="shared" si="22"/>
        <v>0</v>
      </c>
      <c r="Z84" s="15"/>
    </row>
    <row r="85" spans="1:26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8">
        <f t="shared" si="22"/>
        <v>0</v>
      </c>
      <c r="Z85" s="15"/>
    </row>
    <row r="86" spans="1:26">
      <c r="A86" s="5" t="s">
        <v>217</v>
      </c>
      <c r="B86" s="6" t="s">
        <v>225</v>
      </c>
      <c r="C86" s="6"/>
      <c r="D86" s="7" t="s">
        <v>28</v>
      </c>
      <c r="E86" s="8">
        <f>E87+E88</f>
        <v>212400</v>
      </c>
      <c r="F86" s="8">
        <f>F87+F88</f>
        <v>141600</v>
      </c>
      <c r="G86" s="8">
        <f t="shared" ref="G86:X86" si="50">G87+G88</f>
        <v>519200</v>
      </c>
      <c r="H86" s="8">
        <f t="shared" si="50"/>
        <v>89680</v>
      </c>
      <c r="I86" s="8">
        <f t="shared" si="50"/>
        <v>0</v>
      </c>
      <c r="J86" s="8">
        <f t="shared" si="50"/>
        <v>0</v>
      </c>
      <c r="K86" s="8">
        <f t="shared" si="50"/>
        <v>4720</v>
      </c>
      <c r="L86" s="8">
        <f t="shared" si="50"/>
        <v>207680</v>
      </c>
      <c r="M86" s="8">
        <f t="shared" si="50"/>
        <v>495600</v>
      </c>
      <c r="N86" s="8">
        <f t="shared" si="50"/>
        <v>0</v>
      </c>
      <c r="O86" s="8">
        <f t="shared" si="50"/>
        <v>118000</v>
      </c>
      <c r="P86" s="8">
        <f t="shared" si="50"/>
        <v>4720</v>
      </c>
      <c r="Q86" s="8">
        <f t="shared" si="50"/>
        <v>0</v>
      </c>
      <c r="R86" s="8">
        <f t="shared" si="50"/>
        <v>9440</v>
      </c>
      <c r="S86" s="8">
        <f t="shared" si="50"/>
        <v>165200</v>
      </c>
      <c r="T86" s="8">
        <f t="shared" si="50"/>
        <v>23600</v>
      </c>
      <c r="U86" s="8">
        <f t="shared" si="50"/>
        <v>146320</v>
      </c>
      <c r="V86" s="8">
        <f t="shared" si="50"/>
        <v>283200</v>
      </c>
      <c r="W86" s="8">
        <f t="shared" si="50"/>
        <v>37760</v>
      </c>
      <c r="X86" s="8">
        <f t="shared" si="50"/>
        <v>4720</v>
      </c>
      <c r="Y86" s="8">
        <f t="shared" si="22"/>
        <v>2463840</v>
      </c>
      <c r="Z86" s="9"/>
    </row>
    <row r="87" spans="1:26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18000</v>
      </c>
      <c r="F87" s="8">
        <f>F104*400</f>
        <v>12000</v>
      </c>
      <c r="G87" s="8">
        <f t="shared" ref="G87:X87" si="51">G104*400</f>
        <v>44000</v>
      </c>
      <c r="H87" s="8">
        <f t="shared" si="51"/>
        <v>7600</v>
      </c>
      <c r="I87" s="8">
        <f t="shared" si="51"/>
        <v>0</v>
      </c>
      <c r="J87" s="8">
        <f t="shared" si="51"/>
        <v>0</v>
      </c>
      <c r="K87" s="8">
        <f t="shared" si="51"/>
        <v>400</v>
      </c>
      <c r="L87" s="8">
        <f t="shared" si="51"/>
        <v>17600</v>
      </c>
      <c r="M87" s="8">
        <f t="shared" si="51"/>
        <v>42000</v>
      </c>
      <c r="N87" s="8">
        <f t="shared" si="51"/>
        <v>0</v>
      </c>
      <c r="O87" s="8">
        <f t="shared" si="51"/>
        <v>10000</v>
      </c>
      <c r="P87" s="8">
        <f t="shared" si="51"/>
        <v>400</v>
      </c>
      <c r="Q87" s="8">
        <f t="shared" si="51"/>
        <v>0</v>
      </c>
      <c r="R87" s="8">
        <f t="shared" si="51"/>
        <v>800</v>
      </c>
      <c r="S87" s="8">
        <f t="shared" si="51"/>
        <v>14000</v>
      </c>
      <c r="T87" s="8">
        <f t="shared" si="51"/>
        <v>2000</v>
      </c>
      <c r="U87" s="8">
        <f t="shared" si="51"/>
        <v>12400</v>
      </c>
      <c r="V87" s="8">
        <f t="shared" si="51"/>
        <v>24000</v>
      </c>
      <c r="W87" s="8">
        <f t="shared" si="51"/>
        <v>3200</v>
      </c>
      <c r="X87" s="8">
        <f t="shared" si="51"/>
        <v>400</v>
      </c>
      <c r="Y87" s="8">
        <f t="shared" si="22"/>
        <v>208800</v>
      </c>
      <c r="Z87" s="9"/>
    </row>
    <row r="88" spans="1:26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194400</v>
      </c>
      <c r="F88" s="8">
        <f>F104*4320</f>
        <v>129600</v>
      </c>
      <c r="G88" s="8">
        <f t="shared" ref="G88:X88" si="52">G104*4320</f>
        <v>475200</v>
      </c>
      <c r="H88" s="8">
        <f t="shared" si="52"/>
        <v>82080</v>
      </c>
      <c r="I88" s="8">
        <f t="shared" si="52"/>
        <v>0</v>
      </c>
      <c r="J88" s="8">
        <f t="shared" si="52"/>
        <v>0</v>
      </c>
      <c r="K88" s="8">
        <f t="shared" si="52"/>
        <v>4320</v>
      </c>
      <c r="L88" s="8">
        <f t="shared" si="52"/>
        <v>190080</v>
      </c>
      <c r="M88" s="8">
        <f t="shared" si="52"/>
        <v>453600</v>
      </c>
      <c r="N88" s="8">
        <f t="shared" si="52"/>
        <v>0</v>
      </c>
      <c r="O88" s="8">
        <f t="shared" si="52"/>
        <v>108000</v>
      </c>
      <c r="P88" s="8">
        <f t="shared" si="52"/>
        <v>4320</v>
      </c>
      <c r="Q88" s="8">
        <f t="shared" si="52"/>
        <v>0</v>
      </c>
      <c r="R88" s="8">
        <f t="shared" si="52"/>
        <v>8640</v>
      </c>
      <c r="S88" s="8">
        <f t="shared" si="52"/>
        <v>151200</v>
      </c>
      <c r="T88" s="8">
        <f t="shared" si="52"/>
        <v>21600</v>
      </c>
      <c r="U88" s="8">
        <f t="shared" si="52"/>
        <v>133920</v>
      </c>
      <c r="V88" s="8">
        <f t="shared" si="52"/>
        <v>259200</v>
      </c>
      <c r="W88" s="8">
        <f t="shared" si="52"/>
        <v>34560</v>
      </c>
      <c r="X88" s="8">
        <f t="shared" si="52"/>
        <v>4320</v>
      </c>
      <c r="Y88" s="8">
        <f t="shared" si="22"/>
        <v>2255040</v>
      </c>
      <c r="Z88" s="9"/>
    </row>
    <row r="89" spans="1:26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8">
        <f t="shared" si="22"/>
        <v>0</v>
      </c>
      <c r="Z89" s="15"/>
    </row>
    <row r="90" spans="1:26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>F91</f>
        <v>32000</v>
      </c>
      <c r="G90" s="8">
        <f t="shared" ref="G90:X90" si="53">G91</f>
        <v>10000</v>
      </c>
      <c r="H90" s="8">
        <f t="shared" si="53"/>
        <v>0</v>
      </c>
      <c r="I90" s="8">
        <f t="shared" si="53"/>
        <v>32000</v>
      </c>
      <c r="J90" s="8">
        <f t="shared" si="53"/>
        <v>32000</v>
      </c>
      <c r="K90" s="8">
        <f t="shared" si="53"/>
        <v>32000</v>
      </c>
      <c r="L90" s="8">
        <f t="shared" si="53"/>
        <v>20000</v>
      </c>
      <c r="M90" s="8">
        <f t="shared" si="53"/>
        <v>20000</v>
      </c>
      <c r="N90" s="8">
        <f t="shared" si="53"/>
        <v>0</v>
      </c>
      <c r="O90" s="8">
        <f t="shared" si="53"/>
        <v>32000</v>
      </c>
      <c r="P90" s="8">
        <f t="shared" si="53"/>
        <v>0</v>
      </c>
      <c r="Q90" s="8">
        <f t="shared" si="53"/>
        <v>32000</v>
      </c>
      <c r="R90" s="8">
        <f t="shared" si="53"/>
        <v>0</v>
      </c>
      <c r="S90" s="8">
        <f t="shared" si="53"/>
        <v>32000</v>
      </c>
      <c r="T90" s="8">
        <f t="shared" si="53"/>
        <v>32000</v>
      </c>
      <c r="U90" s="8">
        <f t="shared" si="53"/>
        <v>0</v>
      </c>
      <c r="V90" s="8">
        <f t="shared" si="53"/>
        <v>0</v>
      </c>
      <c r="W90" s="8">
        <f t="shared" si="53"/>
        <v>32000</v>
      </c>
      <c r="X90" s="8">
        <f t="shared" si="53"/>
        <v>32000</v>
      </c>
      <c r="Y90" s="8">
        <f t="shared" ref="Y90:Y106" si="54">SUM(E90:X90)</f>
        <v>370000</v>
      </c>
      <c r="Z90" s="9"/>
    </row>
    <row r="91" spans="1:26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>
        <v>32000</v>
      </c>
      <c r="G91" s="26">
        <v>10000</v>
      </c>
      <c r="H91" s="26"/>
      <c r="I91" s="26">
        <v>32000</v>
      </c>
      <c r="J91" s="26">
        <v>32000</v>
      </c>
      <c r="K91" s="26">
        <v>32000</v>
      </c>
      <c r="L91" s="26">
        <v>20000</v>
      </c>
      <c r="M91" s="26">
        <v>20000</v>
      </c>
      <c r="N91" s="26"/>
      <c r="O91" s="26">
        <v>32000</v>
      </c>
      <c r="P91" s="26"/>
      <c r="Q91" s="26">
        <v>32000</v>
      </c>
      <c r="R91" s="26"/>
      <c r="S91" s="26">
        <v>32000</v>
      </c>
      <c r="T91" s="26">
        <v>32000</v>
      </c>
      <c r="U91" s="26"/>
      <c r="V91" s="26"/>
      <c r="W91" s="26">
        <v>32000</v>
      </c>
      <c r="X91" s="26">
        <v>32000</v>
      </c>
      <c r="Y91" s="8">
        <f t="shared" si="54"/>
        <v>370000</v>
      </c>
      <c r="Z91" s="27"/>
    </row>
    <row r="92" spans="1:26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  <c r="X92" s="30"/>
      <c r="Y92" s="8">
        <f t="shared" si="54"/>
        <v>0</v>
      </c>
      <c r="Z92" s="31"/>
    </row>
    <row r="93" spans="1:26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96</v>
      </c>
      <c r="F93" s="8">
        <f>F94+F95+F96+F97</f>
        <v>138</v>
      </c>
      <c r="G93" s="8">
        <f t="shared" ref="G93:X93" si="55">G94+G95+G96+G97</f>
        <v>279</v>
      </c>
      <c r="H93" s="8">
        <f t="shared" si="55"/>
        <v>60</v>
      </c>
      <c r="I93" s="8">
        <f t="shared" si="55"/>
        <v>16</v>
      </c>
      <c r="J93" s="8">
        <f t="shared" si="55"/>
        <v>21</v>
      </c>
      <c r="K93" s="8">
        <f t="shared" si="55"/>
        <v>79</v>
      </c>
      <c r="L93" s="8">
        <f t="shared" si="55"/>
        <v>98</v>
      </c>
      <c r="M93" s="8">
        <f t="shared" si="55"/>
        <v>343</v>
      </c>
      <c r="N93" s="8">
        <f t="shared" si="55"/>
        <v>29</v>
      </c>
      <c r="O93" s="8">
        <f t="shared" si="55"/>
        <v>43</v>
      </c>
      <c r="P93" s="8">
        <f t="shared" si="55"/>
        <v>99</v>
      </c>
      <c r="Q93" s="8">
        <f t="shared" si="55"/>
        <v>6</v>
      </c>
      <c r="R93" s="8">
        <f t="shared" si="55"/>
        <v>124</v>
      </c>
      <c r="S93" s="8">
        <f t="shared" si="55"/>
        <v>45</v>
      </c>
      <c r="T93" s="8">
        <f t="shared" si="55"/>
        <v>44</v>
      </c>
      <c r="U93" s="8">
        <f t="shared" si="55"/>
        <v>62</v>
      </c>
      <c r="V93" s="8">
        <f t="shared" si="55"/>
        <v>78</v>
      </c>
      <c r="W93" s="8">
        <f t="shared" si="55"/>
        <v>7</v>
      </c>
      <c r="X93" s="8">
        <f t="shared" si="55"/>
        <v>48</v>
      </c>
      <c r="Y93" s="8">
        <f t="shared" si="54"/>
        <v>1715</v>
      </c>
      <c r="Z93" s="9"/>
    </row>
    <row r="94" spans="1:26">
      <c r="A94" s="5" t="s">
        <v>236</v>
      </c>
      <c r="B94" s="32" t="s">
        <v>245</v>
      </c>
      <c r="C94" s="32"/>
      <c r="D94" s="15"/>
      <c r="E94" s="16">
        <v>96</v>
      </c>
      <c r="F94" s="16"/>
      <c r="G94" s="16">
        <v>279</v>
      </c>
      <c r="H94" s="16"/>
      <c r="I94" s="16"/>
      <c r="J94" s="16"/>
      <c r="K94" s="16"/>
      <c r="L94" s="16"/>
      <c r="M94" s="16"/>
      <c r="N94" s="16"/>
      <c r="O94" s="16"/>
      <c r="P94" s="16">
        <v>99</v>
      </c>
      <c r="Q94" s="16"/>
      <c r="R94" s="16"/>
      <c r="S94" s="16"/>
      <c r="T94" s="16">
        <v>37</v>
      </c>
      <c r="U94" s="16"/>
      <c r="V94" s="16">
        <v>78</v>
      </c>
      <c r="W94" s="16"/>
      <c r="X94" s="16"/>
      <c r="Y94" s="8">
        <f t="shared" si="54"/>
        <v>589</v>
      </c>
      <c r="Z94" s="9"/>
    </row>
    <row r="95" spans="1:26">
      <c r="A95" s="5" t="s">
        <v>239</v>
      </c>
      <c r="B95" s="32" t="s">
        <v>247</v>
      </c>
      <c r="C95" s="32"/>
      <c r="D95" s="7"/>
      <c r="E95" s="10"/>
      <c r="F95" s="10">
        <v>138</v>
      </c>
      <c r="G95" s="10"/>
      <c r="H95" s="10">
        <v>60</v>
      </c>
      <c r="I95" s="10"/>
      <c r="J95" s="10"/>
      <c r="K95" s="10"/>
      <c r="L95" s="10"/>
      <c r="M95" s="10">
        <v>343</v>
      </c>
      <c r="N95" s="10"/>
      <c r="O95" s="10"/>
      <c r="P95" s="10"/>
      <c r="Q95" s="10"/>
      <c r="R95" s="10">
        <v>124</v>
      </c>
      <c r="S95" s="10"/>
      <c r="T95" s="10">
        <v>7</v>
      </c>
      <c r="U95" s="10">
        <v>62</v>
      </c>
      <c r="V95" s="10"/>
      <c r="W95" s="10"/>
      <c r="X95" s="10"/>
      <c r="Y95" s="8">
        <f t="shared" si="54"/>
        <v>734</v>
      </c>
      <c r="Z95" s="9"/>
    </row>
    <row r="96" spans="1:26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>
        <v>16</v>
      </c>
      <c r="J96" s="16">
        <v>21</v>
      </c>
      <c r="K96" s="16">
        <v>79</v>
      </c>
      <c r="L96" s="16">
        <v>98</v>
      </c>
      <c r="M96" s="16"/>
      <c r="N96" s="16">
        <v>29</v>
      </c>
      <c r="O96" s="16">
        <v>43</v>
      </c>
      <c r="P96" s="16"/>
      <c r="Q96" s="16">
        <v>6</v>
      </c>
      <c r="R96" s="16"/>
      <c r="S96" s="16">
        <v>45</v>
      </c>
      <c r="T96" s="16"/>
      <c r="U96" s="16"/>
      <c r="V96" s="16"/>
      <c r="W96" s="16"/>
      <c r="X96" s="16">
        <v>48</v>
      </c>
      <c r="Y96" s="8">
        <f t="shared" si="54"/>
        <v>385</v>
      </c>
      <c r="Z96" s="9"/>
    </row>
    <row r="97" spans="1:26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>
        <v>7</v>
      </c>
      <c r="X97" s="16"/>
      <c r="Y97" s="8">
        <f t="shared" si="54"/>
        <v>7</v>
      </c>
      <c r="Z97" s="9"/>
    </row>
    <row r="98" spans="1:26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1119</v>
      </c>
      <c r="F98" s="8">
        <f>F99+F100+F101+F102</f>
        <v>2307</v>
      </c>
      <c r="G98" s="8">
        <f t="shared" ref="G98:X98" si="56">G99+G100+G101+G102</f>
        <v>3235</v>
      </c>
      <c r="H98" s="8">
        <f t="shared" si="56"/>
        <v>740</v>
      </c>
      <c r="I98" s="8">
        <f t="shared" si="56"/>
        <v>139</v>
      </c>
      <c r="J98" s="8">
        <f t="shared" si="56"/>
        <v>283</v>
      </c>
      <c r="K98" s="8">
        <f t="shared" si="56"/>
        <v>788</v>
      </c>
      <c r="L98" s="8">
        <f t="shared" si="56"/>
        <v>1189</v>
      </c>
      <c r="M98" s="8">
        <f t="shared" si="56"/>
        <v>5492</v>
      </c>
      <c r="N98" s="8">
        <f t="shared" si="56"/>
        <v>391</v>
      </c>
      <c r="O98" s="8">
        <f t="shared" si="56"/>
        <v>466</v>
      </c>
      <c r="P98" s="8">
        <f t="shared" si="56"/>
        <v>1419</v>
      </c>
      <c r="Q98" s="8">
        <f t="shared" si="56"/>
        <v>43</v>
      </c>
      <c r="R98" s="8">
        <f t="shared" si="56"/>
        <v>2038</v>
      </c>
      <c r="S98" s="8">
        <f t="shared" si="56"/>
        <v>457</v>
      </c>
      <c r="T98" s="8">
        <f t="shared" si="56"/>
        <v>728</v>
      </c>
      <c r="U98" s="8">
        <f t="shared" si="56"/>
        <v>809</v>
      </c>
      <c r="V98" s="8">
        <f t="shared" si="56"/>
        <v>889</v>
      </c>
      <c r="W98" s="8">
        <f t="shared" si="56"/>
        <v>0</v>
      </c>
      <c r="X98" s="8">
        <f t="shared" si="56"/>
        <v>588</v>
      </c>
      <c r="Y98" s="8">
        <f t="shared" si="54"/>
        <v>23120</v>
      </c>
      <c r="Z98" s="9"/>
    </row>
    <row r="99" spans="1:26">
      <c r="A99" s="5" t="s">
        <v>248</v>
      </c>
      <c r="B99" s="32" t="s">
        <v>245</v>
      </c>
      <c r="C99" s="32"/>
      <c r="D99" s="15"/>
      <c r="E99" s="16">
        <v>1119</v>
      </c>
      <c r="F99" s="16"/>
      <c r="G99" s="16">
        <v>3235</v>
      </c>
      <c r="H99" s="16"/>
      <c r="I99" s="16"/>
      <c r="J99" s="16"/>
      <c r="K99" s="16"/>
      <c r="L99" s="16"/>
      <c r="M99" s="16"/>
      <c r="N99" s="16"/>
      <c r="O99" s="16"/>
      <c r="P99" s="16">
        <v>1419</v>
      </c>
      <c r="Q99" s="16"/>
      <c r="R99" s="16"/>
      <c r="S99" s="16"/>
      <c r="T99" s="16">
        <v>521</v>
      </c>
      <c r="U99" s="16"/>
      <c r="V99" s="16">
        <v>889</v>
      </c>
      <c r="W99" s="16"/>
      <c r="X99" s="16"/>
      <c r="Y99" s="8">
        <f t="shared" si="54"/>
        <v>7183</v>
      </c>
      <c r="Z99" s="9"/>
    </row>
    <row r="100" spans="1:26">
      <c r="A100" s="5" t="s">
        <v>250</v>
      </c>
      <c r="B100" s="32" t="s">
        <v>247</v>
      </c>
      <c r="C100" s="32"/>
      <c r="D100" s="7"/>
      <c r="E100" s="10"/>
      <c r="F100" s="10">
        <v>2307</v>
      </c>
      <c r="G100" s="10"/>
      <c r="H100" s="10">
        <v>740</v>
      </c>
      <c r="I100" s="10"/>
      <c r="J100" s="10"/>
      <c r="K100" s="10"/>
      <c r="L100" s="10"/>
      <c r="M100" s="10">
        <v>5492</v>
      </c>
      <c r="N100" s="10"/>
      <c r="O100" s="10"/>
      <c r="P100" s="10"/>
      <c r="Q100" s="10"/>
      <c r="R100" s="10">
        <v>2038</v>
      </c>
      <c r="S100" s="10"/>
      <c r="T100" s="10">
        <v>207</v>
      </c>
      <c r="U100" s="10">
        <v>809</v>
      </c>
      <c r="V100" s="10"/>
      <c r="W100" s="10"/>
      <c r="X100" s="10"/>
      <c r="Y100" s="8">
        <f t="shared" si="54"/>
        <v>11593</v>
      </c>
      <c r="Z100" s="9"/>
    </row>
    <row r="101" spans="1:26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>
        <v>139</v>
      </c>
      <c r="J101" s="16">
        <v>283</v>
      </c>
      <c r="K101" s="16">
        <v>788</v>
      </c>
      <c r="L101" s="16">
        <v>1189</v>
      </c>
      <c r="M101" s="16"/>
      <c r="N101" s="16">
        <v>391</v>
      </c>
      <c r="O101" s="16">
        <v>466</v>
      </c>
      <c r="P101" s="16"/>
      <c r="Q101" s="16">
        <v>43</v>
      </c>
      <c r="R101" s="16"/>
      <c r="S101" s="16">
        <v>457</v>
      </c>
      <c r="T101" s="16"/>
      <c r="U101" s="16"/>
      <c r="V101" s="16"/>
      <c r="W101" s="16"/>
      <c r="X101" s="16">
        <v>588</v>
      </c>
      <c r="Y101" s="8">
        <f t="shared" si="54"/>
        <v>4344</v>
      </c>
      <c r="Z101" s="9"/>
    </row>
    <row r="102" spans="1:26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8">
        <f t="shared" si="54"/>
        <v>0</v>
      </c>
      <c r="Z102" s="9"/>
    </row>
    <row r="103" spans="1:26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33"/>
      <c r="X103" s="33"/>
      <c r="Y103" s="8">
        <f t="shared" si="54"/>
        <v>0</v>
      </c>
      <c r="Z103" s="9"/>
    </row>
    <row r="104" spans="1:26">
      <c r="A104" s="5" t="s">
        <v>257</v>
      </c>
      <c r="B104" s="6" t="s">
        <v>261</v>
      </c>
      <c r="C104" s="6"/>
      <c r="D104" s="7"/>
      <c r="E104" s="10">
        <v>45</v>
      </c>
      <c r="F104" s="10">
        <v>30</v>
      </c>
      <c r="G104" s="10">
        <v>110</v>
      </c>
      <c r="H104" s="10">
        <v>19</v>
      </c>
      <c r="I104" s="10"/>
      <c r="J104" s="10"/>
      <c r="K104" s="10">
        <v>1</v>
      </c>
      <c r="L104" s="10">
        <v>44</v>
      </c>
      <c r="M104" s="10">
        <v>105</v>
      </c>
      <c r="N104" s="10"/>
      <c r="O104" s="10">
        <v>25</v>
      </c>
      <c r="P104" s="10">
        <v>1</v>
      </c>
      <c r="Q104" s="10"/>
      <c r="R104" s="10">
        <v>2</v>
      </c>
      <c r="S104" s="10">
        <v>35</v>
      </c>
      <c r="T104" s="10">
        <v>5</v>
      </c>
      <c r="U104" s="10">
        <v>31</v>
      </c>
      <c r="V104" s="10">
        <v>60</v>
      </c>
      <c r="W104" s="10">
        <v>8</v>
      </c>
      <c r="X104" s="10">
        <v>1</v>
      </c>
      <c r="Y104" s="8">
        <f t="shared" si="54"/>
        <v>522</v>
      </c>
      <c r="Z104" s="9"/>
    </row>
    <row r="105" spans="1:26">
      <c r="A105" s="5" t="s">
        <v>258</v>
      </c>
      <c r="B105" s="32" t="s">
        <v>262</v>
      </c>
      <c r="C105" s="32"/>
      <c r="D105" s="20"/>
      <c r="E105" s="10">
        <v>13160</v>
      </c>
      <c r="F105" s="10">
        <v>14868.14</v>
      </c>
      <c r="G105" s="10">
        <v>34506.629999999997</v>
      </c>
      <c r="H105" s="10">
        <v>4776.2700000000004</v>
      </c>
      <c r="I105" s="10">
        <v>6995</v>
      </c>
      <c r="J105" s="10">
        <v>6500</v>
      </c>
      <c r="K105" s="10">
        <v>13200</v>
      </c>
      <c r="L105" s="10">
        <v>9829.07</v>
      </c>
      <c r="M105" s="10">
        <v>34846.959999999999</v>
      </c>
      <c r="N105" s="10">
        <v>3731.92</v>
      </c>
      <c r="O105" s="10">
        <v>4612</v>
      </c>
      <c r="P105" s="10">
        <v>11355.73</v>
      </c>
      <c r="Q105" s="10">
        <v>2408</v>
      </c>
      <c r="R105" s="10">
        <v>14337.21</v>
      </c>
      <c r="S105" s="10">
        <v>4286</v>
      </c>
      <c r="T105" s="10">
        <v>32300</v>
      </c>
      <c r="U105" s="10">
        <v>4631.83</v>
      </c>
      <c r="V105" s="10">
        <v>8372.6200000000008</v>
      </c>
      <c r="W105" s="10">
        <v>2800</v>
      </c>
      <c r="X105" s="10">
        <v>13478</v>
      </c>
      <c r="Y105" s="8">
        <f t="shared" si="54"/>
        <v>240995.37999999998</v>
      </c>
      <c r="Z105" s="9"/>
    </row>
    <row r="106" spans="1:26">
      <c r="A106" s="5" t="s">
        <v>259</v>
      </c>
      <c r="B106" s="32" t="s">
        <v>263</v>
      </c>
      <c r="C106" s="32"/>
      <c r="D106" s="20"/>
      <c r="E106" s="10">
        <v>8691</v>
      </c>
      <c r="F106" s="10">
        <v>6620</v>
      </c>
      <c r="G106" s="10">
        <v>17447</v>
      </c>
      <c r="H106" s="10">
        <v>3585</v>
      </c>
      <c r="I106" s="10">
        <v>2841</v>
      </c>
      <c r="J106" s="10">
        <v>2312.1</v>
      </c>
      <c r="K106" s="10">
        <v>4100</v>
      </c>
      <c r="L106" s="10">
        <v>5330</v>
      </c>
      <c r="M106" s="10">
        <v>12339</v>
      </c>
      <c r="N106" s="10">
        <v>1786</v>
      </c>
      <c r="O106" s="10">
        <v>1717</v>
      </c>
      <c r="P106" s="10">
        <v>4073</v>
      </c>
      <c r="Q106" s="10">
        <v>2312.4499999999998</v>
      </c>
      <c r="R106" s="10">
        <v>7880</v>
      </c>
      <c r="S106" s="10">
        <v>2350</v>
      </c>
      <c r="T106" s="121">
        <v>13107.45</v>
      </c>
      <c r="U106" s="10">
        <v>3226</v>
      </c>
      <c r="V106" s="10">
        <v>6496</v>
      </c>
      <c r="W106" s="10"/>
      <c r="X106" s="10">
        <v>6044.7</v>
      </c>
      <c r="Y106" s="8">
        <f t="shared" si="54"/>
        <v>112257.7</v>
      </c>
      <c r="Z106" s="9"/>
    </row>
    <row r="107" spans="1:26">
      <c r="E107" s="1">
        <f t="shared" ref="E107:Y107" si="57">E4/E93</f>
        <v>350264.77604166669</v>
      </c>
      <c r="F107" s="1">
        <f t="shared" si="57"/>
        <v>344294.07536231884</v>
      </c>
      <c r="G107" s="1">
        <f t="shared" si="57"/>
        <v>348657.96182795701</v>
      </c>
      <c r="H107" s="1">
        <f t="shared" si="57"/>
        <v>352060.4991666667</v>
      </c>
      <c r="I107" s="1">
        <f t="shared" si="57"/>
        <v>311781.4375</v>
      </c>
      <c r="J107" s="1">
        <f t="shared" si="57"/>
        <v>308382.34285714285</v>
      </c>
      <c r="K107" s="1">
        <f t="shared" si="57"/>
        <v>324931.22784810129</v>
      </c>
      <c r="L107" s="1">
        <f t="shared" si="57"/>
        <v>319630.94846938777</v>
      </c>
      <c r="M107" s="1">
        <f t="shared" si="57"/>
        <v>349397.08046647231</v>
      </c>
      <c r="N107" s="1">
        <f t="shared" si="57"/>
        <v>321211.90344827581</v>
      </c>
      <c r="O107" s="1">
        <f t="shared" si="57"/>
        <v>319353.83720930235</v>
      </c>
      <c r="P107" s="1">
        <f t="shared" si="57"/>
        <v>353248.84898989898</v>
      </c>
      <c r="Q107" s="1">
        <f t="shared" si="57"/>
        <v>314074.06666666671</v>
      </c>
      <c r="R107" s="1">
        <f t="shared" si="57"/>
        <v>344789.17620967742</v>
      </c>
      <c r="S107" s="1">
        <f t="shared" si="57"/>
        <v>327243.88888888888</v>
      </c>
      <c r="T107" s="1">
        <f t="shared" si="57"/>
        <v>346687.29545454547</v>
      </c>
      <c r="U107" s="1">
        <f t="shared" si="57"/>
        <v>352597.44435483863</v>
      </c>
      <c r="V107" s="1">
        <f t="shared" si="57"/>
        <v>361976.66282051284</v>
      </c>
      <c r="W107" s="1">
        <f t="shared" si="57"/>
        <v>358999.57142857142</v>
      </c>
      <c r="X107" s="1">
        <f t="shared" si="57"/>
        <v>309158.92499999999</v>
      </c>
      <c r="Y107" s="1">
        <f t="shared" si="57"/>
        <v>342812.64962099126</v>
      </c>
    </row>
  </sheetData>
  <protectedRanges>
    <protectedRange password="E9C1" sqref="D28 Y21:Z26 Z20 Y4:Z9 Z10 A2:Z3 Z27 A4:D5 Y11:Z19 B6:D26 Y28:Z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Z1"/>
  </mergeCells>
  <phoneticPr fontId="3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L3" activePane="bottomRight" state="frozen"/>
      <selection pane="topRight" activeCell="E1" sqref="E1"/>
      <selection pane="bottomLeft" activeCell="A3" sqref="A3"/>
      <selection pane="bottomRight" sqref="A1:Y1"/>
    </sheetView>
  </sheetViews>
  <sheetFormatPr defaultColWidth="15.625" defaultRowHeight="11.25"/>
  <cols>
    <col min="1" max="1" width="4.625" style="115" customWidth="1"/>
    <col min="2" max="2" width="13.125" style="86" customWidth="1"/>
    <col min="3" max="3" width="8" style="86" customWidth="1"/>
    <col min="4" max="4" width="10.625" style="116" customWidth="1"/>
    <col min="5" max="25" width="12.625" style="86" customWidth="1"/>
    <col min="26" max="256" width="15.625" style="86"/>
    <col min="257" max="257" width="4.625" style="86" customWidth="1"/>
    <col min="258" max="258" width="23.625" style="86" customWidth="1"/>
    <col min="259" max="259" width="11.375" style="86" customWidth="1"/>
    <col min="260" max="260" width="10.625" style="86" customWidth="1"/>
    <col min="261" max="261" width="15.625" style="86"/>
    <col min="262" max="264" width="10.75" style="86" bestFit="1" customWidth="1"/>
    <col min="265" max="265" width="10.125" style="86" bestFit="1" customWidth="1"/>
    <col min="266" max="266" width="10.75" style="86" bestFit="1" customWidth="1"/>
    <col min="267" max="267" width="11" style="86" bestFit="1" customWidth="1"/>
    <col min="268" max="268" width="10.75" style="86" bestFit="1" customWidth="1"/>
    <col min="269" max="269" width="15.625" style="86"/>
    <col min="270" max="270" width="11.5" style="86" bestFit="1" customWidth="1"/>
    <col min="271" max="273" width="10.75" style="86" bestFit="1" customWidth="1"/>
    <col min="274" max="276" width="15.625" style="86"/>
    <col min="277" max="277" width="14.625" style="86" bestFit="1" customWidth="1"/>
    <col min="278" max="278" width="15.625" style="86"/>
    <col min="279" max="279" width="13.375" style="86" bestFit="1" customWidth="1"/>
    <col min="280" max="280" width="10.75" style="86" bestFit="1" customWidth="1"/>
    <col min="281" max="512" width="15.625" style="86"/>
    <col min="513" max="513" width="4.625" style="86" customWidth="1"/>
    <col min="514" max="514" width="23.625" style="86" customWidth="1"/>
    <col min="515" max="515" width="11.375" style="86" customWidth="1"/>
    <col min="516" max="516" width="10.625" style="86" customWidth="1"/>
    <col min="517" max="517" width="15.625" style="86"/>
    <col min="518" max="520" width="10.75" style="86" bestFit="1" customWidth="1"/>
    <col min="521" max="521" width="10.125" style="86" bestFit="1" customWidth="1"/>
    <col min="522" max="522" width="10.75" style="86" bestFit="1" customWidth="1"/>
    <col min="523" max="523" width="11" style="86" bestFit="1" customWidth="1"/>
    <col min="524" max="524" width="10.75" style="86" bestFit="1" customWidth="1"/>
    <col min="525" max="525" width="15.625" style="86"/>
    <col min="526" max="526" width="11.5" style="86" bestFit="1" customWidth="1"/>
    <col min="527" max="529" width="10.75" style="86" bestFit="1" customWidth="1"/>
    <col min="530" max="532" width="15.625" style="86"/>
    <col min="533" max="533" width="14.625" style="86" bestFit="1" customWidth="1"/>
    <col min="534" max="534" width="15.625" style="86"/>
    <col min="535" max="535" width="13.375" style="86" bestFit="1" customWidth="1"/>
    <col min="536" max="536" width="10.75" style="86" bestFit="1" customWidth="1"/>
    <col min="537" max="768" width="15.625" style="86"/>
    <col min="769" max="769" width="4.625" style="86" customWidth="1"/>
    <col min="770" max="770" width="23.625" style="86" customWidth="1"/>
    <col min="771" max="771" width="11.375" style="86" customWidth="1"/>
    <col min="772" max="772" width="10.625" style="86" customWidth="1"/>
    <col min="773" max="773" width="15.625" style="86"/>
    <col min="774" max="776" width="10.75" style="86" bestFit="1" customWidth="1"/>
    <col min="777" max="777" width="10.125" style="86" bestFit="1" customWidth="1"/>
    <col min="778" max="778" width="10.75" style="86" bestFit="1" customWidth="1"/>
    <col min="779" max="779" width="11" style="86" bestFit="1" customWidth="1"/>
    <col min="780" max="780" width="10.75" style="86" bestFit="1" customWidth="1"/>
    <col min="781" max="781" width="15.625" style="86"/>
    <col min="782" max="782" width="11.5" style="86" bestFit="1" customWidth="1"/>
    <col min="783" max="785" width="10.75" style="86" bestFit="1" customWidth="1"/>
    <col min="786" max="788" width="15.625" style="86"/>
    <col min="789" max="789" width="14.625" style="86" bestFit="1" customWidth="1"/>
    <col min="790" max="790" width="15.625" style="86"/>
    <col min="791" max="791" width="13.375" style="86" bestFit="1" customWidth="1"/>
    <col min="792" max="792" width="10.75" style="86" bestFit="1" customWidth="1"/>
    <col min="793" max="1024" width="15.625" style="86"/>
    <col min="1025" max="1025" width="4.625" style="86" customWidth="1"/>
    <col min="1026" max="1026" width="23.625" style="86" customWidth="1"/>
    <col min="1027" max="1027" width="11.375" style="86" customWidth="1"/>
    <col min="1028" max="1028" width="10.625" style="86" customWidth="1"/>
    <col min="1029" max="1029" width="15.625" style="86"/>
    <col min="1030" max="1032" width="10.75" style="86" bestFit="1" customWidth="1"/>
    <col min="1033" max="1033" width="10.125" style="86" bestFit="1" customWidth="1"/>
    <col min="1034" max="1034" width="10.75" style="86" bestFit="1" customWidth="1"/>
    <col min="1035" max="1035" width="11" style="86" bestFit="1" customWidth="1"/>
    <col min="1036" max="1036" width="10.75" style="86" bestFit="1" customWidth="1"/>
    <col min="1037" max="1037" width="15.625" style="86"/>
    <col min="1038" max="1038" width="11.5" style="86" bestFit="1" customWidth="1"/>
    <col min="1039" max="1041" width="10.75" style="86" bestFit="1" customWidth="1"/>
    <col min="1042" max="1044" width="15.625" style="86"/>
    <col min="1045" max="1045" width="14.625" style="86" bestFit="1" customWidth="1"/>
    <col min="1046" max="1046" width="15.625" style="86"/>
    <col min="1047" max="1047" width="13.375" style="86" bestFit="1" customWidth="1"/>
    <col min="1048" max="1048" width="10.75" style="86" bestFit="1" customWidth="1"/>
    <col min="1049" max="1280" width="15.625" style="86"/>
    <col min="1281" max="1281" width="4.625" style="86" customWidth="1"/>
    <col min="1282" max="1282" width="23.625" style="86" customWidth="1"/>
    <col min="1283" max="1283" width="11.375" style="86" customWidth="1"/>
    <col min="1284" max="1284" width="10.625" style="86" customWidth="1"/>
    <col min="1285" max="1285" width="15.625" style="86"/>
    <col min="1286" max="1288" width="10.75" style="86" bestFit="1" customWidth="1"/>
    <col min="1289" max="1289" width="10.125" style="86" bestFit="1" customWidth="1"/>
    <col min="1290" max="1290" width="10.75" style="86" bestFit="1" customWidth="1"/>
    <col min="1291" max="1291" width="11" style="86" bestFit="1" customWidth="1"/>
    <col min="1292" max="1292" width="10.75" style="86" bestFit="1" customWidth="1"/>
    <col min="1293" max="1293" width="15.625" style="86"/>
    <col min="1294" max="1294" width="11.5" style="86" bestFit="1" customWidth="1"/>
    <col min="1295" max="1297" width="10.75" style="86" bestFit="1" customWidth="1"/>
    <col min="1298" max="1300" width="15.625" style="86"/>
    <col min="1301" max="1301" width="14.625" style="86" bestFit="1" customWidth="1"/>
    <col min="1302" max="1302" width="15.625" style="86"/>
    <col min="1303" max="1303" width="13.375" style="86" bestFit="1" customWidth="1"/>
    <col min="1304" max="1304" width="10.75" style="86" bestFit="1" customWidth="1"/>
    <col min="1305" max="1536" width="15.625" style="86"/>
    <col min="1537" max="1537" width="4.625" style="86" customWidth="1"/>
    <col min="1538" max="1538" width="23.625" style="86" customWidth="1"/>
    <col min="1539" max="1539" width="11.375" style="86" customWidth="1"/>
    <col min="1540" max="1540" width="10.625" style="86" customWidth="1"/>
    <col min="1541" max="1541" width="15.625" style="86"/>
    <col min="1542" max="1544" width="10.75" style="86" bestFit="1" customWidth="1"/>
    <col min="1545" max="1545" width="10.125" style="86" bestFit="1" customWidth="1"/>
    <col min="1546" max="1546" width="10.75" style="86" bestFit="1" customWidth="1"/>
    <col min="1547" max="1547" width="11" style="86" bestFit="1" customWidth="1"/>
    <col min="1548" max="1548" width="10.75" style="86" bestFit="1" customWidth="1"/>
    <col min="1549" max="1549" width="15.625" style="86"/>
    <col min="1550" max="1550" width="11.5" style="86" bestFit="1" customWidth="1"/>
    <col min="1551" max="1553" width="10.75" style="86" bestFit="1" customWidth="1"/>
    <col min="1554" max="1556" width="15.625" style="86"/>
    <col min="1557" max="1557" width="14.625" style="86" bestFit="1" customWidth="1"/>
    <col min="1558" max="1558" width="15.625" style="86"/>
    <col min="1559" max="1559" width="13.375" style="86" bestFit="1" customWidth="1"/>
    <col min="1560" max="1560" width="10.75" style="86" bestFit="1" customWidth="1"/>
    <col min="1561" max="1792" width="15.625" style="86"/>
    <col min="1793" max="1793" width="4.625" style="86" customWidth="1"/>
    <col min="1794" max="1794" width="23.625" style="86" customWidth="1"/>
    <col min="1795" max="1795" width="11.375" style="86" customWidth="1"/>
    <col min="1796" max="1796" width="10.625" style="86" customWidth="1"/>
    <col min="1797" max="1797" width="15.625" style="86"/>
    <col min="1798" max="1800" width="10.75" style="86" bestFit="1" customWidth="1"/>
    <col min="1801" max="1801" width="10.125" style="86" bestFit="1" customWidth="1"/>
    <col min="1802" max="1802" width="10.75" style="86" bestFit="1" customWidth="1"/>
    <col min="1803" max="1803" width="11" style="86" bestFit="1" customWidth="1"/>
    <col min="1804" max="1804" width="10.75" style="86" bestFit="1" customWidth="1"/>
    <col min="1805" max="1805" width="15.625" style="86"/>
    <col min="1806" max="1806" width="11.5" style="86" bestFit="1" customWidth="1"/>
    <col min="1807" max="1809" width="10.75" style="86" bestFit="1" customWidth="1"/>
    <col min="1810" max="1812" width="15.625" style="86"/>
    <col min="1813" max="1813" width="14.625" style="86" bestFit="1" customWidth="1"/>
    <col min="1814" max="1814" width="15.625" style="86"/>
    <col min="1815" max="1815" width="13.375" style="86" bestFit="1" customWidth="1"/>
    <col min="1816" max="1816" width="10.75" style="86" bestFit="1" customWidth="1"/>
    <col min="1817" max="2048" width="15.625" style="86"/>
    <col min="2049" max="2049" width="4.625" style="86" customWidth="1"/>
    <col min="2050" max="2050" width="23.625" style="86" customWidth="1"/>
    <col min="2051" max="2051" width="11.375" style="86" customWidth="1"/>
    <col min="2052" max="2052" width="10.625" style="86" customWidth="1"/>
    <col min="2053" max="2053" width="15.625" style="86"/>
    <col min="2054" max="2056" width="10.75" style="86" bestFit="1" customWidth="1"/>
    <col min="2057" max="2057" width="10.125" style="86" bestFit="1" customWidth="1"/>
    <col min="2058" max="2058" width="10.75" style="86" bestFit="1" customWidth="1"/>
    <col min="2059" max="2059" width="11" style="86" bestFit="1" customWidth="1"/>
    <col min="2060" max="2060" width="10.75" style="86" bestFit="1" customWidth="1"/>
    <col min="2061" max="2061" width="15.625" style="86"/>
    <col min="2062" max="2062" width="11.5" style="86" bestFit="1" customWidth="1"/>
    <col min="2063" max="2065" width="10.75" style="86" bestFit="1" customWidth="1"/>
    <col min="2066" max="2068" width="15.625" style="86"/>
    <col min="2069" max="2069" width="14.625" style="86" bestFit="1" customWidth="1"/>
    <col min="2070" max="2070" width="15.625" style="86"/>
    <col min="2071" max="2071" width="13.375" style="86" bestFit="1" customWidth="1"/>
    <col min="2072" max="2072" width="10.75" style="86" bestFit="1" customWidth="1"/>
    <col min="2073" max="2304" width="15.625" style="86"/>
    <col min="2305" max="2305" width="4.625" style="86" customWidth="1"/>
    <col min="2306" max="2306" width="23.625" style="86" customWidth="1"/>
    <col min="2307" max="2307" width="11.375" style="86" customWidth="1"/>
    <col min="2308" max="2308" width="10.625" style="86" customWidth="1"/>
    <col min="2309" max="2309" width="15.625" style="86"/>
    <col min="2310" max="2312" width="10.75" style="86" bestFit="1" customWidth="1"/>
    <col min="2313" max="2313" width="10.125" style="86" bestFit="1" customWidth="1"/>
    <col min="2314" max="2314" width="10.75" style="86" bestFit="1" customWidth="1"/>
    <col min="2315" max="2315" width="11" style="86" bestFit="1" customWidth="1"/>
    <col min="2316" max="2316" width="10.75" style="86" bestFit="1" customWidth="1"/>
    <col min="2317" max="2317" width="15.625" style="86"/>
    <col min="2318" max="2318" width="11.5" style="86" bestFit="1" customWidth="1"/>
    <col min="2319" max="2321" width="10.75" style="86" bestFit="1" customWidth="1"/>
    <col min="2322" max="2324" width="15.625" style="86"/>
    <col min="2325" max="2325" width="14.625" style="86" bestFit="1" customWidth="1"/>
    <col min="2326" max="2326" width="15.625" style="86"/>
    <col min="2327" max="2327" width="13.375" style="86" bestFit="1" customWidth="1"/>
    <col min="2328" max="2328" width="10.75" style="86" bestFit="1" customWidth="1"/>
    <col min="2329" max="2560" width="15.625" style="86"/>
    <col min="2561" max="2561" width="4.625" style="86" customWidth="1"/>
    <col min="2562" max="2562" width="23.625" style="86" customWidth="1"/>
    <col min="2563" max="2563" width="11.375" style="86" customWidth="1"/>
    <col min="2564" max="2564" width="10.625" style="86" customWidth="1"/>
    <col min="2565" max="2565" width="15.625" style="86"/>
    <col min="2566" max="2568" width="10.75" style="86" bestFit="1" customWidth="1"/>
    <col min="2569" max="2569" width="10.125" style="86" bestFit="1" customWidth="1"/>
    <col min="2570" max="2570" width="10.75" style="86" bestFit="1" customWidth="1"/>
    <col min="2571" max="2571" width="11" style="86" bestFit="1" customWidth="1"/>
    <col min="2572" max="2572" width="10.75" style="86" bestFit="1" customWidth="1"/>
    <col min="2573" max="2573" width="15.625" style="86"/>
    <col min="2574" max="2574" width="11.5" style="86" bestFit="1" customWidth="1"/>
    <col min="2575" max="2577" width="10.75" style="86" bestFit="1" customWidth="1"/>
    <col min="2578" max="2580" width="15.625" style="86"/>
    <col min="2581" max="2581" width="14.625" style="86" bestFit="1" customWidth="1"/>
    <col min="2582" max="2582" width="15.625" style="86"/>
    <col min="2583" max="2583" width="13.375" style="86" bestFit="1" customWidth="1"/>
    <col min="2584" max="2584" width="10.75" style="86" bestFit="1" customWidth="1"/>
    <col min="2585" max="2816" width="15.625" style="86"/>
    <col min="2817" max="2817" width="4.625" style="86" customWidth="1"/>
    <col min="2818" max="2818" width="23.625" style="86" customWidth="1"/>
    <col min="2819" max="2819" width="11.375" style="86" customWidth="1"/>
    <col min="2820" max="2820" width="10.625" style="86" customWidth="1"/>
    <col min="2821" max="2821" width="15.625" style="86"/>
    <col min="2822" max="2824" width="10.75" style="86" bestFit="1" customWidth="1"/>
    <col min="2825" max="2825" width="10.125" style="86" bestFit="1" customWidth="1"/>
    <col min="2826" max="2826" width="10.75" style="86" bestFit="1" customWidth="1"/>
    <col min="2827" max="2827" width="11" style="86" bestFit="1" customWidth="1"/>
    <col min="2828" max="2828" width="10.75" style="86" bestFit="1" customWidth="1"/>
    <col min="2829" max="2829" width="15.625" style="86"/>
    <col min="2830" max="2830" width="11.5" style="86" bestFit="1" customWidth="1"/>
    <col min="2831" max="2833" width="10.75" style="86" bestFit="1" customWidth="1"/>
    <col min="2834" max="2836" width="15.625" style="86"/>
    <col min="2837" max="2837" width="14.625" style="86" bestFit="1" customWidth="1"/>
    <col min="2838" max="2838" width="15.625" style="86"/>
    <col min="2839" max="2839" width="13.375" style="86" bestFit="1" customWidth="1"/>
    <col min="2840" max="2840" width="10.75" style="86" bestFit="1" customWidth="1"/>
    <col min="2841" max="3072" width="15.625" style="86"/>
    <col min="3073" max="3073" width="4.625" style="86" customWidth="1"/>
    <col min="3074" max="3074" width="23.625" style="86" customWidth="1"/>
    <col min="3075" max="3075" width="11.375" style="86" customWidth="1"/>
    <col min="3076" max="3076" width="10.625" style="86" customWidth="1"/>
    <col min="3077" max="3077" width="15.625" style="86"/>
    <col min="3078" max="3080" width="10.75" style="86" bestFit="1" customWidth="1"/>
    <col min="3081" max="3081" width="10.125" style="86" bestFit="1" customWidth="1"/>
    <col min="3082" max="3082" width="10.75" style="86" bestFit="1" customWidth="1"/>
    <col min="3083" max="3083" width="11" style="86" bestFit="1" customWidth="1"/>
    <col min="3084" max="3084" width="10.75" style="86" bestFit="1" customWidth="1"/>
    <col min="3085" max="3085" width="15.625" style="86"/>
    <col min="3086" max="3086" width="11.5" style="86" bestFit="1" customWidth="1"/>
    <col min="3087" max="3089" width="10.75" style="86" bestFit="1" customWidth="1"/>
    <col min="3090" max="3092" width="15.625" style="86"/>
    <col min="3093" max="3093" width="14.625" style="86" bestFit="1" customWidth="1"/>
    <col min="3094" max="3094" width="15.625" style="86"/>
    <col min="3095" max="3095" width="13.375" style="86" bestFit="1" customWidth="1"/>
    <col min="3096" max="3096" width="10.75" style="86" bestFit="1" customWidth="1"/>
    <col min="3097" max="3328" width="15.625" style="86"/>
    <col min="3329" max="3329" width="4.625" style="86" customWidth="1"/>
    <col min="3330" max="3330" width="23.625" style="86" customWidth="1"/>
    <col min="3331" max="3331" width="11.375" style="86" customWidth="1"/>
    <col min="3332" max="3332" width="10.625" style="86" customWidth="1"/>
    <col min="3333" max="3333" width="15.625" style="86"/>
    <col min="3334" max="3336" width="10.75" style="86" bestFit="1" customWidth="1"/>
    <col min="3337" max="3337" width="10.125" style="86" bestFit="1" customWidth="1"/>
    <col min="3338" max="3338" width="10.75" style="86" bestFit="1" customWidth="1"/>
    <col min="3339" max="3339" width="11" style="86" bestFit="1" customWidth="1"/>
    <col min="3340" max="3340" width="10.75" style="86" bestFit="1" customWidth="1"/>
    <col min="3341" max="3341" width="15.625" style="86"/>
    <col min="3342" max="3342" width="11.5" style="86" bestFit="1" customWidth="1"/>
    <col min="3343" max="3345" width="10.75" style="86" bestFit="1" customWidth="1"/>
    <col min="3346" max="3348" width="15.625" style="86"/>
    <col min="3349" max="3349" width="14.625" style="86" bestFit="1" customWidth="1"/>
    <col min="3350" max="3350" width="15.625" style="86"/>
    <col min="3351" max="3351" width="13.375" style="86" bestFit="1" customWidth="1"/>
    <col min="3352" max="3352" width="10.75" style="86" bestFit="1" customWidth="1"/>
    <col min="3353" max="3584" width="15.625" style="86"/>
    <col min="3585" max="3585" width="4.625" style="86" customWidth="1"/>
    <col min="3586" max="3586" width="23.625" style="86" customWidth="1"/>
    <col min="3587" max="3587" width="11.375" style="86" customWidth="1"/>
    <col min="3588" max="3588" width="10.625" style="86" customWidth="1"/>
    <col min="3589" max="3589" width="15.625" style="86"/>
    <col min="3590" max="3592" width="10.75" style="86" bestFit="1" customWidth="1"/>
    <col min="3593" max="3593" width="10.125" style="86" bestFit="1" customWidth="1"/>
    <col min="3594" max="3594" width="10.75" style="86" bestFit="1" customWidth="1"/>
    <col min="3595" max="3595" width="11" style="86" bestFit="1" customWidth="1"/>
    <col min="3596" max="3596" width="10.75" style="86" bestFit="1" customWidth="1"/>
    <col min="3597" max="3597" width="15.625" style="86"/>
    <col min="3598" max="3598" width="11.5" style="86" bestFit="1" customWidth="1"/>
    <col min="3599" max="3601" width="10.75" style="86" bestFit="1" customWidth="1"/>
    <col min="3602" max="3604" width="15.625" style="86"/>
    <col min="3605" max="3605" width="14.625" style="86" bestFit="1" customWidth="1"/>
    <col min="3606" max="3606" width="15.625" style="86"/>
    <col min="3607" max="3607" width="13.375" style="86" bestFit="1" customWidth="1"/>
    <col min="3608" max="3608" width="10.75" style="86" bestFit="1" customWidth="1"/>
    <col min="3609" max="3840" width="15.625" style="86"/>
    <col min="3841" max="3841" width="4.625" style="86" customWidth="1"/>
    <col min="3842" max="3842" width="23.625" style="86" customWidth="1"/>
    <col min="3843" max="3843" width="11.375" style="86" customWidth="1"/>
    <col min="3844" max="3844" width="10.625" style="86" customWidth="1"/>
    <col min="3845" max="3845" width="15.625" style="86"/>
    <col min="3846" max="3848" width="10.75" style="86" bestFit="1" customWidth="1"/>
    <col min="3849" max="3849" width="10.125" style="86" bestFit="1" customWidth="1"/>
    <col min="3850" max="3850" width="10.75" style="86" bestFit="1" customWidth="1"/>
    <col min="3851" max="3851" width="11" style="86" bestFit="1" customWidth="1"/>
    <col min="3852" max="3852" width="10.75" style="86" bestFit="1" customWidth="1"/>
    <col min="3853" max="3853" width="15.625" style="86"/>
    <col min="3854" max="3854" width="11.5" style="86" bestFit="1" customWidth="1"/>
    <col min="3855" max="3857" width="10.75" style="86" bestFit="1" customWidth="1"/>
    <col min="3858" max="3860" width="15.625" style="86"/>
    <col min="3861" max="3861" width="14.625" style="86" bestFit="1" customWidth="1"/>
    <col min="3862" max="3862" width="15.625" style="86"/>
    <col min="3863" max="3863" width="13.375" style="86" bestFit="1" customWidth="1"/>
    <col min="3864" max="3864" width="10.75" style="86" bestFit="1" customWidth="1"/>
    <col min="3865" max="4096" width="15.625" style="86"/>
    <col min="4097" max="4097" width="4.625" style="86" customWidth="1"/>
    <col min="4098" max="4098" width="23.625" style="86" customWidth="1"/>
    <col min="4099" max="4099" width="11.375" style="86" customWidth="1"/>
    <col min="4100" max="4100" width="10.625" style="86" customWidth="1"/>
    <col min="4101" max="4101" width="15.625" style="86"/>
    <col min="4102" max="4104" width="10.75" style="86" bestFit="1" customWidth="1"/>
    <col min="4105" max="4105" width="10.125" style="86" bestFit="1" customWidth="1"/>
    <col min="4106" max="4106" width="10.75" style="86" bestFit="1" customWidth="1"/>
    <col min="4107" max="4107" width="11" style="86" bestFit="1" customWidth="1"/>
    <col min="4108" max="4108" width="10.75" style="86" bestFit="1" customWidth="1"/>
    <col min="4109" max="4109" width="15.625" style="86"/>
    <col min="4110" max="4110" width="11.5" style="86" bestFit="1" customWidth="1"/>
    <col min="4111" max="4113" width="10.75" style="86" bestFit="1" customWidth="1"/>
    <col min="4114" max="4116" width="15.625" style="86"/>
    <col min="4117" max="4117" width="14.625" style="86" bestFit="1" customWidth="1"/>
    <col min="4118" max="4118" width="15.625" style="86"/>
    <col min="4119" max="4119" width="13.375" style="86" bestFit="1" customWidth="1"/>
    <col min="4120" max="4120" width="10.75" style="86" bestFit="1" customWidth="1"/>
    <col min="4121" max="4352" width="15.625" style="86"/>
    <col min="4353" max="4353" width="4.625" style="86" customWidth="1"/>
    <col min="4354" max="4354" width="23.625" style="86" customWidth="1"/>
    <col min="4355" max="4355" width="11.375" style="86" customWidth="1"/>
    <col min="4356" max="4356" width="10.625" style="86" customWidth="1"/>
    <col min="4357" max="4357" width="15.625" style="86"/>
    <col min="4358" max="4360" width="10.75" style="86" bestFit="1" customWidth="1"/>
    <col min="4361" max="4361" width="10.125" style="86" bestFit="1" customWidth="1"/>
    <col min="4362" max="4362" width="10.75" style="86" bestFit="1" customWidth="1"/>
    <col min="4363" max="4363" width="11" style="86" bestFit="1" customWidth="1"/>
    <col min="4364" max="4364" width="10.75" style="86" bestFit="1" customWidth="1"/>
    <col min="4365" max="4365" width="15.625" style="86"/>
    <col min="4366" max="4366" width="11.5" style="86" bestFit="1" customWidth="1"/>
    <col min="4367" max="4369" width="10.75" style="86" bestFit="1" customWidth="1"/>
    <col min="4370" max="4372" width="15.625" style="86"/>
    <col min="4373" max="4373" width="14.625" style="86" bestFit="1" customWidth="1"/>
    <col min="4374" max="4374" width="15.625" style="86"/>
    <col min="4375" max="4375" width="13.375" style="86" bestFit="1" customWidth="1"/>
    <col min="4376" max="4376" width="10.75" style="86" bestFit="1" customWidth="1"/>
    <col min="4377" max="4608" width="15.625" style="86"/>
    <col min="4609" max="4609" width="4.625" style="86" customWidth="1"/>
    <col min="4610" max="4610" width="23.625" style="86" customWidth="1"/>
    <col min="4611" max="4611" width="11.375" style="86" customWidth="1"/>
    <col min="4612" max="4612" width="10.625" style="86" customWidth="1"/>
    <col min="4613" max="4613" width="15.625" style="86"/>
    <col min="4614" max="4616" width="10.75" style="86" bestFit="1" customWidth="1"/>
    <col min="4617" max="4617" width="10.125" style="86" bestFit="1" customWidth="1"/>
    <col min="4618" max="4618" width="10.75" style="86" bestFit="1" customWidth="1"/>
    <col min="4619" max="4619" width="11" style="86" bestFit="1" customWidth="1"/>
    <col min="4620" max="4620" width="10.75" style="86" bestFit="1" customWidth="1"/>
    <col min="4621" max="4621" width="15.625" style="86"/>
    <col min="4622" max="4622" width="11.5" style="86" bestFit="1" customWidth="1"/>
    <col min="4623" max="4625" width="10.75" style="86" bestFit="1" customWidth="1"/>
    <col min="4626" max="4628" width="15.625" style="86"/>
    <col min="4629" max="4629" width="14.625" style="86" bestFit="1" customWidth="1"/>
    <col min="4630" max="4630" width="15.625" style="86"/>
    <col min="4631" max="4631" width="13.375" style="86" bestFit="1" customWidth="1"/>
    <col min="4632" max="4632" width="10.75" style="86" bestFit="1" customWidth="1"/>
    <col min="4633" max="4864" width="15.625" style="86"/>
    <col min="4865" max="4865" width="4.625" style="86" customWidth="1"/>
    <col min="4866" max="4866" width="23.625" style="86" customWidth="1"/>
    <col min="4867" max="4867" width="11.375" style="86" customWidth="1"/>
    <col min="4868" max="4868" width="10.625" style="86" customWidth="1"/>
    <col min="4869" max="4869" width="15.625" style="86"/>
    <col min="4870" max="4872" width="10.75" style="86" bestFit="1" customWidth="1"/>
    <col min="4873" max="4873" width="10.125" style="86" bestFit="1" customWidth="1"/>
    <col min="4874" max="4874" width="10.75" style="86" bestFit="1" customWidth="1"/>
    <col min="4875" max="4875" width="11" style="86" bestFit="1" customWidth="1"/>
    <col min="4876" max="4876" width="10.75" style="86" bestFit="1" customWidth="1"/>
    <col min="4877" max="4877" width="15.625" style="86"/>
    <col min="4878" max="4878" width="11.5" style="86" bestFit="1" customWidth="1"/>
    <col min="4879" max="4881" width="10.75" style="86" bestFit="1" customWidth="1"/>
    <col min="4882" max="4884" width="15.625" style="86"/>
    <col min="4885" max="4885" width="14.625" style="86" bestFit="1" customWidth="1"/>
    <col min="4886" max="4886" width="15.625" style="86"/>
    <col min="4887" max="4887" width="13.375" style="86" bestFit="1" customWidth="1"/>
    <col min="4888" max="4888" width="10.75" style="86" bestFit="1" customWidth="1"/>
    <col min="4889" max="5120" width="15.625" style="86"/>
    <col min="5121" max="5121" width="4.625" style="86" customWidth="1"/>
    <col min="5122" max="5122" width="23.625" style="86" customWidth="1"/>
    <col min="5123" max="5123" width="11.375" style="86" customWidth="1"/>
    <col min="5124" max="5124" width="10.625" style="86" customWidth="1"/>
    <col min="5125" max="5125" width="15.625" style="86"/>
    <col min="5126" max="5128" width="10.75" style="86" bestFit="1" customWidth="1"/>
    <col min="5129" max="5129" width="10.125" style="86" bestFit="1" customWidth="1"/>
    <col min="5130" max="5130" width="10.75" style="86" bestFit="1" customWidth="1"/>
    <col min="5131" max="5131" width="11" style="86" bestFit="1" customWidth="1"/>
    <col min="5132" max="5132" width="10.75" style="86" bestFit="1" customWidth="1"/>
    <col min="5133" max="5133" width="15.625" style="86"/>
    <col min="5134" max="5134" width="11.5" style="86" bestFit="1" customWidth="1"/>
    <col min="5135" max="5137" width="10.75" style="86" bestFit="1" customWidth="1"/>
    <col min="5138" max="5140" width="15.625" style="86"/>
    <col min="5141" max="5141" width="14.625" style="86" bestFit="1" customWidth="1"/>
    <col min="5142" max="5142" width="15.625" style="86"/>
    <col min="5143" max="5143" width="13.375" style="86" bestFit="1" customWidth="1"/>
    <col min="5144" max="5144" width="10.75" style="86" bestFit="1" customWidth="1"/>
    <col min="5145" max="5376" width="15.625" style="86"/>
    <col min="5377" max="5377" width="4.625" style="86" customWidth="1"/>
    <col min="5378" max="5378" width="23.625" style="86" customWidth="1"/>
    <col min="5379" max="5379" width="11.375" style="86" customWidth="1"/>
    <col min="5380" max="5380" width="10.625" style="86" customWidth="1"/>
    <col min="5381" max="5381" width="15.625" style="86"/>
    <col min="5382" max="5384" width="10.75" style="86" bestFit="1" customWidth="1"/>
    <col min="5385" max="5385" width="10.125" style="86" bestFit="1" customWidth="1"/>
    <col min="5386" max="5386" width="10.75" style="86" bestFit="1" customWidth="1"/>
    <col min="5387" max="5387" width="11" style="86" bestFit="1" customWidth="1"/>
    <col min="5388" max="5388" width="10.75" style="86" bestFit="1" customWidth="1"/>
    <col min="5389" max="5389" width="15.625" style="86"/>
    <col min="5390" max="5390" width="11.5" style="86" bestFit="1" customWidth="1"/>
    <col min="5391" max="5393" width="10.75" style="86" bestFit="1" customWidth="1"/>
    <col min="5394" max="5396" width="15.625" style="86"/>
    <col min="5397" max="5397" width="14.625" style="86" bestFit="1" customWidth="1"/>
    <col min="5398" max="5398" width="15.625" style="86"/>
    <col min="5399" max="5399" width="13.375" style="86" bestFit="1" customWidth="1"/>
    <col min="5400" max="5400" width="10.75" style="86" bestFit="1" customWidth="1"/>
    <col min="5401" max="5632" width="15.625" style="86"/>
    <col min="5633" max="5633" width="4.625" style="86" customWidth="1"/>
    <col min="5634" max="5634" width="23.625" style="86" customWidth="1"/>
    <col min="5635" max="5635" width="11.375" style="86" customWidth="1"/>
    <col min="5636" max="5636" width="10.625" style="86" customWidth="1"/>
    <col min="5637" max="5637" width="15.625" style="86"/>
    <col min="5638" max="5640" width="10.75" style="86" bestFit="1" customWidth="1"/>
    <col min="5641" max="5641" width="10.125" style="86" bestFit="1" customWidth="1"/>
    <col min="5642" max="5642" width="10.75" style="86" bestFit="1" customWidth="1"/>
    <col min="5643" max="5643" width="11" style="86" bestFit="1" customWidth="1"/>
    <col min="5644" max="5644" width="10.75" style="86" bestFit="1" customWidth="1"/>
    <col min="5645" max="5645" width="15.625" style="86"/>
    <col min="5646" max="5646" width="11.5" style="86" bestFit="1" customWidth="1"/>
    <col min="5647" max="5649" width="10.75" style="86" bestFit="1" customWidth="1"/>
    <col min="5650" max="5652" width="15.625" style="86"/>
    <col min="5653" max="5653" width="14.625" style="86" bestFit="1" customWidth="1"/>
    <col min="5654" max="5654" width="15.625" style="86"/>
    <col min="5655" max="5655" width="13.375" style="86" bestFit="1" customWidth="1"/>
    <col min="5656" max="5656" width="10.75" style="86" bestFit="1" customWidth="1"/>
    <col min="5657" max="5888" width="15.625" style="86"/>
    <col min="5889" max="5889" width="4.625" style="86" customWidth="1"/>
    <col min="5890" max="5890" width="23.625" style="86" customWidth="1"/>
    <col min="5891" max="5891" width="11.375" style="86" customWidth="1"/>
    <col min="5892" max="5892" width="10.625" style="86" customWidth="1"/>
    <col min="5893" max="5893" width="15.625" style="86"/>
    <col min="5894" max="5896" width="10.75" style="86" bestFit="1" customWidth="1"/>
    <col min="5897" max="5897" width="10.125" style="86" bestFit="1" customWidth="1"/>
    <col min="5898" max="5898" width="10.75" style="86" bestFit="1" customWidth="1"/>
    <col min="5899" max="5899" width="11" style="86" bestFit="1" customWidth="1"/>
    <col min="5900" max="5900" width="10.75" style="86" bestFit="1" customWidth="1"/>
    <col min="5901" max="5901" width="15.625" style="86"/>
    <col min="5902" max="5902" width="11.5" style="86" bestFit="1" customWidth="1"/>
    <col min="5903" max="5905" width="10.75" style="86" bestFit="1" customWidth="1"/>
    <col min="5906" max="5908" width="15.625" style="86"/>
    <col min="5909" max="5909" width="14.625" style="86" bestFit="1" customWidth="1"/>
    <col min="5910" max="5910" width="15.625" style="86"/>
    <col min="5911" max="5911" width="13.375" style="86" bestFit="1" customWidth="1"/>
    <col min="5912" max="5912" width="10.75" style="86" bestFit="1" customWidth="1"/>
    <col min="5913" max="6144" width="15.625" style="86"/>
    <col min="6145" max="6145" width="4.625" style="86" customWidth="1"/>
    <col min="6146" max="6146" width="23.625" style="86" customWidth="1"/>
    <col min="6147" max="6147" width="11.375" style="86" customWidth="1"/>
    <col min="6148" max="6148" width="10.625" style="86" customWidth="1"/>
    <col min="6149" max="6149" width="15.625" style="86"/>
    <col min="6150" max="6152" width="10.75" style="86" bestFit="1" customWidth="1"/>
    <col min="6153" max="6153" width="10.125" style="86" bestFit="1" customWidth="1"/>
    <col min="6154" max="6154" width="10.75" style="86" bestFit="1" customWidth="1"/>
    <col min="6155" max="6155" width="11" style="86" bestFit="1" customWidth="1"/>
    <col min="6156" max="6156" width="10.75" style="86" bestFit="1" customWidth="1"/>
    <col min="6157" max="6157" width="15.625" style="86"/>
    <col min="6158" max="6158" width="11.5" style="86" bestFit="1" customWidth="1"/>
    <col min="6159" max="6161" width="10.75" style="86" bestFit="1" customWidth="1"/>
    <col min="6162" max="6164" width="15.625" style="86"/>
    <col min="6165" max="6165" width="14.625" style="86" bestFit="1" customWidth="1"/>
    <col min="6166" max="6166" width="15.625" style="86"/>
    <col min="6167" max="6167" width="13.375" style="86" bestFit="1" customWidth="1"/>
    <col min="6168" max="6168" width="10.75" style="86" bestFit="1" customWidth="1"/>
    <col min="6169" max="6400" width="15.625" style="86"/>
    <col min="6401" max="6401" width="4.625" style="86" customWidth="1"/>
    <col min="6402" max="6402" width="23.625" style="86" customWidth="1"/>
    <col min="6403" max="6403" width="11.375" style="86" customWidth="1"/>
    <col min="6404" max="6404" width="10.625" style="86" customWidth="1"/>
    <col min="6405" max="6405" width="15.625" style="86"/>
    <col min="6406" max="6408" width="10.75" style="86" bestFit="1" customWidth="1"/>
    <col min="6409" max="6409" width="10.125" style="86" bestFit="1" customWidth="1"/>
    <col min="6410" max="6410" width="10.75" style="86" bestFit="1" customWidth="1"/>
    <col min="6411" max="6411" width="11" style="86" bestFit="1" customWidth="1"/>
    <col min="6412" max="6412" width="10.75" style="86" bestFit="1" customWidth="1"/>
    <col min="6413" max="6413" width="15.625" style="86"/>
    <col min="6414" max="6414" width="11.5" style="86" bestFit="1" customWidth="1"/>
    <col min="6415" max="6417" width="10.75" style="86" bestFit="1" customWidth="1"/>
    <col min="6418" max="6420" width="15.625" style="86"/>
    <col min="6421" max="6421" width="14.625" style="86" bestFit="1" customWidth="1"/>
    <col min="6422" max="6422" width="15.625" style="86"/>
    <col min="6423" max="6423" width="13.375" style="86" bestFit="1" customWidth="1"/>
    <col min="6424" max="6424" width="10.75" style="86" bestFit="1" customWidth="1"/>
    <col min="6425" max="6656" width="15.625" style="86"/>
    <col min="6657" max="6657" width="4.625" style="86" customWidth="1"/>
    <col min="6658" max="6658" width="23.625" style="86" customWidth="1"/>
    <col min="6659" max="6659" width="11.375" style="86" customWidth="1"/>
    <col min="6660" max="6660" width="10.625" style="86" customWidth="1"/>
    <col min="6661" max="6661" width="15.625" style="86"/>
    <col min="6662" max="6664" width="10.75" style="86" bestFit="1" customWidth="1"/>
    <col min="6665" max="6665" width="10.125" style="86" bestFit="1" customWidth="1"/>
    <col min="6666" max="6666" width="10.75" style="86" bestFit="1" customWidth="1"/>
    <col min="6667" max="6667" width="11" style="86" bestFit="1" customWidth="1"/>
    <col min="6668" max="6668" width="10.75" style="86" bestFit="1" customWidth="1"/>
    <col min="6669" max="6669" width="15.625" style="86"/>
    <col min="6670" max="6670" width="11.5" style="86" bestFit="1" customWidth="1"/>
    <col min="6671" max="6673" width="10.75" style="86" bestFit="1" customWidth="1"/>
    <col min="6674" max="6676" width="15.625" style="86"/>
    <col min="6677" max="6677" width="14.625" style="86" bestFit="1" customWidth="1"/>
    <col min="6678" max="6678" width="15.625" style="86"/>
    <col min="6679" max="6679" width="13.375" style="86" bestFit="1" customWidth="1"/>
    <col min="6680" max="6680" width="10.75" style="86" bestFit="1" customWidth="1"/>
    <col min="6681" max="6912" width="15.625" style="86"/>
    <col min="6913" max="6913" width="4.625" style="86" customWidth="1"/>
    <col min="6914" max="6914" width="23.625" style="86" customWidth="1"/>
    <col min="6915" max="6915" width="11.375" style="86" customWidth="1"/>
    <col min="6916" max="6916" width="10.625" style="86" customWidth="1"/>
    <col min="6917" max="6917" width="15.625" style="86"/>
    <col min="6918" max="6920" width="10.75" style="86" bestFit="1" customWidth="1"/>
    <col min="6921" max="6921" width="10.125" style="86" bestFit="1" customWidth="1"/>
    <col min="6922" max="6922" width="10.75" style="86" bestFit="1" customWidth="1"/>
    <col min="6923" max="6923" width="11" style="86" bestFit="1" customWidth="1"/>
    <col min="6924" max="6924" width="10.75" style="86" bestFit="1" customWidth="1"/>
    <col min="6925" max="6925" width="15.625" style="86"/>
    <col min="6926" max="6926" width="11.5" style="86" bestFit="1" customWidth="1"/>
    <col min="6927" max="6929" width="10.75" style="86" bestFit="1" customWidth="1"/>
    <col min="6930" max="6932" width="15.625" style="86"/>
    <col min="6933" max="6933" width="14.625" style="86" bestFit="1" customWidth="1"/>
    <col min="6934" max="6934" width="15.625" style="86"/>
    <col min="6935" max="6935" width="13.375" style="86" bestFit="1" customWidth="1"/>
    <col min="6936" max="6936" width="10.75" style="86" bestFit="1" customWidth="1"/>
    <col min="6937" max="7168" width="15.625" style="86"/>
    <col min="7169" max="7169" width="4.625" style="86" customWidth="1"/>
    <col min="7170" max="7170" width="23.625" style="86" customWidth="1"/>
    <col min="7171" max="7171" width="11.375" style="86" customWidth="1"/>
    <col min="7172" max="7172" width="10.625" style="86" customWidth="1"/>
    <col min="7173" max="7173" width="15.625" style="86"/>
    <col min="7174" max="7176" width="10.75" style="86" bestFit="1" customWidth="1"/>
    <col min="7177" max="7177" width="10.125" style="86" bestFit="1" customWidth="1"/>
    <col min="7178" max="7178" width="10.75" style="86" bestFit="1" customWidth="1"/>
    <col min="7179" max="7179" width="11" style="86" bestFit="1" customWidth="1"/>
    <col min="7180" max="7180" width="10.75" style="86" bestFit="1" customWidth="1"/>
    <col min="7181" max="7181" width="15.625" style="86"/>
    <col min="7182" max="7182" width="11.5" style="86" bestFit="1" customWidth="1"/>
    <col min="7183" max="7185" width="10.75" style="86" bestFit="1" customWidth="1"/>
    <col min="7186" max="7188" width="15.625" style="86"/>
    <col min="7189" max="7189" width="14.625" style="86" bestFit="1" customWidth="1"/>
    <col min="7190" max="7190" width="15.625" style="86"/>
    <col min="7191" max="7191" width="13.375" style="86" bestFit="1" customWidth="1"/>
    <col min="7192" max="7192" width="10.75" style="86" bestFit="1" customWidth="1"/>
    <col min="7193" max="7424" width="15.625" style="86"/>
    <col min="7425" max="7425" width="4.625" style="86" customWidth="1"/>
    <col min="7426" max="7426" width="23.625" style="86" customWidth="1"/>
    <col min="7427" max="7427" width="11.375" style="86" customWidth="1"/>
    <col min="7428" max="7428" width="10.625" style="86" customWidth="1"/>
    <col min="7429" max="7429" width="15.625" style="86"/>
    <col min="7430" max="7432" width="10.75" style="86" bestFit="1" customWidth="1"/>
    <col min="7433" max="7433" width="10.125" style="86" bestFit="1" customWidth="1"/>
    <col min="7434" max="7434" width="10.75" style="86" bestFit="1" customWidth="1"/>
    <col min="7435" max="7435" width="11" style="86" bestFit="1" customWidth="1"/>
    <col min="7436" max="7436" width="10.75" style="86" bestFit="1" customWidth="1"/>
    <col min="7437" max="7437" width="15.625" style="86"/>
    <col min="7438" max="7438" width="11.5" style="86" bestFit="1" customWidth="1"/>
    <col min="7439" max="7441" width="10.75" style="86" bestFit="1" customWidth="1"/>
    <col min="7442" max="7444" width="15.625" style="86"/>
    <col min="7445" max="7445" width="14.625" style="86" bestFit="1" customWidth="1"/>
    <col min="7446" max="7446" width="15.625" style="86"/>
    <col min="7447" max="7447" width="13.375" style="86" bestFit="1" customWidth="1"/>
    <col min="7448" max="7448" width="10.75" style="86" bestFit="1" customWidth="1"/>
    <col min="7449" max="7680" width="15.625" style="86"/>
    <col min="7681" max="7681" width="4.625" style="86" customWidth="1"/>
    <col min="7682" max="7682" width="23.625" style="86" customWidth="1"/>
    <col min="7683" max="7683" width="11.375" style="86" customWidth="1"/>
    <col min="7684" max="7684" width="10.625" style="86" customWidth="1"/>
    <col min="7685" max="7685" width="15.625" style="86"/>
    <col min="7686" max="7688" width="10.75" style="86" bestFit="1" customWidth="1"/>
    <col min="7689" max="7689" width="10.125" style="86" bestFit="1" customWidth="1"/>
    <col min="7690" max="7690" width="10.75" style="86" bestFit="1" customWidth="1"/>
    <col min="7691" max="7691" width="11" style="86" bestFit="1" customWidth="1"/>
    <col min="7692" max="7692" width="10.75" style="86" bestFit="1" customWidth="1"/>
    <col min="7693" max="7693" width="15.625" style="86"/>
    <col min="7694" max="7694" width="11.5" style="86" bestFit="1" customWidth="1"/>
    <col min="7695" max="7697" width="10.75" style="86" bestFit="1" customWidth="1"/>
    <col min="7698" max="7700" width="15.625" style="86"/>
    <col min="7701" max="7701" width="14.625" style="86" bestFit="1" customWidth="1"/>
    <col min="7702" max="7702" width="15.625" style="86"/>
    <col min="7703" max="7703" width="13.375" style="86" bestFit="1" customWidth="1"/>
    <col min="7704" max="7704" width="10.75" style="86" bestFit="1" customWidth="1"/>
    <col min="7705" max="7936" width="15.625" style="86"/>
    <col min="7937" max="7937" width="4.625" style="86" customWidth="1"/>
    <col min="7938" max="7938" width="23.625" style="86" customWidth="1"/>
    <col min="7939" max="7939" width="11.375" style="86" customWidth="1"/>
    <col min="7940" max="7940" width="10.625" style="86" customWidth="1"/>
    <col min="7941" max="7941" width="15.625" style="86"/>
    <col min="7942" max="7944" width="10.75" style="86" bestFit="1" customWidth="1"/>
    <col min="7945" max="7945" width="10.125" style="86" bestFit="1" customWidth="1"/>
    <col min="7946" max="7946" width="10.75" style="86" bestFit="1" customWidth="1"/>
    <col min="7947" max="7947" width="11" style="86" bestFit="1" customWidth="1"/>
    <col min="7948" max="7948" width="10.75" style="86" bestFit="1" customWidth="1"/>
    <col min="7949" max="7949" width="15.625" style="86"/>
    <col min="7950" max="7950" width="11.5" style="86" bestFit="1" customWidth="1"/>
    <col min="7951" max="7953" width="10.75" style="86" bestFit="1" customWidth="1"/>
    <col min="7954" max="7956" width="15.625" style="86"/>
    <col min="7957" max="7957" width="14.625" style="86" bestFit="1" customWidth="1"/>
    <col min="7958" max="7958" width="15.625" style="86"/>
    <col min="7959" max="7959" width="13.375" style="86" bestFit="1" customWidth="1"/>
    <col min="7960" max="7960" width="10.75" style="86" bestFit="1" customWidth="1"/>
    <col min="7961" max="8192" width="15.625" style="86"/>
    <col min="8193" max="8193" width="4.625" style="86" customWidth="1"/>
    <col min="8194" max="8194" width="23.625" style="86" customWidth="1"/>
    <col min="8195" max="8195" width="11.375" style="86" customWidth="1"/>
    <col min="8196" max="8196" width="10.625" style="86" customWidth="1"/>
    <col min="8197" max="8197" width="15.625" style="86"/>
    <col min="8198" max="8200" width="10.75" style="86" bestFit="1" customWidth="1"/>
    <col min="8201" max="8201" width="10.125" style="86" bestFit="1" customWidth="1"/>
    <col min="8202" max="8202" width="10.75" style="86" bestFit="1" customWidth="1"/>
    <col min="8203" max="8203" width="11" style="86" bestFit="1" customWidth="1"/>
    <col min="8204" max="8204" width="10.75" style="86" bestFit="1" customWidth="1"/>
    <col min="8205" max="8205" width="15.625" style="86"/>
    <col min="8206" max="8206" width="11.5" style="86" bestFit="1" customWidth="1"/>
    <col min="8207" max="8209" width="10.75" style="86" bestFit="1" customWidth="1"/>
    <col min="8210" max="8212" width="15.625" style="86"/>
    <col min="8213" max="8213" width="14.625" style="86" bestFit="1" customWidth="1"/>
    <col min="8214" max="8214" width="15.625" style="86"/>
    <col min="8215" max="8215" width="13.375" style="86" bestFit="1" customWidth="1"/>
    <col min="8216" max="8216" width="10.75" style="86" bestFit="1" customWidth="1"/>
    <col min="8217" max="8448" width="15.625" style="86"/>
    <col min="8449" max="8449" width="4.625" style="86" customWidth="1"/>
    <col min="8450" max="8450" width="23.625" style="86" customWidth="1"/>
    <col min="8451" max="8451" width="11.375" style="86" customWidth="1"/>
    <col min="8452" max="8452" width="10.625" style="86" customWidth="1"/>
    <col min="8453" max="8453" width="15.625" style="86"/>
    <col min="8454" max="8456" width="10.75" style="86" bestFit="1" customWidth="1"/>
    <col min="8457" max="8457" width="10.125" style="86" bestFit="1" customWidth="1"/>
    <col min="8458" max="8458" width="10.75" style="86" bestFit="1" customWidth="1"/>
    <col min="8459" max="8459" width="11" style="86" bestFit="1" customWidth="1"/>
    <col min="8460" max="8460" width="10.75" style="86" bestFit="1" customWidth="1"/>
    <col min="8461" max="8461" width="15.625" style="86"/>
    <col min="8462" max="8462" width="11.5" style="86" bestFit="1" customWidth="1"/>
    <col min="8463" max="8465" width="10.75" style="86" bestFit="1" customWidth="1"/>
    <col min="8466" max="8468" width="15.625" style="86"/>
    <col min="8469" max="8469" width="14.625" style="86" bestFit="1" customWidth="1"/>
    <col min="8470" max="8470" width="15.625" style="86"/>
    <col min="8471" max="8471" width="13.375" style="86" bestFit="1" customWidth="1"/>
    <col min="8472" max="8472" width="10.75" style="86" bestFit="1" customWidth="1"/>
    <col min="8473" max="8704" width="15.625" style="86"/>
    <col min="8705" max="8705" width="4.625" style="86" customWidth="1"/>
    <col min="8706" max="8706" width="23.625" style="86" customWidth="1"/>
    <col min="8707" max="8707" width="11.375" style="86" customWidth="1"/>
    <col min="8708" max="8708" width="10.625" style="86" customWidth="1"/>
    <col min="8709" max="8709" width="15.625" style="86"/>
    <col min="8710" max="8712" width="10.75" style="86" bestFit="1" customWidth="1"/>
    <col min="8713" max="8713" width="10.125" style="86" bestFit="1" customWidth="1"/>
    <col min="8714" max="8714" width="10.75" style="86" bestFit="1" customWidth="1"/>
    <col min="8715" max="8715" width="11" style="86" bestFit="1" customWidth="1"/>
    <col min="8716" max="8716" width="10.75" style="86" bestFit="1" customWidth="1"/>
    <col min="8717" max="8717" width="15.625" style="86"/>
    <col min="8718" max="8718" width="11.5" style="86" bestFit="1" customWidth="1"/>
    <col min="8719" max="8721" width="10.75" style="86" bestFit="1" customWidth="1"/>
    <col min="8722" max="8724" width="15.625" style="86"/>
    <col min="8725" max="8725" width="14.625" style="86" bestFit="1" customWidth="1"/>
    <col min="8726" max="8726" width="15.625" style="86"/>
    <col min="8727" max="8727" width="13.375" style="86" bestFit="1" customWidth="1"/>
    <col min="8728" max="8728" width="10.75" style="86" bestFit="1" customWidth="1"/>
    <col min="8729" max="8960" width="15.625" style="86"/>
    <col min="8961" max="8961" width="4.625" style="86" customWidth="1"/>
    <col min="8962" max="8962" width="23.625" style="86" customWidth="1"/>
    <col min="8963" max="8963" width="11.375" style="86" customWidth="1"/>
    <col min="8964" max="8964" width="10.625" style="86" customWidth="1"/>
    <col min="8965" max="8965" width="15.625" style="86"/>
    <col min="8966" max="8968" width="10.75" style="86" bestFit="1" customWidth="1"/>
    <col min="8969" max="8969" width="10.125" style="86" bestFit="1" customWidth="1"/>
    <col min="8970" max="8970" width="10.75" style="86" bestFit="1" customWidth="1"/>
    <col min="8971" max="8971" width="11" style="86" bestFit="1" customWidth="1"/>
    <col min="8972" max="8972" width="10.75" style="86" bestFit="1" customWidth="1"/>
    <col min="8973" max="8973" width="15.625" style="86"/>
    <col min="8974" max="8974" width="11.5" style="86" bestFit="1" customWidth="1"/>
    <col min="8975" max="8977" width="10.75" style="86" bestFit="1" customWidth="1"/>
    <col min="8978" max="8980" width="15.625" style="86"/>
    <col min="8981" max="8981" width="14.625" style="86" bestFit="1" customWidth="1"/>
    <col min="8982" max="8982" width="15.625" style="86"/>
    <col min="8983" max="8983" width="13.375" style="86" bestFit="1" customWidth="1"/>
    <col min="8984" max="8984" width="10.75" style="86" bestFit="1" customWidth="1"/>
    <col min="8985" max="9216" width="15.625" style="86"/>
    <col min="9217" max="9217" width="4.625" style="86" customWidth="1"/>
    <col min="9218" max="9218" width="23.625" style="86" customWidth="1"/>
    <col min="9219" max="9219" width="11.375" style="86" customWidth="1"/>
    <col min="9220" max="9220" width="10.625" style="86" customWidth="1"/>
    <col min="9221" max="9221" width="15.625" style="86"/>
    <col min="9222" max="9224" width="10.75" style="86" bestFit="1" customWidth="1"/>
    <col min="9225" max="9225" width="10.125" style="86" bestFit="1" customWidth="1"/>
    <col min="9226" max="9226" width="10.75" style="86" bestFit="1" customWidth="1"/>
    <col min="9227" max="9227" width="11" style="86" bestFit="1" customWidth="1"/>
    <col min="9228" max="9228" width="10.75" style="86" bestFit="1" customWidth="1"/>
    <col min="9229" max="9229" width="15.625" style="86"/>
    <col min="9230" max="9230" width="11.5" style="86" bestFit="1" customWidth="1"/>
    <col min="9231" max="9233" width="10.75" style="86" bestFit="1" customWidth="1"/>
    <col min="9234" max="9236" width="15.625" style="86"/>
    <col min="9237" max="9237" width="14.625" style="86" bestFit="1" customWidth="1"/>
    <col min="9238" max="9238" width="15.625" style="86"/>
    <col min="9239" max="9239" width="13.375" style="86" bestFit="1" customWidth="1"/>
    <col min="9240" max="9240" width="10.75" style="86" bestFit="1" customWidth="1"/>
    <col min="9241" max="9472" width="15.625" style="86"/>
    <col min="9473" max="9473" width="4.625" style="86" customWidth="1"/>
    <col min="9474" max="9474" width="23.625" style="86" customWidth="1"/>
    <col min="9475" max="9475" width="11.375" style="86" customWidth="1"/>
    <col min="9476" max="9476" width="10.625" style="86" customWidth="1"/>
    <col min="9477" max="9477" width="15.625" style="86"/>
    <col min="9478" max="9480" width="10.75" style="86" bestFit="1" customWidth="1"/>
    <col min="9481" max="9481" width="10.125" style="86" bestFit="1" customWidth="1"/>
    <col min="9482" max="9482" width="10.75" style="86" bestFit="1" customWidth="1"/>
    <col min="9483" max="9483" width="11" style="86" bestFit="1" customWidth="1"/>
    <col min="9484" max="9484" width="10.75" style="86" bestFit="1" customWidth="1"/>
    <col min="9485" max="9485" width="15.625" style="86"/>
    <col min="9486" max="9486" width="11.5" style="86" bestFit="1" customWidth="1"/>
    <col min="9487" max="9489" width="10.75" style="86" bestFit="1" customWidth="1"/>
    <col min="9490" max="9492" width="15.625" style="86"/>
    <col min="9493" max="9493" width="14.625" style="86" bestFit="1" customWidth="1"/>
    <col min="9494" max="9494" width="15.625" style="86"/>
    <col min="9495" max="9495" width="13.375" style="86" bestFit="1" customWidth="1"/>
    <col min="9496" max="9496" width="10.75" style="86" bestFit="1" customWidth="1"/>
    <col min="9497" max="9728" width="15.625" style="86"/>
    <col min="9729" max="9729" width="4.625" style="86" customWidth="1"/>
    <col min="9730" max="9730" width="23.625" style="86" customWidth="1"/>
    <col min="9731" max="9731" width="11.375" style="86" customWidth="1"/>
    <col min="9732" max="9732" width="10.625" style="86" customWidth="1"/>
    <col min="9733" max="9733" width="15.625" style="86"/>
    <col min="9734" max="9736" width="10.75" style="86" bestFit="1" customWidth="1"/>
    <col min="9737" max="9737" width="10.125" style="86" bestFit="1" customWidth="1"/>
    <col min="9738" max="9738" width="10.75" style="86" bestFit="1" customWidth="1"/>
    <col min="9739" max="9739" width="11" style="86" bestFit="1" customWidth="1"/>
    <col min="9740" max="9740" width="10.75" style="86" bestFit="1" customWidth="1"/>
    <col min="9741" max="9741" width="15.625" style="86"/>
    <col min="9742" max="9742" width="11.5" style="86" bestFit="1" customWidth="1"/>
    <col min="9743" max="9745" width="10.75" style="86" bestFit="1" customWidth="1"/>
    <col min="9746" max="9748" width="15.625" style="86"/>
    <col min="9749" max="9749" width="14.625" style="86" bestFit="1" customWidth="1"/>
    <col min="9750" max="9750" width="15.625" style="86"/>
    <col min="9751" max="9751" width="13.375" style="86" bestFit="1" customWidth="1"/>
    <col min="9752" max="9752" width="10.75" style="86" bestFit="1" customWidth="1"/>
    <col min="9753" max="9984" width="15.625" style="86"/>
    <col min="9985" max="9985" width="4.625" style="86" customWidth="1"/>
    <col min="9986" max="9986" width="23.625" style="86" customWidth="1"/>
    <col min="9987" max="9987" width="11.375" style="86" customWidth="1"/>
    <col min="9988" max="9988" width="10.625" style="86" customWidth="1"/>
    <col min="9989" max="9989" width="15.625" style="86"/>
    <col min="9990" max="9992" width="10.75" style="86" bestFit="1" customWidth="1"/>
    <col min="9993" max="9993" width="10.125" style="86" bestFit="1" customWidth="1"/>
    <col min="9994" max="9994" width="10.75" style="86" bestFit="1" customWidth="1"/>
    <col min="9995" max="9995" width="11" style="86" bestFit="1" customWidth="1"/>
    <col min="9996" max="9996" width="10.75" style="86" bestFit="1" customWidth="1"/>
    <col min="9997" max="9997" width="15.625" style="86"/>
    <col min="9998" max="9998" width="11.5" style="86" bestFit="1" customWidth="1"/>
    <col min="9999" max="10001" width="10.75" style="86" bestFit="1" customWidth="1"/>
    <col min="10002" max="10004" width="15.625" style="86"/>
    <col min="10005" max="10005" width="14.625" style="86" bestFit="1" customWidth="1"/>
    <col min="10006" max="10006" width="15.625" style="86"/>
    <col min="10007" max="10007" width="13.375" style="86" bestFit="1" customWidth="1"/>
    <col min="10008" max="10008" width="10.75" style="86" bestFit="1" customWidth="1"/>
    <col min="10009" max="10240" width="15.625" style="86"/>
    <col min="10241" max="10241" width="4.625" style="86" customWidth="1"/>
    <col min="10242" max="10242" width="23.625" style="86" customWidth="1"/>
    <col min="10243" max="10243" width="11.375" style="86" customWidth="1"/>
    <col min="10244" max="10244" width="10.625" style="86" customWidth="1"/>
    <col min="10245" max="10245" width="15.625" style="86"/>
    <col min="10246" max="10248" width="10.75" style="86" bestFit="1" customWidth="1"/>
    <col min="10249" max="10249" width="10.125" style="86" bestFit="1" customWidth="1"/>
    <col min="10250" max="10250" width="10.75" style="86" bestFit="1" customWidth="1"/>
    <col min="10251" max="10251" width="11" style="86" bestFit="1" customWidth="1"/>
    <col min="10252" max="10252" width="10.75" style="86" bestFit="1" customWidth="1"/>
    <col min="10253" max="10253" width="15.625" style="86"/>
    <col min="10254" max="10254" width="11.5" style="86" bestFit="1" customWidth="1"/>
    <col min="10255" max="10257" width="10.75" style="86" bestFit="1" customWidth="1"/>
    <col min="10258" max="10260" width="15.625" style="86"/>
    <col min="10261" max="10261" width="14.625" style="86" bestFit="1" customWidth="1"/>
    <col min="10262" max="10262" width="15.625" style="86"/>
    <col min="10263" max="10263" width="13.375" style="86" bestFit="1" customWidth="1"/>
    <col min="10264" max="10264" width="10.75" style="86" bestFit="1" customWidth="1"/>
    <col min="10265" max="10496" width="15.625" style="86"/>
    <col min="10497" max="10497" width="4.625" style="86" customWidth="1"/>
    <col min="10498" max="10498" width="23.625" style="86" customWidth="1"/>
    <col min="10499" max="10499" width="11.375" style="86" customWidth="1"/>
    <col min="10500" max="10500" width="10.625" style="86" customWidth="1"/>
    <col min="10501" max="10501" width="15.625" style="86"/>
    <col min="10502" max="10504" width="10.75" style="86" bestFit="1" customWidth="1"/>
    <col min="10505" max="10505" width="10.125" style="86" bestFit="1" customWidth="1"/>
    <col min="10506" max="10506" width="10.75" style="86" bestFit="1" customWidth="1"/>
    <col min="10507" max="10507" width="11" style="86" bestFit="1" customWidth="1"/>
    <col min="10508" max="10508" width="10.75" style="86" bestFit="1" customWidth="1"/>
    <col min="10509" max="10509" width="15.625" style="86"/>
    <col min="10510" max="10510" width="11.5" style="86" bestFit="1" customWidth="1"/>
    <col min="10511" max="10513" width="10.75" style="86" bestFit="1" customWidth="1"/>
    <col min="10514" max="10516" width="15.625" style="86"/>
    <col min="10517" max="10517" width="14.625" style="86" bestFit="1" customWidth="1"/>
    <col min="10518" max="10518" width="15.625" style="86"/>
    <col min="10519" max="10519" width="13.375" style="86" bestFit="1" customWidth="1"/>
    <col min="10520" max="10520" width="10.75" style="86" bestFit="1" customWidth="1"/>
    <col min="10521" max="10752" width="15.625" style="86"/>
    <col min="10753" max="10753" width="4.625" style="86" customWidth="1"/>
    <col min="10754" max="10754" width="23.625" style="86" customWidth="1"/>
    <col min="10755" max="10755" width="11.375" style="86" customWidth="1"/>
    <col min="10756" max="10756" width="10.625" style="86" customWidth="1"/>
    <col min="10757" max="10757" width="15.625" style="86"/>
    <col min="10758" max="10760" width="10.75" style="86" bestFit="1" customWidth="1"/>
    <col min="10761" max="10761" width="10.125" style="86" bestFit="1" customWidth="1"/>
    <col min="10762" max="10762" width="10.75" style="86" bestFit="1" customWidth="1"/>
    <col min="10763" max="10763" width="11" style="86" bestFit="1" customWidth="1"/>
    <col min="10764" max="10764" width="10.75" style="86" bestFit="1" customWidth="1"/>
    <col min="10765" max="10765" width="15.625" style="86"/>
    <col min="10766" max="10766" width="11.5" style="86" bestFit="1" customWidth="1"/>
    <col min="10767" max="10769" width="10.75" style="86" bestFit="1" customWidth="1"/>
    <col min="10770" max="10772" width="15.625" style="86"/>
    <col min="10773" max="10773" width="14.625" style="86" bestFit="1" customWidth="1"/>
    <col min="10774" max="10774" width="15.625" style="86"/>
    <col min="10775" max="10775" width="13.375" style="86" bestFit="1" customWidth="1"/>
    <col min="10776" max="10776" width="10.75" style="86" bestFit="1" customWidth="1"/>
    <col min="10777" max="11008" width="15.625" style="86"/>
    <col min="11009" max="11009" width="4.625" style="86" customWidth="1"/>
    <col min="11010" max="11010" width="23.625" style="86" customWidth="1"/>
    <col min="11011" max="11011" width="11.375" style="86" customWidth="1"/>
    <col min="11012" max="11012" width="10.625" style="86" customWidth="1"/>
    <col min="11013" max="11013" width="15.625" style="86"/>
    <col min="11014" max="11016" width="10.75" style="86" bestFit="1" customWidth="1"/>
    <col min="11017" max="11017" width="10.125" style="86" bestFit="1" customWidth="1"/>
    <col min="11018" max="11018" width="10.75" style="86" bestFit="1" customWidth="1"/>
    <col min="11019" max="11019" width="11" style="86" bestFit="1" customWidth="1"/>
    <col min="11020" max="11020" width="10.75" style="86" bestFit="1" customWidth="1"/>
    <col min="11021" max="11021" width="15.625" style="86"/>
    <col min="11022" max="11022" width="11.5" style="86" bestFit="1" customWidth="1"/>
    <col min="11023" max="11025" width="10.75" style="86" bestFit="1" customWidth="1"/>
    <col min="11026" max="11028" width="15.625" style="86"/>
    <col min="11029" max="11029" width="14.625" style="86" bestFit="1" customWidth="1"/>
    <col min="11030" max="11030" width="15.625" style="86"/>
    <col min="11031" max="11031" width="13.375" style="86" bestFit="1" customWidth="1"/>
    <col min="11032" max="11032" width="10.75" style="86" bestFit="1" customWidth="1"/>
    <col min="11033" max="11264" width="15.625" style="86"/>
    <col min="11265" max="11265" width="4.625" style="86" customWidth="1"/>
    <col min="11266" max="11266" width="23.625" style="86" customWidth="1"/>
    <col min="11267" max="11267" width="11.375" style="86" customWidth="1"/>
    <col min="11268" max="11268" width="10.625" style="86" customWidth="1"/>
    <col min="11269" max="11269" width="15.625" style="86"/>
    <col min="11270" max="11272" width="10.75" style="86" bestFit="1" customWidth="1"/>
    <col min="11273" max="11273" width="10.125" style="86" bestFit="1" customWidth="1"/>
    <col min="11274" max="11274" width="10.75" style="86" bestFit="1" customWidth="1"/>
    <col min="11275" max="11275" width="11" style="86" bestFit="1" customWidth="1"/>
    <col min="11276" max="11276" width="10.75" style="86" bestFit="1" customWidth="1"/>
    <col min="11277" max="11277" width="15.625" style="86"/>
    <col min="11278" max="11278" width="11.5" style="86" bestFit="1" customWidth="1"/>
    <col min="11279" max="11281" width="10.75" style="86" bestFit="1" customWidth="1"/>
    <col min="11282" max="11284" width="15.625" style="86"/>
    <col min="11285" max="11285" width="14.625" style="86" bestFit="1" customWidth="1"/>
    <col min="11286" max="11286" width="15.625" style="86"/>
    <col min="11287" max="11287" width="13.375" style="86" bestFit="1" customWidth="1"/>
    <col min="11288" max="11288" width="10.75" style="86" bestFit="1" customWidth="1"/>
    <col min="11289" max="11520" width="15.625" style="86"/>
    <col min="11521" max="11521" width="4.625" style="86" customWidth="1"/>
    <col min="11522" max="11522" width="23.625" style="86" customWidth="1"/>
    <col min="11523" max="11523" width="11.375" style="86" customWidth="1"/>
    <col min="11524" max="11524" width="10.625" style="86" customWidth="1"/>
    <col min="11525" max="11525" width="15.625" style="86"/>
    <col min="11526" max="11528" width="10.75" style="86" bestFit="1" customWidth="1"/>
    <col min="11529" max="11529" width="10.125" style="86" bestFit="1" customWidth="1"/>
    <col min="11530" max="11530" width="10.75" style="86" bestFit="1" customWidth="1"/>
    <col min="11531" max="11531" width="11" style="86" bestFit="1" customWidth="1"/>
    <col min="11532" max="11532" width="10.75" style="86" bestFit="1" customWidth="1"/>
    <col min="11533" max="11533" width="15.625" style="86"/>
    <col min="11534" max="11534" width="11.5" style="86" bestFit="1" customWidth="1"/>
    <col min="11535" max="11537" width="10.75" style="86" bestFit="1" customWidth="1"/>
    <col min="11538" max="11540" width="15.625" style="86"/>
    <col min="11541" max="11541" width="14.625" style="86" bestFit="1" customWidth="1"/>
    <col min="11542" max="11542" width="15.625" style="86"/>
    <col min="11543" max="11543" width="13.375" style="86" bestFit="1" customWidth="1"/>
    <col min="11544" max="11544" width="10.75" style="86" bestFit="1" customWidth="1"/>
    <col min="11545" max="11776" width="15.625" style="86"/>
    <col min="11777" max="11777" width="4.625" style="86" customWidth="1"/>
    <col min="11778" max="11778" width="23.625" style="86" customWidth="1"/>
    <col min="11779" max="11779" width="11.375" style="86" customWidth="1"/>
    <col min="11780" max="11780" width="10.625" style="86" customWidth="1"/>
    <col min="11781" max="11781" width="15.625" style="86"/>
    <col min="11782" max="11784" width="10.75" style="86" bestFit="1" customWidth="1"/>
    <col min="11785" max="11785" width="10.125" style="86" bestFit="1" customWidth="1"/>
    <col min="11786" max="11786" width="10.75" style="86" bestFit="1" customWidth="1"/>
    <col min="11787" max="11787" width="11" style="86" bestFit="1" customWidth="1"/>
    <col min="11788" max="11788" width="10.75" style="86" bestFit="1" customWidth="1"/>
    <col min="11789" max="11789" width="15.625" style="86"/>
    <col min="11790" max="11790" width="11.5" style="86" bestFit="1" customWidth="1"/>
    <col min="11791" max="11793" width="10.75" style="86" bestFit="1" customWidth="1"/>
    <col min="11794" max="11796" width="15.625" style="86"/>
    <col min="11797" max="11797" width="14.625" style="86" bestFit="1" customWidth="1"/>
    <col min="11798" max="11798" width="15.625" style="86"/>
    <col min="11799" max="11799" width="13.375" style="86" bestFit="1" customWidth="1"/>
    <col min="11800" max="11800" width="10.75" style="86" bestFit="1" customWidth="1"/>
    <col min="11801" max="12032" width="15.625" style="86"/>
    <col min="12033" max="12033" width="4.625" style="86" customWidth="1"/>
    <col min="12034" max="12034" width="23.625" style="86" customWidth="1"/>
    <col min="12035" max="12035" width="11.375" style="86" customWidth="1"/>
    <col min="12036" max="12036" width="10.625" style="86" customWidth="1"/>
    <col min="12037" max="12037" width="15.625" style="86"/>
    <col min="12038" max="12040" width="10.75" style="86" bestFit="1" customWidth="1"/>
    <col min="12041" max="12041" width="10.125" style="86" bestFit="1" customWidth="1"/>
    <col min="12042" max="12042" width="10.75" style="86" bestFit="1" customWidth="1"/>
    <col min="12043" max="12043" width="11" style="86" bestFit="1" customWidth="1"/>
    <col min="12044" max="12044" width="10.75" style="86" bestFit="1" customWidth="1"/>
    <col min="12045" max="12045" width="15.625" style="86"/>
    <col min="12046" max="12046" width="11.5" style="86" bestFit="1" customWidth="1"/>
    <col min="12047" max="12049" width="10.75" style="86" bestFit="1" customWidth="1"/>
    <col min="12050" max="12052" width="15.625" style="86"/>
    <col min="12053" max="12053" width="14.625" style="86" bestFit="1" customWidth="1"/>
    <col min="12054" max="12054" width="15.625" style="86"/>
    <col min="12055" max="12055" width="13.375" style="86" bestFit="1" customWidth="1"/>
    <col min="12056" max="12056" width="10.75" style="86" bestFit="1" customWidth="1"/>
    <col min="12057" max="12288" width="15.625" style="86"/>
    <col min="12289" max="12289" width="4.625" style="86" customWidth="1"/>
    <col min="12290" max="12290" width="23.625" style="86" customWidth="1"/>
    <col min="12291" max="12291" width="11.375" style="86" customWidth="1"/>
    <col min="12292" max="12292" width="10.625" style="86" customWidth="1"/>
    <col min="12293" max="12293" width="15.625" style="86"/>
    <col min="12294" max="12296" width="10.75" style="86" bestFit="1" customWidth="1"/>
    <col min="12297" max="12297" width="10.125" style="86" bestFit="1" customWidth="1"/>
    <col min="12298" max="12298" width="10.75" style="86" bestFit="1" customWidth="1"/>
    <col min="12299" max="12299" width="11" style="86" bestFit="1" customWidth="1"/>
    <col min="12300" max="12300" width="10.75" style="86" bestFit="1" customWidth="1"/>
    <col min="12301" max="12301" width="15.625" style="86"/>
    <col min="12302" max="12302" width="11.5" style="86" bestFit="1" customWidth="1"/>
    <col min="12303" max="12305" width="10.75" style="86" bestFit="1" customWidth="1"/>
    <col min="12306" max="12308" width="15.625" style="86"/>
    <col min="12309" max="12309" width="14.625" style="86" bestFit="1" customWidth="1"/>
    <col min="12310" max="12310" width="15.625" style="86"/>
    <col min="12311" max="12311" width="13.375" style="86" bestFit="1" customWidth="1"/>
    <col min="12312" max="12312" width="10.75" style="86" bestFit="1" customWidth="1"/>
    <col min="12313" max="12544" width="15.625" style="86"/>
    <col min="12545" max="12545" width="4.625" style="86" customWidth="1"/>
    <col min="12546" max="12546" width="23.625" style="86" customWidth="1"/>
    <col min="12547" max="12547" width="11.375" style="86" customWidth="1"/>
    <col min="12548" max="12548" width="10.625" style="86" customWidth="1"/>
    <col min="12549" max="12549" width="15.625" style="86"/>
    <col min="12550" max="12552" width="10.75" style="86" bestFit="1" customWidth="1"/>
    <col min="12553" max="12553" width="10.125" style="86" bestFit="1" customWidth="1"/>
    <col min="12554" max="12554" width="10.75" style="86" bestFit="1" customWidth="1"/>
    <col min="12555" max="12555" width="11" style="86" bestFit="1" customWidth="1"/>
    <col min="12556" max="12556" width="10.75" style="86" bestFit="1" customWidth="1"/>
    <col min="12557" max="12557" width="15.625" style="86"/>
    <col min="12558" max="12558" width="11.5" style="86" bestFit="1" customWidth="1"/>
    <col min="12559" max="12561" width="10.75" style="86" bestFit="1" customWidth="1"/>
    <col min="12562" max="12564" width="15.625" style="86"/>
    <col min="12565" max="12565" width="14.625" style="86" bestFit="1" customWidth="1"/>
    <col min="12566" max="12566" width="15.625" style="86"/>
    <col min="12567" max="12567" width="13.375" style="86" bestFit="1" customWidth="1"/>
    <col min="12568" max="12568" width="10.75" style="86" bestFit="1" customWidth="1"/>
    <col min="12569" max="12800" width="15.625" style="86"/>
    <col min="12801" max="12801" width="4.625" style="86" customWidth="1"/>
    <col min="12802" max="12802" width="23.625" style="86" customWidth="1"/>
    <col min="12803" max="12803" width="11.375" style="86" customWidth="1"/>
    <col min="12804" max="12804" width="10.625" style="86" customWidth="1"/>
    <col min="12805" max="12805" width="15.625" style="86"/>
    <col min="12806" max="12808" width="10.75" style="86" bestFit="1" customWidth="1"/>
    <col min="12809" max="12809" width="10.125" style="86" bestFit="1" customWidth="1"/>
    <col min="12810" max="12810" width="10.75" style="86" bestFit="1" customWidth="1"/>
    <col min="12811" max="12811" width="11" style="86" bestFit="1" customWidth="1"/>
    <col min="12812" max="12812" width="10.75" style="86" bestFit="1" customWidth="1"/>
    <col min="12813" max="12813" width="15.625" style="86"/>
    <col min="12814" max="12814" width="11.5" style="86" bestFit="1" customWidth="1"/>
    <col min="12815" max="12817" width="10.75" style="86" bestFit="1" customWidth="1"/>
    <col min="12818" max="12820" width="15.625" style="86"/>
    <col min="12821" max="12821" width="14.625" style="86" bestFit="1" customWidth="1"/>
    <col min="12822" max="12822" width="15.625" style="86"/>
    <col min="12823" max="12823" width="13.375" style="86" bestFit="1" customWidth="1"/>
    <col min="12824" max="12824" width="10.75" style="86" bestFit="1" customWidth="1"/>
    <col min="12825" max="13056" width="15.625" style="86"/>
    <col min="13057" max="13057" width="4.625" style="86" customWidth="1"/>
    <col min="13058" max="13058" width="23.625" style="86" customWidth="1"/>
    <col min="13059" max="13059" width="11.375" style="86" customWidth="1"/>
    <col min="13060" max="13060" width="10.625" style="86" customWidth="1"/>
    <col min="13061" max="13061" width="15.625" style="86"/>
    <col min="13062" max="13064" width="10.75" style="86" bestFit="1" customWidth="1"/>
    <col min="13065" max="13065" width="10.125" style="86" bestFit="1" customWidth="1"/>
    <col min="13066" max="13066" width="10.75" style="86" bestFit="1" customWidth="1"/>
    <col min="13067" max="13067" width="11" style="86" bestFit="1" customWidth="1"/>
    <col min="13068" max="13068" width="10.75" style="86" bestFit="1" customWidth="1"/>
    <col min="13069" max="13069" width="15.625" style="86"/>
    <col min="13070" max="13070" width="11.5" style="86" bestFit="1" customWidth="1"/>
    <col min="13071" max="13073" width="10.75" style="86" bestFit="1" customWidth="1"/>
    <col min="13074" max="13076" width="15.625" style="86"/>
    <col min="13077" max="13077" width="14.625" style="86" bestFit="1" customWidth="1"/>
    <col min="13078" max="13078" width="15.625" style="86"/>
    <col min="13079" max="13079" width="13.375" style="86" bestFit="1" customWidth="1"/>
    <col min="13080" max="13080" width="10.75" style="86" bestFit="1" customWidth="1"/>
    <col min="13081" max="13312" width="15.625" style="86"/>
    <col min="13313" max="13313" width="4.625" style="86" customWidth="1"/>
    <col min="13314" max="13314" width="23.625" style="86" customWidth="1"/>
    <col min="13315" max="13315" width="11.375" style="86" customWidth="1"/>
    <col min="13316" max="13316" width="10.625" style="86" customWidth="1"/>
    <col min="13317" max="13317" width="15.625" style="86"/>
    <col min="13318" max="13320" width="10.75" style="86" bestFit="1" customWidth="1"/>
    <col min="13321" max="13321" width="10.125" style="86" bestFit="1" customWidth="1"/>
    <col min="13322" max="13322" width="10.75" style="86" bestFit="1" customWidth="1"/>
    <col min="13323" max="13323" width="11" style="86" bestFit="1" customWidth="1"/>
    <col min="13324" max="13324" width="10.75" style="86" bestFit="1" customWidth="1"/>
    <col min="13325" max="13325" width="15.625" style="86"/>
    <col min="13326" max="13326" width="11.5" style="86" bestFit="1" customWidth="1"/>
    <col min="13327" max="13329" width="10.75" style="86" bestFit="1" customWidth="1"/>
    <col min="13330" max="13332" width="15.625" style="86"/>
    <col min="13333" max="13333" width="14.625" style="86" bestFit="1" customWidth="1"/>
    <col min="13334" max="13334" width="15.625" style="86"/>
    <col min="13335" max="13335" width="13.375" style="86" bestFit="1" customWidth="1"/>
    <col min="13336" max="13336" width="10.75" style="86" bestFit="1" customWidth="1"/>
    <col min="13337" max="13568" width="15.625" style="86"/>
    <col min="13569" max="13569" width="4.625" style="86" customWidth="1"/>
    <col min="13570" max="13570" width="23.625" style="86" customWidth="1"/>
    <col min="13571" max="13571" width="11.375" style="86" customWidth="1"/>
    <col min="13572" max="13572" width="10.625" style="86" customWidth="1"/>
    <col min="13573" max="13573" width="15.625" style="86"/>
    <col min="13574" max="13576" width="10.75" style="86" bestFit="1" customWidth="1"/>
    <col min="13577" max="13577" width="10.125" style="86" bestFit="1" customWidth="1"/>
    <col min="13578" max="13578" width="10.75" style="86" bestFit="1" customWidth="1"/>
    <col min="13579" max="13579" width="11" style="86" bestFit="1" customWidth="1"/>
    <col min="13580" max="13580" width="10.75" style="86" bestFit="1" customWidth="1"/>
    <col min="13581" max="13581" width="15.625" style="86"/>
    <col min="13582" max="13582" width="11.5" style="86" bestFit="1" customWidth="1"/>
    <col min="13583" max="13585" width="10.75" style="86" bestFit="1" customWidth="1"/>
    <col min="13586" max="13588" width="15.625" style="86"/>
    <col min="13589" max="13589" width="14.625" style="86" bestFit="1" customWidth="1"/>
    <col min="13590" max="13590" width="15.625" style="86"/>
    <col min="13591" max="13591" width="13.375" style="86" bestFit="1" customWidth="1"/>
    <col min="13592" max="13592" width="10.75" style="86" bestFit="1" customWidth="1"/>
    <col min="13593" max="13824" width="15.625" style="86"/>
    <col min="13825" max="13825" width="4.625" style="86" customWidth="1"/>
    <col min="13826" max="13826" width="23.625" style="86" customWidth="1"/>
    <col min="13827" max="13827" width="11.375" style="86" customWidth="1"/>
    <col min="13828" max="13828" width="10.625" style="86" customWidth="1"/>
    <col min="13829" max="13829" width="15.625" style="86"/>
    <col min="13830" max="13832" width="10.75" style="86" bestFit="1" customWidth="1"/>
    <col min="13833" max="13833" width="10.125" style="86" bestFit="1" customWidth="1"/>
    <col min="13834" max="13834" width="10.75" style="86" bestFit="1" customWidth="1"/>
    <col min="13835" max="13835" width="11" style="86" bestFit="1" customWidth="1"/>
    <col min="13836" max="13836" width="10.75" style="86" bestFit="1" customWidth="1"/>
    <col min="13837" max="13837" width="15.625" style="86"/>
    <col min="13838" max="13838" width="11.5" style="86" bestFit="1" customWidth="1"/>
    <col min="13839" max="13841" width="10.75" style="86" bestFit="1" customWidth="1"/>
    <col min="13842" max="13844" width="15.625" style="86"/>
    <col min="13845" max="13845" width="14.625" style="86" bestFit="1" customWidth="1"/>
    <col min="13846" max="13846" width="15.625" style="86"/>
    <col min="13847" max="13847" width="13.375" style="86" bestFit="1" customWidth="1"/>
    <col min="13848" max="13848" width="10.75" style="86" bestFit="1" customWidth="1"/>
    <col min="13849" max="14080" width="15.625" style="86"/>
    <col min="14081" max="14081" width="4.625" style="86" customWidth="1"/>
    <col min="14082" max="14082" width="23.625" style="86" customWidth="1"/>
    <col min="14083" max="14083" width="11.375" style="86" customWidth="1"/>
    <col min="14084" max="14084" width="10.625" style="86" customWidth="1"/>
    <col min="14085" max="14085" width="15.625" style="86"/>
    <col min="14086" max="14088" width="10.75" style="86" bestFit="1" customWidth="1"/>
    <col min="14089" max="14089" width="10.125" style="86" bestFit="1" customWidth="1"/>
    <col min="14090" max="14090" width="10.75" style="86" bestFit="1" customWidth="1"/>
    <col min="14091" max="14091" width="11" style="86" bestFit="1" customWidth="1"/>
    <col min="14092" max="14092" width="10.75" style="86" bestFit="1" customWidth="1"/>
    <col min="14093" max="14093" width="15.625" style="86"/>
    <col min="14094" max="14094" width="11.5" style="86" bestFit="1" customWidth="1"/>
    <col min="14095" max="14097" width="10.75" style="86" bestFit="1" customWidth="1"/>
    <col min="14098" max="14100" width="15.625" style="86"/>
    <col min="14101" max="14101" width="14.625" style="86" bestFit="1" customWidth="1"/>
    <col min="14102" max="14102" width="15.625" style="86"/>
    <col min="14103" max="14103" width="13.375" style="86" bestFit="1" customWidth="1"/>
    <col min="14104" max="14104" width="10.75" style="86" bestFit="1" customWidth="1"/>
    <col min="14105" max="14336" width="15.625" style="86"/>
    <col min="14337" max="14337" width="4.625" style="86" customWidth="1"/>
    <col min="14338" max="14338" width="23.625" style="86" customWidth="1"/>
    <col min="14339" max="14339" width="11.375" style="86" customWidth="1"/>
    <col min="14340" max="14340" width="10.625" style="86" customWidth="1"/>
    <col min="14341" max="14341" width="15.625" style="86"/>
    <col min="14342" max="14344" width="10.75" style="86" bestFit="1" customWidth="1"/>
    <col min="14345" max="14345" width="10.125" style="86" bestFit="1" customWidth="1"/>
    <col min="14346" max="14346" width="10.75" style="86" bestFit="1" customWidth="1"/>
    <col min="14347" max="14347" width="11" style="86" bestFit="1" customWidth="1"/>
    <col min="14348" max="14348" width="10.75" style="86" bestFit="1" customWidth="1"/>
    <col min="14349" max="14349" width="15.625" style="86"/>
    <col min="14350" max="14350" width="11.5" style="86" bestFit="1" customWidth="1"/>
    <col min="14351" max="14353" width="10.75" style="86" bestFit="1" customWidth="1"/>
    <col min="14354" max="14356" width="15.625" style="86"/>
    <col min="14357" max="14357" width="14.625" style="86" bestFit="1" customWidth="1"/>
    <col min="14358" max="14358" width="15.625" style="86"/>
    <col min="14359" max="14359" width="13.375" style="86" bestFit="1" customWidth="1"/>
    <col min="14360" max="14360" width="10.75" style="86" bestFit="1" customWidth="1"/>
    <col min="14361" max="14592" width="15.625" style="86"/>
    <col min="14593" max="14593" width="4.625" style="86" customWidth="1"/>
    <col min="14594" max="14594" width="23.625" style="86" customWidth="1"/>
    <col min="14595" max="14595" width="11.375" style="86" customWidth="1"/>
    <col min="14596" max="14596" width="10.625" style="86" customWidth="1"/>
    <col min="14597" max="14597" width="15.625" style="86"/>
    <col min="14598" max="14600" width="10.75" style="86" bestFit="1" customWidth="1"/>
    <col min="14601" max="14601" width="10.125" style="86" bestFit="1" customWidth="1"/>
    <col min="14602" max="14602" width="10.75" style="86" bestFit="1" customWidth="1"/>
    <col min="14603" max="14603" width="11" style="86" bestFit="1" customWidth="1"/>
    <col min="14604" max="14604" width="10.75" style="86" bestFit="1" customWidth="1"/>
    <col min="14605" max="14605" width="15.625" style="86"/>
    <col min="14606" max="14606" width="11.5" style="86" bestFit="1" customWidth="1"/>
    <col min="14607" max="14609" width="10.75" style="86" bestFit="1" customWidth="1"/>
    <col min="14610" max="14612" width="15.625" style="86"/>
    <col min="14613" max="14613" width="14.625" style="86" bestFit="1" customWidth="1"/>
    <col min="14614" max="14614" width="15.625" style="86"/>
    <col min="14615" max="14615" width="13.375" style="86" bestFit="1" customWidth="1"/>
    <col min="14616" max="14616" width="10.75" style="86" bestFit="1" customWidth="1"/>
    <col min="14617" max="14848" width="15.625" style="86"/>
    <col min="14849" max="14849" width="4.625" style="86" customWidth="1"/>
    <col min="14850" max="14850" width="23.625" style="86" customWidth="1"/>
    <col min="14851" max="14851" width="11.375" style="86" customWidth="1"/>
    <col min="14852" max="14852" width="10.625" style="86" customWidth="1"/>
    <col min="14853" max="14853" width="15.625" style="86"/>
    <col min="14854" max="14856" width="10.75" style="86" bestFit="1" customWidth="1"/>
    <col min="14857" max="14857" width="10.125" style="86" bestFit="1" customWidth="1"/>
    <col min="14858" max="14858" width="10.75" style="86" bestFit="1" customWidth="1"/>
    <col min="14859" max="14859" width="11" style="86" bestFit="1" customWidth="1"/>
    <col min="14860" max="14860" width="10.75" style="86" bestFit="1" customWidth="1"/>
    <col min="14861" max="14861" width="15.625" style="86"/>
    <col min="14862" max="14862" width="11.5" style="86" bestFit="1" customWidth="1"/>
    <col min="14863" max="14865" width="10.75" style="86" bestFit="1" customWidth="1"/>
    <col min="14866" max="14868" width="15.625" style="86"/>
    <col min="14869" max="14869" width="14.625" style="86" bestFit="1" customWidth="1"/>
    <col min="14870" max="14870" width="15.625" style="86"/>
    <col min="14871" max="14871" width="13.375" style="86" bestFit="1" customWidth="1"/>
    <col min="14872" max="14872" width="10.75" style="86" bestFit="1" customWidth="1"/>
    <col min="14873" max="15104" width="15.625" style="86"/>
    <col min="15105" max="15105" width="4.625" style="86" customWidth="1"/>
    <col min="15106" max="15106" width="23.625" style="86" customWidth="1"/>
    <col min="15107" max="15107" width="11.375" style="86" customWidth="1"/>
    <col min="15108" max="15108" width="10.625" style="86" customWidth="1"/>
    <col min="15109" max="15109" width="15.625" style="86"/>
    <col min="15110" max="15112" width="10.75" style="86" bestFit="1" customWidth="1"/>
    <col min="15113" max="15113" width="10.125" style="86" bestFit="1" customWidth="1"/>
    <col min="15114" max="15114" width="10.75" style="86" bestFit="1" customWidth="1"/>
    <col min="15115" max="15115" width="11" style="86" bestFit="1" customWidth="1"/>
    <col min="15116" max="15116" width="10.75" style="86" bestFit="1" customWidth="1"/>
    <col min="15117" max="15117" width="15.625" style="86"/>
    <col min="15118" max="15118" width="11.5" style="86" bestFit="1" customWidth="1"/>
    <col min="15119" max="15121" width="10.75" style="86" bestFit="1" customWidth="1"/>
    <col min="15122" max="15124" width="15.625" style="86"/>
    <col min="15125" max="15125" width="14.625" style="86" bestFit="1" customWidth="1"/>
    <col min="15126" max="15126" width="15.625" style="86"/>
    <col min="15127" max="15127" width="13.375" style="86" bestFit="1" customWidth="1"/>
    <col min="15128" max="15128" width="10.75" style="86" bestFit="1" customWidth="1"/>
    <col min="15129" max="15360" width="15.625" style="86"/>
    <col min="15361" max="15361" width="4.625" style="86" customWidth="1"/>
    <col min="15362" max="15362" width="23.625" style="86" customWidth="1"/>
    <col min="15363" max="15363" width="11.375" style="86" customWidth="1"/>
    <col min="15364" max="15364" width="10.625" style="86" customWidth="1"/>
    <col min="15365" max="15365" width="15.625" style="86"/>
    <col min="15366" max="15368" width="10.75" style="86" bestFit="1" customWidth="1"/>
    <col min="15369" max="15369" width="10.125" style="86" bestFit="1" customWidth="1"/>
    <col min="15370" max="15370" width="10.75" style="86" bestFit="1" customWidth="1"/>
    <col min="15371" max="15371" width="11" style="86" bestFit="1" customWidth="1"/>
    <col min="15372" max="15372" width="10.75" style="86" bestFit="1" customWidth="1"/>
    <col min="15373" max="15373" width="15.625" style="86"/>
    <col min="15374" max="15374" width="11.5" style="86" bestFit="1" customWidth="1"/>
    <col min="15375" max="15377" width="10.75" style="86" bestFit="1" customWidth="1"/>
    <col min="15378" max="15380" width="15.625" style="86"/>
    <col min="15381" max="15381" width="14.625" style="86" bestFit="1" customWidth="1"/>
    <col min="15382" max="15382" width="15.625" style="86"/>
    <col min="15383" max="15383" width="13.375" style="86" bestFit="1" customWidth="1"/>
    <col min="15384" max="15384" width="10.75" style="86" bestFit="1" customWidth="1"/>
    <col min="15385" max="15616" width="15.625" style="86"/>
    <col min="15617" max="15617" width="4.625" style="86" customWidth="1"/>
    <col min="15618" max="15618" width="23.625" style="86" customWidth="1"/>
    <col min="15619" max="15619" width="11.375" style="86" customWidth="1"/>
    <col min="15620" max="15620" width="10.625" style="86" customWidth="1"/>
    <col min="15621" max="15621" width="15.625" style="86"/>
    <col min="15622" max="15624" width="10.75" style="86" bestFit="1" customWidth="1"/>
    <col min="15625" max="15625" width="10.125" style="86" bestFit="1" customWidth="1"/>
    <col min="15626" max="15626" width="10.75" style="86" bestFit="1" customWidth="1"/>
    <col min="15627" max="15627" width="11" style="86" bestFit="1" customWidth="1"/>
    <col min="15628" max="15628" width="10.75" style="86" bestFit="1" customWidth="1"/>
    <col min="15629" max="15629" width="15.625" style="86"/>
    <col min="15630" max="15630" width="11.5" style="86" bestFit="1" customWidth="1"/>
    <col min="15631" max="15633" width="10.75" style="86" bestFit="1" customWidth="1"/>
    <col min="15634" max="15636" width="15.625" style="86"/>
    <col min="15637" max="15637" width="14.625" style="86" bestFit="1" customWidth="1"/>
    <col min="15638" max="15638" width="15.625" style="86"/>
    <col min="15639" max="15639" width="13.375" style="86" bestFit="1" customWidth="1"/>
    <col min="15640" max="15640" width="10.75" style="86" bestFit="1" customWidth="1"/>
    <col min="15641" max="15872" width="15.625" style="86"/>
    <col min="15873" max="15873" width="4.625" style="86" customWidth="1"/>
    <col min="15874" max="15874" width="23.625" style="86" customWidth="1"/>
    <col min="15875" max="15875" width="11.375" style="86" customWidth="1"/>
    <col min="15876" max="15876" width="10.625" style="86" customWidth="1"/>
    <col min="15877" max="15877" width="15.625" style="86"/>
    <col min="15878" max="15880" width="10.75" style="86" bestFit="1" customWidth="1"/>
    <col min="15881" max="15881" width="10.125" style="86" bestFit="1" customWidth="1"/>
    <col min="15882" max="15882" width="10.75" style="86" bestFit="1" customWidth="1"/>
    <col min="15883" max="15883" width="11" style="86" bestFit="1" customWidth="1"/>
    <col min="15884" max="15884" width="10.75" style="86" bestFit="1" customWidth="1"/>
    <col min="15885" max="15885" width="15.625" style="86"/>
    <col min="15886" max="15886" width="11.5" style="86" bestFit="1" customWidth="1"/>
    <col min="15887" max="15889" width="10.75" style="86" bestFit="1" customWidth="1"/>
    <col min="15890" max="15892" width="15.625" style="86"/>
    <col min="15893" max="15893" width="14.625" style="86" bestFit="1" customWidth="1"/>
    <col min="15894" max="15894" width="15.625" style="86"/>
    <col min="15895" max="15895" width="13.375" style="86" bestFit="1" customWidth="1"/>
    <col min="15896" max="15896" width="10.75" style="86" bestFit="1" customWidth="1"/>
    <col min="15897" max="16128" width="15.625" style="86"/>
    <col min="16129" max="16129" width="4.625" style="86" customWidth="1"/>
    <col min="16130" max="16130" width="23.625" style="86" customWidth="1"/>
    <col min="16131" max="16131" width="11.375" style="86" customWidth="1"/>
    <col min="16132" max="16132" width="10.625" style="86" customWidth="1"/>
    <col min="16133" max="16133" width="15.625" style="86"/>
    <col min="16134" max="16136" width="10.75" style="86" bestFit="1" customWidth="1"/>
    <col min="16137" max="16137" width="10.125" style="86" bestFit="1" customWidth="1"/>
    <col min="16138" max="16138" width="10.75" style="86" bestFit="1" customWidth="1"/>
    <col min="16139" max="16139" width="11" style="86" bestFit="1" customWidth="1"/>
    <col min="16140" max="16140" width="10.75" style="86" bestFit="1" customWidth="1"/>
    <col min="16141" max="16141" width="15.625" style="86"/>
    <col min="16142" max="16142" width="11.5" style="86" bestFit="1" customWidth="1"/>
    <col min="16143" max="16145" width="10.75" style="86" bestFit="1" customWidth="1"/>
    <col min="16146" max="16148" width="15.625" style="86"/>
    <col min="16149" max="16149" width="14.625" style="86" bestFit="1" customWidth="1"/>
    <col min="16150" max="16150" width="15.625" style="86"/>
    <col min="16151" max="16151" width="13.375" style="86" bestFit="1" customWidth="1"/>
    <col min="16152" max="16152" width="10.75" style="86" bestFit="1" customWidth="1"/>
    <col min="16153" max="16384" width="15.625" style="86"/>
  </cols>
  <sheetData>
    <row r="1" spans="1:25" ht="25.5">
      <c r="A1" s="377" t="s">
        <v>668</v>
      </c>
      <c r="B1" s="377"/>
      <c r="C1" s="377"/>
      <c r="D1" s="377"/>
      <c r="E1" s="377"/>
      <c r="F1" s="377"/>
      <c r="G1" s="377"/>
      <c r="H1" s="377"/>
      <c r="I1" s="377"/>
      <c r="J1" s="377"/>
      <c r="K1" s="377"/>
      <c r="L1" s="377"/>
      <c r="M1" s="377"/>
      <c r="N1" s="377"/>
      <c r="O1" s="377"/>
      <c r="P1" s="377"/>
      <c r="Q1" s="377"/>
      <c r="R1" s="377"/>
      <c r="S1" s="377"/>
      <c r="T1" s="377"/>
      <c r="U1" s="377"/>
      <c r="V1" s="377"/>
      <c r="W1" s="377"/>
      <c r="X1" s="377"/>
      <c r="Y1" s="377"/>
    </row>
    <row r="2" spans="1:25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495</v>
      </c>
      <c r="F2" s="88" t="s">
        <v>496</v>
      </c>
      <c r="G2" s="88" t="s">
        <v>489</v>
      </c>
      <c r="H2" s="88" t="s">
        <v>497</v>
      </c>
      <c r="I2" s="88" t="s">
        <v>498</v>
      </c>
      <c r="J2" s="88" t="s">
        <v>490</v>
      </c>
      <c r="K2" s="88" t="s">
        <v>491</v>
      </c>
      <c r="L2" s="88" t="s">
        <v>499</v>
      </c>
      <c r="M2" s="88" t="s">
        <v>492</v>
      </c>
      <c r="N2" s="88" t="s">
        <v>500</v>
      </c>
      <c r="O2" s="88" t="s">
        <v>501</v>
      </c>
      <c r="P2" s="88" t="s">
        <v>493</v>
      </c>
      <c r="Q2" s="88" t="s">
        <v>502</v>
      </c>
      <c r="R2" s="88" t="s">
        <v>503</v>
      </c>
      <c r="S2" s="88" t="s">
        <v>504</v>
      </c>
      <c r="T2" s="88" t="s">
        <v>505</v>
      </c>
      <c r="U2" s="88" t="s">
        <v>666</v>
      </c>
      <c r="V2" s="88" t="s">
        <v>494</v>
      </c>
      <c r="W2" s="88" t="s">
        <v>667</v>
      </c>
      <c r="X2" s="88" t="s">
        <v>24</v>
      </c>
      <c r="Y2" s="89" t="s">
        <v>25</v>
      </c>
    </row>
    <row r="3" spans="1:25">
      <c r="A3" s="90" t="s">
        <v>26</v>
      </c>
      <c r="B3" s="91" t="s">
        <v>27</v>
      </c>
      <c r="C3" s="91"/>
      <c r="D3" s="92" t="s">
        <v>28</v>
      </c>
      <c r="E3" s="19">
        <f t="shared" ref="E3:W3" si="0">E4+E30+E49</f>
        <v>34564579.899999999</v>
      </c>
      <c r="F3" s="19">
        <f t="shared" si="0"/>
        <v>34412576.609999999</v>
      </c>
      <c r="G3" s="19">
        <f t="shared" si="0"/>
        <v>24382613.400000002</v>
      </c>
      <c r="H3" s="19">
        <f t="shared" si="0"/>
        <v>29195033.110000003</v>
      </c>
      <c r="I3" s="19">
        <f t="shared" si="0"/>
        <v>5710762.29</v>
      </c>
      <c r="J3" s="19">
        <f t="shared" si="0"/>
        <v>40326043.690000005</v>
      </c>
      <c r="K3" s="19">
        <f t="shared" si="0"/>
        <v>32457468.310000002</v>
      </c>
      <c r="L3" s="19">
        <f t="shared" si="0"/>
        <v>19499494.169999998</v>
      </c>
      <c r="M3" s="19">
        <f t="shared" si="0"/>
        <v>36882804.640000001</v>
      </c>
      <c r="N3" s="19">
        <f t="shared" si="0"/>
        <v>24091085.559999999</v>
      </c>
      <c r="O3" s="19">
        <f t="shared" si="0"/>
        <v>21033905.73</v>
      </c>
      <c r="P3" s="19">
        <f t="shared" si="0"/>
        <v>22764507.609999999</v>
      </c>
      <c r="Q3" s="19">
        <f t="shared" si="0"/>
        <v>19552312.689999998</v>
      </c>
      <c r="R3" s="19">
        <f t="shared" si="0"/>
        <v>6731562.3700000001</v>
      </c>
      <c r="S3" s="19">
        <f t="shared" si="0"/>
        <v>8666638.1500000004</v>
      </c>
      <c r="T3" s="19">
        <f t="shared" si="0"/>
        <v>9309637.3599999994</v>
      </c>
      <c r="U3" s="19">
        <f t="shared" si="0"/>
        <v>13896350.200000001</v>
      </c>
      <c r="V3" s="19">
        <f t="shared" si="0"/>
        <v>13642883.77</v>
      </c>
      <c r="W3" s="19">
        <f t="shared" si="0"/>
        <v>2491287.5</v>
      </c>
      <c r="X3" s="19">
        <f t="shared" ref="X3:X9" si="1">SUM(E3:W3)</f>
        <v>399611547.06</v>
      </c>
      <c r="Y3" s="93"/>
    </row>
    <row r="4" spans="1:25">
      <c r="A4" s="90" t="s">
        <v>29</v>
      </c>
      <c r="B4" s="91" t="s">
        <v>30</v>
      </c>
      <c r="C4" s="91"/>
      <c r="D4" s="92" t="s">
        <v>28</v>
      </c>
      <c r="E4" s="19">
        <f t="shared" ref="E4:W4" si="2">E5+E8+E12+E15+E18+E20+E23+E25+E27+E28+E29</f>
        <v>29939370.899999999</v>
      </c>
      <c r="F4" s="19">
        <f t="shared" si="2"/>
        <v>29801544.470000003</v>
      </c>
      <c r="G4" s="19">
        <f t="shared" si="2"/>
        <v>20236578.050000001</v>
      </c>
      <c r="H4" s="19">
        <f t="shared" si="2"/>
        <v>24950530.900000002</v>
      </c>
      <c r="I4" s="19">
        <f t="shared" si="2"/>
        <v>3280423.36</v>
      </c>
      <c r="J4" s="19">
        <f t="shared" si="2"/>
        <v>33645704.730000004</v>
      </c>
      <c r="K4" s="19">
        <f t="shared" si="2"/>
        <v>27390700.030000001</v>
      </c>
      <c r="L4" s="19">
        <f t="shared" si="2"/>
        <v>16094662.76</v>
      </c>
      <c r="M4" s="19">
        <f t="shared" si="2"/>
        <v>31139498.18</v>
      </c>
      <c r="N4" s="19">
        <f t="shared" si="2"/>
        <v>20163935.84</v>
      </c>
      <c r="O4" s="19">
        <f t="shared" si="2"/>
        <v>18300491.609999999</v>
      </c>
      <c r="P4" s="19">
        <f t="shared" si="2"/>
        <v>19260811.77</v>
      </c>
      <c r="Q4" s="19">
        <f t="shared" si="2"/>
        <v>16848073.18</v>
      </c>
      <c r="R4" s="19">
        <f t="shared" si="2"/>
        <v>5572859.5099999998</v>
      </c>
      <c r="S4" s="19">
        <f t="shared" si="2"/>
        <v>7300782.4399999995</v>
      </c>
      <c r="T4" s="19">
        <f t="shared" si="2"/>
        <v>7151227.9299999997</v>
      </c>
      <c r="U4" s="19">
        <f t="shared" si="2"/>
        <v>11619054.050000001</v>
      </c>
      <c r="V4" s="19">
        <f t="shared" si="2"/>
        <v>11334334.059999999</v>
      </c>
      <c r="W4" s="19">
        <f t="shared" si="2"/>
        <v>2080748.07</v>
      </c>
      <c r="X4" s="19">
        <f t="shared" si="1"/>
        <v>336111331.84000003</v>
      </c>
      <c r="Y4" s="93"/>
    </row>
    <row r="5" spans="1:25">
      <c r="A5" s="90" t="s">
        <v>31</v>
      </c>
      <c r="B5" s="91" t="s">
        <v>32</v>
      </c>
      <c r="C5" s="91"/>
      <c r="D5" s="92" t="s">
        <v>28</v>
      </c>
      <c r="E5" s="19">
        <f>E6+E7</f>
        <v>4124616</v>
      </c>
      <c r="F5" s="19">
        <f t="shared" ref="F5:W5" si="3">F6+F7</f>
        <v>3967656</v>
      </c>
      <c r="G5" s="19">
        <f t="shared" si="3"/>
        <v>3312000</v>
      </c>
      <c r="H5" s="19">
        <f t="shared" si="3"/>
        <v>2935404</v>
      </c>
      <c r="I5" s="19">
        <f t="shared" si="3"/>
        <v>365136</v>
      </c>
      <c r="J5" s="19">
        <f t="shared" si="3"/>
        <v>4988916</v>
      </c>
      <c r="K5" s="19">
        <f t="shared" si="3"/>
        <v>3670860</v>
      </c>
      <c r="L5" s="19">
        <f t="shared" si="3"/>
        <v>1838784</v>
      </c>
      <c r="M5" s="19">
        <f t="shared" si="3"/>
        <v>3588600</v>
      </c>
      <c r="N5" s="19">
        <f t="shared" si="3"/>
        <v>2261040</v>
      </c>
      <c r="O5" s="19">
        <f t="shared" si="3"/>
        <v>2328900</v>
      </c>
      <c r="P5" s="19">
        <f t="shared" si="3"/>
        <v>2496324</v>
      </c>
      <c r="Q5" s="19">
        <f>Q6+Q7</f>
        <v>2059613.6</v>
      </c>
      <c r="R5" s="19">
        <f t="shared" si="3"/>
        <v>697283.5</v>
      </c>
      <c r="S5" s="19">
        <f t="shared" si="3"/>
        <v>959292</v>
      </c>
      <c r="T5" s="19">
        <f>T6+T7</f>
        <v>1031070</v>
      </c>
      <c r="U5" s="19">
        <f t="shared" si="3"/>
        <v>1418512</v>
      </c>
      <c r="V5" s="19">
        <f>V6+V7</f>
        <v>1419019</v>
      </c>
      <c r="W5" s="19">
        <f t="shared" si="3"/>
        <v>291264</v>
      </c>
      <c r="X5" s="19">
        <f t="shared" si="1"/>
        <v>43754290.100000001</v>
      </c>
      <c r="Y5" s="93"/>
    </row>
    <row r="6" spans="1:25" ht="22.5">
      <c r="A6" s="90" t="s">
        <v>33</v>
      </c>
      <c r="B6" s="91" t="s">
        <v>34</v>
      </c>
      <c r="C6" s="91" t="s">
        <v>35</v>
      </c>
      <c r="D6" s="92" t="s">
        <v>36</v>
      </c>
      <c r="E6" s="22">
        <f>193070*12</f>
        <v>2316840</v>
      </c>
      <c r="F6" s="22">
        <f>187663*12</f>
        <v>2251956</v>
      </c>
      <c r="G6" s="22">
        <f>2600*12*60</f>
        <v>1872000</v>
      </c>
      <c r="H6" s="22">
        <v>1928508</v>
      </c>
      <c r="I6" s="22">
        <v>306936</v>
      </c>
      <c r="J6" s="22">
        <v>2589444</v>
      </c>
      <c r="K6" s="22">
        <v>2111004</v>
      </c>
      <c r="L6" s="22">
        <v>1239312</v>
      </c>
      <c r="M6" s="22">
        <v>2301720</v>
      </c>
      <c r="N6" s="22">
        <f>125841*12</f>
        <v>1510092</v>
      </c>
      <c r="O6" s="22">
        <v>1457316</v>
      </c>
      <c r="P6" s="22">
        <f>133298*12</f>
        <v>1599576</v>
      </c>
      <c r="Q6" s="22">
        <v>1362435.5</v>
      </c>
      <c r="R6" s="22">
        <v>454922.5</v>
      </c>
      <c r="S6" s="22">
        <f>51315*12</f>
        <v>615780</v>
      </c>
      <c r="T6" s="22">
        <v>698280</v>
      </c>
      <c r="U6" s="22">
        <f>76538*12+1892*4*2</f>
        <v>933592</v>
      </c>
      <c r="V6" s="22">
        <v>901632</v>
      </c>
      <c r="W6" s="22">
        <v>143760</v>
      </c>
      <c r="X6" s="19">
        <f t="shared" si="1"/>
        <v>26595106</v>
      </c>
      <c r="Y6" s="94"/>
    </row>
    <row r="7" spans="1:25" ht="22.5">
      <c r="A7" s="90" t="s">
        <v>37</v>
      </c>
      <c r="B7" s="91" t="s">
        <v>38</v>
      </c>
      <c r="C7" s="91" t="s">
        <v>35</v>
      </c>
      <c r="D7" s="92" t="s">
        <v>89</v>
      </c>
      <c r="E7" s="22">
        <f>150648*12</f>
        <v>1807776</v>
      </c>
      <c r="F7" s="22">
        <f>142975*12</f>
        <v>1715700</v>
      </c>
      <c r="G7" s="22">
        <f>2000*12*60</f>
        <v>1440000</v>
      </c>
      <c r="H7" s="22">
        <v>1006896</v>
      </c>
      <c r="I7" s="22">
        <v>58200</v>
      </c>
      <c r="J7" s="22">
        <v>2399472</v>
      </c>
      <c r="K7" s="22">
        <v>1559856</v>
      </c>
      <c r="L7" s="22">
        <v>599472</v>
      </c>
      <c r="M7" s="22">
        <v>1286880</v>
      </c>
      <c r="N7" s="22">
        <f>62579*12</f>
        <v>750948</v>
      </c>
      <c r="O7" s="22">
        <v>871584</v>
      </c>
      <c r="P7" s="22">
        <f>74729*12</f>
        <v>896748</v>
      </c>
      <c r="Q7" s="22">
        <v>697178.1</v>
      </c>
      <c r="R7" s="22">
        <v>242361</v>
      </c>
      <c r="S7" s="22">
        <f>28626*12</f>
        <v>343512</v>
      </c>
      <c r="T7" s="22">
        <v>332790</v>
      </c>
      <c r="U7" s="22">
        <f>40010*12+600*4*2</f>
        <v>484920</v>
      </c>
      <c r="V7" s="22">
        <v>517387</v>
      </c>
      <c r="W7" s="22">
        <v>147504</v>
      </c>
      <c r="X7" s="19">
        <f t="shared" si="1"/>
        <v>17159184.100000001</v>
      </c>
      <c r="Y7" s="93"/>
    </row>
    <row r="8" spans="1:25">
      <c r="A8" s="90" t="s">
        <v>39</v>
      </c>
      <c r="B8" s="91" t="s">
        <v>40</v>
      </c>
      <c r="C8" s="91"/>
      <c r="D8" s="92" t="s">
        <v>28</v>
      </c>
      <c r="E8" s="19">
        <f>E9+E10</f>
        <v>454932</v>
      </c>
      <c r="F8" s="19">
        <f t="shared" ref="F8:W8" si="4">F9+F10</f>
        <v>448524</v>
      </c>
      <c r="G8" s="19">
        <f t="shared" si="4"/>
        <v>321840</v>
      </c>
      <c r="H8" s="19">
        <f t="shared" si="4"/>
        <v>393504</v>
      </c>
      <c r="I8" s="19">
        <f t="shared" si="4"/>
        <v>58284</v>
      </c>
      <c r="J8" s="19">
        <f t="shared" si="4"/>
        <v>539028</v>
      </c>
      <c r="K8" s="19">
        <f t="shared" si="4"/>
        <v>432048</v>
      </c>
      <c r="L8" s="19">
        <f t="shared" si="4"/>
        <v>258708</v>
      </c>
      <c r="M8" s="19">
        <f t="shared" si="4"/>
        <v>505776</v>
      </c>
      <c r="N8" s="19">
        <f t="shared" si="4"/>
        <v>323616</v>
      </c>
      <c r="O8" s="19">
        <f t="shared" si="4"/>
        <v>309168</v>
      </c>
      <c r="P8" s="19">
        <f t="shared" si="4"/>
        <v>325548</v>
      </c>
      <c r="Q8" s="19">
        <f>Q9+Q10</f>
        <v>292311.8</v>
      </c>
      <c r="R8" s="19">
        <f t="shared" si="4"/>
        <v>90600</v>
      </c>
      <c r="S8" s="19">
        <f t="shared" si="4"/>
        <v>122664</v>
      </c>
      <c r="T8" s="19">
        <f>T9+T10</f>
        <v>140091.75</v>
      </c>
      <c r="U8" s="19">
        <f t="shared" si="4"/>
        <v>201876</v>
      </c>
      <c r="V8" s="19">
        <f>V9+V10</f>
        <v>191760</v>
      </c>
      <c r="W8" s="19">
        <f t="shared" si="4"/>
        <v>31956</v>
      </c>
      <c r="X8" s="19">
        <f t="shared" si="1"/>
        <v>5442235.5499999998</v>
      </c>
      <c r="Y8" s="93"/>
    </row>
    <row r="9" spans="1:25" ht="22.5">
      <c r="A9" s="90" t="s">
        <v>41</v>
      </c>
      <c r="B9" s="91" t="s">
        <v>42</v>
      </c>
      <c r="C9" s="91" t="s">
        <v>35</v>
      </c>
      <c r="D9" s="92" t="s">
        <v>36</v>
      </c>
      <c r="E9" s="22">
        <f>511*12</f>
        <v>6132</v>
      </c>
      <c r="F9" s="22">
        <f>417*12</f>
        <v>5004</v>
      </c>
      <c r="G9" s="22">
        <f>7*60*12</f>
        <v>5040</v>
      </c>
      <c r="H9" s="22">
        <v>2784</v>
      </c>
      <c r="I9" s="22">
        <v>204</v>
      </c>
      <c r="J9" s="22">
        <v>16308</v>
      </c>
      <c r="K9" s="22">
        <v>4368</v>
      </c>
      <c r="L9" s="22">
        <f>3600+1668</f>
        <v>5268</v>
      </c>
      <c r="M9" s="22">
        <v>20016</v>
      </c>
      <c r="N9" s="22">
        <f>128*12</f>
        <v>1536</v>
      </c>
      <c r="O9" s="22">
        <v>2928</v>
      </c>
      <c r="P9" s="22">
        <f>289*12</f>
        <v>3468</v>
      </c>
      <c r="Q9" s="22">
        <v>1911.8</v>
      </c>
      <c r="R9" s="22">
        <f>70*12</f>
        <v>840</v>
      </c>
      <c r="S9" s="22">
        <f>102*12</f>
        <v>1224</v>
      </c>
      <c r="T9" s="22">
        <v>18651.75</v>
      </c>
      <c r="U9" s="22">
        <f>103*12</f>
        <v>1236</v>
      </c>
      <c r="V9" s="22">
        <v>1680</v>
      </c>
      <c r="W9" s="22">
        <v>276</v>
      </c>
      <c r="X9" s="19">
        <f t="shared" si="1"/>
        <v>98875.55</v>
      </c>
      <c r="Y9" s="93"/>
    </row>
    <row r="10" spans="1:25">
      <c r="A10" s="90" t="s">
        <v>43</v>
      </c>
      <c r="B10" s="91" t="s">
        <v>44</v>
      </c>
      <c r="C10" s="91"/>
      <c r="D10" s="92" t="s">
        <v>28</v>
      </c>
      <c r="E10" s="19">
        <f>E11</f>
        <v>448800</v>
      </c>
      <c r="F10" s="19">
        <f t="shared" ref="F10:X10" si="5">F11</f>
        <v>443520</v>
      </c>
      <c r="G10" s="19">
        <f t="shared" si="5"/>
        <v>316800</v>
      </c>
      <c r="H10" s="19">
        <f t="shared" si="5"/>
        <v>390720</v>
      </c>
      <c r="I10" s="19">
        <f>I11</f>
        <v>58080</v>
      </c>
      <c r="J10" s="19">
        <f>J11</f>
        <v>522720</v>
      </c>
      <c r="K10" s="19">
        <f>K11</f>
        <v>427680</v>
      </c>
      <c r="L10" s="19">
        <f t="shared" si="5"/>
        <v>253440</v>
      </c>
      <c r="M10" s="19">
        <f>M11</f>
        <v>485760</v>
      </c>
      <c r="N10" s="19">
        <f>N11</f>
        <v>322080</v>
      </c>
      <c r="O10" s="19">
        <f t="shared" si="5"/>
        <v>306240</v>
      </c>
      <c r="P10" s="19">
        <f t="shared" si="5"/>
        <v>322080</v>
      </c>
      <c r="Q10" s="19">
        <f>Q11</f>
        <v>290400</v>
      </c>
      <c r="R10" s="19">
        <f t="shared" si="5"/>
        <v>89760</v>
      </c>
      <c r="S10" s="19">
        <f t="shared" si="5"/>
        <v>121440</v>
      </c>
      <c r="T10" s="19">
        <f>T11</f>
        <v>121440</v>
      </c>
      <c r="U10" s="19">
        <f t="shared" si="5"/>
        <v>200640</v>
      </c>
      <c r="V10" s="19">
        <f>V11</f>
        <v>190080</v>
      </c>
      <c r="W10" s="19">
        <f t="shared" si="5"/>
        <v>31680</v>
      </c>
      <c r="X10" s="19">
        <f t="shared" si="5"/>
        <v>5343360</v>
      </c>
      <c r="Y10" s="93"/>
    </row>
    <row r="11" spans="1:25" s="96" customFormat="1">
      <c r="A11" s="90" t="s">
        <v>45</v>
      </c>
      <c r="B11" s="95" t="s">
        <v>508</v>
      </c>
      <c r="C11" s="95" t="s">
        <v>35</v>
      </c>
      <c r="D11" s="93" t="s">
        <v>28</v>
      </c>
      <c r="E11" s="19">
        <f>440*12*E93</f>
        <v>448800</v>
      </c>
      <c r="F11" s="19">
        <f t="shared" ref="F11:W11" si="6">440*12*F93</f>
        <v>443520</v>
      </c>
      <c r="G11" s="19">
        <f t="shared" si="6"/>
        <v>316800</v>
      </c>
      <c r="H11" s="19">
        <f t="shared" si="6"/>
        <v>390720</v>
      </c>
      <c r="I11" s="19">
        <f t="shared" si="6"/>
        <v>58080</v>
      </c>
      <c r="J11" s="19">
        <f t="shared" si="6"/>
        <v>522720</v>
      </c>
      <c r="K11" s="19">
        <f t="shared" si="6"/>
        <v>427680</v>
      </c>
      <c r="L11" s="19">
        <f t="shared" si="6"/>
        <v>253440</v>
      </c>
      <c r="M11" s="19">
        <f t="shared" si="6"/>
        <v>485760</v>
      </c>
      <c r="N11" s="19">
        <f t="shared" si="6"/>
        <v>322080</v>
      </c>
      <c r="O11" s="19">
        <f t="shared" si="6"/>
        <v>306240</v>
      </c>
      <c r="P11" s="19">
        <f t="shared" si="6"/>
        <v>322080</v>
      </c>
      <c r="Q11" s="19">
        <f>440*12*Q93</f>
        <v>290400</v>
      </c>
      <c r="R11" s="19">
        <f t="shared" si="6"/>
        <v>89760</v>
      </c>
      <c r="S11" s="19">
        <f t="shared" si="6"/>
        <v>121440</v>
      </c>
      <c r="T11" s="19">
        <f>440*12*T93</f>
        <v>121440</v>
      </c>
      <c r="U11" s="19">
        <f t="shared" si="6"/>
        <v>200640</v>
      </c>
      <c r="V11" s="19">
        <f>440*12*V93</f>
        <v>190080</v>
      </c>
      <c r="W11" s="19">
        <f t="shared" si="6"/>
        <v>31680</v>
      </c>
      <c r="X11" s="19">
        <f t="shared" ref="X11:X26" si="7">SUM(E11:W11)</f>
        <v>5343360</v>
      </c>
      <c r="Y11" s="93"/>
    </row>
    <row r="12" spans="1:25" ht="22.5">
      <c r="A12" s="90" t="s">
        <v>47</v>
      </c>
      <c r="B12" s="91" t="s">
        <v>48</v>
      </c>
      <c r="C12" s="91"/>
      <c r="D12" s="92" t="s">
        <v>49</v>
      </c>
      <c r="E12" s="19">
        <f>E13+E14</f>
        <v>140382.39999999999</v>
      </c>
      <c r="F12" s="19">
        <f t="shared" ref="F12:W12" si="8">F13+F14</f>
        <v>144024.47999999998</v>
      </c>
      <c r="G12" s="19">
        <f t="shared" si="8"/>
        <v>77874.05</v>
      </c>
      <c r="H12" s="19">
        <f t="shared" si="8"/>
        <v>114756.91</v>
      </c>
      <c r="I12" s="19">
        <f t="shared" si="8"/>
        <v>11223.36</v>
      </c>
      <c r="J12" s="19">
        <f t="shared" si="8"/>
        <v>140312.74</v>
      </c>
      <c r="K12" s="19">
        <f t="shared" si="8"/>
        <v>119416.03</v>
      </c>
      <c r="L12" s="19">
        <f t="shared" si="8"/>
        <v>73984.75</v>
      </c>
      <c r="M12" s="19">
        <f t="shared" si="8"/>
        <v>145354.17000000001</v>
      </c>
      <c r="N12" s="19">
        <f t="shared" si="8"/>
        <v>90609.84</v>
      </c>
      <c r="O12" s="19">
        <f t="shared" si="8"/>
        <v>84785.61</v>
      </c>
      <c r="P12" s="19">
        <f t="shared" si="8"/>
        <v>88621.78</v>
      </c>
      <c r="Q12" s="19">
        <f t="shared" si="8"/>
        <v>74579.290000000008</v>
      </c>
      <c r="R12" s="19">
        <f t="shared" si="8"/>
        <v>28026</v>
      </c>
      <c r="S12" s="19">
        <f t="shared" si="8"/>
        <v>33750.43</v>
      </c>
      <c r="T12" s="19">
        <f t="shared" si="8"/>
        <v>29848.18</v>
      </c>
      <c r="U12" s="19">
        <f t="shared" si="8"/>
        <v>51252.05</v>
      </c>
      <c r="V12" s="19">
        <f t="shared" si="8"/>
        <v>52659.07</v>
      </c>
      <c r="W12" s="19">
        <f t="shared" si="8"/>
        <v>9926.07</v>
      </c>
      <c r="X12" s="19">
        <f t="shared" si="7"/>
        <v>1511387.2100000002</v>
      </c>
      <c r="Y12" s="93"/>
    </row>
    <row r="13" spans="1:25" s="96" customFormat="1" ht="22.5">
      <c r="A13" s="90" t="s">
        <v>50</v>
      </c>
      <c r="B13" s="132" t="s">
        <v>586</v>
      </c>
      <c r="C13" s="95" t="s">
        <v>35</v>
      </c>
      <c r="D13" s="93" t="s">
        <v>51</v>
      </c>
      <c r="E13" s="19">
        <f>ROUND(E28/0.07*0.00256,2)</f>
        <v>47536.9</v>
      </c>
      <c r="F13" s="19">
        <f t="shared" ref="F13:W13" si="9">ROUND(F28/0.07*0.00256,2)</f>
        <v>48770.19</v>
      </c>
      <c r="G13" s="19">
        <f t="shared" si="9"/>
        <v>26370.05</v>
      </c>
      <c r="H13" s="19">
        <f t="shared" si="9"/>
        <v>38859.480000000003</v>
      </c>
      <c r="I13" s="19">
        <f t="shared" si="9"/>
        <v>3800.5</v>
      </c>
      <c r="J13" s="19">
        <f t="shared" si="9"/>
        <v>47513.31</v>
      </c>
      <c r="K13" s="19">
        <f t="shared" si="9"/>
        <v>40437.17</v>
      </c>
      <c r="L13" s="19">
        <f t="shared" si="9"/>
        <v>25053.040000000001</v>
      </c>
      <c r="M13" s="19">
        <f t="shared" si="9"/>
        <v>49220.46</v>
      </c>
      <c r="N13" s="19">
        <f t="shared" si="9"/>
        <v>30682.7</v>
      </c>
      <c r="O13" s="19">
        <f t="shared" si="9"/>
        <v>28710.47</v>
      </c>
      <c r="P13" s="19">
        <f t="shared" si="9"/>
        <v>30009.49</v>
      </c>
      <c r="Q13" s="19">
        <f>ROUND(Q28/0.07*0.00256,2)</f>
        <v>25254.36</v>
      </c>
      <c r="R13" s="19">
        <f t="shared" si="9"/>
        <v>9490.2900000000009</v>
      </c>
      <c r="S13" s="19">
        <f t="shared" si="9"/>
        <v>11428.72</v>
      </c>
      <c r="T13" s="19">
        <f>ROUND(T28/0.07*0.00256,2)</f>
        <v>10107.32</v>
      </c>
      <c r="U13" s="19">
        <f t="shared" si="9"/>
        <v>17355.189999999999</v>
      </c>
      <c r="V13" s="19">
        <f>ROUND(V28/0.07*0.00256,2)</f>
        <v>17831.64</v>
      </c>
      <c r="W13" s="19">
        <f t="shared" si="9"/>
        <v>3361.21</v>
      </c>
      <c r="X13" s="19">
        <f t="shared" si="7"/>
        <v>511792.49</v>
      </c>
      <c r="Y13" s="93"/>
    </row>
    <row r="14" spans="1:25" s="96" customFormat="1" ht="22.5">
      <c r="A14" s="90" t="s">
        <v>52</v>
      </c>
      <c r="B14" s="132" t="s">
        <v>587</v>
      </c>
      <c r="C14" s="95" t="s">
        <v>35</v>
      </c>
      <c r="D14" s="93" t="s">
        <v>51</v>
      </c>
      <c r="E14" s="19">
        <f>ROUND(E28/0.07*0.005,2)</f>
        <v>92845.5</v>
      </c>
      <c r="F14" s="19">
        <f t="shared" ref="F14:W14" si="10">ROUND(F28/0.07*0.005,2)</f>
        <v>95254.29</v>
      </c>
      <c r="G14" s="19">
        <f t="shared" si="10"/>
        <v>51504</v>
      </c>
      <c r="H14" s="19">
        <f t="shared" si="10"/>
        <v>75897.429999999993</v>
      </c>
      <c r="I14" s="19">
        <f t="shared" si="10"/>
        <v>7422.86</v>
      </c>
      <c r="J14" s="19">
        <f t="shared" si="10"/>
        <v>92799.43</v>
      </c>
      <c r="K14" s="19">
        <f t="shared" si="10"/>
        <v>78978.86</v>
      </c>
      <c r="L14" s="19">
        <f t="shared" si="10"/>
        <v>48931.71</v>
      </c>
      <c r="M14" s="19">
        <f t="shared" si="10"/>
        <v>96133.71</v>
      </c>
      <c r="N14" s="19">
        <f t="shared" si="10"/>
        <v>59927.14</v>
      </c>
      <c r="O14" s="19">
        <f t="shared" si="10"/>
        <v>56075.14</v>
      </c>
      <c r="P14" s="19">
        <f t="shared" si="10"/>
        <v>58612.29</v>
      </c>
      <c r="Q14" s="19">
        <f>ROUND(Q28/0.07*0.005,2)</f>
        <v>49324.93</v>
      </c>
      <c r="R14" s="19">
        <f t="shared" si="10"/>
        <v>18535.71</v>
      </c>
      <c r="S14" s="19">
        <f t="shared" si="10"/>
        <v>22321.71</v>
      </c>
      <c r="T14" s="19">
        <f>ROUND(T28/0.07*0.005,2)</f>
        <v>19740.86</v>
      </c>
      <c r="U14" s="19">
        <f t="shared" si="10"/>
        <v>33896.86</v>
      </c>
      <c r="V14" s="19">
        <f>ROUND(V28/0.07*0.005,2)</f>
        <v>34827.43</v>
      </c>
      <c r="W14" s="19">
        <f t="shared" si="10"/>
        <v>6564.86</v>
      </c>
      <c r="X14" s="19">
        <f t="shared" si="7"/>
        <v>999594.72</v>
      </c>
      <c r="Y14" s="93"/>
    </row>
    <row r="15" spans="1:25">
      <c r="A15" s="90" t="s">
        <v>53</v>
      </c>
      <c r="B15" s="91" t="s">
        <v>55</v>
      </c>
      <c r="C15" s="91"/>
      <c r="D15" s="92" t="s">
        <v>28</v>
      </c>
      <c r="E15" s="19">
        <v>16260500</v>
      </c>
      <c r="F15" s="19">
        <v>16069200</v>
      </c>
      <c r="G15" s="19">
        <v>11478000</v>
      </c>
      <c r="H15" s="19">
        <v>14156200</v>
      </c>
      <c r="I15" s="19">
        <v>2104300</v>
      </c>
      <c r="J15" s="19">
        <v>18938700</v>
      </c>
      <c r="K15" s="19">
        <v>15495300</v>
      </c>
      <c r="L15" s="19">
        <v>9182400</v>
      </c>
      <c r="M15" s="19">
        <v>17599600</v>
      </c>
      <c r="N15" s="19">
        <v>11669300</v>
      </c>
      <c r="O15" s="19">
        <v>10126800</v>
      </c>
      <c r="P15" s="19">
        <v>10650600</v>
      </c>
      <c r="Q15" s="19">
        <v>9603000</v>
      </c>
      <c r="R15" s="19">
        <v>2968200</v>
      </c>
      <c r="S15" s="19">
        <v>4015800</v>
      </c>
      <c r="T15" s="19">
        <v>4015800</v>
      </c>
      <c r="U15" s="19">
        <v>6634800</v>
      </c>
      <c r="V15" s="19">
        <v>6285600</v>
      </c>
      <c r="W15" s="19">
        <v>1114200</v>
      </c>
      <c r="X15" s="19">
        <f t="shared" si="7"/>
        <v>188368300</v>
      </c>
      <c r="Y15" s="93"/>
    </row>
    <row r="16" spans="1:25" ht="33.7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15837044</v>
      </c>
      <c r="F16" s="99">
        <f t="shared" ref="F16:W16" si="11">F15-F17</f>
        <v>15869748</v>
      </c>
      <c r="G16" s="99">
        <f t="shared" si="11"/>
        <v>11478000</v>
      </c>
      <c r="H16" s="99">
        <f t="shared" si="11"/>
        <v>13958908</v>
      </c>
      <c r="I16" s="99">
        <f t="shared" si="11"/>
        <v>1934828</v>
      </c>
      <c r="J16" s="99">
        <f t="shared" si="11"/>
        <v>18441504</v>
      </c>
      <c r="K16" s="99">
        <f t="shared" si="11"/>
        <v>15282300</v>
      </c>
      <c r="L16" s="99">
        <f t="shared" si="11"/>
        <v>8942628</v>
      </c>
      <c r="M16" s="99">
        <f t="shared" si="11"/>
        <v>17357320</v>
      </c>
      <c r="N16" s="99">
        <f t="shared" si="11"/>
        <v>11471888</v>
      </c>
      <c r="O16" s="99">
        <f t="shared" si="11"/>
        <v>9920182</v>
      </c>
      <c r="P16" s="99">
        <f t="shared" si="11"/>
        <v>10455040</v>
      </c>
      <c r="Q16" s="99">
        <f t="shared" si="11"/>
        <v>9395730</v>
      </c>
      <c r="R16" s="99">
        <f t="shared" si="11"/>
        <v>2791144</v>
      </c>
      <c r="S16" s="99">
        <f t="shared" si="11"/>
        <v>3845464</v>
      </c>
      <c r="T16" s="99">
        <f t="shared" si="11"/>
        <v>3836919</v>
      </c>
      <c r="U16" s="99">
        <f t="shared" si="11"/>
        <v>6454024</v>
      </c>
      <c r="V16" s="99">
        <f t="shared" si="11"/>
        <v>6096856</v>
      </c>
      <c r="W16" s="99">
        <f t="shared" si="11"/>
        <v>1114200</v>
      </c>
      <c r="X16" s="19">
        <f t="shared" si="7"/>
        <v>184483727</v>
      </c>
      <c r="Y16" s="98"/>
    </row>
    <row r="17" spans="1:25" ht="22.5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423456</v>
      </c>
      <c r="F17" s="99">
        <v>199452</v>
      </c>
      <c r="G17" s="99"/>
      <c r="H17" s="99">
        <v>197292</v>
      </c>
      <c r="I17" s="99">
        <v>169472</v>
      </c>
      <c r="J17" s="99">
        <v>497196</v>
      </c>
      <c r="K17" s="99">
        <v>213000</v>
      </c>
      <c r="L17" s="99">
        <v>239772</v>
      </c>
      <c r="M17" s="99">
        <v>242280</v>
      </c>
      <c r="N17" s="99">
        <v>197412</v>
      </c>
      <c r="O17" s="99">
        <v>206618</v>
      </c>
      <c r="P17" s="99">
        <v>195560</v>
      </c>
      <c r="Q17" s="99">
        <v>207270</v>
      </c>
      <c r="R17" s="99">
        <v>177056</v>
      </c>
      <c r="S17" s="99">
        <v>170336</v>
      </c>
      <c r="T17" s="99">
        <v>178881</v>
      </c>
      <c r="U17" s="99">
        <v>180776</v>
      </c>
      <c r="V17" s="99">
        <f>102622+86122</f>
        <v>188744</v>
      </c>
      <c r="W17" s="99"/>
      <c r="X17" s="19">
        <f t="shared" si="7"/>
        <v>3884573</v>
      </c>
      <c r="Y17" s="98"/>
    </row>
    <row r="18" spans="1:25">
      <c r="A18" s="90" t="s">
        <v>59</v>
      </c>
      <c r="B18" s="91" t="s">
        <v>63</v>
      </c>
      <c r="C18" s="91"/>
      <c r="D18" s="98" t="s">
        <v>28</v>
      </c>
      <c r="E18" s="100">
        <f>E19</f>
        <v>1949755.5</v>
      </c>
      <c r="F18" s="100">
        <f t="shared" ref="F18:W18" si="12">F19</f>
        <v>2000340</v>
      </c>
      <c r="G18" s="100">
        <f t="shared" si="12"/>
        <v>1081584</v>
      </c>
      <c r="H18" s="100">
        <f t="shared" si="12"/>
        <v>1593846</v>
      </c>
      <c r="I18" s="100">
        <f t="shared" si="12"/>
        <v>155880</v>
      </c>
      <c r="J18" s="100">
        <f t="shared" si="12"/>
        <v>1948788</v>
      </c>
      <c r="K18" s="100">
        <f t="shared" si="12"/>
        <v>1658556</v>
      </c>
      <c r="L18" s="100">
        <f t="shared" si="12"/>
        <v>1027566</v>
      </c>
      <c r="M18" s="100">
        <f t="shared" si="12"/>
        <v>2018808</v>
      </c>
      <c r="N18" s="100">
        <f t="shared" si="12"/>
        <v>1258470</v>
      </c>
      <c r="O18" s="100">
        <f t="shared" si="12"/>
        <v>1177578</v>
      </c>
      <c r="P18" s="100">
        <f t="shared" si="12"/>
        <v>1230858</v>
      </c>
      <c r="Q18" s="100">
        <f>Q19</f>
        <v>1035823.5</v>
      </c>
      <c r="R18" s="100">
        <f t="shared" si="12"/>
        <v>389250</v>
      </c>
      <c r="S18" s="100">
        <f t="shared" si="12"/>
        <v>468756</v>
      </c>
      <c r="T18" s="100">
        <f>T19</f>
        <v>414558</v>
      </c>
      <c r="U18" s="100">
        <f t="shared" si="12"/>
        <v>711834</v>
      </c>
      <c r="V18" s="100">
        <f>V19</f>
        <v>731376</v>
      </c>
      <c r="W18" s="100">
        <f t="shared" si="12"/>
        <v>137862</v>
      </c>
      <c r="X18" s="19">
        <f t="shared" si="7"/>
        <v>20991489</v>
      </c>
      <c r="Y18" s="98"/>
    </row>
    <row r="19" spans="1:25">
      <c r="A19" s="90" t="s">
        <v>62</v>
      </c>
      <c r="B19" s="91" t="s">
        <v>509</v>
      </c>
      <c r="C19" s="91" t="s">
        <v>66</v>
      </c>
      <c r="D19" s="98" t="s">
        <v>28</v>
      </c>
      <c r="E19" s="100">
        <f>ROUND(E28/0.07*0.105,2)</f>
        <v>1949755.5</v>
      </c>
      <c r="F19" s="100">
        <f t="shared" ref="F19:W19" si="13">ROUND(F28/0.07*0.105,2)</f>
        <v>2000340</v>
      </c>
      <c r="G19" s="100">
        <f t="shared" si="13"/>
        <v>1081584</v>
      </c>
      <c r="H19" s="100">
        <f t="shared" si="13"/>
        <v>1593846</v>
      </c>
      <c r="I19" s="100">
        <f t="shared" si="13"/>
        <v>155880</v>
      </c>
      <c r="J19" s="100">
        <f t="shared" si="13"/>
        <v>1948788</v>
      </c>
      <c r="K19" s="100">
        <f t="shared" si="13"/>
        <v>1658556</v>
      </c>
      <c r="L19" s="100">
        <f t="shared" si="13"/>
        <v>1027566</v>
      </c>
      <c r="M19" s="100">
        <f t="shared" si="13"/>
        <v>2018808</v>
      </c>
      <c r="N19" s="100">
        <f t="shared" si="13"/>
        <v>1258470</v>
      </c>
      <c r="O19" s="100">
        <f t="shared" si="13"/>
        <v>1177578</v>
      </c>
      <c r="P19" s="100">
        <f t="shared" si="13"/>
        <v>1230858</v>
      </c>
      <c r="Q19" s="100">
        <f>ROUND(Q28/0.07*0.105,2)</f>
        <v>1035823.5</v>
      </c>
      <c r="R19" s="100">
        <f t="shared" si="13"/>
        <v>389250</v>
      </c>
      <c r="S19" s="100">
        <f t="shared" si="13"/>
        <v>468756</v>
      </c>
      <c r="T19" s="100">
        <f>ROUND(T28/0.07*0.105,2)</f>
        <v>414558</v>
      </c>
      <c r="U19" s="100">
        <f t="shared" si="13"/>
        <v>711834</v>
      </c>
      <c r="V19" s="100">
        <f>ROUND(V28/0.07*0.105,2)</f>
        <v>731376</v>
      </c>
      <c r="W19" s="100">
        <f t="shared" si="13"/>
        <v>137862</v>
      </c>
      <c r="X19" s="19">
        <f t="shared" si="7"/>
        <v>20991489</v>
      </c>
      <c r="Y19" s="98"/>
    </row>
    <row r="20" spans="1:25" ht="22.5">
      <c r="A20" s="90" t="s">
        <v>64</v>
      </c>
      <c r="B20" s="91" t="s">
        <v>68</v>
      </c>
      <c r="C20" s="91"/>
      <c r="D20" s="98" t="s">
        <v>51</v>
      </c>
      <c r="E20" s="100">
        <f>E21+E22</f>
        <v>742764</v>
      </c>
      <c r="F20" s="100">
        <f t="shared" ref="F20:W20" si="14">F21+F22</f>
        <v>762034.28</v>
      </c>
      <c r="G20" s="100">
        <f t="shared" si="14"/>
        <v>412032</v>
      </c>
      <c r="H20" s="100">
        <f t="shared" si="14"/>
        <v>607179.42000000004</v>
      </c>
      <c r="I20" s="100">
        <f t="shared" si="14"/>
        <v>59382.86</v>
      </c>
      <c r="J20" s="100">
        <f t="shared" si="14"/>
        <v>742395.42</v>
      </c>
      <c r="K20" s="100">
        <f t="shared" si="14"/>
        <v>631830.86</v>
      </c>
      <c r="L20" s="100">
        <f t="shared" si="14"/>
        <v>391453.72</v>
      </c>
      <c r="M20" s="100">
        <f t="shared" si="14"/>
        <v>769069.72</v>
      </c>
      <c r="N20" s="100">
        <f t="shared" si="14"/>
        <v>479417.14</v>
      </c>
      <c r="O20" s="100">
        <f t="shared" si="14"/>
        <v>448601.14</v>
      </c>
      <c r="P20" s="100">
        <f t="shared" si="14"/>
        <v>468898.28</v>
      </c>
      <c r="Q20" s="100">
        <f>Q21+Q22</f>
        <v>394599.42</v>
      </c>
      <c r="R20" s="100">
        <f t="shared" si="14"/>
        <v>148285.72</v>
      </c>
      <c r="S20" s="100">
        <f t="shared" si="14"/>
        <v>178573.72</v>
      </c>
      <c r="T20" s="100">
        <f>T21+T22</f>
        <v>157926.85999999999</v>
      </c>
      <c r="U20" s="100">
        <f t="shared" si="14"/>
        <v>271174.86</v>
      </c>
      <c r="V20" s="100">
        <f>V21+V22</f>
        <v>278619.42</v>
      </c>
      <c r="W20" s="100">
        <f t="shared" si="14"/>
        <v>52518.86</v>
      </c>
      <c r="X20" s="19">
        <f t="shared" si="7"/>
        <v>7996757.6999999993</v>
      </c>
      <c r="Y20" s="98"/>
    </row>
    <row r="21" spans="1:25" ht="22.5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371382</v>
      </c>
      <c r="F21" s="100">
        <f t="shared" ref="F21:W21" si="15">ROUND(F28/0.07*0.02,2)</f>
        <v>381017.14</v>
      </c>
      <c r="G21" s="100">
        <f t="shared" si="15"/>
        <v>206016</v>
      </c>
      <c r="H21" s="100">
        <f t="shared" si="15"/>
        <v>303589.71000000002</v>
      </c>
      <c r="I21" s="100">
        <f t="shared" si="15"/>
        <v>29691.43</v>
      </c>
      <c r="J21" s="100">
        <f t="shared" si="15"/>
        <v>371197.71</v>
      </c>
      <c r="K21" s="100">
        <f t="shared" si="15"/>
        <v>315915.43</v>
      </c>
      <c r="L21" s="100">
        <f t="shared" si="15"/>
        <v>195726.86</v>
      </c>
      <c r="M21" s="100">
        <f t="shared" si="15"/>
        <v>384534.86</v>
      </c>
      <c r="N21" s="100">
        <f t="shared" si="15"/>
        <v>239708.57</v>
      </c>
      <c r="O21" s="100">
        <f t="shared" si="15"/>
        <v>224300.57</v>
      </c>
      <c r="P21" s="100">
        <f t="shared" si="15"/>
        <v>234449.14</v>
      </c>
      <c r="Q21" s="100">
        <f>ROUND(Q28/0.07*0.02,2)</f>
        <v>197299.71</v>
      </c>
      <c r="R21" s="100">
        <f t="shared" si="15"/>
        <v>74142.86</v>
      </c>
      <c r="S21" s="100">
        <f t="shared" si="15"/>
        <v>89286.86</v>
      </c>
      <c r="T21" s="100">
        <f>ROUND(T28/0.07*0.02,2)</f>
        <v>78963.429999999993</v>
      </c>
      <c r="U21" s="100">
        <f t="shared" si="15"/>
        <v>135587.43</v>
      </c>
      <c r="V21" s="100">
        <f>ROUND(V28/0.07*0.02,2)</f>
        <v>139309.71</v>
      </c>
      <c r="W21" s="100">
        <f t="shared" si="15"/>
        <v>26259.43</v>
      </c>
      <c r="X21" s="19">
        <f t="shared" si="7"/>
        <v>3998378.8499999996</v>
      </c>
      <c r="Y21" s="98"/>
    </row>
    <row r="22" spans="1:25" ht="22.5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371382</v>
      </c>
      <c r="F22" s="100">
        <f t="shared" ref="F22:W22" si="16">ROUND(F28/0.07*0.02,2)</f>
        <v>381017.14</v>
      </c>
      <c r="G22" s="100">
        <f t="shared" si="16"/>
        <v>206016</v>
      </c>
      <c r="H22" s="100">
        <f t="shared" si="16"/>
        <v>303589.71000000002</v>
      </c>
      <c r="I22" s="100">
        <f t="shared" si="16"/>
        <v>29691.43</v>
      </c>
      <c r="J22" s="100">
        <f t="shared" si="16"/>
        <v>371197.71</v>
      </c>
      <c r="K22" s="100">
        <f t="shared" si="16"/>
        <v>315915.43</v>
      </c>
      <c r="L22" s="100">
        <f t="shared" si="16"/>
        <v>195726.86</v>
      </c>
      <c r="M22" s="100">
        <f t="shared" si="16"/>
        <v>384534.86</v>
      </c>
      <c r="N22" s="100">
        <f t="shared" si="16"/>
        <v>239708.57</v>
      </c>
      <c r="O22" s="100">
        <f t="shared" si="16"/>
        <v>224300.57</v>
      </c>
      <c r="P22" s="100">
        <f t="shared" si="16"/>
        <v>234449.14</v>
      </c>
      <c r="Q22" s="100">
        <f>ROUND(Q28/0.07*0.02,2)</f>
        <v>197299.71</v>
      </c>
      <c r="R22" s="100">
        <f t="shared" si="16"/>
        <v>74142.86</v>
      </c>
      <c r="S22" s="100">
        <f t="shared" si="16"/>
        <v>89286.86</v>
      </c>
      <c r="T22" s="100">
        <f>ROUND(T28/0.07*0.02,2)</f>
        <v>78963.429999999993</v>
      </c>
      <c r="U22" s="100">
        <f t="shared" si="16"/>
        <v>135587.43</v>
      </c>
      <c r="V22" s="100">
        <f>ROUND(V28/0.07*0.02,2)</f>
        <v>139309.71</v>
      </c>
      <c r="W22" s="100">
        <f t="shared" si="16"/>
        <v>26259.43</v>
      </c>
      <c r="X22" s="19">
        <f t="shared" si="7"/>
        <v>3998378.8499999996</v>
      </c>
      <c r="Y22" s="98"/>
    </row>
    <row r="23" spans="1:25">
      <c r="A23" s="90" t="s">
        <v>72</v>
      </c>
      <c r="B23" s="91" t="s">
        <v>75</v>
      </c>
      <c r="C23" s="91"/>
      <c r="D23" s="92" t="s">
        <v>28</v>
      </c>
      <c r="E23" s="19">
        <f>E24</f>
        <v>2971056</v>
      </c>
      <c r="F23" s="19">
        <f t="shared" ref="F23:W23" si="17">F24</f>
        <v>3048137.14</v>
      </c>
      <c r="G23" s="19">
        <f t="shared" si="17"/>
        <v>1648128</v>
      </c>
      <c r="H23" s="19">
        <f t="shared" si="17"/>
        <v>2428717.71</v>
      </c>
      <c r="I23" s="19">
        <f t="shared" si="17"/>
        <v>237531.43</v>
      </c>
      <c r="J23" s="19">
        <f t="shared" si="17"/>
        <v>2969581.71</v>
      </c>
      <c r="K23" s="19">
        <f t="shared" si="17"/>
        <v>2527323.4300000002</v>
      </c>
      <c r="L23" s="19">
        <f t="shared" si="17"/>
        <v>1565814.86</v>
      </c>
      <c r="M23" s="19">
        <f t="shared" si="17"/>
        <v>3076278.86</v>
      </c>
      <c r="N23" s="19">
        <f t="shared" si="17"/>
        <v>1917668.57</v>
      </c>
      <c r="O23" s="19">
        <f t="shared" si="17"/>
        <v>1794404.57</v>
      </c>
      <c r="P23" s="19">
        <f t="shared" si="17"/>
        <v>1875593.14</v>
      </c>
      <c r="Q23" s="19">
        <f>Q24</f>
        <v>1578397.71</v>
      </c>
      <c r="R23" s="19">
        <f t="shared" si="17"/>
        <v>593142.86</v>
      </c>
      <c r="S23" s="19">
        <f t="shared" si="17"/>
        <v>714294.86</v>
      </c>
      <c r="T23" s="19">
        <f>T24</f>
        <v>631707.43000000005</v>
      </c>
      <c r="U23" s="19">
        <f t="shared" si="17"/>
        <v>1084699.43</v>
      </c>
      <c r="V23" s="19">
        <f>V24</f>
        <v>1114477.71</v>
      </c>
      <c r="W23" s="19">
        <f t="shared" si="17"/>
        <v>210075.43</v>
      </c>
      <c r="X23" s="19">
        <f t="shared" si="7"/>
        <v>31987030.850000001</v>
      </c>
      <c r="Y23" s="93"/>
    </row>
    <row r="24" spans="1:25" s="96" customFormat="1" ht="22.5">
      <c r="A24" s="90" t="s">
        <v>74</v>
      </c>
      <c r="B24" s="95" t="s">
        <v>510</v>
      </c>
      <c r="C24" s="95" t="s">
        <v>78</v>
      </c>
      <c r="D24" s="93" t="s">
        <v>51</v>
      </c>
      <c r="E24" s="19">
        <f>ROUND(E28/0.07*0.16,2)</f>
        <v>2971056</v>
      </c>
      <c r="F24" s="19">
        <f t="shared" ref="F24:W24" si="18">ROUND(F28/0.07*0.16,2)</f>
        <v>3048137.14</v>
      </c>
      <c r="G24" s="19">
        <f t="shared" si="18"/>
        <v>1648128</v>
      </c>
      <c r="H24" s="19">
        <f t="shared" si="18"/>
        <v>2428717.71</v>
      </c>
      <c r="I24" s="19">
        <f t="shared" si="18"/>
        <v>237531.43</v>
      </c>
      <c r="J24" s="19">
        <f t="shared" si="18"/>
        <v>2969581.71</v>
      </c>
      <c r="K24" s="19">
        <f t="shared" si="18"/>
        <v>2527323.4300000002</v>
      </c>
      <c r="L24" s="19">
        <f t="shared" si="18"/>
        <v>1565814.86</v>
      </c>
      <c r="M24" s="19">
        <f t="shared" si="18"/>
        <v>3076278.86</v>
      </c>
      <c r="N24" s="19">
        <f t="shared" si="18"/>
        <v>1917668.57</v>
      </c>
      <c r="O24" s="19">
        <f t="shared" si="18"/>
        <v>1794404.57</v>
      </c>
      <c r="P24" s="19">
        <f t="shared" si="18"/>
        <v>1875593.14</v>
      </c>
      <c r="Q24" s="19">
        <f>ROUND(Q28/0.07*0.16,2)</f>
        <v>1578397.71</v>
      </c>
      <c r="R24" s="19">
        <f t="shared" si="18"/>
        <v>593142.86</v>
      </c>
      <c r="S24" s="19">
        <f t="shared" si="18"/>
        <v>714294.86</v>
      </c>
      <c r="T24" s="19">
        <f>ROUND(T28/0.07*0.16,2)</f>
        <v>631707.43000000005</v>
      </c>
      <c r="U24" s="19">
        <f t="shared" si="18"/>
        <v>1084699.43</v>
      </c>
      <c r="V24" s="19">
        <f>ROUND(V28/0.07*0.16,2)</f>
        <v>1114477.71</v>
      </c>
      <c r="W24" s="19">
        <f t="shared" si="18"/>
        <v>210075.43</v>
      </c>
      <c r="X24" s="19">
        <f t="shared" si="7"/>
        <v>31987030.850000001</v>
      </c>
      <c r="Y24" s="93"/>
    </row>
    <row r="25" spans="1:25">
      <c r="A25" s="90" t="s">
        <v>76</v>
      </c>
      <c r="B25" s="91" t="s">
        <v>80</v>
      </c>
      <c r="C25" s="91"/>
      <c r="D25" s="92" t="s">
        <v>28</v>
      </c>
      <c r="E25" s="19">
        <f>E26</f>
        <v>1485528</v>
      </c>
      <c r="F25" s="19">
        <f t="shared" ref="F25:W25" si="19">F26</f>
        <v>1524068.57</v>
      </c>
      <c r="G25" s="19">
        <f t="shared" si="19"/>
        <v>824064</v>
      </c>
      <c r="H25" s="19">
        <f t="shared" si="19"/>
        <v>1214358.8600000001</v>
      </c>
      <c r="I25" s="19">
        <f t="shared" si="19"/>
        <v>118765.71</v>
      </c>
      <c r="J25" s="19">
        <f t="shared" si="19"/>
        <v>1484790.86</v>
      </c>
      <c r="K25" s="19">
        <f t="shared" si="19"/>
        <v>1263661.71</v>
      </c>
      <c r="L25" s="19">
        <f t="shared" si="19"/>
        <v>782907.43</v>
      </c>
      <c r="M25" s="19">
        <f t="shared" si="19"/>
        <v>1538139.43</v>
      </c>
      <c r="N25" s="19">
        <f t="shared" si="19"/>
        <v>958834.29</v>
      </c>
      <c r="O25" s="19">
        <f t="shared" si="19"/>
        <v>897202.29</v>
      </c>
      <c r="P25" s="19">
        <f t="shared" si="19"/>
        <v>937796.57</v>
      </c>
      <c r="Q25" s="19">
        <f>Q26</f>
        <v>789198.86</v>
      </c>
      <c r="R25" s="19">
        <f t="shared" si="19"/>
        <v>296571.43</v>
      </c>
      <c r="S25" s="19">
        <f t="shared" si="19"/>
        <v>357147.43</v>
      </c>
      <c r="T25" s="19">
        <f>T26</f>
        <v>315853.71000000002</v>
      </c>
      <c r="U25" s="19">
        <f t="shared" si="19"/>
        <v>542349.71</v>
      </c>
      <c r="V25" s="19">
        <f>V26</f>
        <v>557238.86</v>
      </c>
      <c r="W25" s="19">
        <f t="shared" si="19"/>
        <v>105037.71</v>
      </c>
      <c r="X25" s="19">
        <f t="shared" si="7"/>
        <v>15993515.43</v>
      </c>
      <c r="Y25" s="93"/>
    </row>
    <row r="26" spans="1:25" s="96" customFormat="1" ht="22.5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1485528</v>
      </c>
      <c r="F26" s="19">
        <f t="shared" ref="F26:W26" si="20">ROUND(F28/0.07*0.08,2)</f>
        <v>1524068.57</v>
      </c>
      <c r="G26" s="19">
        <f t="shared" si="20"/>
        <v>824064</v>
      </c>
      <c r="H26" s="19">
        <f t="shared" si="20"/>
        <v>1214358.8600000001</v>
      </c>
      <c r="I26" s="19">
        <f t="shared" si="20"/>
        <v>118765.71</v>
      </c>
      <c r="J26" s="19">
        <f t="shared" si="20"/>
        <v>1484790.86</v>
      </c>
      <c r="K26" s="19">
        <f t="shared" si="20"/>
        <v>1263661.71</v>
      </c>
      <c r="L26" s="19">
        <f t="shared" si="20"/>
        <v>782907.43</v>
      </c>
      <c r="M26" s="19">
        <f t="shared" si="20"/>
        <v>1538139.43</v>
      </c>
      <c r="N26" s="19">
        <f t="shared" si="20"/>
        <v>958834.29</v>
      </c>
      <c r="O26" s="19">
        <f t="shared" si="20"/>
        <v>897202.29</v>
      </c>
      <c r="P26" s="19">
        <f t="shared" si="20"/>
        <v>937796.57</v>
      </c>
      <c r="Q26" s="19">
        <f>ROUND(Q28/0.07*0.08,2)</f>
        <v>789198.86</v>
      </c>
      <c r="R26" s="19">
        <f t="shared" si="20"/>
        <v>296571.43</v>
      </c>
      <c r="S26" s="19">
        <f t="shared" si="20"/>
        <v>357147.43</v>
      </c>
      <c r="T26" s="19">
        <f>ROUND(T28/0.07*0.08,2)</f>
        <v>315853.71000000002</v>
      </c>
      <c r="U26" s="19">
        <f t="shared" si="20"/>
        <v>542349.71</v>
      </c>
      <c r="V26" s="19">
        <f>ROUND(V28/0.07*0.08,2)</f>
        <v>557238.86</v>
      </c>
      <c r="W26" s="19">
        <f t="shared" si="20"/>
        <v>105037.71</v>
      </c>
      <c r="X26" s="19">
        <f t="shared" si="7"/>
        <v>15993515.43</v>
      </c>
      <c r="Y26" s="93"/>
    </row>
    <row r="27" spans="1:25" ht="33.75">
      <c r="A27" s="90" t="s">
        <v>81</v>
      </c>
      <c r="B27" s="91" t="s">
        <v>85</v>
      </c>
      <c r="C27" s="97" t="s">
        <v>35</v>
      </c>
      <c r="D27" s="93" t="s">
        <v>511</v>
      </c>
      <c r="E27" s="19">
        <f>6000*E93</f>
        <v>510000</v>
      </c>
      <c r="F27" s="19">
        <f t="shared" ref="F27:X27" si="21">6000*F93</f>
        <v>504000</v>
      </c>
      <c r="G27" s="19">
        <f t="shared" si="21"/>
        <v>360000</v>
      </c>
      <c r="H27" s="19">
        <f t="shared" si="21"/>
        <v>444000</v>
      </c>
      <c r="I27" s="19">
        <f>6000*I93</f>
        <v>66000</v>
      </c>
      <c r="J27" s="19">
        <f>6000*J93</f>
        <v>594000</v>
      </c>
      <c r="K27" s="19">
        <f>6000*K93</f>
        <v>486000</v>
      </c>
      <c r="L27" s="19">
        <f t="shared" si="21"/>
        <v>288000</v>
      </c>
      <c r="M27" s="19">
        <f>6000*M93</f>
        <v>552000</v>
      </c>
      <c r="N27" s="19">
        <f>6000*N93</f>
        <v>366000</v>
      </c>
      <c r="O27" s="19">
        <f t="shared" si="21"/>
        <v>348000</v>
      </c>
      <c r="P27" s="19">
        <f t="shared" si="21"/>
        <v>366000</v>
      </c>
      <c r="Q27" s="19">
        <f>6000*Q93</f>
        <v>330000</v>
      </c>
      <c r="R27" s="19">
        <f t="shared" si="21"/>
        <v>102000</v>
      </c>
      <c r="S27" s="19">
        <f t="shared" si="21"/>
        <v>138000</v>
      </c>
      <c r="T27" s="19">
        <f>6000*T93</f>
        <v>138000</v>
      </c>
      <c r="U27" s="19">
        <f t="shared" si="21"/>
        <v>228000</v>
      </c>
      <c r="V27" s="19">
        <f>6000*V93</f>
        <v>216000</v>
      </c>
      <c r="W27" s="19">
        <f t="shared" si="21"/>
        <v>36000</v>
      </c>
      <c r="X27" s="19">
        <f t="shared" si="21"/>
        <v>6072000</v>
      </c>
      <c r="Y27" s="93"/>
    </row>
    <row r="28" spans="1:25" ht="22.5">
      <c r="A28" s="90" t="s">
        <v>84</v>
      </c>
      <c r="B28" s="91" t="s">
        <v>88</v>
      </c>
      <c r="C28" s="91" t="s">
        <v>88</v>
      </c>
      <c r="D28" s="92" t="s">
        <v>512</v>
      </c>
      <c r="E28" s="99">
        <v>1299837</v>
      </c>
      <c r="F28" s="99">
        <f>111130*12</f>
        <v>1333560</v>
      </c>
      <c r="G28" s="99">
        <f>60088*12</f>
        <v>721056</v>
      </c>
      <c r="H28" s="99">
        <v>1062564</v>
      </c>
      <c r="I28" s="99">
        <v>103920</v>
      </c>
      <c r="J28" s="99">
        <v>1299192</v>
      </c>
      <c r="K28" s="99">
        <v>1105704</v>
      </c>
      <c r="L28" s="99">
        <v>685044</v>
      </c>
      <c r="M28" s="99">
        <v>1345872</v>
      </c>
      <c r="N28" s="99">
        <f>69915*12</f>
        <v>838980</v>
      </c>
      <c r="O28" s="99">
        <v>785052</v>
      </c>
      <c r="P28" s="99">
        <v>820572</v>
      </c>
      <c r="Q28" s="99">
        <v>690549</v>
      </c>
      <c r="R28" s="99">
        <f>21625*12</f>
        <v>259500</v>
      </c>
      <c r="S28" s="99">
        <f>26042*12</f>
        <v>312504</v>
      </c>
      <c r="T28" s="99">
        <v>276372</v>
      </c>
      <c r="U28" s="99">
        <f>39173*8+40293*4</f>
        <v>474556</v>
      </c>
      <c r="V28" s="99">
        <v>487584</v>
      </c>
      <c r="W28" s="99">
        <v>91908</v>
      </c>
      <c r="X28" s="19">
        <f t="shared" ref="X28:X57" si="22">SUM(E28:W28)</f>
        <v>13994326</v>
      </c>
      <c r="Y28" s="98"/>
    </row>
    <row r="29" spans="1:25">
      <c r="A29" s="90" t="s">
        <v>87</v>
      </c>
      <c r="B29" s="91" t="s">
        <v>513</v>
      </c>
      <c r="C29" s="91" t="s">
        <v>514</v>
      </c>
      <c r="D29" s="93" t="s">
        <v>515</v>
      </c>
      <c r="E29" s="99"/>
      <c r="F29" s="99"/>
      <c r="G29" s="99"/>
      <c r="H29" s="99"/>
      <c r="I29" s="99"/>
      <c r="J29" s="99"/>
      <c r="K29" s="99"/>
      <c r="L29" s="99"/>
      <c r="M29" s="99">
        <v>0</v>
      </c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19">
        <f t="shared" si="22"/>
        <v>0</v>
      </c>
      <c r="Y29" s="98"/>
    </row>
    <row r="30" spans="1:25">
      <c r="A30" s="90" t="s">
        <v>90</v>
      </c>
      <c r="B30" s="91" t="s">
        <v>95</v>
      </c>
      <c r="C30" s="91"/>
      <c r="D30" s="92" t="s">
        <v>28</v>
      </c>
      <c r="E30" s="19">
        <f>E31+E39+E42+E44</f>
        <v>7680</v>
      </c>
      <c r="F30" s="19">
        <f t="shared" ref="F30:R30" si="23">F31+F39+F42+F44</f>
        <v>8940</v>
      </c>
      <c r="G30" s="19">
        <f t="shared" si="23"/>
        <v>57600</v>
      </c>
      <c r="H30" s="19">
        <f t="shared" si="23"/>
        <v>6720</v>
      </c>
      <c r="I30" s="19">
        <f t="shared" si="23"/>
        <v>360</v>
      </c>
      <c r="J30" s="19">
        <f t="shared" si="23"/>
        <v>3480</v>
      </c>
      <c r="K30" s="19">
        <f t="shared" si="23"/>
        <v>6720</v>
      </c>
      <c r="L30" s="19">
        <f t="shared" si="23"/>
        <v>2080</v>
      </c>
      <c r="M30" s="19">
        <f t="shared" si="23"/>
        <v>15480</v>
      </c>
      <c r="N30" s="19">
        <f t="shared" si="23"/>
        <v>4320</v>
      </c>
      <c r="O30" s="19">
        <f t="shared" si="23"/>
        <v>8260</v>
      </c>
      <c r="P30" s="19">
        <f t="shared" si="23"/>
        <v>13960</v>
      </c>
      <c r="Q30" s="19">
        <f t="shared" si="23"/>
        <v>8340</v>
      </c>
      <c r="R30" s="19">
        <f t="shared" si="23"/>
        <v>3120</v>
      </c>
      <c r="S30" s="19">
        <f>S31+S39+S42+S44</f>
        <v>5760</v>
      </c>
      <c r="T30" s="19">
        <f t="shared" ref="T30" si="24">T31+T39+T42+T44</f>
        <v>3800</v>
      </c>
      <c r="U30" s="19">
        <f t="shared" ref="U30" si="25">U31+U39+U42+U44</f>
        <v>8040</v>
      </c>
      <c r="V30" s="19">
        <f t="shared" ref="V30" si="26">V31+V39+V42+V44</f>
        <v>8160</v>
      </c>
      <c r="W30" s="19">
        <f t="shared" ref="W30" si="27">W31+W39+W42+W44</f>
        <v>1320</v>
      </c>
      <c r="X30" s="19">
        <f t="shared" si="22"/>
        <v>174140</v>
      </c>
      <c r="Y30" s="93"/>
    </row>
    <row r="31" spans="1:25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 t="shared" ref="F31:W31" si="28">F32+F33+F34+F35+F36+F37+F38</f>
        <v>0</v>
      </c>
      <c r="G31" s="19">
        <f t="shared" si="28"/>
        <v>0</v>
      </c>
      <c r="H31" s="19">
        <f t="shared" si="28"/>
        <v>0</v>
      </c>
      <c r="I31" s="19">
        <f t="shared" si="28"/>
        <v>0</v>
      </c>
      <c r="J31" s="19">
        <f t="shared" si="28"/>
        <v>0</v>
      </c>
      <c r="K31" s="19">
        <f t="shared" si="28"/>
        <v>0</v>
      </c>
      <c r="L31" s="19">
        <f t="shared" si="28"/>
        <v>0</v>
      </c>
      <c r="M31" s="19">
        <f t="shared" si="28"/>
        <v>0</v>
      </c>
      <c r="N31" s="19">
        <f t="shared" si="28"/>
        <v>0</v>
      </c>
      <c r="O31" s="19">
        <f t="shared" si="28"/>
        <v>0</v>
      </c>
      <c r="P31" s="19">
        <f t="shared" si="28"/>
        <v>0</v>
      </c>
      <c r="Q31" s="19">
        <f>Q32+Q33+Q34+Q35+Q36+Q37+Q38</f>
        <v>0</v>
      </c>
      <c r="R31" s="19">
        <f t="shared" si="28"/>
        <v>0</v>
      </c>
      <c r="S31" s="19">
        <f t="shared" si="28"/>
        <v>0</v>
      </c>
      <c r="T31" s="19">
        <f>T32+T33+T34+T35+T36+T37+T38</f>
        <v>0</v>
      </c>
      <c r="U31" s="19">
        <f t="shared" si="28"/>
        <v>0</v>
      </c>
      <c r="V31" s="19">
        <f>V32+V33+V34+V35+V36+V37+V38</f>
        <v>0</v>
      </c>
      <c r="W31" s="19">
        <f t="shared" si="28"/>
        <v>0</v>
      </c>
      <c r="X31" s="19">
        <f t="shared" si="22"/>
        <v>0</v>
      </c>
      <c r="Y31" s="93"/>
    </row>
    <row r="32" spans="1:25" ht="22.5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99"/>
      <c r="P32" s="99"/>
      <c r="Q32" s="99"/>
      <c r="R32" s="99"/>
      <c r="S32" s="99"/>
      <c r="T32" s="99"/>
      <c r="U32" s="99"/>
      <c r="V32" s="99"/>
      <c r="W32" s="99"/>
      <c r="X32" s="19">
        <f t="shared" si="22"/>
        <v>0</v>
      </c>
      <c r="Y32" s="98"/>
    </row>
    <row r="33" spans="1:25" ht="22.5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99"/>
      <c r="P33" s="99"/>
      <c r="Q33" s="99"/>
      <c r="R33" s="99"/>
      <c r="S33" s="99"/>
      <c r="T33" s="99"/>
      <c r="U33" s="99"/>
      <c r="V33" s="99"/>
      <c r="W33" s="99"/>
      <c r="X33" s="19">
        <f t="shared" si="22"/>
        <v>0</v>
      </c>
      <c r="Y33" s="98"/>
    </row>
    <row r="34" spans="1:25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99"/>
      <c r="P34" s="99"/>
      <c r="Q34" s="99"/>
      <c r="R34" s="99"/>
      <c r="S34" s="99"/>
      <c r="T34" s="99"/>
      <c r="U34" s="99"/>
      <c r="V34" s="99"/>
      <c r="W34" s="99"/>
      <c r="X34" s="19">
        <f t="shared" si="22"/>
        <v>0</v>
      </c>
      <c r="Y34" s="98"/>
    </row>
    <row r="35" spans="1:25" ht="22.5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99"/>
      <c r="P35" s="99"/>
      <c r="Q35" s="99"/>
      <c r="R35" s="99"/>
      <c r="S35" s="99"/>
      <c r="T35" s="99"/>
      <c r="U35" s="99"/>
      <c r="V35" s="99"/>
      <c r="W35" s="99"/>
      <c r="X35" s="19">
        <f t="shared" si="22"/>
        <v>0</v>
      </c>
      <c r="Y35" s="98"/>
    </row>
    <row r="36" spans="1:25" ht="22.5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99"/>
      <c r="W36" s="99"/>
      <c r="X36" s="19">
        <f t="shared" si="22"/>
        <v>0</v>
      </c>
      <c r="Y36" s="98"/>
    </row>
    <row r="37" spans="1:25" ht="22.5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99"/>
      <c r="P37" s="99"/>
      <c r="Q37" s="99"/>
      <c r="R37" s="99"/>
      <c r="S37" s="99"/>
      <c r="T37" s="99"/>
      <c r="U37" s="99"/>
      <c r="V37" s="99"/>
      <c r="W37" s="99"/>
      <c r="X37" s="19">
        <f t="shared" si="22"/>
        <v>0</v>
      </c>
      <c r="Y37" s="98"/>
    </row>
    <row r="38" spans="1:25" ht="22.5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99"/>
      <c r="P38" s="99"/>
      <c r="Q38" s="99"/>
      <c r="R38" s="99"/>
      <c r="S38" s="99"/>
      <c r="T38" s="99"/>
      <c r="U38" s="99"/>
      <c r="V38" s="99"/>
      <c r="W38" s="99"/>
      <c r="X38" s="19">
        <f t="shared" si="22"/>
        <v>0</v>
      </c>
      <c r="Y38" s="98"/>
    </row>
    <row r="39" spans="1:25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 t="shared" ref="F39:W39" si="29">F40+F41</f>
        <v>0</v>
      </c>
      <c r="G39" s="19">
        <f t="shared" si="29"/>
        <v>0</v>
      </c>
      <c r="H39" s="19">
        <f t="shared" si="29"/>
        <v>0</v>
      </c>
      <c r="I39" s="19">
        <f t="shared" si="29"/>
        <v>0</v>
      </c>
      <c r="J39" s="19">
        <f t="shared" si="29"/>
        <v>0</v>
      </c>
      <c r="K39" s="19">
        <f t="shared" si="29"/>
        <v>0</v>
      </c>
      <c r="L39" s="19">
        <f t="shared" si="29"/>
        <v>0</v>
      </c>
      <c r="M39" s="19">
        <f t="shared" si="29"/>
        <v>0</v>
      </c>
      <c r="N39" s="19">
        <f t="shared" si="29"/>
        <v>0</v>
      </c>
      <c r="O39" s="19">
        <f t="shared" si="29"/>
        <v>0</v>
      </c>
      <c r="P39" s="19">
        <f t="shared" si="29"/>
        <v>0</v>
      </c>
      <c r="Q39" s="19">
        <f>Q40+Q41</f>
        <v>0</v>
      </c>
      <c r="R39" s="19">
        <f t="shared" si="29"/>
        <v>0</v>
      </c>
      <c r="S39" s="19">
        <f t="shared" si="29"/>
        <v>0</v>
      </c>
      <c r="T39" s="19">
        <f>T40+T41</f>
        <v>0</v>
      </c>
      <c r="U39" s="19">
        <f t="shared" si="29"/>
        <v>0</v>
      </c>
      <c r="V39" s="19">
        <f>V40+V41</f>
        <v>0</v>
      </c>
      <c r="W39" s="19">
        <f t="shared" si="29"/>
        <v>0</v>
      </c>
      <c r="X39" s="19">
        <f t="shared" si="22"/>
        <v>0</v>
      </c>
      <c r="Y39" s="93"/>
    </row>
    <row r="40" spans="1:25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01"/>
      <c r="P40" s="101"/>
      <c r="Q40" s="101"/>
      <c r="R40" s="101"/>
      <c r="S40" s="101"/>
      <c r="T40" s="101"/>
      <c r="U40" s="101"/>
      <c r="V40" s="101"/>
      <c r="W40" s="101"/>
      <c r="X40" s="19">
        <f t="shared" si="22"/>
        <v>0</v>
      </c>
      <c r="Y40" s="93"/>
    </row>
    <row r="41" spans="1:25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1"/>
      <c r="P41" s="101"/>
      <c r="Q41" s="101"/>
      <c r="R41" s="101"/>
      <c r="S41" s="101"/>
      <c r="T41" s="101"/>
      <c r="U41" s="101"/>
      <c r="V41" s="101"/>
      <c r="W41" s="101"/>
      <c r="X41" s="19">
        <f t="shared" si="22"/>
        <v>0</v>
      </c>
      <c r="Y41" s="93"/>
    </row>
    <row r="42" spans="1:25">
      <c r="A42" s="90" t="s">
        <v>118</v>
      </c>
      <c r="B42" s="91" t="s">
        <v>125</v>
      </c>
      <c r="C42" s="91"/>
      <c r="D42" s="92" t="s">
        <v>28</v>
      </c>
      <c r="E42" s="19">
        <f>E43</f>
        <v>2880</v>
      </c>
      <c r="F42" s="19">
        <f t="shared" ref="F42:W42" si="30">F43</f>
        <v>1440</v>
      </c>
      <c r="G42" s="19">
        <f t="shared" si="30"/>
        <v>21600</v>
      </c>
      <c r="H42" s="19">
        <f t="shared" si="30"/>
        <v>720</v>
      </c>
      <c r="I42" s="19">
        <f t="shared" si="30"/>
        <v>360</v>
      </c>
      <c r="J42" s="19">
        <f t="shared" si="30"/>
        <v>1080</v>
      </c>
      <c r="K42" s="19">
        <f t="shared" si="30"/>
        <v>720</v>
      </c>
      <c r="L42" s="19">
        <f t="shared" si="30"/>
        <v>1080</v>
      </c>
      <c r="M42" s="19">
        <f t="shared" si="30"/>
        <v>6480</v>
      </c>
      <c r="N42" s="19">
        <f t="shared" si="30"/>
        <v>720</v>
      </c>
      <c r="O42" s="19">
        <f t="shared" si="30"/>
        <v>5760</v>
      </c>
      <c r="P42" s="19">
        <f t="shared" si="30"/>
        <v>3960</v>
      </c>
      <c r="Q42" s="19">
        <f>Q43</f>
        <v>3990</v>
      </c>
      <c r="R42" s="19">
        <f t="shared" si="30"/>
        <v>720</v>
      </c>
      <c r="S42" s="19">
        <f t="shared" si="30"/>
        <v>2160</v>
      </c>
      <c r="T42" s="19">
        <f>T43</f>
        <v>1800</v>
      </c>
      <c r="U42" s="19">
        <f t="shared" si="30"/>
        <v>1440</v>
      </c>
      <c r="V42" s="19">
        <f>V43</f>
        <v>2160</v>
      </c>
      <c r="W42" s="19">
        <f t="shared" si="30"/>
        <v>720</v>
      </c>
      <c r="X42" s="19">
        <f t="shared" si="22"/>
        <v>59790</v>
      </c>
      <c r="Y42" s="93"/>
    </row>
    <row r="43" spans="1:25" ht="22.5">
      <c r="A43" s="90" t="s">
        <v>120</v>
      </c>
      <c r="B43" s="91" t="s">
        <v>127</v>
      </c>
      <c r="C43" s="91" t="s">
        <v>35</v>
      </c>
      <c r="D43" s="92" t="s">
        <v>36</v>
      </c>
      <c r="E43" s="22">
        <f>240*12</f>
        <v>2880</v>
      </c>
      <c r="F43" s="22">
        <f>120*12</f>
        <v>1440</v>
      </c>
      <c r="G43" s="22">
        <f>30*12*60</f>
        <v>21600</v>
      </c>
      <c r="H43" s="22">
        <v>720</v>
      </c>
      <c r="I43" s="22">
        <v>360</v>
      </c>
      <c r="J43" s="22">
        <v>1080</v>
      </c>
      <c r="K43" s="22">
        <v>720</v>
      </c>
      <c r="L43" s="22">
        <v>1080</v>
      </c>
      <c r="M43" s="22">
        <v>6480</v>
      </c>
      <c r="N43" s="22">
        <v>720</v>
      </c>
      <c r="O43" s="22">
        <v>5760</v>
      </c>
      <c r="P43" s="22">
        <f>330*12</f>
        <v>3960</v>
      </c>
      <c r="Q43" s="22">
        <v>3990</v>
      </c>
      <c r="R43" s="22">
        <v>720</v>
      </c>
      <c r="S43" s="22">
        <f>180*12</f>
        <v>2160</v>
      </c>
      <c r="T43" s="22">
        <v>1800</v>
      </c>
      <c r="U43" s="22">
        <f>120*12</f>
        <v>1440</v>
      </c>
      <c r="V43" s="22">
        <v>2160</v>
      </c>
      <c r="W43" s="22">
        <v>720</v>
      </c>
      <c r="X43" s="19">
        <f t="shared" si="22"/>
        <v>59790</v>
      </c>
      <c r="Y43" s="93"/>
    </row>
    <row r="44" spans="1:25">
      <c r="A44" s="90" t="s">
        <v>122</v>
      </c>
      <c r="B44" s="91" t="s">
        <v>129</v>
      </c>
      <c r="C44" s="91"/>
      <c r="D44" s="92" t="s">
        <v>28</v>
      </c>
      <c r="E44" s="19">
        <f>SUM(E45:E48)</f>
        <v>4800</v>
      </c>
      <c r="F44" s="19">
        <f t="shared" ref="F44:W44" si="31">SUM(F45:F48)</f>
        <v>7500</v>
      </c>
      <c r="G44" s="19">
        <f t="shared" si="31"/>
        <v>36000</v>
      </c>
      <c r="H44" s="19">
        <f t="shared" si="31"/>
        <v>6000</v>
      </c>
      <c r="I44" s="19">
        <f t="shared" si="31"/>
        <v>0</v>
      </c>
      <c r="J44" s="19">
        <f t="shared" si="31"/>
        <v>2400</v>
      </c>
      <c r="K44" s="19">
        <f t="shared" si="31"/>
        <v>6000</v>
      </c>
      <c r="L44" s="19">
        <f t="shared" si="31"/>
        <v>1000</v>
      </c>
      <c r="M44" s="19">
        <f t="shared" si="31"/>
        <v>9000</v>
      </c>
      <c r="N44" s="19">
        <f t="shared" si="31"/>
        <v>3600</v>
      </c>
      <c r="O44" s="19">
        <f t="shared" si="31"/>
        <v>2500</v>
      </c>
      <c r="P44" s="19">
        <f t="shared" si="31"/>
        <v>10000</v>
      </c>
      <c r="Q44" s="19">
        <f>SUM(Q45:Q48)</f>
        <v>4350</v>
      </c>
      <c r="R44" s="19">
        <f t="shared" si="31"/>
        <v>2400</v>
      </c>
      <c r="S44" s="19">
        <f t="shared" si="31"/>
        <v>3600</v>
      </c>
      <c r="T44" s="19">
        <f>SUM(T45:T48)</f>
        <v>2000</v>
      </c>
      <c r="U44" s="19">
        <f t="shared" si="31"/>
        <v>6600</v>
      </c>
      <c r="V44" s="19">
        <f>SUM(V45:V48)</f>
        <v>6000</v>
      </c>
      <c r="W44" s="19">
        <f t="shared" si="31"/>
        <v>600</v>
      </c>
      <c r="X44" s="19">
        <f t="shared" si="22"/>
        <v>114350</v>
      </c>
      <c r="Y44" s="93"/>
    </row>
    <row r="45" spans="1:25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4800</v>
      </c>
      <c r="F45" s="22">
        <v>7500</v>
      </c>
      <c r="G45" s="22">
        <f>50*12*60</f>
        <v>36000</v>
      </c>
      <c r="H45" s="22">
        <v>6000</v>
      </c>
      <c r="I45" s="22"/>
      <c r="J45" s="22">
        <v>2400</v>
      </c>
      <c r="K45" s="22">
        <v>6000</v>
      </c>
      <c r="L45" s="22">
        <v>1000</v>
      </c>
      <c r="M45" s="22">
        <v>9000</v>
      </c>
      <c r="N45" s="22">
        <f>50*6*12</f>
        <v>3600</v>
      </c>
      <c r="O45" s="22">
        <v>2500</v>
      </c>
      <c r="P45" s="22">
        <v>10000</v>
      </c>
      <c r="Q45" s="22">
        <f>3100+5*5*50</f>
        <v>4350</v>
      </c>
      <c r="R45" s="22">
        <v>2400</v>
      </c>
      <c r="S45" s="22">
        <v>3600</v>
      </c>
      <c r="T45" s="22">
        <v>2000</v>
      </c>
      <c r="U45" s="22">
        <f>11*50*12</f>
        <v>6600</v>
      </c>
      <c r="V45" s="22">
        <v>6000</v>
      </c>
      <c r="W45" s="22">
        <v>600</v>
      </c>
      <c r="X45" s="19">
        <f t="shared" si="22"/>
        <v>114350</v>
      </c>
      <c r="Y45" s="93"/>
    </row>
    <row r="46" spans="1:25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01"/>
      <c r="P46" s="101"/>
      <c r="Q46" s="101"/>
      <c r="R46" s="101"/>
      <c r="S46" s="101"/>
      <c r="T46" s="101"/>
      <c r="U46" s="101"/>
      <c r="V46" s="101"/>
      <c r="W46" s="101"/>
      <c r="X46" s="19">
        <f t="shared" si="22"/>
        <v>0</v>
      </c>
      <c r="Y46" s="93"/>
    </row>
    <row r="47" spans="1:25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01"/>
      <c r="P47" s="101"/>
      <c r="Q47" s="101"/>
      <c r="R47" s="101"/>
      <c r="S47" s="101"/>
      <c r="T47" s="101"/>
      <c r="U47" s="101"/>
      <c r="V47" s="101"/>
      <c r="W47" s="101"/>
      <c r="X47" s="19">
        <f t="shared" si="22"/>
        <v>0</v>
      </c>
      <c r="Y47" s="93"/>
    </row>
    <row r="48" spans="1:25" ht="56.2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99"/>
      <c r="P48" s="99"/>
      <c r="Q48" s="99"/>
      <c r="R48" s="99"/>
      <c r="S48" s="99"/>
      <c r="T48" s="99"/>
      <c r="U48" s="99"/>
      <c r="V48" s="99"/>
      <c r="W48" s="99"/>
      <c r="X48" s="19">
        <f t="shared" si="22"/>
        <v>0</v>
      </c>
      <c r="Y48" s="98"/>
    </row>
    <row r="49" spans="1:25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4617529</v>
      </c>
      <c r="F49" s="19">
        <f t="shared" ref="F49:W49" si="32">F50+F68+F70+F72+F74+F76+F78+F80+F82+F90</f>
        <v>4602092.1399999997</v>
      </c>
      <c r="G49" s="19">
        <f t="shared" si="32"/>
        <v>4088435.35</v>
      </c>
      <c r="H49" s="19">
        <f t="shared" si="32"/>
        <v>4237782.21</v>
      </c>
      <c r="I49" s="19">
        <f t="shared" si="32"/>
        <v>2429978.9300000002</v>
      </c>
      <c r="J49" s="19">
        <f t="shared" si="32"/>
        <v>6676858.96</v>
      </c>
      <c r="K49" s="19">
        <f t="shared" si="32"/>
        <v>5060048.2799999993</v>
      </c>
      <c r="L49" s="19">
        <f t="shared" si="32"/>
        <v>3402751.4099999997</v>
      </c>
      <c r="M49" s="19">
        <f t="shared" si="32"/>
        <v>5727826.46</v>
      </c>
      <c r="N49" s="19">
        <f t="shared" si="32"/>
        <v>3922829.7199999997</v>
      </c>
      <c r="O49" s="19">
        <f t="shared" si="32"/>
        <v>2725154.1199999996</v>
      </c>
      <c r="P49" s="19">
        <f t="shared" si="32"/>
        <v>3489735.8400000003</v>
      </c>
      <c r="Q49" s="19">
        <f>Q50+Q68+Q70+Q72+Q74+Q76+Q78+Q80+Q82+Q90</f>
        <v>2695899.51</v>
      </c>
      <c r="R49" s="19">
        <f t="shared" si="32"/>
        <v>1155582.8600000001</v>
      </c>
      <c r="S49" s="19">
        <f t="shared" si="32"/>
        <v>1360095.7100000002</v>
      </c>
      <c r="T49" s="19">
        <f>T50+T68+T70+T72+T74+T76+T78+T80+T82+T90</f>
        <v>2154609.4300000002</v>
      </c>
      <c r="U49" s="19">
        <f t="shared" si="32"/>
        <v>2269256.15</v>
      </c>
      <c r="V49" s="19">
        <f>V50+V68+V70+V72+V74+V76+V78+V80+V82+V90</f>
        <v>2300389.71</v>
      </c>
      <c r="W49" s="19">
        <f t="shared" si="32"/>
        <v>409219.43</v>
      </c>
      <c r="X49" s="19">
        <f t="shared" si="22"/>
        <v>63326075.219999991</v>
      </c>
      <c r="Y49" s="93"/>
    </row>
    <row r="50" spans="1:25">
      <c r="A50" s="90" t="s">
        <v>136</v>
      </c>
      <c r="B50" s="91" t="s">
        <v>144</v>
      </c>
      <c r="C50" s="91"/>
      <c r="D50" s="92" t="s">
        <v>145</v>
      </c>
      <c r="E50" s="19">
        <v>3118850</v>
      </c>
      <c r="F50" s="19">
        <v>3219350</v>
      </c>
      <c r="G50" s="19">
        <v>2721260</v>
      </c>
      <c r="H50" s="19">
        <v>3279650</v>
      </c>
      <c r="I50" s="19">
        <v>2010000</v>
      </c>
      <c r="J50" s="19">
        <v>4818210</v>
      </c>
      <c r="K50" s="19">
        <v>3511740</v>
      </c>
      <c r="L50" s="19">
        <v>2609730</v>
      </c>
      <c r="M50" s="19">
        <v>4423380</v>
      </c>
      <c r="N50" s="19">
        <v>3116910</v>
      </c>
      <c r="O50" s="19">
        <v>1916200</v>
      </c>
      <c r="P50" s="19">
        <v>2605460</v>
      </c>
      <c r="Q50" s="19">
        <v>2016300</v>
      </c>
      <c r="R50" s="19">
        <v>858000</v>
      </c>
      <c r="S50" s="19">
        <v>1023880</v>
      </c>
      <c r="T50" s="19">
        <v>1716000</v>
      </c>
      <c r="U50" s="19">
        <v>1716000</v>
      </c>
      <c r="V50" s="19">
        <v>1716000</v>
      </c>
      <c r="W50" s="19">
        <v>134400</v>
      </c>
      <c r="X50" s="19">
        <f t="shared" si="22"/>
        <v>46531320</v>
      </c>
      <c r="Y50" s="93"/>
    </row>
    <row r="51" spans="1:25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19">
        <f t="shared" si="22"/>
        <v>0</v>
      </c>
      <c r="Y51" s="93"/>
    </row>
    <row r="52" spans="1:25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19">
        <f t="shared" si="22"/>
        <v>0</v>
      </c>
      <c r="Y52" s="93"/>
    </row>
    <row r="53" spans="1:25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19">
        <f t="shared" si="22"/>
        <v>0</v>
      </c>
      <c r="Y53" s="93"/>
    </row>
    <row r="54" spans="1:25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19">
        <f t="shared" si="22"/>
        <v>0</v>
      </c>
      <c r="Y54" s="93"/>
    </row>
    <row r="55" spans="1:25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19">
        <f t="shared" si="22"/>
        <v>0</v>
      </c>
      <c r="Y55" s="93"/>
    </row>
    <row r="56" spans="1:25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19">
        <f t="shared" si="22"/>
        <v>0</v>
      </c>
      <c r="Y56" s="93"/>
    </row>
    <row r="57" spans="1:25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19">
        <f t="shared" si="22"/>
        <v>0</v>
      </c>
      <c r="Y57" s="93"/>
    </row>
    <row r="58" spans="1:25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19">
        <f t="shared" ref="X58:X89" si="33">SUM(E58:W58)</f>
        <v>0</v>
      </c>
      <c r="Y58" s="93"/>
    </row>
    <row r="59" spans="1:25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>
        <v>0</v>
      </c>
      <c r="R59" s="22"/>
      <c r="S59" s="22"/>
      <c r="T59" s="22"/>
      <c r="U59" s="22"/>
      <c r="V59" s="22"/>
      <c r="W59" s="22"/>
      <c r="X59" s="19">
        <f t="shared" si="33"/>
        <v>0</v>
      </c>
      <c r="Y59" s="93"/>
    </row>
    <row r="60" spans="1:25">
      <c r="A60" s="90" t="s">
        <v>158</v>
      </c>
      <c r="B60" s="91" t="s">
        <v>516</v>
      </c>
      <c r="C60" s="91" t="s">
        <v>517</v>
      </c>
      <c r="D60" s="102" t="s">
        <v>518</v>
      </c>
      <c r="E60" s="22">
        <v>155942.5</v>
      </c>
      <c r="F60" s="22">
        <v>160967.5</v>
      </c>
      <c r="G60" s="22">
        <v>136063</v>
      </c>
      <c r="H60" s="22">
        <v>163982.5</v>
      </c>
      <c r="I60" s="22">
        <v>24120</v>
      </c>
      <c r="J60" s="22">
        <v>239626.5</v>
      </c>
      <c r="K60" s="22">
        <v>175587</v>
      </c>
      <c r="L60" s="22">
        <v>130486.5</v>
      </c>
      <c r="M60" s="22">
        <v>221169</v>
      </c>
      <c r="N60" s="22">
        <v>155845.5</v>
      </c>
      <c r="O60" s="22">
        <v>95810</v>
      </c>
      <c r="P60" s="22">
        <v>130273</v>
      </c>
      <c r="Q60" s="22">
        <v>100815</v>
      </c>
      <c r="R60" s="22">
        <v>29315</v>
      </c>
      <c r="S60" s="22">
        <v>51194</v>
      </c>
      <c r="T60" s="22">
        <v>52481</v>
      </c>
      <c r="U60" s="22">
        <v>68354</v>
      </c>
      <c r="V60" s="22">
        <v>78793</v>
      </c>
      <c r="W60" s="22">
        <v>6720</v>
      </c>
      <c r="X60" s="19">
        <f t="shared" si="33"/>
        <v>2177545</v>
      </c>
      <c r="Y60" s="93"/>
    </row>
    <row r="61" spans="1:25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19">
        <f t="shared" si="33"/>
        <v>0</v>
      </c>
      <c r="Y61" s="93"/>
    </row>
    <row r="62" spans="1:25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19">
        <f t="shared" si="33"/>
        <v>0</v>
      </c>
      <c r="Y62" s="93"/>
    </row>
    <row r="63" spans="1:25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19">
        <f t="shared" si="33"/>
        <v>0</v>
      </c>
      <c r="Y63" s="93"/>
    </row>
    <row r="64" spans="1:25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19">
        <f t="shared" si="33"/>
        <v>0</v>
      </c>
      <c r="Y64" s="93"/>
    </row>
    <row r="65" spans="1:25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19">
        <f t="shared" si="33"/>
        <v>0</v>
      </c>
      <c r="Y65" s="93"/>
    </row>
    <row r="66" spans="1:25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19">
        <f t="shared" si="33"/>
        <v>0</v>
      </c>
      <c r="Y66" s="93"/>
    </row>
    <row r="67" spans="1:25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19">
        <f t="shared" si="33"/>
        <v>0</v>
      </c>
      <c r="Y67" s="93"/>
    </row>
    <row r="68" spans="1:25">
      <c r="A68" s="90" t="s">
        <v>176</v>
      </c>
      <c r="B68" s="91" t="s">
        <v>183</v>
      </c>
      <c r="C68" s="91"/>
      <c r="D68" s="92"/>
      <c r="E68" s="19">
        <f>E69</f>
        <v>34000</v>
      </c>
      <c r="F68" s="19">
        <f t="shared" ref="F68:W68" si="34">F69</f>
        <v>33600</v>
      </c>
      <c r="G68" s="19">
        <f t="shared" si="34"/>
        <v>24000</v>
      </c>
      <c r="H68" s="19">
        <f t="shared" si="34"/>
        <v>29600</v>
      </c>
      <c r="I68" s="19">
        <f t="shared" si="34"/>
        <v>4400</v>
      </c>
      <c r="J68" s="19">
        <f t="shared" si="34"/>
        <v>39600</v>
      </c>
      <c r="K68" s="19">
        <f t="shared" si="34"/>
        <v>32400</v>
      </c>
      <c r="L68" s="19">
        <f t="shared" si="34"/>
        <v>19200</v>
      </c>
      <c r="M68" s="19">
        <f t="shared" si="34"/>
        <v>36800</v>
      </c>
      <c r="N68" s="19">
        <f t="shared" si="34"/>
        <v>24400</v>
      </c>
      <c r="O68" s="19">
        <f t="shared" si="34"/>
        <v>23200</v>
      </c>
      <c r="P68" s="19">
        <f t="shared" si="34"/>
        <v>24400</v>
      </c>
      <c r="Q68" s="19">
        <f>Q69</f>
        <v>22000</v>
      </c>
      <c r="R68" s="19">
        <f t="shared" si="34"/>
        <v>6800</v>
      </c>
      <c r="S68" s="19">
        <f t="shared" si="34"/>
        <v>9200</v>
      </c>
      <c r="T68" s="19">
        <f>T69</f>
        <v>9200</v>
      </c>
      <c r="U68" s="19">
        <f t="shared" si="34"/>
        <v>15200</v>
      </c>
      <c r="V68" s="19">
        <f>V69</f>
        <v>14400</v>
      </c>
      <c r="W68" s="19">
        <f t="shared" si="34"/>
        <v>2400</v>
      </c>
      <c r="X68" s="19">
        <f t="shared" si="33"/>
        <v>404800</v>
      </c>
      <c r="Y68" s="93"/>
    </row>
    <row r="69" spans="1:25" s="96" customFormat="1" ht="33.7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34000</v>
      </c>
      <c r="F69" s="19">
        <f t="shared" ref="F69:W69" si="35">F93*400</f>
        <v>33600</v>
      </c>
      <c r="G69" s="19">
        <f t="shared" si="35"/>
        <v>24000</v>
      </c>
      <c r="H69" s="19">
        <f t="shared" si="35"/>
        <v>29600</v>
      </c>
      <c r="I69" s="19">
        <f t="shared" si="35"/>
        <v>4400</v>
      </c>
      <c r="J69" s="19">
        <f t="shared" si="35"/>
        <v>39600</v>
      </c>
      <c r="K69" s="19">
        <f t="shared" si="35"/>
        <v>32400</v>
      </c>
      <c r="L69" s="19">
        <f t="shared" si="35"/>
        <v>19200</v>
      </c>
      <c r="M69" s="19">
        <f t="shared" si="35"/>
        <v>36800</v>
      </c>
      <c r="N69" s="19">
        <f t="shared" si="35"/>
        <v>24400</v>
      </c>
      <c r="O69" s="19">
        <f t="shared" si="35"/>
        <v>23200</v>
      </c>
      <c r="P69" s="19">
        <f t="shared" si="35"/>
        <v>24400</v>
      </c>
      <c r="Q69" s="19">
        <f>Q93*400</f>
        <v>22000</v>
      </c>
      <c r="R69" s="19">
        <f t="shared" si="35"/>
        <v>6800</v>
      </c>
      <c r="S69" s="19">
        <f t="shared" si="35"/>
        <v>9200</v>
      </c>
      <c r="T69" s="19">
        <f>T93*400</f>
        <v>9200</v>
      </c>
      <c r="U69" s="19">
        <f t="shared" si="35"/>
        <v>15200</v>
      </c>
      <c r="V69" s="19">
        <f>V93*400</f>
        <v>14400</v>
      </c>
      <c r="W69" s="19">
        <f t="shared" si="35"/>
        <v>2400</v>
      </c>
      <c r="X69" s="19">
        <f t="shared" si="33"/>
        <v>404800</v>
      </c>
      <c r="Y69" s="93"/>
    </row>
    <row r="70" spans="1:25">
      <c r="A70" s="90" t="s">
        <v>180</v>
      </c>
      <c r="B70" s="91" t="s">
        <v>188</v>
      </c>
      <c r="C70" s="91"/>
      <c r="D70" s="92" t="s">
        <v>28</v>
      </c>
      <c r="E70" s="19">
        <f>E71</f>
        <v>255945</v>
      </c>
      <c r="F70" s="19">
        <f t="shared" ref="F70:W70" si="36">F71</f>
        <v>178845</v>
      </c>
      <c r="G70" s="19">
        <f t="shared" si="36"/>
        <v>715855.35000000009</v>
      </c>
      <c r="H70" s="19">
        <f t="shared" si="36"/>
        <v>191830.5</v>
      </c>
      <c r="I70" s="19">
        <f t="shared" si="36"/>
        <v>237987.90000000002</v>
      </c>
      <c r="J70" s="19">
        <f t="shared" si="36"/>
        <v>353195.25</v>
      </c>
      <c r="K70" s="19">
        <f t="shared" si="36"/>
        <v>247352.84999999998</v>
      </c>
      <c r="L70" s="19">
        <f t="shared" si="36"/>
        <v>249734.55000000002</v>
      </c>
      <c r="M70" s="19">
        <f t="shared" si="36"/>
        <v>328071.59999999998</v>
      </c>
      <c r="N70" s="19">
        <f t="shared" si="36"/>
        <v>178714.35</v>
      </c>
      <c r="O70" s="19">
        <f t="shared" si="36"/>
        <v>114821.55</v>
      </c>
      <c r="P70" s="19">
        <f t="shared" si="36"/>
        <v>181706.7</v>
      </c>
      <c r="Q70" s="19">
        <f>Q71</f>
        <v>156571.80000000002</v>
      </c>
      <c r="R70" s="19">
        <f t="shared" si="36"/>
        <v>91200</v>
      </c>
      <c r="S70" s="19">
        <f t="shared" si="36"/>
        <v>86216.85</v>
      </c>
      <c r="T70" s="19">
        <f>T71</f>
        <v>179094</v>
      </c>
      <c r="U70" s="19">
        <f t="shared" si="36"/>
        <v>169290</v>
      </c>
      <c r="V70" s="19">
        <f>V71</f>
        <v>202800</v>
      </c>
      <c r="W70" s="19">
        <f t="shared" si="36"/>
        <v>84720</v>
      </c>
      <c r="X70" s="19">
        <f t="shared" si="33"/>
        <v>4203953.25</v>
      </c>
      <c r="Y70" s="93"/>
    </row>
    <row r="71" spans="1:25" s="96" customFormat="1" ht="22.5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255945</v>
      </c>
      <c r="F71" s="19">
        <f t="shared" ref="F71:W71" si="37">F105*15</f>
        <v>178845</v>
      </c>
      <c r="G71" s="19">
        <f t="shared" si="37"/>
        <v>715855.35000000009</v>
      </c>
      <c r="H71" s="19">
        <f t="shared" si="37"/>
        <v>191830.5</v>
      </c>
      <c r="I71" s="19">
        <f t="shared" si="37"/>
        <v>237987.90000000002</v>
      </c>
      <c r="J71" s="19">
        <f t="shared" si="37"/>
        <v>353195.25</v>
      </c>
      <c r="K71" s="19">
        <f t="shared" si="37"/>
        <v>247352.84999999998</v>
      </c>
      <c r="L71" s="19">
        <f t="shared" si="37"/>
        <v>249734.55000000002</v>
      </c>
      <c r="M71" s="19">
        <f t="shared" si="37"/>
        <v>328071.59999999998</v>
      </c>
      <c r="N71" s="19">
        <f t="shared" si="37"/>
        <v>178714.35</v>
      </c>
      <c r="O71" s="19">
        <f t="shared" si="37"/>
        <v>114821.55</v>
      </c>
      <c r="P71" s="19">
        <f t="shared" si="37"/>
        <v>181706.7</v>
      </c>
      <c r="Q71" s="19">
        <f>Q105*15</f>
        <v>156571.80000000002</v>
      </c>
      <c r="R71" s="19">
        <f t="shared" si="37"/>
        <v>91200</v>
      </c>
      <c r="S71" s="19">
        <f t="shared" si="37"/>
        <v>86216.85</v>
      </c>
      <c r="T71" s="19">
        <f>T105*15</f>
        <v>179094</v>
      </c>
      <c r="U71" s="19">
        <f t="shared" si="37"/>
        <v>169290</v>
      </c>
      <c r="V71" s="19">
        <f>V105*15</f>
        <v>202800</v>
      </c>
      <c r="W71" s="19">
        <f t="shared" si="37"/>
        <v>84720</v>
      </c>
      <c r="X71" s="19">
        <f t="shared" si="33"/>
        <v>4203953.25</v>
      </c>
      <c r="Y71" s="93"/>
    </row>
    <row r="72" spans="1:25">
      <c r="A72" s="90" t="s">
        <v>184</v>
      </c>
      <c r="B72" s="91" t="s">
        <v>193</v>
      </c>
      <c r="C72" s="91"/>
      <c r="D72" s="92" t="s">
        <v>28</v>
      </c>
      <c r="E72" s="19">
        <f>E73</f>
        <v>126632</v>
      </c>
      <c r="F72" s="19">
        <f t="shared" ref="F72:W72" si="38">F73</f>
        <v>82880</v>
      </c>
      <c r="G72" s="19">
        <f t="shared" si="38"/>
        <v>130104</v>
      </c>
      <c r="H72" s="19">
        <f t="shared" si="38"/>
        <v>81432</v>
      </c>
      <c r="I72" s="19">
        <f t="shared" si="38"/>
        <v>68379.600000000006</v>
      </c>
      <c r="J72" s="19">
        <f t="shared" si="38"/>
        <v>157696</v>
      </c>
      <c r="K72" s="19">
        <f t="shared" si="38"/>
        <v>89280</v>
      </c>
      <c r="L72" s="19">
        <f t="shared" si="38"/>
        <v>89000</v>
      </c>
      <c r="M72" s="19">
        <f t="shared" si="38"/>
        <v>125600</v>
      </c>
      <c r="N72" s="19">
        <f t="shared" si="38"/>
        <v>67576.800000000003</v>
      </c>
      <c r="O72" s="19">
        <f t="shared" si="38"/>
        <v>41072</v>
      </c>
      <c r="P72" s="19">
        <f t="shared" si="38"/>
        <v>34640</v>
      </c>
      <c r="Q72" s="19">
        <f>Q73</f>
        <v>34128</v>
      </c>
      <c r="R72" s="19">
        <f t="shared" si="38"/>
        <v>20000</v>
      </c>
      <c r="S72" s="19">
        <f t="shared" si="38"/>
        <v>20152</v>
      </c>
      <c r="T72" s="19">
        <f>T73</f>
        <v>39992</v>
      </c>
      <c r="U72" s="19">
        <f t="shared" si="38"/>
        <v>37018.720000000001</v>
      </c>
      <c r="V72" s="19">
        <f>V73</f>
        <v>40360</v>
      </c>
      <c r="W72" s="19">
        <f t="shared" si="38"/>
        <v>18560</v>
      </c>
      <c r="X72" s="19">
        <f t="shared" si="33"/>
        <v>1304503.1199999999</v>
      </c>
      <c r="Y72" s="93"/>
    </row>
    <row r="73" spans="1:25" s="96" customFormat="1" ht="22.5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126632</v>
      </c>
      <c r="F73" s="19">
        <f t="shared" ref="F73:W73" si="39">F106*8</f>
        <v>82880</v>
      </c>
      <c r="G73" s="19">
        <f t="shared" si="39"/>
        <v>130104</v>
      </c>
      <c r="H73" s="19">
        <f t="shared" si="39"/>
        <v>81432</v>
      </c>
      <c r="I73" s="19">
        <f t="shared" si="39"/>
        <v>68379.600000000006</v>
      </c>
      <c r="J73" s="19">
        <f t="shared" si="39"/>
        <v>157696</v>
      </c>
      <c r="K73" s="19">
        <f t="shared" si="39"/>
        <v>89280</v>
      </c>
      <c r="L73" s="19">
        <f t="shared" si="39"/>
        <v>89000</v>
      </c>
      <c r="M73" s="19">
        <f t="shared" si="39"/>
        <v>125600</v>
      </c>
      <c r="N73" s="19">
        <f t="shared" si="39"/>
        <v>67576.800000000003</v>
      </c>
      <c r="O73" s="19">
        <f t="shared" si="39"/>
        <v>41072</v>
      </c>
      <c r="P73" s="19">
        <f t="shared" si="39"/>
        <v>34640</v>
      </c>
      <c r="Q73" s="19">
        <f>Q106*8</f>
        <v>34128</v>
      </c>
      <c r="R73" s="19">
        <f t="shared" si="39"/>
        <v>20000</v>
      </c>
      <c r="S73" s="19">
        <f t="shared" si="39"/>
        <v>20152</v>
      </c>
      <c r="T73" s="19">
        <f>T106*8</f>
        <v>39992</v>
      </c>
      <c r="U73" s="19">
        <f t="shared" si="39"/>
        <v>37018.720000000001</v>
      </c>
      <c r="V73" s="19">
        <f>V106*8</f>
        <v>40360</v>
      </c>
      <c r="W73" s="19">
        <f t="shared" si="39"/>
        <v>18560</v>
      </c>
      <c r="X73" s="19">
        <f t="shared" si="33"/>
        <v>1304503.1199999999</v>
      </c>
      <c r="Y73" s="93"/>
    </row>
    <row r="74" spans="1:25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 t="shared" ref="F74:W74" si="40">F75</f>
        <v>0</v>
      </c>
      <c r="G74" s="19">
        <f t="shared" si="40"/>
        <v>0</v>
      </c>
      <c r="H74" s="19">
        <f t="shared" si="40"/>
        <v>0</v>
      </c>
      <c r="I74" s="19">
        <f t="shared" si="40"/>
        <v>0</v>
      </c>
      <c r="J74" s="19">
        <f t="shared" si="40"/>
        <v>0</v>
      </c>
      <c r="K74" s="19">
        <f t="shared" si="40"/>
        <v>0</v>
      </c>
      <c r="L74" s="19">
        <f t="shared" si="40"/>
        <v>0</v>
      </c>
      <c r="M74" s="19">
        <f t="shared" si="40"/>
        <v>0</v>
      </c>
      <c r="N74" s="19">
        <f t="shared" si="40"/>
        <v>0</v>
      </c>
      <c r="O74" s="19">
        <f t="shared" si="40"/>
        <v>0</v>
      </c>
      <c r="P74" s="19">
        <f t="shared" si="40"/>
        <v>0</v>
      </c>
      <c r="Q74" s="19">
        <f>Q75</f>
        <v>0</v>
      </c>
      <c r="R74" s="19">
        <f t="shared" si="40"/>
        <v>0</v>
      </c>
      <c r="S74" s="19">
        <f t="shared" si="40"/>
        <v>0</v>
      </c>
      <c r="T74" s="19">
        <f>T75</f>
        <v>0</v>
      </c>
      <c r="U74" s="19">
        <f t="shared" si="40"/>
        <v>0</v>
      </c>
      <c r="V74" s="19">
        <f>V75</f>
        <v>0</v>
      </c>
      <c r="W74" s="19">
        <f t="shared" si="40"/>
        <v>0</v>
      </c>
      <c r="X74" s="19">
        <f t="shared" si="33"/>
        <v>0</v>
      </c>
      <c r="Y74" s="93"/>
    </row>
    <row r="75" spans="1:25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01"/>
      <c r="P75" s="101"/>
      <c r="Q75" s="101"/>
      <c r="R75" s="101"/>
      <c r="S75" s="101"/>
      <c r="T75" s="101"/>
      <c r="U75" s="101"/>
      <c r="V75" s="101"/>
      <c r="W75" s="101"/>
      <c r="X75" s="19">
        <f t="shared" si="33"/>
        <v>0</v>
      </c>
      <c r="Y75" s="93"/>
    </row>
    <row r="76" spans="1:25">
      <c r="A76" s="90" t="s">
        <v>194</v>
      </c>
      <c r="B76" s="91" t="s">
        <v>202</v>
      </c>
      <c r="C76" s="91"/>
      <c r="D76" s="92" t="s">
        <v>28</v>
      </c>
      <c r="E76" s="19">
        <f>E77</f>
        <v>367200</v>
      </c>
      <c r="F76" s="19">
        <f t="shared" ref="F76:W76" si="41">F77</f>
        <v>362880</v>
      </c>
      <c r="G76" s="19">
        <f t="shared" si="41"/>
        <v>259200</v>
      </c>
      <c r="H76" s="19">
        <f t="shared" si="41"/>
        <v>319680</v>
      </c>
      <c r="I76" s="19">
        <f t="shared" si="41"/>
        <v>47520</v>
      </c>
      <c r="J76" s="19">
        <f t="shared" si="41"/>
        <v>427680</v>
      </c>
      <c r="K76" s="19">
        <f t="shared" si="41"/>
        <v>349920</v>
      </c>
      <c r="L76" s="19">
        <f t="shared" si="41"/>
        <v>207360</v>
      </c>
      <c r="M76" s="19">
        <f t="shared" si="41"/>
        <v>397440</v>
      </c>
      <c r="N76" s="19">
        <f t="shared" si="41"/>
        <v>263520</v>
      </c>
      <c r="O76" s="19">
        <f t="shared" si="41"/>
        <v>250560</v>
      </c>
      <c r="P76" s="19">
        <f t="shared" si="41"/>
        <v>263520</v>
      </c>
      <c r="Q76" s="19">
        <f>Q77</f>
        <v>237600</v>
      </c>
      <c r="R76" s="19">
        <f t="shared" si="41"/>
        <v>73440</v>
      </c>
      <c r="S76" s="19">
        <f t="shared" si="41"/>
        <v>99360</v>
      </c>
      <c r="T76" s="19">
        <f>T77</f>
        <v>99360</v>
      </c>
      <c r="U76" s="19">
        <f t="shared" si="41"/>
        <v>164160</v>
      </c>
      <c r="V76" s="19">
        <f>V77</f>
        <v>155520</v>
      </c>
      <c r="W76" s="19">
        <f t="shared" si="41"/>
        <v>25920</v>
      </c>
      <c r="X76" s="19">
        <f t="shared" si="33"/>
        <v>4371840</v>
      </c>
      <c r="Y76" s="93"/>
    </row>
    <row r="77" spans="1:25" s="96" customFormat="1" ht="33.7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367200</v>
      </c>
      <c r="F77" s="19">
        <f t="shared" ref="F77:W77" si="42">F93*4320</f>
        <v>362880</v>
      </c>
      <c r="G77" s="19">
        <f t="shared" si="42"/>
        <v>259200</v>
      </c>
      <c r="H77" s="19">
        <f t="shared" si="42"/>
        <v>319680</v>
      </c>
      <c r="I77" s="19">
        <f t="shared" si="42"/>
        <v>47520</v>
      </c>
      <c r="J77" s="19">
        <f t="shared" si="42"/>
        <v>427680</v>
      </c>
      <c r="K77" s="19">
        <f t="shared" si="42"/>
        <v>349920</v>
      </c>
      <c r="L77" s="19">
        <f t="shared" si="42"/>
        <v>207360</v>
      </c>
      <c r="M77" s="19">
        <f t="shared" si="42"/>
        <v>397440</v>
      </c>
      <c r="N77" s="19">
        <f t="shared" si="42"/>
        <v>263520</v>
      </c>
      <c r="O77" s="19">
        <f t="shared" si="42"/>
        <v>250560</v>
      </c>
      <c r="P77" s="19">
        <f t="shared" si="42"/>
        <v>263520</v>
      </c>
      <c r="Q77" s="19">
        <f>Q93*4320</f>
        <v>237600</v>
      </c>
      <c r="R77" s="19">
        <f t="shared" si="42"/>
        <v>73440</v>
      </c>
      <c r="S77" s="19">
        <f t="shared" si="42"/>
        <v>99360</v>
      </c>
      <c r="T77" s="19">
        <f>T93*4320</f>
        <v>99360</v>
      </c>
      <c r="U77" s="19">
        <f t="shared" si="42"/>
        <v>164160</v>
      </c>
      <c r="V77" s="19">
        <f>V93*4320</f>
        <v>155520</v>
      </c>
      <c r="W77" s="19">
        <f t="shared" si="42"/>
        <v>25920</v>
      </c>
      <c r="X77" s="19">
        <f t="shared" si="33"/>
        <v>4371840</v>
      </c>
      <c r="Y77" s="93"/>
    </row>
    <row r="78" spans="1:25">
      <c r="A78" s="90" t="s">
        <v>199</v>
      </c>
      <c r="B78" s="91" t="s">
        <v>207</v>
      </c>
      <c r="C78" s="91"/>
      <c r="D78" s="92" t="s">
        <v>28</v>
      </c>
      <c r="E78" s="19">
        <f>E79</f>
        <v>371382</v>
      </c>
      <c r="F78" s="19">
        <f t="shared" ref="F78:W78" si="43">F79</f>
        <v>381017.14</v>
      </c>
      <c r="G78" s="19">
        <f t="shared" si="43"/>
        <v>206016</v>
      </c>
      <c r="H78" s="19">
        <f t="shared" si="43"/>
        <v>303589.71000000002</v>
      </c>
      <c r="I78" s="19">
        <f t="shared" si="43"/>
        <v>29691.43</v>
      </c>
      <c r="J78" s="19">
        <f t="shared" si="43"/>
        <v>371197.71</v>
      </c>
      <c r="K78" s="19">
        <f t="shared" si="43"/>
        <v>315915.43</v>
      </c>
      <c r="L78" s="19">
        <f t="shared" si="43"/>
        <v>195726.86</v>
      </c>
      <c r="M78" s="19">
        <f t="shared" si="43"/>
        <v>384534.86</v>
      </c>
      <c r="N78" s="19">
        <f t="shared" si="43"/>
        <v>239708.57</v>
      </c>
      <c r="O78" s="19">
        <f t="shared" si="43"/>
        <v>224300.57</v>
      </c>
      <c r="P78" s="19">
        <f t="shared" si="43"/>
        <v>234449.14</v>
      </c>
      <c r="Q78" s="19">
        <f>Q79</f>
        <v>197299.71</v>
      </c>
      <c r="R78" s="19">
        <f t="shared" si="43"/>
        <v>74142.86</v>
      </c>
      <c r="S78" s="19">
        <f t="shared" si="43"/>
        <v>89286.86</v>
      </c>
      <c r="T78" s="19">
        <f>T79</f>
        <v>78963.429999999993</v>
      </c>
      <c r="U78" s="19">
        <f t="shared" si="43"/>
        <v>135587.43</v>
      </c>
      <c r="V78" s="19">
        <f>V79</f>
        <v>139309.71</v>
      </c>
      <c r="W78" s="19">
        <f t="shared" si="43"/>
        <v>26259.43</v>
      </c>
      <c r="X78" s="19">
        <f t="shared" si="33"/>
        <v>3998378.8499999996</v>
      </c>
      <c r="Y78" s="93"/>
    </row>
    <row r="79" spans="1:25" s="96" customFormat="1" ht="22.5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371382</v>
      </c>
      <c r="F79" s="19">
        <f t="shared" ref="F79:W79" si="44">ROUND(F28/0.07*0.02,2)</f>
        <v>381017.14</v>
      </c>
      <c r="G79" s="19">
        <f t="shared" si="44"/>
        <v>206016</v>
      </c>
      <c r="H79" s="19">
        <f t="shared" si="44"/>
        <v>303589.71000000002</v>
      </c>
      <c r="I79" s="19">
        <f t="shared" si="44"/>
        <v>29691.43</v>
      </c>
      <c r="J79" s="19">
        <f t="shared" si="44"/>
        <v>371197.71</v>
      </c>
      <c r="K79" s="19">
        <f t="shared" si="44"/>
        <v>315915.43</v>
      </c>
      <c r="L79" s="19">
        <f t="shared" si="44"/>
        <v>195726.86</v>
      </c>
      <c r="M79" s="19">
        <f t="shared" si="44"/>
        <v>384534.86</v>
      </c>
      <c r="N79" s="19">
        <f t="shared" si="44"/>
        <v>239708.57</v>
      </c>
      <c r="O79" s="19">
        <f t="shared" si="44"/>
        <v>224300.57</v>
      </c>
      <c r="P79" s="19">
        <f t="shared" si="44"/>
        <v>234449.14</v>
      </c>
      <c r="Q79" s="19">
        <f>ROUND(Q28/0.07*0.02,2)</f>
        <v>197299.71</v>
      </c>
      <c r="R79" s="19">
        <f t="shared" si="44"/>
        <v>74142.86</v>
      </c>
      <c r="S79" s="19">
        <f t="shared" si="44"/>
        <v>89286.86</v>
      </c>
      <c r="T79" s="19">
        <f>ROUND(T28/0.07*0.02,2)</f>
        <v>78963.429999999993</v>
      </c>
      <c r="U79" s="19">
        <f t="shared" si="44"/>
        <v>135587.43</v>
      </c>
      <c r="V79" s="19">
        <f>ROUND(V28/0.07*0.02,2)</f>
        <v>139309.71</v>
      </c>
      <c r="W79" s="19">
        <f t="shared" si="44"/>
        <v>26259.43</v>
      </c>
      <c r="X79" s="19">
        <f t="shared" si="33"/>
        <v>3998378.8499999996</v>
      </c>
      <c r="Y79" s="93"/>
    </row>
    <row r="80" spans="1:25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 t="shared" ref="F80:W80" si="45">F81</f>
        <v>32000</v>
      </c>
      <c r="G80" s="19">
        <f t="shared" si="45"/>
        <v>0</v>
      </c>
      <c r="H80" s="19">
        <f t="shared" si="45"/>
        <v>0</v>
      </c>
      <c r="I80" s="19">
        <f t="shared" si="45"/>
        <v>0</v>
      </c>
      <c r="J80" s="19">
        <f t="shared" si="45"/>
        <v>32000</v>
      </c>
      <c r="K80" s="19">
        <f t="shared" si="45"/>
        <v>32000</v>
      </c>
      <c r="L80" s="19">
        <f t="shared" si="45"/>
        <v>0</v>
      </c>
      <c r="M80" s="19">
        <f t="shared" si="45"/>
        <v>0</v>
      </c>
      <c r="N80" s="19">
        <f t="shared" si="45"/>
        <v>0</v>
      </c>
      <c r="O80" s="19">
        <f t="shared" si="45"/>
        <v>32000</v>
      </c>
      <c r="P80" s="19">
        <f t="shared" si="45"/>
        <v>32000</v>
      </c>
      <c r="Q80" s="19">
        <f>Q81</f>
        <v>0</v>
      </c>
      <c r="R80" s="19">
        <f t="shared" si="45"/>
        <v>0</v>
      </c>
      <c r="S80" s="19">
        <f t="shared" si="45"/>
        <v>0</v>
      </c>
      <c r="T80" s="19">
        <f>T81</f>
        <v>0</v>
      </c>
      <c r="U80" s="19">
        <f t="shared" si="45"/>
        <v>0</v>
      </c>
      <c r="V80" s="19">
        <f>V81</f>
        <v>0</v>
      </c>
      <c r="W80" s="19">
        <f t="shared" si="45"/>
        <v>32000</v>
      </c>
      <c r="X80" s="19">
        <f t="shared" si="33"/>
        <v>224000</v>
      </c>
      <c r="Y80" s="93"/>
    </row>
    <row r="81" spans="1:26" ht="67.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>
        <v>32000</v>
      </c>
      <c r="K81" s="22">
        <v>32000</v>
      </c>
      <c r="L81" s="22"/>
      <c r="M81" s="22"/>
      <c r="N81" s="22"/>
      <c r="O81" s="22">
        <v>32000</v>
      </c>
      <c r="P81" s="22">
        <v>32000</v>
      </c>
      <c r="Q81" s="22"/>
      <c r="R81" s="22"/>
      <c r="S81" s="22"/>
      <c r="T81" s="22"/>
      <c r="U81" s="22"/>
      <c r="V81" s="22"/>
      <c r="W81" s="22">
        <v>32000</v>
      </c>
      <c r="X81" s="19">
        <f t="shared" si="33"/>
        <v>224000</v>
      </c>
      <c r="Y81" s="93"/>
    </row>
    <row r="82" spans="1:26">
      <c r="A82" s="90" t="s">
        <v>208</v>
      </c>
      <c r="B82" s="91" t="s">
        <v>216</v>
      </c>
      <c r="C82" s="91"/>
      <c r="D82" s="92" t="s">
        <v>28</v>
      </c>
      <c r="E82" s="19">
        <f>E83+E86+E89</f>
        <v>311520</v>
      </c>
      <c r="F82" s="19">
        <f t="shared" ref="F82:W82" si="46">F83+F86+F89</f>
        <v>311520</v>
      </c>
      <c r="G82" s="19">
        <f t="shared" si="46"/>
        <v>0</v>
      </c>
      <c r="H82" s="19">
        <f t="shared" si="46"/>
        <v>0</v>
      </c>
      <c r="I82" s="19">
        <f t="shared" si="46"/>
        <v>0</v>
      </c>
      <c r="J82" s="19">
        <f t="shared" si="46"/>
        <v>467280</v>
      </c>
      <c r="K82" s="19">
        <f t="shared" si="46"/>
        <v>481440</v>
      </c>
      <c r="L82" s="19">
        <f t="shared" si="46"/>
        <v>0</v>
      </c>
      <c r="M82" s="19">
        <f t="shared" si="46"/>
        <v>0</v>
      </c>
      <c r="N82" s="19">
        <f t="shared" si="46"/>
        <v>0</v>
      </c>
      <c r="O82" s="19">
        <f t="shared" si="46"/>
        <v>118000</v>
      </c>
      <c r="P82" s="19">
        <f t="shared" si="46"/>
        <v>108560</v>
      </c>
      <c r="Q82" s="19">
        <f>Q83+Q86+Q89</f>
        <v>0</v>
      </c>
      <c r="R82" s="19">
        <f t="shared" si="46"/>
        <v>0</v>
      </c>
      <c r="S82" s="19">
        <f t="shared" si="46"/>
        <v>0</v>
      </c>
      <c r="T82" s="19">
        <f>T83+T86+T89</f>
        <v>0</v>
      </c>
      <c r="U82" s="19">
        <f t="shared" si="46"/>
        <v>0</v>
      </c>
      <c r="V82" s="19">
        <f>V83+V86+V89</f>
        <v>0</v>
      </c>
      <c r="W82" s="19">
        <f t="shared" si="46"/>
        <v>84960</v>
      </c>
      <c r="X82" s="19">
        <f t="shared" si="33"/>
        <v>1883280</v>
      </c>
      <c r="Y82" s="93"/>
    </row>
    <row r="83" spans="1:2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 t="shared" ref="F83:W83" si="47">F84+F85</f>
        <v>0</v>
      </c>
      <c r="G83" s="19">
        <f t="shared" si="47"/>
        <v>0</v>
      </c>
      <c r="H83" s="19">
        <f t="shared" si="47"/>
        <v>0</v>
      </c>
      <c r="I83" s="19">
        <f t="shared" si="47"/>
        <v>0</v>
      </c>
      <c r="J83" s="19">
        <f t="shared" si="47"/>
        <v>0</v>
      </c>
      <c r="K83" s="19">
        <f t="shared" si="47"/>
        <v>0</v>
      </c>
      <c r="L83" s="19">
        <f t="shared" si="47"/>
        <v>0</v>
      </c>
      <c r="M83" s="19">
        <f t="shared" si="47"/>
        <v>0</v>
      </c>
      <c r="N83" s="19">
        <f t="shared" si="47"/>
        <v>0</v>
      </c>
      <c r="O83" s="19">
        <f t="shared" si="47"/>
        <v>0</v>
      </c>
      <c r="P83" s="19">
        <f t="shared" si="47"/>
        <v>0</v>
      </c>
      <c r="Q83" s="19">
        <f>Q84+Q85</f>
        <v>0</v>
      </c>
      <c r="R83" s="19">
        <f t="shared" si="47"/>
        <v>0</v>
      </c>
      <c r="S83" s="19">
        <f t="shared" si="47"/>
        <v>0</v>
      </c>
      <c r="T83" s="19">
        <f>T84+T85</f>
        <v>0</v>
      </c>
      <c r="U83" s="19">
        <f t="shared" si="47"/>
        <v>0</v>
      </c>
      <c r="V83" s="19">
        <f>V84+V85</f>
        <v>0</v>
      </c>
      <c r="W83" s="19">
        <f t="shared" si="47"/>
        <v>0</v>
      </c>
      <c r="X83" s="19">
        <f t="shared" si="33"/>
        <v>0</v>
      </c>
      <c r="Y83" s="93"/>
    </row>
    <row r="84" spans="1:2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99"/>
      <c r="P84" s="99"/>
      <c r="Q84" s="99"/>
      <c r="R84" s="99"/>
      <c r="S84" s="99"/>
      <c r="T84" s="99"/>
      <c r="U84" s="99"/>
      <c r="V84" s="99"/>
      <c r="W84" s="99"/>
      <c r="X84" s="19">
        <f t="shared" si="33"/>
        <v>0</v>
      </c>
      <c r="Y84" s="98"/>
    </row>
    <row r="85" spans="1:26" ht="22.5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99"/>
      <c r="P85" s="99"/>
      <c r="Q85" s="99"/>
      <c r="R85" s="99"/>
      <c r="S85" s="99"/>
      <c r="T85" s="99"/>
      <c r="U85" s="99"/>
      <c r="V85" s="99"/>
      <c r="W85" s="99"/>
      <c r="X85" s="19">
        <f t="shared" si="33"/>
        <v>0</v>
      </c>
      <c r="Y85" s="98"/>
    </row>
    <row r="86" spans="1:26">
      <c r="A86" s="90" t="s">
        <v>217</v>
      </c>
      <c r="B86" s="91" t="s">
        <v>225</v>
      </c>
      <c r="C86" s="91"/>
      <c r="D86" s="92" t="s">
        <v>28</v>
      </c>
      <c r="E86" s="19">
        <f>E87+E88</f>
        <v>311520</v>
      </c>
      <c r="F86" s="19">
        <f t="shared" ref="F86:W86" si="48">F87+F88</f>
        <v>311520</v>
      </c>
      <c r="G86" s="19">
        <f t="shared" si="48"/>
        <v>0</v>
      </c>
      <c r="H86" s="19">
        <f t="shared" si="48"/>
        <v>0</v>
      </c>
      <c r="I86" s="19">
        <f t="shared" si="48"/>
        <v>0</v>
      </c>
      <c r="J86" s="19">
        <f t="shared" si="48"/>
        <v>467280</v>
      </c>
      <c r="K86" s="19">
        <f t="shared" si="48"/>
        <v>481440</v>
      </c>
      <c r="L86" s="19">
        <f t="shared" si="48"/>
        <v>0</v>
      </c>
      <c r="M86" s="19">
        <f t="shared" si="48"/>
        <v>0</v>
      </c>
      <c r="N86" s="19">
        <f t="shared" si="48"/>
        <v>0</v>
      </c>
      <c r="O86" s="19">
        <f t="shared" si="48"/>
        <v>118000</v>
      </c>
      <c r="P86" s="19">
        <f t="shared" si="48"/>
        <v>108560</v>
      </c>
      <c r="Q86" s="19">
        <f>Q87+Q88</f>
        <v>0</v>
      </c>
      <c r="R86" s="19">
        <f t="shared" si="48"/>
        <v>0</v>
      </c>
      <c r="S86" s="19">
        <f t="shared" si="48"/>
        <v>0</v>
      </c>
      <c r="T86" s="19">
        <f>T87+T88</f>
        <v>0</v>
      </c>
      <c r="U86" s="19">
        <f t="shared" si="48"/>
        <v>0</v>
      </c>
      <c r="V86" s="19">
        <f>V87+V88</f>
        <v>0</v>
      </c>
      <c r="W86" s="19">
        <f t="shared" si="48"/>
        <v>84960</v>
      </c>
      <c r="X86" s="19">
        <f t="shared" si="33"/>
        <v>1883280</v>
      </c>
      <c r="Y86" s="93"/>
    </row>
    <row r="87" spans="1:26" s="96" customFormat="1" ht="33.7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26400</v>
      </c>
      <c r="F87" s="19">
        <f t="shared" ref="F87:W87" si="49">F104*400</f>
        <v>26400</v>
      </c>
      <c r="G87" s="19">
        <f t="shared" si="49"/>
        <v>0</v>
      </c>
      <c r="H87" s="19">
        <f t="shared" si="49"/>
        <v>0</v>
      </c>
      <c r="I87" s="19">
        <f t="shared" si="49"/>
        <v>0</v>
      </c>
      <c r="J87" s="19">
        <f t="shared" si="49"/>
        <v>39600</v>
      </c>
      <c r="K87" s="19">
        <f t="shared" si="49"/>
        <v>40800</v>
      </c>
      <c r="L87" s="19">
        <f t="shared" si="49"/>
        <v>0</v>
      </c>
      <c r="M87" s="19">
        <f t="shared" si="49"/>
        <v>0</v>
      </c>
      <c r="N87" s="19">
        <f t="shared" si="49"/>
        <v>0</v>
      </c>
      <c r="O87" s="19">
        <f t="shared" si="49"/>
        <v>10000</v>
      </c>
      <c r="P87" s="19">
        <f t="shared" si="49"/>
        <v>9200</v>
      </c>
      <c r="Q87" s="19">
        <f>Q104*400</f>
        <v>0</v>
      </c>
      <c r="R87" s="19">
        <f t="shared" si="49"/>
        <v>0</v>
      </c>
      <c r="S87" s="19">
        <f t="shared" si="49"/>
        <v>0</v>
      </c>
      <c r="T87" s="19">
        <f>T104*400</f>
        <v>0</v>
      </c>
      <c r="U87" s="19">
        <f t="shared" si="49"/>
        <v>0</v>
      </c>
      <c r="V87" s="19">
        <f>V104*400</f>
        <v>0</v>
      </c>
      <c r="W87" s="19">
        <f t="shared" si="49"/>
        <v>7200</v>
      </c>
      <c r="X87" s="19">
        <f t="shared" si="33"/>
        <v>159600</v>
      </c>
      <c r="Y87" s="93"/>
    </row>
    <row r="88" spans="1:26" s="96" customFormat="1" ht="33.7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285120</v>
      </c>
      <c r="F88" s="19">
        <f t="shared" ref="F88:W88" si="50">F104*4320</f>
        <v>285120</v>
      </c>
      <c r="G88" s="19">
        <f t="shared" si="50"/>
        <v>0</v>
      </c>
      <c r="H88" s="19">
        <f t="shared" si="50"/>
        <v>0</v>
      </c>
      <c r="I88" s="19">
        <f t="shared" si="50"/>
        <v>0</v>
      </c>
      <c r="J88" s="19">
        <f t="shared" si="50"/>
        <v>427680</v>
      </c>
      <c r="K88" s="19">
        <f t="shared" si="50"/>
        <v>440640</v>
      </c>
      <c r="L88" s="19">
        <f t="shared" si="50"/>
        <v>0</v>
      </c>
      <c r="M88" s="19">
        <f t="shared" si="50"/>
        <v>0</v>
      </c>
      <c r="N88" s="19">
        <f t="shared" si="50"/>
        <v>0</v>
      </c>
      <c r="O88" s="19">
        <f t="shared" si="50"/>
        <v>108000</v>
      </c>
      <c r="P88" s="19">
        <f t="shared" si="50"/>
        <v>99360</v>
      </c>
      <c r="Q88" s="19">
        <f>Q104*4320</f>
        <v>0</v>
      </c>
      <c r="R88" s="19">
        <f t="shared" si="50"/>
        <v>0</v>
      </c>
      <c r="S88" s="19">
        <f t="shared" si="50"/>
        <v>0</v>
      </c>
      <c r="T88" s="19">
        <f>T104*4320</f>
        <v>0</v>
      </c>
      <c r="U88" s="19">
        <f t="shared" si="50"/>
        <v>0</v>
      </c>
      <c r="V88" s="19">
        <f>V104*4320</f>
        <v>0</v>
      </c>
      <c r="W88" s="19">
        <f t="shared" si="50"/>
        <v>77760</v>
      </c>
      <c r="X88" s="19">
        <f t="shared" si="33"/>
        <v>1723680</v>
      </c>
      <c r="Y88" s="93"/>
    </row>
    <row r="89" spans="1:2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04"/>
      <c r="P89" s="104"/>
      <c r="Q89" s="104"/>
      <c r="R89" s="104"/>
      <c r="S89" s="104"/>
      <c r="T89" s="104"/>
      <c r="U89" s="104"/>
      <c r="V89" s="104"/>
      <c r="W89" s="104"/>
      <c r="X89" s="19">
        <f t="shared" si="33"/>
        <v>0</v>
      </c>
      <c r="Y89" s="98"/>
    </row>
    <row r="90" spans="1:2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 t="shared" ref="F90:W90" si="51">F91</f>
        <v>0</v>
      </c>
      <c r="G90" s="19">
        <f t="shared" si="51"/>
        <v>32000</v>
      </c>
      <c r="H90" s="19">
        <f t="shared" si="51"/>
        <v>32000</v>
      </c>
      <c r="I90" s="19">
        <f t="shared" si="51"/>
        <v>32000</v>
      </c>
      <c r="J90" s="19">
        <f t="shared" si="51"/>
        <v>10000</v>
      </c>
      <c r="K90" s="19">
        <f t="shared" si="51"/>
        <v>0</v>
      </c>
      <c r="L90" s="19">
        <f t="shared" si="51"/>
        <v>32000</v>
      </c>
      <c r="M90" s="19">
        <f t="shared" si="51"/>
        <v>32000</v>
      </c>
      <c r="N90" s="19">
        <f t="shared" si="51"/>
        <v>32000</v>
      </c>
      <c r="O90" s="19">
        <f t="shared" si="51"/>
        <v>5000</v>
      </c>
      <c r="P90" s="19">
        <f t="shared" si="51"/>
        <v>5000</v>
      </c>
      <c r="Q90" s="19">
        <f>Q91</f>
        <v>32000</v>
      </c>
      <c r="R90" s="19">
        <f t="shared" si="51"/>
        <v>32000</v>
      </c>
      <c r="S90" s="19">
        <f t="shared" si="51"/>
        <v>32000</v>
      </c>
      <c r="T90" s="19">
        <f>T91</f>
        <v>32000</v>
      </c>
      <c r="U90" s="19">
        <f t="shared" si="51"/>
        <v>32000</v>
      </c>
      <c r="V90" s="19">
        <f>V91</f>
        <v>32000</v>
      </c>
      <c r="W90" s="19">
        <f t="shared" si="51"/>
        <v>0</v>
      </c>
      <c r="X90" s="19">
        <f t="shared" ref="X90:X106" si="52">SUM(E90:W90)</f>
        <v>404000</v>
      </c>
      <c r="Y90" s="93"/>
    </row>
    <row r="91" spans="1:26" ht="124.5" thickBot="1">
      <c r="A91" s="90" t="s">
        <v>229</v>
      </c>
      <c r="B91" s="105" t="s">
        <v>237</v>
      </c>
      <c r="C91" s="91" t="s">
        <v>35</v>
      </c>
      <c r="D91" s="106" t="s">
        <v>519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10000</v>
      </c>
      <c r="K91" s="107"/>
      <c r="L91" s="107">
        <v>32000</v>
      </c>
      <c r="M91" s="107">
        <v>32000</v>
      </c>
      <c r="N91" s="107">
        <v>32000</v>
      </c>
      <c r="O91" s="107">
        <v>5000</v>
      </c>
      <c r="P91" s="107">
        <v>5000</v>
      </c>
      <c r="Q91" s="107">
        <v>32000</v>
      </c>
      <c r="R91" s="107">
        <v>32000</v>
      </c>
      <c r="S91" s="107">
        <v>32000</v>
      </c>
      <c r="T91" s="107">
        <v>32000</v>
      </c>
      <c r="U91" s="107">
        <v>32000</v>
      </c>
      <c r="V91" s="107">
        <v>32000</v>
      </c>
      <c r="W91" s="107"/>
      <c r="X91" s="19">
        <f t="shared" si="52"/>
        <v>404000</v>
      </c>
      <c r="Y91" s="108"/>
    </row>
    <row r="92" spans="1:2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11"/>
      <c r="P92" s="111"/>
      <c r="Q92" s="111"/>
      <c r="R92" s="111"/>
      <c r="S92" s="111"/>
      <c r="T92" s="111"/>
      <c r="U92" s="111"/>
      <c r="V92" s="111"/>
      <c r="W92" s="111"/>
      <c r="X92" s="19">
        <f t="shared" si="52"/>
        <v>0</v>
      </c>
      <c r="Y92" s="112"/>
    </row>
    <row r="93" spans="1:26" ht="33.75">
      <c r="A93" s="90" t="s">
        <v>234</v>
      </c>
      <c r="B93" s="91" t="s">
        <v>242</v>
      </c>
      <c r="C93" s="91"/>
      <c r="D93" s="92" t="s">
        <v>520</v>
      </c>
      <c r="E93" s="19">
        <f t="shared" ref="E93:W93" si="53">E94+E95+E96+E97</f>
        <v>85</v>
      </c>
      <c r="F93" s="19">
        <f t="shared" si="53"/>
        <v>84</v>
      </c>
      <c r="G93" s="19">
        <f t="shared" si="53"/>
        <v>60</v>
      </c>
      <c r="H93" s="19">
        <f t="shared" si="53"/>
        <v>74</v>
      </c>
      <c r="I93" s="19">
        <f>I94+I95+I96+I97</f>
        <v>11</v>
      </c>
      <c r="J93" s="19">
        <f t="shared" si="53"/>
        <v>99</v>
      </c>
      <c r="K93" s="19">
        <f t="shared" si="53"/>
        <v>81</v>
      </c>
      <c r="L93" s="19">
        <f t="shared" si="53"/>
        <v>48</v>
      </c>
      <c r="M93" s="19">
        <f>M94+M95+M96+M97</f>
        <v>92</v>
      </c>
      <c r="N93" s="19">
        <f t="shared" si="53"/>
        <v>61</v>
      </c>
      <c r="O93" s="19">
        <f t="shared" si="53"/>
        <v>58</v>
      </c>
      <c r="P93" s="19">
        <f t="shared" si="53"/>
        <v>61</v>
      </c>
      <c r="Q93" s="19">
        <f t="shared" si="53"/>
        <v>55</v>
      </c>
      <c r="R93" s="19">
        <f t="shared" si="53"/>
        <v>17</v>
      </c>
      <c r="S93" s="19">
        <f t="shared" si="53"/>
        <v>23</v>
      </c>
      <c r="T93" s="19">
        <f t="shared" si="53"/>
        <v>23</v>
      </c>
      <c r="U93" s="19">
        <f t="shared" si="53"/>
        <v>38</v>
      </c>
      <c r="V93" s="19">
        <f t="shared" si="53"/>
        <v>36</v>
      </c>
      <c r="W93" s="19">
        <f t="shared" si="53"/>
        <v>6</v>
      </c>
      <c r="X93" s="19">
        <f t="shared" si="52"/>
        <v>1012</v>
      </c>
      <c r="Y93" s="93"/>
      <c r="Z93" s="86">
        <v>1012</v>
      </c>
    </row>
    <row r="94" spans="1:26">
      <c r="A94" s="90" t="s">
        <v>236</v>
      </c>
      <c r="B94" s="113" t="s">
        <v>245</v>
      </c>
      <c r="C94" s="113"/>
      <c r="D94" s="98"/>
      <c r="E94" s="99">
        <v>85</v>
      </c>
      <c r="F94" s="99">
        <v>84</v>
      </c>
      <c r="G94" s="99">
        <v>31</v>
      </c>
      <c r="H94" s="99">
        <v>74</v>
      </c>
      <c r="I94" s="99">
        <v>11</v>
      </c>
      <c r="J94" s="99"/>
      <c r="K94" s="99"/>
      <c r="L94" s="99"/>
      <c r="M94" s="99"/>
      <c r="N94" s="99"/>
      <c r="O94" s="99"/>
      <c r="P94" s="99"/>
      <c r="Q94" s="99"/>
      <c r="R94" s="99"/>
      <c r="S94" s="99"/>
      <c r="T94" s="99"/>
      <c r="U94" s="99"/>
      <c r="V94" s="99"/>
      <c r="W94" s="99"/>
      <c r="X94" s="19">
        <f t="shared" si="52"/>
        <v>285</v>
      </c>
      <c r="Y94" s="93"/>
      <c r="Z94" s="86">
        <v>285</v>
      </c>
    </row>
    <row r="95" spans="1:26">
      <c r="A95" s="90" t="s">
        <v>239</v>
      </c>
      <c r="B95" s="113" t="s">
        <v>247</v>
      </c>
      <c r="C95" s="113"/>
      <c r="D95" s="92"/>
      <c r="E95" s="22"/>
      <c r="F95" s="22"/>
      <c r="G95" s="22">
        <v>29</v>
      </c>
      <c r="H95" s="22"/>
      <c r="I95" s="22"/>
      <c r="J95" s="22">
        <v>99</v>
      </c>
      <c r="K95" s="22">
        <v>81</v>
      </c>
      <c r="L95" s="22">
        <v>48</v>
      </c>
      <c r="M95" s="22">
        <v>92</v>
      </c>
      <c r="N95" s="22">
        <v>61</v>
      </c>
      <c r="O95" s="22"/>
      <c r="P95" s="22"/>
      <c r="Q95" s="22"/>
      <c r="R95" s="22"/>
      <c r="S95" s="22"/>
      <c r="T95" s="22"/>
      <c r="U95" s="22"/>
      <c r="V95" s="22"/>
      <c r="W95" s="22"/>
      <c r="X95" s="19">
        <f t="shared" si="52"/>
        <v>410</v>
      </c>
      <c r="Y95" s="93"/>
      <c r="Z95" s="86">
        <v>410</v>
      </c>
    </row>
    <row r="96" spans="1:2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/>
      <c r="K96" s="99"/>
      <c r="L96" s="99"/>
      <c r="M96" s="99"/>
      <c r="N96" s="99"/>
      <c r="O96" s="99">
        <v>58</v>
      </c>
      <c r="P96" s="99">
        <v>61</v>
      </c>
      <c r="Q96" s="99">
        <v>55</v>
      </c>
      <c r="R96" s="99">
        <v>17</v>
      </c>
      <c r="S96" s="99">
        <v>23</v>
      </c>
      <c r="T96" s="99">
        <v>23</v>
      </c>
      <c r="U96" s="99">
        <v>38</v>
      </c>
      <c r="V96" s="99">
        <v>36</v>
      </c>
      <c r="W96" s="99"/>
      <c r="X96" s="19">
        <f t="shared" si="52"/>
        <v>311</v>
      </c>
      <c r="Y96" s="93"/>
      <c r="Z96" s="86">
        <v>311</v>
      </c>
    </row>
    <row r="97" spans="1:2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/>
      <c r="O97" s="99"/>
      <c r="P97" s="99"/>
      <c r="Q97" s="99"/>
      <c r="R97" s="99"/>
      <c r="S97" s="99"/>
      <c r="T97" s="99"/>
      <c r="U97" s="99"/>
      <c r="V97" s="99"/>
      <c r="W97" s="99">
        <v>6</v>
      </c>
      <c r="X97" s="19">
        <f t="shared" si="52"/>
        <v>6</v>
      </c>
      <c r="Y97" s="93"/>
      <c r="Z97" s="86">
        <v>6</v>
      </c>
    </row>
    <row r="98" spans="1:26" ht="45">
      <c r="A98" s="90" t="s">
        <v>246</v>
      </c>
      <c r="B98" s="91" t="s">
        <v>253</v>
      </c>
      <c r="C98" s="91"/>
      <c r="D98" s="92" t="s">
        <v>521</v>
      </c>
      <c r="E98" s="19">
        <f>E99+E100+E101+E102</f>
        <v>931</v>
      </c>
      <c r="F98" s="19">
        <f t="shared" ref="F98:W98" si="54">F99+F100+F101+F102</f>
        <v>961</v>
      </c>
      <c r="G98" s="19">
        <f t="shared" si="54"/>
        <v>832</v>
      </c>
      <c r="H98" s="19">
        <f t="shared" si="54"/>
        <v>979</v>
      </c>
      <c r="I98" s="19">
        <f t="shared" si="54"/>
        <v>144</v>
      </c>
      <c r="J98" s="19">
        <f t="shared" si="54"/>
        <v>1493</v>
      </c>
      <c r="K98" s="19">
        <f t="shared" si="54"/>
        <v>1094</v>
      </c>
      <c r="L98" s="19">
        <f t="shared" si="54"/>
        <v>813</v>
      </c>
      <c r="M98" s="19">
        <f t="shared" si="54"/>
        <v>1378</v>
      </c>
      <c r="N98" s="19">
        <f t="shared" si="54"/>
        <v>971</v>
      </c>
      <c r="O98" s="19">
        <f t="shared" si="54"/>
        <v>670</v>
      </c>
      <c r="P98" s="19">
        <f t="shared" si="54"/>
        <v>911</v>
      </c>
      <c r="Q98" s="19">
        <f>Q99+Q100+Q101+Q102</f>
        <v>705</v>
      </c>
      <c r="R98" s="19">
        <f t="shared" si="54"/>
        <v>205</v>
      </c>
      <c r="S98" s="19">
        <f t="shared" si="54"/>
        <v>358</v>
      </c>
      <c r="T98" s="19">
        <f>T99+T100+T101+T102</f>
        <v>367</v>
      </c>
      <c r="U98" s="19">
        <f t="shared" si="54"/>
        <v>478</v>
      </c>
      <c r="V98" s="19">
        <f>V99+V100+V101+V102</f>
        <v>551</v>
      </c>
      <c r="W98" s="19">
        <f t="shared" si="54"/>
        <v>0</v>
      </c>
      <c r="X98" s="19">
        <f t="shared" si="52"/>
        <v>13841</v>
      </c>
      <c r="Y98" s="93"/>
    </row>
    <row r="99" spans="1:26">
      <c r="A99" s="90" t="s">
        <v>248</v>
      </c>
      <c r="B99" s="113" t="s">
        <v>245</v>
      </c>
      <c r="C99" s="113"/>
      <c r="D99" s="98"/>
      <c r="E99" s="99">
        <v>931</v>
      </c>
      <c r="F99" s="99">
        <v>961</v>
      </c>
      <c r="G99" s="99">
        <v>361</v>
      </c>
      <c r="H99" s="99">
        <v>979</v>
      </c>
      <c r="I99" s="99">
        <v>144</v>
      </c>
      <c r="J99" s="99"/>
      <c r="K99" s="99"/>
      <c r="L99" s="99"/>
      <c r="M99" s="99"/>
      <c r="N99" s="99"/>
      <c r="O99" s="99"/>
      <c r="P99" s="99"/>
      <c r="Q99" s="99"/>
      <c r="R99" s="99"/>
      <c r="S99" s="99"/>
      <c r="T99" s="99"/>
      <c r="U99" s="99"/>
      <c r="V99" s="99"/>
      <c r="W99" s="99"/>
      <c r="X99" s="19">
        <f t="shared" si="52"/>
        <v>3376</v>
      </c>
      <c r="Y99" s="93"/>
    </row>
    <row r="100" spans="1:26">
      <c r="A100" s="90" t="s">
        <v>250</v>
      </c>
      <c r="B100" s="113" t="s">
        <v>247</v>
      </c>
      <c r="C100" s="113"/>
      <c r="D100" s="92"/>
      <c r="E100" s="22"/>
      <c r="F100" s="22"/>
      <c r="G100" s="22">
        <v>471</v>
      </c>
      <c r="H100" s="22"/>
      <c r="I100" s="22"/>
      <c r="J100" s="22">
        <v>1493</v>
      </c>
      <c r="K100" s="22">
        <v>1094</v>
      </c>
      <c r="L100" s="22">
        <v>813</v>
      </c>
      <c r="M100" s="22">
        <v>1378</v>
      </c>
      <c r="N100" s="22">
        <v>971</v>
      </c>
      <c r="O100" s="22"/>
      <c r="P100" s="22"/>
      <c r="Q100" s="22"/>
      <c r="R100" s="22"/>
      <c r="S100" s="22"/>
      <c r="T100" s="22"/>
      <c r="U100" s="22"/>
      <c r="V100" s="22"/>
      <c r="W100" s="22"/>
      <c r="X100" s="19">
        <f t="shared" si="52"/>
        <v>6220</v>
      </c>
      <c r="Y100" s="93"/>
    </row>
    <row r="101" spans="1:2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/>
      <c r="K101" s="99"/>
      <c r="L101" s="99"/>
      <c r="M101" s="99"/>
      <c r="N101" s="99"/>
      <c r="O101" s="99">
        <v>670</v>
      </c>
      <c r="P101" s="99">
        <v>911</v>
      </c>
      <c r="Q101" s="99">
        <v>705</v>
      </c>
      <c r="R101" s="99">
        <v>205</v>
      </c>
      <c r="S101" s="99">
        <v>358</v>
      </c>
      <c r="T101" s="99">
        <v>367</v>
      </c>
      <c r="U101" s="99">
        <v>478</v>
      </c>
      <c r="V101" s="99">
        <v>551</v>
      </c>
      <c r="W101" s="99"/>
      <c r="X101" s="19">
        <f t="shared" si="52"/>
        <v>4245</v>
      </c>
      <c r="Y101" s="93"/>
    </row>
    <row r="102" spans="1:2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99"/>
      <c r="P102" s="99"/>
      <c r="Q102" s="99"/>
      <c r="R102" s="99"/>
      <c r="S102" s="99"/>
      <c r="T102" s="99"/>
      <c r="U102" s="99"/>
      <c r="V102" s="99"/>
      <c r="W102" s="99"/>
      <c r="X102" s="19">
        <f t="shared" si="52"/>
        <v>0</v>
      </c>
      <c r="Y102" s="93"/>
    </row>
    <row r="103" spans="1:2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14"/>
      <c r="P103" s="114"/>
      <c r="Q103" s="114"/>
      <c r="R103" s="114"/>
      <c r="S103" s="114"/>
      <c r="T103" s="114"/>
      <c r="U103" s="114"/>
      <c r="V103" s="114"/>
      <c r="W103" s="114"/>
      <c r="X103" s="19">
        <f t="shared" si="52"/>
        <v>0</v>
      </c>
      <c r="Y103" s="93"/>
    </row>
    <row r="104" spans="1:26">
      <c r="A104" s="90" t="s">
        <v>257</v>
      </c>
      <c r="B104" s="91" t="s">
        <v>261</v>
      </c>
      <c r="C104" s="91"/>
      <c r="D104" s="92"/>
      <c r="E104" s="22">
        <v>66</v>
      </c>
      <c r="F104" s="22">
        <v>66</v>
      </c>
      <c r="G104" s="22"/>
      <c r="H104" s="22"/>
      <c r="I104" s="22"/>
      <c r="J104" s="22">
        <v>99</v>
      </c>
      <c r="K104" s="22">
        <v>102</v>
      </c>
      <c r="L104" s="22"/>
      <c r="M104" s="22"/>
      <c r="N104" s="22"/>
      <c r="O104" s="22">
        <v>25</v>
      </c>
      <c r="P104" s="22">
        <v>23</v>
      </c>
      <c r="Q104" s="22"/>
      <c r="R104" s="22"/>
      <c r="S104" s="22"/>
      <c r="T104" s="22"/>
      <c r="U104" s="22"/>
      <c r="V104" s="22"/>
      <c r="W104" s="22">
        <v>18</v>
      </c>
      <c r="X104" s="19">
        <f t="shared" si="52"/>
        <v>399</v>
      </c>
      <c r="Y104" s="93"/>
    </row>
    <row r="105" spans="1:26">
      <c r="A105" s="90" t="s">
        <v>258</v>
      </c>
      <c r="B105" s="113" t="s">
        <v>262</v>
      </c>
      <c r="C105" s="113"/>
      <c r="D105" s="102"/>
      <c r="E105" s="22">
        <v>17063</v>
      </c>
      <c r="F105" s="22">
        <v>11923</v>
      </c>
      <c r="G105" s="22">
        <v>47723.69</v>
      </c>
      <c r="H105" s="22">
        <v>12788.7</v>
      </c>
      <c r="I105" s="22">
        <v>15865.86</v>
      </c>
      <c r="J105" s="22">
        <v>23546.35</v>
      </c>
      <c r="K105" s="22">
        <v>16490.189999999999</v>
      </c>
      <c r="L105" s="22">
        <v>16648.97</v>
      </c>
      <c r="M105" s="22">
        <v>21871.439999999999</v>
      </c>
      <c r="N105" s="22">
        <v>11914.29</v>
      </c>
      <c r="O105" s="22">
        <v>7654.77</v>
      </c>
      <c r="P105" s="22">
        <v>12113.78</v>
      </c>
      <c r="Q105" s="22">
        <v>10438.120000000001</v>
      </c>
      <c r="R105" s="22">
        <v>6080</v>
      </c>
      <c r="S105" s="22">
        <v>5747.79</v>
      </c>
      <c r="T105" s="22">
        <v>11939.6</v>
      </c>
      <c r="U105" s="22">
        <v>11286</v>
      </c>
      <c r="V105" s="22">
        <v>13520</v>
      </c>
      <c r="W105" s="22">
        <v>5648</v>
      </c>
      <c r="X105" s="19">
        <f t="shared" si="52"/>
        <v>280263.55000000005</v>
      </c>
      <c r="Y105" s="93"/>
    </row>
    <row r="106" spans="1:26">
      <c r="A106" s="90" t="s">
        <v>259</v>
      </c>
      <c r="B106" s="113" t="s">
        <v>263</v>
      </c>
      <c r="C106" s="113"/>
      <c r="D106" s="102"/>
      <c r="E106" s="22">
        <v>15829</v>
      </c>
      <c r="F106" s="22">
        <v>10360</v>
      </c>
      <c r="G106" s="22">
        <v>16263</v>
      </c>
      <c r="H106" s="22">
        <v>10179</v>
      </c>
      <c r="I106" s="22">
        <v>8547.4500000000007</v>
      </c>
      <c r="J106" s="22">
        <v>19712</v>
      </c>
      <c r="K106" s="22">
        <v>11160</v>
      </c>
      <c r="L106" s="22">
        <v>11125</v>
      </c>
      <c r="M106" s="22">
        <v>15700</v>
      </c>
      <c r="N106" s="22">
        <v>8447.1</v>
      </c>
      <c r="O106" s="22">
        <v>5134</v>
      </c>
      <c r="P106" s="22">
        <v>4330</v>
      </c>
      <c r="Q106" s="22">
        <v>4266</v>
      </c>
      <c r="R106" s="22">
        <v>2500</v>
      </c>
      <c r="S106" s="22">
        <v>2519</v>
      </c>
      <c r="T106" s="22">
        <v>4999</v>
      </c>
      <c r="U106" s="22">
        <v>4627.34</v>
      </c>
      <c r="V106" s="22">
        <v>5045</v>
      </c>
      <c r="W106" s="22">
        <v>2320</v>
      </c>
      <c r="X106" s="19">
        <f t="shared" si="52"/>
        <v>163062.88999999998</v>
      </c>
      <c r="Y106" s="93"/>
    </row>
    <row r="107" spans="1:26">
      <c r="E107" s="86">
        <f t="shared" ref="E107:X107" si="55">E4/E93</f>
        <v>352227.89294117643</v>
      </c>
      <c r="F107" s="86">
        <f t="shared" si="55"/>
        <v>354780.29130952386</v>
      </c>
      <c r="G107" s="86">
        <f t="shared" si="55"/>
        <v>337276.30083333334</v>
      </c>
      <c r="H107" s="86">
        <f t="shared" si="55"/>
        <v>337169.33648648654</v>
      </c>
      <c r="I107" s="86">
        <f t="shared" si="55"/>
        <v>298220.30545454542</v>
      </c>
      <c r="J107" s="86">
        <f t="shared" si="55"/>
        <v>339855.60333333339</v>
      </c>
      <c r="K107" s="86">
        <f t="shared" si="55"/>
        <v>338156.7904938272</v>
      </c>
      <c r="L107" s="86">
        <f t="shared" si="55"/>
        <v>335305.47416666668</v>
      </c>
      <c r="M107" s="86">
        <f t="shared" si="55"/>
        <v>338472.80630434782</v>
      </c>
      <c r="N107" s="86">
        <f t="shared" si="55"/>
        <v>330556.32524590165</v>
      </c>
      <c r="O107" s="86">
        <f t="shared" si="55"/>
        <v>315525.71741379309</v>
      </c>
      <c r="P107" s="86">
        <f t="shared" si="55"/>
        <v>315751.01262295083</v>
      </c>
      <c r="Q107" s="86">
        <f t="shared" si="55"/>
        <v>306328.60327272728</v>
      </c>
      <c r="R107" s="86">
        <f t="shared" si="55"/>
        <v>327815.26529411762</v>
      </c>
      <c r="S107" s="86">
        <f t="shared" si="55"/>
        <v>317425.32347826083</v>
      </c>
      <c r="T107" s="86">
        <f t="shared" si="55"/>
        <v>310922.95347826084</v>
      </c>
      <c r="U107" s="86">
        <f t="shared" si="55"/>
        <v>305764.5802631579</v>
      </c>
      <c r="V107" s="86">
        <f t="shared" si="55"/>
        <v>314842.61277777771</v>
      </c>
      <c r="W107" s="86">
        <f t="shared" si="55"/>
        <v>346791.34500000003</v>
      </c>
      <c r="X107" s="86">
        <f t="shared" si="55"/>
        <v>332125.82197628461</v>
      </c>
    </row>
  </sheetData>
  <protectedRanges>
    <protectedRange password="E9C1" sqref="D28 X21:Y26 Y20 Y10 Y27 X2:Y9 A2:D5 X11:Y19 B6:D26 X28:Y106 B30:D106 A6:A106" name="区域1_1"/>
    <protectedRange password="E9C1" sqref="B27:C29" name="区域1_1_1"/>
    <protectedRange password="E9C1" sqref="D27" name="区域1"/>
    <protectedRange password="E9C1" sqref="D29" name="区域1_2"/>
    <protectedRange password="E9C1" sqref="O2:O3" name="区域1_1_17"/>
    <protectedRange password="E9C1" sqref="F2:F3" name="区域1_1_2"/>
    <protectedRange password="E9C1" sqref="U2:U3" name="区域1_1_7"/>
    <protectedRange password="E9C1" sqref="P2:P3" name="区域1_1_21"/>
    <protectedRange password="E9C1" sqref="W2:W3" name="区域1_1_22"/>
    <protectedRange password="E9C1" sqref="H2:H3" name="区域1_1_5"/>
    <protectedRange password="E9C1" sqref="G2:G3" name="区域1_1_13"/>
    <protectedRange password="E9C1" sqref="R2:R3" name="区域1_1_3"/>
    <protectedRange password="E9C1" sqref="S2:S3" name="区域1_1_4"/>
    <protectedRange password="E9C1" sqref="L2:L3" name="区域1_1_6"/>
    <protectedRange password="E9C1" sqref="Q2:Q3" name="区域1_1_11"/>
    <protectedRange password="E9C1" sqref="N2:N3" name="区域1_1_12"/>
    <protectedRange password="E9C1" sqref="T2:T3" name="区域1_1_9"/>
    <protectedRange password="E9C1" sqref="V2:V3" name="区域1_1_10"/>
    <protectedRange password="E9C1" sqref="J2:J3" name="区域1_1_14"/>
    <protectedRange password="E9C1" sqref="E2:E3" name="区域1_1_16"/>
    <protectedRange password="E9C1" sqref="K2:K3" name="区域1_1_23"/>
    <protectedRange password="E9C1" sqref="I2:I3" name="区域1_1_8"/>
    <protectedRange password="E9C1" sqref="M2:M3" name="区域1_1_15"/>
  </protectedRanges>
  <mergeCells count="1">
    <mergeCell ref="A1:Y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65" orientation="landscape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X107"/>
  <sheetViews>
    <sheetView workbookViewId="0">
      <pane xSplit="4" ySplit="2" topLeftCell="O77" activePane="bottomRight" state="frozen"/>
      <selection pane="topRight" activeCell="E1" sqref="E1"/>
      <selection pane="bottomLeft" activeCell="A3" sqref="A3"/>
      <selection pane="bottomRight" activeCell="V77" sqref="V77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4" ht="25.5">
      <c r="A1" s="373" t="s">
        <v>0</v>
      </c>
      <c r="B1" s="374"/>
      <c r="C1" s="374"/>
      <c r="D1" s="374"/>
      <c r="E1" s="374"/>
      <c r="F1" s="374"/>
      <c r="G1" s="374"/>
      <c r="H1" s="374"/>
      <c r="I1" s="374"/>
      <c r="J1" s="374"/>
      <c r="K1" s="374"/>
      <c r="L1" s="374"/>
      <c r="M1" s="374"/>
      <c r="N1" s="374"/>
      <c r="O1" s="374"/>
      <c r="P1" s="374"/>
      <c r="Q1" s="374"/>
      <c r="R1" s="374"/>
      <c r="S1" s="374"/>
      <c r="T1" s="374"/>
      <c r="U1" s="374"/>
      <c r="V1" s="374"/>
      <c r="W1" s="374"/>
      <c r="X1" s="374"/>
    </row>
    <row r="2" spans="1:24" ht="30" customHeight="1">
      <c r="A2" s="2" t="s">
        <v>1</v>
      </c>
      <c r="B2" s="2" t="s">
        <v>2</v>
      </c>
      <c r="C2" s="2" t="s">
        <v>3</v>
      </c>
      <c r="D2" s="3" t="s">
        <v>4</v>
      </c>
      <c r="E2" s="37" t="s">
        <v>669</v>
      </c>
      <c r="F2" s="37" t="s">
        <v>670</v>
      </c>
      <c r="G2" s="37" t="s">
        <v>671</v>
      </c>
      <c r="H2" s="37" t="s">
        <v>672</v>
      </c>
      <c r="I2" s="37" t="s">
        <v>673</v>
      </c>
      <c r="J2" s="37" t="s">
        <v>674</v>
      </c>
      <c r="K2" s="37" t="s">
        <v>675</v>
      </c>
      <c r="L2" s="37" t="s">
        <v>676</v>
      </c>
      <c r="M2" s="37" t="s">
        <v>677</v>
      </c>
      <c r="N2" s="37" t="s">
        <v>678</v>
      </c>
      <c r="O2" s="37" t="s">
        <v>679</v>
      </c>
      <c r="P2" s="37" t="s">
        <v>680</v>
      </c>
      <c r="Q2" s="37" t="s">
        <v>681</v>
      </c>
      <c r="R2" s="37" t="s">
        <v>682</v>
      </c>
      <c r="S2" s="37" t="s">
        <v>683</v>
      </c>
      <c r="T2" s="37" t="s">
        <v>684</v>
      </c>
      <c r="U2" s="37" t="s">
        <v>685</v>
      </c>
      <c r="V2" s="3" t="s">
        <v>686</v>
      </c>
      <c r="W2" s="3" t="s">
        <v>24</v>
      </c>
      <c r="X2" s="4" t="s">
        <v>25</v>
      </c>
    </row>
    <row r="3" spans="1:24">
      <c r="A3" s="5" t="s">
        <v>26</v>
      </c>
      <c r="B3" s="6" t="s">
        <v>27</v>
      </c>
      <c r="C3" s="6"/>
      <c r="D3" s="7" t="s">
        <v>28</v>
      </c>
      <c r="E3" s="8">
        <f t="shared" ref="E3:V3" si="0">E4+E30+E49</f>
        <v>25749371.010000002</v>
      </c>
      <c r="F3" s="8">
        <f t="shared" si="0"/>
        <v>28647437.279999997</v>
      </c>
      <c r="G3" s="8">
        <f t="shared" si="0"/>
        <v>31375353.080000002</v>
      </c>
      <c r="H3" s="8">
        <f t="shared" si="0"/>
        <v>31265195.859999999</v>
      </c>
      <c r="I3" s="8">
        <f t="shared" si="0"/>
        <v>32473392.98</v>
      </c>
      <c r="J3" s="8">
        <f t="shared" si="0"/>
        <v>25284351.819999997</v>
      </c>
      <c r="K3" s="8">
        <f t="shared" si="0"/>
        <v>46585324.780000001</v>
      </c>
      <c r="L3" s="8">
        <f t="shared" si="0"/>
        <v>22068860.960000001</v>
      </c>
      <c r="M3" s="8">
        <f t="shared" si="0"/>
        <v>16631664.440000001</v>
      </c>
      <c r="N3" s="8">
        <f t="shared" si="0"/>
        <v>25018408.670000002</v>
      </c>
      <c r="O3" s="8">
        <f t="shared" si="0"/>
        <v>7722931.7199999997</v>
      </c>
      <c r="P3" s="8">
        <f t="shared" si="0"/>
        <v>17813558.870000001</v>
      </c>
      <c r="Q3" s="8">
        <f t="shared" si="0"/>
        <v>9056616.3200000003</v>
      </c>
      <c r="R3" s="8">
        <f t="shared" si="0"/>
        <v>14053529.360000001</v>
      </c>
      <c r="S3" s="8">
        <f t="shared" si="0"/>
        <v>6119342.3300000001</v>
      </c>
      <c r="T3" s="8">
        <f t="shared" si="0"/>
        <v>2660989.8099999996</v>
      </c>
      <c r="U3" s="8">
        <f t="shared" si="0"/>
        <v>1584680.39</v>
      </c>
      <c r="V3" s="8">
        <f t="shared" si="0"/>
        <v>26971562</v>
      </c>
      <c r="W3" s="8">
        <f t="shared" ref="W3:W9" si="1">SUM(E3:V3)</f>
        <v>371082571.68000001</v>
      </c>
      <c r="X3" s="9"/>
    </row>
    <row r="4" spans="1:24">
      <c r="A4" s="5" t="s">
        <v>29</v>
      </c>
      <c r="B4" s="6" t="s">
        <v>30</v>
      </c>
      <c r="C4" s="6"/>
      <c r="D4" s="7" t="s">
        <v>28</v>
      </c>
      <c r="E4" s="8">
        <f t="shared" ref="E4:V4" si="2">E5+E8+E12+E15+E18+E20+E23+E25+E27+E28+E29</f>
        <v>22602975.420000002</v>
      </c>
      <c r="F4" s="8">
        <f t="shared" si="2"/>
        <v>25108542.339999996</v>
      </c>
      <c r="G4" s="8">
        <f t="shared" si="2"/>
        <v>26976782.170000002</v>
      </c>
      <c r="H4" s="8">
        <f t="shared" si="2"/>
        <v>26043333.419999998</v>
      </c>
      <c r="I4" s="8">
        <f t="shared" si="2"/>
        <v>28849508.350000001</v>
      </c>
      <c r="J4" s="8">
        <f t="shared" si="2"/>
        <v>21999882.279999997</v>
      </c>
      <c r="K4" s="8">
        <f t="shared" si="2"/>
        <v>39683083.550000004</v>
      </c>
      <c r="L4" s="8">
        <f t="shared" si="2"/>
        <v>19072322.600000001</v>
      </c>
      <c r="M4" s="8">
        <f t="shared" si="2"/>
        <v>14578001.950000001</v>
      </c>
      <c r="N4" s="8">
        <f t="shared" si="2"/>
        <v>21575436.670000002</v>
      </c>
      <c r="O4" s="8">
        <f t="shared" si="2"/>
        <v>6541660.9900000002</v>
      </c>
      <c r="P4" s="8">
        <f t="shared" si="2"/>
        <v>15547431.83</v>
      </c>
      <c r="Q4" s="8">
        <f t="shared" si="2"/>
        <v>7842519.1600000001</v>
      </c>
      <c r="R4" s="8">
        <f t="shared" si="2"/>
        <v>12098061.140000001</v>
      </c>
      <c r="S4" s="8">
        <f t="shared" si="2"/>
        <v>4989804.1900000004</v>
      </c>
      <c r="T4" s="8">
        <f t="shared" si="2"/>
        <v>1602278.0999999999</v>
      </c>
      <c r="U4" s="8">
        <f t="shared" si="2"/>
        <v>1401708.96</v>
      </c>
      <c r="V4" s="8">
        <f t="shared" si="2"/>
        <v>23334962.370000001</v>
      </c>
      <c r="W4" s="8">
        <f t="shared" si="1"/>
        <v>319848295.49000001</v>
      </c>
      <c r="X4" s="9"/>
    </row>
    <row r="5" spans="1:24">
      <c r="A5" s="5" t="s">
        <v>31</v>
      </c>
      <c r="B5" s="6" t="s">
        <v>32</v>
      </c>
      <c r="C5" s="6"/>
      <c r="D5" s="7" t="s">
        <v>28</v>
      </c>
      <c r="E5" s="8">
        <f>E6+E7</f>
        <v>3292824</v>
      </c>
      <c r="F5" s="8">
        <f t="shared" ref="F5:V5" si="3">F6+F7</f>
        <v>3491040</v>
      </c>
      <c r="G5" s="8">
        <f t="shared" si="3"/>
        <v>3211944</v>
      </c>
      <c r="H5" s="8">
        <f t="shared" si="3"/>
        <v>3539124</v>
      </c>
      <c r="I5" s="8">
        <f t="shared" si="3"/>
        <v>4399164</v>
      </c>
      <c r="J5" s="8">
        <f t="shared" si="3"/>
        <v>2898156</v>
      </c>
      <c r="K5" s="8">
        <f t="shared" si="3"/>
        <v>4829472</v>
      </c>
      <c r="L5" s="8">
        <f t="shared" si="3"/>
        <v>2550564</v>
      </c>
      <c r="M5" s="8">
        <f t="shared" si="3"/>
        <v>2073588</v>
      </c>
      <c r="N5" s="8">
        <f t="shared" si="3"/>
        <v>2819604</v>
      </c>
      <c r="O5" s="8">
        <f t="shared" si="3"/>
        <v>781464</v>
      </c>
      <c r="P5" s="8">
        <f t="shared" si="3"/>
        <v>2014860</v>
      </c>
      <c r="Q5" s="8">
        <f t="shared" si="3"/>
        <v>989424</v>
      </c>
      <c r="R5" s="8">
        <f t="shared" si="3"/>
        <v>1596168</v>
      </c>
      <c r="S5" s="8">
        <f t="shared" si="3"/>
        <v>629076</v>
      </c>
      <c r="T5" s="8">
        <f t="shared" si="3"/>
        <v>187152</v>
      </c>
      <c r="U5" s="8">
        <f t="shared" si="3"/>
        <v>176508</v>
      </c>
      <c r="V5" s="8">
        <f t="shared" si="3"/>
        <v>3084600</v>
      </c>
      <c r="W5" s="8">
        <f t="shared" si="1"/>
        <v>42564732</v>
      </c>
      <c r="X5" s="9"/>
    </row>
    <row r="6" spans="1:24">
      <c r="A6" s="5" t="s">
        <v>33</v>
      </c>
      <c r="B6" s="6" t="s">
        <v>34</v>
      </c>
      <c r="C6" s="6" t="s">
        <v>35</v>
      </c>
      <c r="D6" s="7" t="s">
        <v>36</v>
      </c>
      <c r="E6" s="10">
        <v>1765584</v>
      </c>
      <c r="F6" s="10">
        <v>2065380</v>
      </c>
      <c r="G6" s="10">
        <v>2097348</v>
      </c>
      <c r="H6" s="10">
        <v>1889628</v>
      </c>
      <c r="I6" s="10">
        <v>2155812</v>
      </c>
      <c r="J6" s="10">
        <v>1669104</v>
      </c>
      <c r="K6" s="10">
        <v>2963544</v>
      </c>
      <c r="L6" s="10">
        <v>1481748</v>
      </c>
      <c r="M6" s="10">
        <v>1152612</v>
      </c>
      <c r="N6" s="10">
        <v>1730568</v>
      </c>
      <c r="O6" s="10">
        <v>497376</v>
      </c>
      <c r="P6" s="10">
        <v>1257696</v>
      </c>
      <c r="Q6" s="10">
        <v>616836</v>
      </c>
      <c r="R6" s="10">
        <v>986376</v>
      </c>
      <c r="S6" s="10">
        <v>392244</v>
      </c>
      <c r="T6" s="10">
        <v>121836</v>
      </c>
      <c r="U6" s="10">
        <v>102036</v>
      </c>
      <c r="V6" s="10">
        <v>1709208</v>
      </c>
      <c r="W6" s="8">
        <f t="shared" si="1"/>
        <v>24654936</v>
      </c>
      <c r="X6" s="11"/>
    </row>
    <row r="7" spans="1:24">
      <c r="A7" s="5" t="s">
        <v>37</v>
      </c>
      <c r="B7" s="6" t="s">
        <v>38</v>
      </c>
      <c r="C7" s="6" t="s">
        <v>35</v>
      </c>
      <c r="D7" s="7" t="s">
        <v>36</v>
      </c>
      <c r="E7" s="10">
        <v>1527240</v>
      </c>
      <c r="F7" s="10">
        <v>1425660</v>
      </c>
      <c r="G7" s="10">
        <v>1114596</v>
      </c>
      <c r="H7" s="10">
        <v>1649496</v>
      </c>
      <c r="I7" s="10">
        <v>2243352</v>
      </c>
      <c r="J7" s="10">
        <v>1229052</v>
      </c>
      <c r="K7" s="10">
        <v>1865928</v>
      </c>
      <c r="L7" s="10">
        <v>1068816</v>
      </c>
      <c r="M7" s="10">
        <v>920976</v>
      </c>
      <c r="N7" s="10">
        <v>1089036</v>
      </c>
      <c r="O7" s="10">
        <v>284088</v>
      </c>
      <c r="P7" s="10">
        <v>757164</v>
      </c>
      <c r="Q7" s="10">
        <v>372588</v>
      </c>
      <c r="R7" s="10">
        <v>609792</v>
      </c>
      <c r="S7" s="10">
        <v>236832</v>
      </c>
      <c r="T7" s="10">
        <v>65316</v>
      </c>
      <c r="U7" s="10">
        <v>74472</v>
      </c>
      <c r="V7" s="10">
        <v>1375392</v>
      </c>
      <c r="W7" s="8">
        <f t="shared" si="1"/>
        <v>17909796</v>
      </c>
      <c r="X7" s="9"/>
    </row>
    <row r="8" spans="1:24">
      <c r="A8" s="5" t="s">
        <v>39</v>
      </c>
      <c r="B8" s="6" t="s">
        <v>40</v>
      </c>
      <c r="C8" s="6"/>
      <c r="D8" s="7" t="s">
        <v>28</v>
      </c>
      <c r="E8" s="8">
        <f>E9+E10</f>
        <v>331920</v>
      </c>
      <c r="F8" s="8">
        <f t="shared" ref="F8:V8" si="4">F9+F10</f>
        <v>385008</v>
      </c>
      <c r="G8" s="8">
        <f t="shared" si="4"/>
        <v>425436</v>
      </c>
      <c r="H8" s="8">
        <f t="shared" si="4"/>
        <v>401724</v>
      </c>
      <c r="I8" s="8">
        <f t="shared" si="4"/>
        <v>435408</v>
      </c>
      <c r="J8" s="8">
        <f t="shared" si="4"/>
        <v>342408</v>
      </c>
      <c r="K8" s="8">
        <f t="shared" si="4"/>
        <v>616620</v>
      </c>
      <c r="L8" s="8">
        <f t="shared" si="4"/>
        <v>315480</v>
      </c>
      <c r="M8" s="8">
        <f t="shared" si="4"/>
        <v>241176</v>
      </c>
      <c r="N8" s="8">
        <f t="shared" si="4"/>
        <v>368484</v>
      </c>
      <c r="O8" s="8">
        <f t="shared" si="4"/>
        <v>111912</v>
      </c>
      <c r="P8" s="8">
        <f t="shared" si="4"/>
        <v>266976</v>
      </c>
      <c r="Q8" s="8">
        <f t="shared" si="4"/>
        <v>133032</v>
      </c>
      <c r="R8" s="8">
        <f t="shared" si="4"/>
        <v>227851.8</v>
      </c>
      <c r="S8" s="8">
        <f t="shared" si="4"/>
        <v>85272</v>
      </c>
      <c r="T8" s="8">
        <f t="shared" si="4"/>
        <v>26676</v>
      </c>
      <c r="U8" s="8">
        <f t="shared" si="4"/>
        <v>21480</v>
      </c>
      <c r="V8" s="8">
        <f t="shared" si="4"/>
        <v>348060</v>
      </c>
      <c r="W8" s="8">
        <f t="shared" si="1"/>
        <v>5084923.8</v>
      </c>
      <c r="X8" s="9"/>
    </row>
    <row r="9" spans="1:24">
      <c r="A9" s="5" t="s">
        <v>41</v>
      </c>
      <c r="B9" s="6" t="s">
        <v>42</v>
      </c>
      <c r="C9" s="6" t="s">
        <v>35</v>
      </c>
      <c r="D9" s="7" t="s">
        <v>36</v>
      </c>
      <c r="E9" s="10">
        <v>4560</v>
      </c>
      <c r="F9" s="10">
        <v>4848</v>
      </c>
      <c r="G9" s="10">
        <v>3036</v>
      </c>
      <c r="H9" s="10">
        <v>5724</v>
      </c>
      <c r="I9" s="10">
        <v>7728</v>
      </c>
      <c r="J9" s="10">
        <v>4488</v>
      </c>
      <c r="K9" s="10">
        <v>4140</v>
      </c>
      <c r="L9" s="10">
        <v>3960</v>
      </c>
      <c r="M9" s="10">
        <v>3576</v>
      </c>
      <c r="N9" s="10">
        <v>4164</v>
      </c>
      <c r="O9" s="10">
        <v>1032</v>
      </c>
      <c r="P9" s="10">
        <v>2976</v>
      </c>
      <c r="Q9" s="10">
        <v>1032</v>
      </c>
      <c r="R9" s="10">
        <v>16651.8</v>
      </c>
      <c r="S9" s="10">
        <v>792</v>
      </c>
      <c r="T9" s="10">
        <v>276</v>
      </c>
      <c r="U9" s="10">
        <v>360</v>
      </c>
      <c r="V9" s="10">
        <v>4860</v>
      </c>
      <c r="W9" s="19">
        <f t="shared" si="1"/>
        <v>74203.8</v>
      </c>
      <c r="X9" s="9"/>
    </row>
    <row r="10" spans="1:24">
      <c r="A10" s="5" t="s">
        <v>43</v>
      </c>
      <c r="B10" s="6" t="s">
        <v>44</v>
      </c>
      <c r="C10" s="6"/>
      <c r="D10" s="7" t="s">
        <v>28</v>
      </c>
      <c r="E10" s="8">
        <f>E11</f>
        <v>327360</v>
      </c>
      <c r="F10" s="8">
        <f t="shared" ref="F10:W10" si="5">F11</f>
        <v>380160</v>
      </c>
      <c r="G10" s="8">
        <f t="shared" si="5"/>
        <v>422400</v>
      </c>
      <c r="H10" s="8">
        <f t="shared" si="5"/>
        <v>396000</v>
      </c>
      <c r="I10" s="8">
        <f t="shared" si="5"/>
        <v>427680</v>
      </c>
      <c r="J10" s="8">
        <f t="shared" si="5"/>
        <v>337920</v>
      </c>
      <c r="K10" s="8">
        <f t="shared" si="5"/>
        <v>612480</v>
      </c>
      <c r="L10" s="8">
        <f t="shared" si="5"/>
        <v>311520</v>
      </c>
      <c r="M10" s="8">
        <f t="shared" si="5"/>
        <v>237600</v>
      </c>
      <c r="N10" s="8">
        <f t="shared" si="5"/>
        <v>364320</v>
      </c>
      <c r="O10" s="8">
        <f t="shared" si="5"/>
        <v>110880</v>
      </c>
      <c r="P10" s="8">
        <f t="shared" si="5"/>
        <v>264000</v>
      </c>
      <c r="Q10" s="8">
        <f t="shared" si="5"/>
        <v>132000</v>
      </c>
      <c r="R10" s="8">
        <f t="shared" si="5"/>
        <v>211200</v>
      </c>
      <c r="S10" s="8">
        <f t="shared" si="5"/>
        <v>84480</v>
      </c>
      <c r="T10" s="8">
        <f t="shared" si="5"/>
        <v>26400</v>
      </c>
      <c r="U10" s="8">
        <f t="shared" si="5"/>
        <v>21120</v>
      </c>
      <c r="V10" s="8">
        <f t="shared" si="5"/>
        <v>343200</v>
      </c>
      <c r="W10" s="8">
        <f t="shared" si="5"/>
        <v>5010720</v>
      </c>
      <c r="X10" s="9"/>
    </row>
    <row r="11" spans="1:2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327360</v>
      </c>
      <c r="F11" s="8">
        <f t="shared" ref="F11:V11" si="6">440*12*F93</f>
        <v>380160</v>
      </c>
      <c r="G11" s="8">
        <f t="shared" si="6"/>
        <v>422400</v>
      </c>
      <c r="H11" s="8">
        <f t="shared" si="6"/>
        <v>396000</v>
      </c>
      <c r="I11" s="8">
        <f t="shared" si="6"/>
        <v>427680</v>
      </c>
      <c r="J11" s="8">
        <f t="shared" si="6"/>
        <v>337920</v>
      </c>
      <c r="K11" s="8">
        <f t="shared" si="6"/>
        <v>612480</v>
      </c>
      <c r="L11" s="8">
        <f t="shared" si="6"/>
        <v>311520</v>
      </c>
      <c r="M11" s="8">
        <f t="shared" si="6"/>
        <v>237600</v>
      </c>
      <c r="N11" s="8">
        <f t="shared" si="6"/>
        <v>364320</v>
      </c>
      <c r="O11" s="8">
        <f t="shared" si="6"/>
        <v>110880</v>
      </c>
      <c r="P11" s="8">
        <f t="shared" si="6"/>
        <v>264000</v>
      </c>
      <c r="Q11" s="8">
        <f t="shared" si="6"/>
        <v>132000</v>
      </c>
      <c r="R11" s="8">
        <f t="shared" si="6"/>
        <v>211200</v>
      </c>
      <c r="S11" s="8">
        <f t="shared" si="6"/>
        <v>84480</v>
      </c>
      <c r="T11" s="8">
        <f t="shared" si="6"/>
        <v>26400</v>
      </c>
      <c r="U11" s="8">
        <f t="shared" si="6"/>
        <v>21120</v>
      </c>
      <c r="V11" s="8">
        <f t="shared" si="6"/>
        <v>343200</v>
      </c>
      <c r="W11" s="8">
        <f t="shared" ref="W11:W26" si="7">SUM(E11:V11)</f>
        <v>5010720</v>
      </c>
      <c r="X11" s="9"/>
    </row>
    <row r="12" spans="1:24">
      <c r="A12" s="5" t="s">
        <v>47</v>
      </c>
      <c r="B12" s="6" t="s">
        <v>48</v>
      </c>
      <c r="C12" s="6"/>
      <c r="D12" s="7" t="s">
        <v>49</v>
      </c>
      <c r="E12" s="8">
        <f>E13+E14</f>
        <v>110249.43</v>
      </c>
      <c r="F12" s="8">
        <f t="shared" ref="F12:M12" si="8">F13+F14</f>
        <v>114846.33000000002</v>
      </c>
      <c r="G12" s="8">
        <f t="shared" si="8"/>
        <v>123484.18</v>
      </c>
      <c r="H12" s="8">
        <f t="shared" si="8"/>
        <v>119391.41</v>
      </c>
      <c r="I12" s="8">
        <f t="shared" si="8"/>
        <v>131300.35</v>
      </c>
      <c r="J12" s="8">
        <f t="shared" si="8"/>
        <v>100222.27</v>
      </c>
      <c r="K12" s="8">
        <f t="shared" si="8"/>
        <v>185505.55</v>
      </c>
      <c r="L12" s="8">
        <f t="shared" si="8"/>
        <v>90722.59</v>
      </c>
      <c r="M12" s="8">
        <f t="shared" si="8"/>
        <v>67601.959999999992</v>
      </c>
      <c r="N12" s="8">
        <f t="shared" ref="N12" si="9">N13+N14</f>
        <v>96852.67</v>
      </c>
      <c r="O12" s="8">
        <f t="shared" ref="O12" si="10">O13+O14</f>
        <v>30328.989999999998</v>
      </c>
      <c r="P12" s="8">
        <f t="shared" ref="P12" si="11">P13+P14</f>
        <v>69225.84</v>
      </c>
      <c r="Q12" s="8">
        <f t="shared" ref="Q12" si="12">Q13+Q14</f>
        <v>36039.17</v>
      </c>
      <c r="R12" s="8">
        <f t="shared" ref="R12" si="13">R13+R14</f>
        <v>49849.34</v>
      </c>
      <c r="S12" s="8">
        <f t="shared" ref="S12" si="14">S13+S14</f>
        <v>22650.2</v>
      </c>
      <c r="T12" s="8">
        <f t="shared" ref="T12" si="15">T13+T14</f>
        <v>7934.1100000000006</v>
      </c>
      <c r="U12" s="8">
        <f t="shared" ref="U12" si="16">U13+U14</f>
        <v>7140.9599999999991</v>
      </c>
      <c r="V12" s="8">
        <f t="shared" ref="V12" si="17">V13+V14</f>
        <v>115678.37</v>
      </c>
      <c r="W12" s="8">
        <f t="shared" si="7"/>
        <v>1479023.7200000002</v>
      </c>
      <c r="X12" s="9"/>
    </row>
    <row r="13" spans="1:24" s="13" customFormat="1">
      <c r="A13" s="5" t="s">
        <v>50</v>
      </c>
      <c r="B13" s="49" t="s">
        <v>588</v>
      </c>
      <c r="C13" s="12" t="s">
        <v>35</v>
      </c>
      <c r="D13" s="9" t="s">
        <v>51</v>
      </c>
      <c r="E13" s="8">
        <f>ROUND(E28/0.07*0.00256,2)</f>
        <v>37333.14</v>
      </c>
      <c r="F13" s="8">
        <f t="shared" ref="F13:V13" si="18">ROUND(F28/0.07*0.00256,2)</f>
        <v>38889.760000000002</v>
      </c>
      <c r="G13" s="8">
        <f t="shared" si="18"/>
        <v>41814.75</v>
      </c>
      <c r="H13" s="8">
        <f t="shared" si="18"/>
        <v>40428.839999999997</v>
      </c>
      <c r="I13" s="8">
        <f t="shared" si="18"/>
        <v>44461.49</v>
      </c>
      <c r="J13" s="8">
        <f t="shared" si="18"/>
        <v>33937.699999999997</v>
      </c>
      <c r="K13" s="8">
        <f t="shared" si="18"/>
        <v>62816.69</v>
      </c>
      <c r="L13" s="8">
        <f t="shared" si="18"/>
        <v>30720.880000000001</v>
      </c>
      <c r="M13" s="8">
        <f t="shared" si="18"/>
        <v>22891.67</v>
      </c>
      <c r="N13" s="8">
        <f t="shared" si="18"/>
        <v>32796.67</v>
      </c>
      <c r="O13" s="8">
        <f t="shared" si="18"/>
        <v>10270.129999999999</v>
      </c>
      <c r="P13" s="8">
        <f t="shared" si="18"/>
        <v>23441.55</v>
      </c>
      <c r="Q13" s="8">
        <f t="shared" si="18"/>
        <v>12203.74</v>
      </c>
      <c r="R13" s="8">
        <f t="shared" si="18"/>
        <v>16880.2</v>
      </c>
      <c r="S13" s="8">
        <f t="shared" si="18"/>
        <v>7669.91</v>
      </c>
      <c r="T13" s="8">
        <f t="shared" si="18"/>
        <v>2686.68</v>
      </c>
      <c r="U13" s="8">
        <f t="shared" si="18"/>
        <v>2418.1</v>
      </c>
      <c r="V13" s="8">
        <f t="shared" si="18"/>
        <v>39171.51</v>
      </c>
      <c r="W13" s="8">
        <f t="shared" si="7"/>
        <v>500833.40999999992</v>
      </c>
      <c r="X13" s="9"/>
    </row>
    <row r="14" spans="1:24" s="13" customFormat="1">
      <c r="A14" s="5" t="s">
        <v>52</v>
      </c>
      <c r="B14" s="49" t="s">
        <v>585</v>
      </c>
      <c r="C14" s="12" t="s">
        <v>35</v>
      </c>
      <c r="D14" s="9" t="s">
        <v>51</v>
      </c>
      <c r="E14" s="8">
        <f>ROUND(E28/0.07*0.005,2)</f>
        <v>72916.289999999994</v>
      </c>
      <c r="F14" s="8">
        <f t="shared" ref="F14:V14" si="19">ROUND(F28/0.07*0.005,2)</f>
        <v>75956.570000000007</v>
      </c>
      <c r="G14" s="8">
        <f t="shared" si="19"/>
        <v>81669.429999999993</v>
      </c>
      <c r="H14" s="8">
        <f t="shared" si="19"/>
        <v>78962.570000000007</v>
      </c>
      <c r="I14" s="8">
        <f t="shared" si="19"/>
        <v>86838.86</v>
      </c>
      <c r="J14" s="8">
        <f t="shared" si="19"/>
        <v>66284.570000000007</v>
      </c>
      <c r="K14" s="8">
        <f t="shared" si="19"/>
        <v>122688.86</v>
      </c>
      <c r="L14" s="8">
        <f t="shared" si="19"/>
        <v>60001.71</v>
      </c>
      <c r="M14" s="8">
        <f t="shared" si="19"/>
        <v>44710.29</v>
      </c>
      <c r="N14" s="8">
        <f t="shared" si="19"/>
        <v>64056</v>
      </c>
      <c r="O14" s="8">
        <f t="shared" si="19"/>
        <v>20058.86</v>
      </c>
      <c r="P14" s="8">
        <f t="shared" si="19"/>
        <v>45784.29</v>
      </c>
      <c r="Q14" s="8">
        <f t="shared" si="19"/>
        <v>23835.43</v>
      </c>
      <c r="R14" s="8">
        <f t="shared" si="19"/>
        <v>32969.14</v>
      </c>
      <c r="S14" s="8">
        <f t="shared" si="19"/>
        <v>14980.29</v>
      </c>
      <c r="T14" s="8">
        <f t="shared" si="19"/>
        <v>5247.43</v>
      </c>
      <c r="U14" s="8">
        <f t="shared" si="19"/>
        <v>4722.8599999999997</v>
      </c>
      <c r="V14" s="8">
        <f t="shared" si="19"/>
        <v>76506.86</v>
      </c>
      <c r="W14" s="8">
        <f t="shared" si="7"/>
        <v>978190.31000000017</v>
      </c>
      <c r="X14" s="9"/>
    </row>
    <row r="15" spans="1:24">
      <c r="A15" s="5" t="s">
        <v>53</v>
      </c>
      <c r="B15" s="6" t="s">
        <v>55</v>
      </c>
      <c r="C15" s="6"/>
      <c r="D15" s="7" t="s">
        <v>28</v>
      </c>
      <c r="E15" s="8">
        <v>11860600</v>
      </c>
      <c r="F15" s="8">
        <v>13773600</v>
      </c>
      <c r="G15" s="8">
        <v>15304000</v>
      </c>
      <c r="H15" s="8">
        <v>14347500</v>
      </c>
      <c r="I15" s="8">
        <v>15495300</v>
      </c>
      <c r="J15" s="8">
        <v>12243200</v>
      </c>
      <c r="K15" s="8">
        <v>22190800</v>
      </c>
      <c r="L15" s="8">
        <v>10301400</v>
      </c>
      <c r="M15" s="8">
        <v>7857000</v>
      </c>
      <c r="N15" s="8">
        <v>12047400</v>
      </c>
      <c r="O15" s="8">
        <v>3666600</v>
      </c>
      <c r="P15" s="8">
        <v>8730000</v>
      </c>
      <c r="Q15" s="8">
        <v>4365000</v>
      </c>
      <c r="R15" s="8">
        <v>6984000</v>
      </c>
      <c r="S15" s="8">
        <v>2793600</v>
      </c>
      <c r="T15" s="8">
        <v>873000</v>
      </c>
      <c r="U15" s="8">
        <v>742800</v>
      </c>
      <c r="V15" s="8">
        <v>12434500</v>
      </c>
      <c r="W15" s="8">
        <f t="shared" si="7"/>
        <v>176010300</v>
      </c>
      <c r="X15" s="9"/>
    </row>
    <row r="16" spans="1:2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11667048</v>
      </c>
      <c r="F16" s="16">
        <f t="shared" ref="F16:V16" si="20">F15-F17</f>
        <v>13773600</v>
      </c>
      <c r="G16" s="16">
        <f t="shared" si="20"/>
        <v>15112188</v>
      </c>
      <c r="H16" s="16">
        <f t="shared" si="20"/>
        <v>13976942</v>
      </c>
      <c r="I16" s="16">
        <f t="shared" si="20"/>
        <v>15294948</v>
      </c>
      <c r="J16" s="16">
        <f t="shared" si="20"/>
        <v>12015536</v>
      </c>
      <c r="K16" s="16">
        <f t="shared" si="20"/>
        <v>21751225</v>
      </c>
      <c r="L16" s="16">
        <f t="shared" si="20"/>
        <v>10093492</v>
      </c>
      <c r="M16" s="16">
        <f t="shared" si="20"/>
        <v>7676896</v>
      </c>
      <c r="N16" s="16">
        <f t="shared" si="20"/>
        <v>11814172</v>
      </c>
      <c r="O16" s="16">
        <f t="shared" si="20"/>
        <v>3666600</v>
      </c>
      <c r="P16" s="16">
        <f t="shared" si="20"/>
        <v>8541437</v>
      </c>
      <c r="Q16" s="16">
        <f t="shared" si="20"/>
        <v>4183696</v>
      </c>
      <c r="R16" s="16">
        <f t="shared" si="20"/>
        <v>6802984</v>
      </c>
      <c r="S16" s="16">
        <f t="shared" si="20"/>
        <v>2623264</v>
      </c>
      <c r="T16" s="16">
        <f t="shared" si="20"/>
        <v>725564</v>
      </c>
      <c r="U16" s="16">
        <f t="shared" si="20"/>
        <v>742800</v>
      </c>
      <c r="V16" s="16">
        <f t="shared" si="20"/>
        <v>11793384</v>
      </c>
      <c r="W16" s="8">
        <f t="shared" si="7"/>
        <v>172255776</v>
      </c>
      <c r="X16" s="15"/>
    </row>
    <row r="17" spans="1:2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193552</v>
      </c>
      <c r="F17" s="16"/>
      <c r="G17" s="16">
        <v>191812</v>
      </c>
      <c r="H17" s="16">
        <v>370558</v>
      </c>
      <c r="I17" s="16">
        <v>200352</v>
      </c>
      <c r="J17" s="16">
        <v>227664</v>
      </c>
      <c r="K17" s="16">
        <v>439575</v>
      </c>
      <c r="L17" s="16">
        <v>207908</v>
      </c>
      <c r="M17" s="16">
        <v>180104</v>
      </c>
      <c r="N17" s="16">
        <v>233228</v>
      </c>
      <c r="O17" s="16"/>
      <c r="P17" s="16">
        <v>188563</v>
      </c>
      <c r="Q17" s="16">
        <v>181304</v>
      </c>
      <c r="R17" s="16">
        <v>181016</v>
      </c>
      <c r="S17" s="16">
        <v>170336</v>
      </c>
      <c r="T17" s="16">
        <v>147436</v>
      </c>
      <c r="U17" s="16"/>
      <c r="V17" s="16">
        <v>641116</v>
      </c>
      <c r="W17" s="8">
        <f t="shared" si="7"/>
        <v>3754524</v>
      </c>
      <c r="X17" s="15"/>
    </row>
    <row r="18" spans="1:24">
      <c r="A18" s="5" t="s">
        <v>59</v>
      </c>
      <c r="B18" s="6" t="s">
        <v>63</v>
      </c>
      <c r="C18" s="6"/>
      <c r="D18" s="15" t="s">
        <v>28</v>
      </c>
      <c r="E18" s="17">
        <f>E19</f>
        <v>1531242</v>
      </c>
      <c r="F18" s="17">
        <f t="shared" ref="F18:V18" si="21">F19</f>
        <v>1595088</v>
      </c>
      <c r="G18" s="17">
        <f t="shared" si="21"/>
        <v>1715058</v>
      </c>
      <c r="H18" s="17">
        <f t="shared" si="21"/>
        <v>1658214</v>
      </c>
      <c r="I18" s="17">
        <f t="shared" si="21"/>
        <v>1823616</v>
      </c>
      <c r="J18" s="17">
        <f t="shared" si="21"/>
        <v>1391976</v>
      </c>
      <c r="K18" s="17">
        <f t="shared" si="21"/>
        <v>2576466</v>
      </c>
      <c r="L18" s="17">
        <f t="shared" si="21"/>
        <v>1260036</v>
      </c>
      <c r="M18" s="17">
        <f t="shared" si="21"/>
        <v>938916</v>
      </c>
      <c r="N18" s="17">
        <f t="shared" si="21"/>
        <v>1345176</v>
      </c>
      <c r="O18" s="17">
        <f t="shared" si="21"/>
        <v>421236</v>
      </c>
      <c r="P18" s="17">
        <f t="shared" si="21"/>
        <v>961470</v>
      </c>
      <c r="Q18" s="17">
        <f t="shared" si="21"/>
        <v>500544</v>
      </c>
      <c r="R18" s="17">
        <f t="shared" si="21"/>
        <v>692352</v>
      </c>
      <c r="S18" s="17">
        <f t="shared" si="21"/>
        <v>314586</v>
      </c>
      <c r="T18" s="17">
        <f t="shared" si="21"/>
        <v>110196</v>
      </c>
      <c r="U18" s="17">
        <f t="shared" si="21"/>
        <v>99180</v>
      </c>
      <c r="V18" s="17">
        <f t="shared" si="21"/>
        <v>1606644</v>
      </c>
      <c r="W18" s="8">
        <f t="shared" si="7"/>
        <v>20541996</v>
      </c>
      <c r="X18" s="15"/>
    </row>
    <row r="19" spans="1:2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1531242</v>
      </c>
      <c r="F19" s="17">
        <f t="shared" ref="F19:V19" si="22">ROUND(F28/0.07*0.105,2)</f>
        <v>1595088</v>
      </c>
      <c r="G19" s="17">
        <f t="shared" si="22"/>
        <v>1715058</v>
      </c>
      <c r="H19" s="17">
        <f t="shared" si="22"/>
        <v>1658214</v>
      </c>
      <c r="I19" s="17">
        <f t="shared" si="22"/>
        <v>1823616</v>
      </c>
      <c r="J19" s="17">
        <f t="shared" si="22"/>
        <v>1391976</v>
      </c>
      <c r="K19" s="17">
        <f t="shared" si="22"/>
        <v>2576466</v>
      </c>
      <c r="L19" s="17">
        <f t="shared" si="22"/>
        <v>1260036</v>
      </c>
      <c r="M19" s="17">
        <f t="shared" si="22"/>
        <v>938916</v>
      </c>
      <c r="N19" s="17">
        <f t="shared" si="22"/>
        <v>1345176</v>
      </c>
      <c r="O19" s="17">
        <f t="shared" si="22"/>
        <v>421236</v>
      </c>
      <c r="P19" s="17">
        <f t="shared" si="22"/>
        <v>961470</v>
      </c>
      <c r="Q19" s="17">
        <f t="shared" si="22"/>
        <v>500544</v>
      </c>
      <c r="R19" s="17">
        <f t="shared" si="22"/>
        <v>692352</v>
      </c>
      <c r="S19" s="17">
        <f t="shared" si="22"/>
        <v>314586</v>
      </c>
      <c r="T19" s="17">
        <f t="shared" si="22"/>
        <v>110196</v>
      </c>
      <c r="U19" s="17">
        <f t="shared" si="22"/>
        <v>99180</v>
      </c>
      <c r="V19" s="17">
        <f t="shared" si="22"/>
        <v>1606644</v>
      </c>
      <c r="W19" s="8">
        <f t="shared" si="7"/>
        <v>20541996</v>
      </c>
      <c r="X19" s="15"/>
    </row>
    <row r="20" spans="1:24">
      <c r="A20" s="5" t="s">
        <v>64</v>
      </c>
      <c r="B20" s="6" t="s">
        <v>68</v>
      </c>
      <c r="C20" s="6"/>
      <c r="D20" s="15" t="s">
        <v>51</v>
      </c>
      <c r="E20" s="17">
        <f>E21+E22</f>
        <v>583330.28</v>
      </c>
      <c r="F20" s="17">
        <f t="shared" ref="F20:V20" si="23">F21+F22</f>
        <v>607652.57999999996</v>
      </c>
      <c r="G20" s="17">
        <f t="shared" si="23"/>
        <v>653355.42000000004</v>
      </c>
      <c r="H20" s="17">
        <f t="shared" si="23"/>
        <v>631700.57999999996</v>
      </c>
      <c r="I20" s="17">
        <f t="shared" si="23"/>
        <v>694710.86</v>
      </c>
      <c r="J20" s="17">
        <f t="shared" si="23"/>
        <v>530276.57999999996</v>
      </c>
      <c r="K20" s="17">
        <f t="shared" si="23"/>
        <v>981510.86</v>
      </c>
      <c r="L20" s="17">
        <f t="shared" si="23"/>
        <v>480013.72</v>
      </c>
      <c r="M20" s="17">
        <f t="shared" si="23"/>
        <v>357682.28</v>
      </c>
      <c r="N20" s="17">
        <f t="shared" si="23"/>
        <v>512448</v>
      </c>
      <c r="O20" s="17">
        <f t="shared" si="23"/>
        <v>160470.85999999999</v>
      </c>
      <c r="P20" s="17">
        <f t="shared" si="23"/>
        <v>366274.28</v>
      </c>
      <c r="Q20" s="17">
        <f t="shared" si="23"/>
        <v>190683.42</v>
      </c>
      <c r="R20" s="17">
        <f t="shared" si="23"/>
        <v>263753.14</v>
      </c>
      <c r="S20" s="17">
        <f t="shared" si="23"/>
        <v>119842.28</v>
      </c>
      <c r="T20" s="17">
        <f t="shared" si="23"/>
        <v>41979.42</v>
      </c>
      <c r="U20" s="17">
        <f t="shared" si="23"/>
        <v>37782.86</v>
      </c>
      <c r="V20" s="17">
        <f t="shared" si="23"/>
        <v>612054.86</v>
      </c>
      <c r="W20" s="8">
        <f t="shared" si="7"/>
        <v>7825522.2800000012</v>
      </c>
      <c r="X20" s="15"/>
    </row>
    <row r="21" spans="1:2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291665.14</v>
      </c>
      <c r="F21" s="17">
        <f t="shared" ref="F21:V21" si="24">ROUND(F28/0.07*0.02,2)</f>
        <v>303826.28999999998</v>
      </c>
      <c r="G21" s="17">
        <f t="shared" si="24"/>
        <v>326677.71000000002</v>
      </c>
      <c r="H21" s="17">
        <f t="shared" si="24"/>
        <v>315850.28999999998</v>
      </c>
      <c r="I21" s="17">
        <f t="shared" si="24"/>
        <v>347355.43</v>
      </c>
      <c r="J21" s="17">
        <f t="shared" si="24"/>
        <v>265138.28999999998</v>
      </c>
      <c r="K21" s="17">
        <f t="shared" si="24"/>
        <v>490755.43</v>
      </c>
      <c r="L21" s="17">
        <f t="shared" si="24"/>
        <v>240006.86</v>
      </c>
      <c r="M21" s="17">
        <f t="shared" si="24"/>
        <v>178841.14</v>
      </c>
      <c r="N21" s="17">
        <f t="shared" si="24"/>
        <v>256224</v>
      </c>
      <c r="O21" s="17">
        <f t="shared" si="24"/>
        <v>80235.429999999993</v>
      </c>
      <c r="P21" s="17">
        <f t="shared" si="24"/>
        <v>183137.14</v>
      </c>
      <c r="Q21" s="17">
        <f t="shared" si="24"/>
        <v>95341.71</v>
      </c>
      <c r="R21" s="17">
        <f t="shared" si="24"/>
        <v>131876.57</v>
      </c>
      <c r="S21" s="17">
        <f t="shared" si="24"/>
        <v>59921.14</v>
      </c>
      <c r="T21" s="17">
        <f t="shared" si="24"/>
        <v>20989.71</v>
      </c>
      <c r="U21" s="17">
        <f t="shared" si="24"/>
        <v>18891.43</v>
      </c>
      <c r="V21" s="17">
        <f t="shared" si="24"/>
        <v>306027.43</v>
      </c>
      <c r="W21" s="8">
        <f t="shared" si="7"/>
        <v>3912761.1400000006</v>
      </c>
      <c r="X21" s="15"/>
    </row>
    <row r="22" spans="1:2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291665.14</v>
      </c>
      <c r="F22" s="17">
        <f t="shared" ref="F22:V22" si="25">ROUND(F28/0.07*0.02,2)</f>
        <v>303826.28999999998</v>
      </c>
      <c r="G22" s="17">
        <f t="shared" si="25"/>
        <v>326677.71000000002</v>
      </c>
      <c r="H22" s="17">
        <f t="shared" si="25"/>
        <v>315850.28999999998</v>
      </c>
      <c r="I22" s="17">
        <f t="shared" si="25"/>
        <v>347355.43</v>
      </c>
      <c r="J22" s="17">
        <f t="shared" si="25"/>
        <v>265138.28999999998</v>
      </c>
      <c r="K22" s="17">
        <f t="shared" si="25"/>
        <v>490755.43</v>
      </c>
      <c r="L22" s="17">
        <f t="shared" si="25"/>
        <v>240006.86</v>
      </c>
      <c r="M22" s="17">
        <f t="shared" si="25"/>
        <v>178841.14</v>
      </c>
      <c r="N22" s="17">
        <f t="shared" si="25"/>
        <v>256224</v>
      </c>
      <c r="O22" s="17">
        <f t="shared" si="25"/>
        <v>80235.429999999993</v>
      </c>
      <c r="P22" s="17">
        <f t="shared" si="25"/>
        <v>183137.14</v>
      </c>
      <c r="Q22" s="17">
        <f t="shared" si="25"/>
        <v>95341.71</v>
      </c>
      <c r="R22" s="17">
        <f t="shared" si="25"/>
        <v>131876.57</v>
      </c>
      <c r="S22" s="17">
        <f t="shared" si="25"/>
        <v>59921.14</v>
      </c>
      <c r="T22" s="17">
        <f t="shared" si="25"/>
        <v>20989.71</v>
      </c>
      <c r="U22" s="17">
        <f t="shared" si="25"/>
        <v>18891.43</v>
      </c>
      <c r="V22" s="17">
        <f t="shared" si="25"/>
        <v>306027.43</v>
      </c>
      <c r="W22" s="8">
        <f t="shared" si="7"/>
        <v>3912761.1400000006</v>
      </c>
      <c r="X22" s="15"/>
    </row>
    <row r="23" spans="1:24">
      <c r="A23" s="5" t="s">
        <v>72</v>
      </c>
      <c r="B23" s="6" t="s">
        <v>75</v>
      </c>
      <c r="C23" s="6"/>
      <c r="D23" s="7" t="s">
        <v>28</v>
      </c>
      <c r="E23" s="8">
        <f>E24</f>
        <v>2333321.14</v>
      </c>
      <c r="F23" s="8">
        <f t="shared" ref="F23:V23" si="26">F24</f>
        <v>2430610.29</v>
      </c>
      <c r="G23" s="8">
        <f t="shared" si="26"/>
        <v>2613421.71</v>
      </c>
      <c r="H23" s="8">
        <f t="shared" si="26"/>
        <v>2526802.29</v>
      </c>
      <c r="I23" s="8">
        <f t="shared" si="26"/>
        <v>2778843.43</v>
      </c>
      <c r="J23" s="8">
        <f t="shared" si="26"/>
        <v>2121106.29</v>
      </c>
      <c r="K23" s="8">
        <f t="shared" si="26"/>
        <v>3926043.43</v>
      </c>
      <c r="L23" s="8">
        <f t="shared" si="26"/>
        <v>1920054.86</v>
      </c>
      <c r="M23" s="8">
        <f t="shared" si="26"/>
        <v>1430729.14</v>
      </c>
      <c r="N23" s="8">
        <f t="shared" si="26"/>
        <v>2049792</v>
      </c>
      <c r="O23" s="8">
        <f t="shared" si="26"/>
        <v>641883.43000000005</v>
      </c>
      <c r="P23" s="8">
        <f t="shared" si="26"/>
        <v>1465097.14</v>
      </c>
      <c r="Q23" s="8">
        <f t="shared" si="26"/>
        <v>762733.71</v>
      </c>
      <c r="R23" s="8">
        <f t="shared" si="26"/>
        <v>1055012.57</v>
      </c>
      <c r="S23" s="8">
        <f t="shared" si="26"/>
        <v>479369.14</v>
      </c>
      <c r="T23" s="8">
        <f t="shared" si="26"/>
        <v>167917.71</v>
      </c>
      <c r="U23" s="8">
        <f t="shared" si="26"/>
        <v>151131.43</v>
      </c>
      <c r="V23" s="8">
        <f t="shared" si="26"/>
        <v>2448219.4300000002</v>
      </c>
      <c r="W23" s="8">
        <f t="shared" si="7"/>
        <v>31302089.140000001</v>
      </c>
      <c r="X23" s="9"/>
    </row>
    <row r="24" spans="1:2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2333321.14</v>
      </c>
      <c r="F24" s="8">
        <f t="shared" ref="F24:V24" si="27">ROUND(F28/0.07*0.16,2)</f>
        <v>2430610.29</v>
      </c>
      <c r="G24" s="8">
        <f t="shared" si="27"/>
        <v>2613421.71</v>
      </c>
      <c r="H24" s="8">
        <f t="shared" si="27"/>
        <v>2526802.29</v>
      </c>
      <c r="I24" s="8">
        <f t="shared" si="27"/>
        <v>2778843.43</v>
      </c>
      <c r="J24" s="8">
        <f t="shared" si="27"/>
        <v>2121106.29</v>
      </c>
      <c r="K24" s="8">
        <f t="shared" si="27"/>
        <v>3926043.43</v>
      </c>
      <c r="L24" s="8">
        <f t="shared" si="27"/>
        <v>1920054.86</v>
      </c>
      <c r="M24" s="8">
        <f t="shared" si="27"/>
        <v>1430729.14</v>
      </c>
      <c r="N24" s="8">
        <f t="shared" si="27"/>
        <v>2049792</v>
      </c>
      <c r="O24" s="8">
        <f t="shared" si="27"/>
        <v>641883.43000000005</v>
      </c>
      <c r="P24" s="8">
        <f t="shared" si="27"/>
        <v>1465097.14</v>
      </c>
      <c r="Q24" s="8">
        <f t="shared" si="27"/>
        <v>762733.71</v>
      </c>
      <c r="R24" s="8">
        <f t="shared" si="27"/>
        <v>1055012.57</v>
      </c>
      <c r="S24" s="8">
        <f t="shared" si="27"/>
        <v>479369.14</v>
      </c>
      <c r="T24" s="8">
        <f t="shared" si="27"/>
        <v>167917.71</v>
      </c>
      <c r="U24" s="8">
        <f t="shared" si="27"/>
        <v>151131.43</v>
      </c>
      <c r="V24" s="8">
        <f t="shared" si="27"/>
        <v>2448219.4300000002</v>
      </c>
      <c r="W24" s="8">
        <f t="shared" si="7"/>
        <v>31302089.140000001</v>
      </c>
      <c r="X24" s="9"/>
    </row>
    <row r="25" spans="1:24">
      <c r="A25" s="5" t="s">
        <v>76</v>
      </c>
      <c r="B25" s="6" t="s">
        <v>80</v>
      </c>
      <c r="C25" s="6"/>
      <c r="D25" s="7" t="s">
        <v>28</v>
      </c>
      <c r="E25" s="8">
        <f>E26</f>
        <v>1166660.57</v>
      </c>
      <c r="F25" s="8">
        <f t="shared" ref="F25:V25" si="28">F26</f>
        <v>1215305.1399999999</v>
      </c>
      <c r="G25" s="8">
        <f t="shared" si="28"/>
        <v>1306710.8600000001</v>
      </c>
      <c r="H25" s="8">
        <f t="shared" si="28"/>
        <v>1263401.1399999999</v>
      </c>
      <c r="I25" s="8">
        <f t="shared" si="28"/>
        <v>1389421.71</v>
      </c>
      <c r="J25" s="8">
        <f t="shared" si="28"/>
        <v>1060553.1399999999</v>
      </c>
      <c r="K25" s="8">
        <f t="shared" si="28"/>
        <v>1963021.71</v>
      </c>
      <c r="L25" s="8">
        <f t="shared" si="28"/>
        <v>960027.43</v>
      </c>
      <c r="M25" s="8">
        <f t="shared" si="28"/>
        <v>715364.57</v>
      </c>
      <c r="N25" s="8">
        <f t="shared" si="28"/>
        <v>1024896</v>
      </c>
      <c r="O25" s="8">
        <f t="shared" si="28"/>
        <v>320941.71000000002</v>
      </c>
      <c r="P25" s="8">
        <f t="shared" si="28"/>
        <v>732548.57</v>
      </c>
      <c r="Q25" s="8">
        <f t="shared" si="28"/>
        <v>381366.86</v>
      </c>
      <c r="R25" s="8">
        <f t="shared" si="28"/>
        <v>527506.29</v>
      </c>
      <c r="S25" s="8">
        <f t="shared" si="28"/>
        <v>239684.57</v>
      </c>
      <c r="T25" s="8">
        <f t="shared" si="28"/>
        <v>83958.86</v>
      </c>
      <c r="U25" s="8">
        <f t="shared" si="28"/>
        <v>75565.710000000006</v>
      </c>
      <c r="V25" s="8">
        <f t="shared" si="28"/>
        <v>1224109.71</v>
      </c>
      <c r="W25" s="8">
        <f t="shared" si="7"/>
        <v>15651044.550000001</v>
      </c>
      <c r="X25" s="9"/>
    </row>
    <row r="26" spans="1:2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1166660.57</v>
      </c>
      <c r="F26" s="8">
        <f t="shared" ref="F26:V26" si="29">ROUND(F28/0.07*0.08,2)</f>
        <v>1215305.1399999999</v>
      </c>
      <c r="G26" s="8">
        <f t="shared" si="29"/>
        <v>1306710.8600000001</v>
      </c>
      <c r="H26" s="8">
        <f t="shared" si="29"/>
        <v>1263401.1399999999</v>
      </c>
      <c r="I26" s="8">
        <f t="shared" si="29"/>
        <v>1389421.71</v>
      </c>
      <c r="J26" s="8">
        <f t="shared" si="29"/>
        <v>1060553.1399999999</v>
      </c>
      <c r="K26" s="8">
        <f t="shared" si="29"/>
        <v>1963021.71</v>
      </c>
      <c r="L26" s="8">
        <f t="shared" si="29"/>
        <v>960027.43</v>
      </c>
      <c r="M26" s="8">
        <f t="shared" si="29"/>
        <v>715364.57</v>
      </c>
      <c r="N26" s="8">
        <f t="shared" si="29"/>
        <v>1024896</v>
      </c>
      <c r="O26" s="8">
        <f t="shared" si="29"/>
        <v>320941.71000000002</v>
      </c>
      <c r="P26" s="8">
        <f t="shared" si="29"/>
        <v>732548.57</v>
      </c>
      <c r="Q26" s="8">
        <f t="shared" si="29"/>
        <v>381366.86</v>
      </c>
      <c r="R26" s="8">
        <f t="shared" si="29"/>
        <v>527506.29</v>
      </c>
      <c r="S26" s="8">
        <f t="shared" si="29"/>
        <v>239684.57</v>
      </c>
      <c r="T26" s="8">
        <f t="shared" si="29"/>
        <v>83958.86</v>
      </c>
      <c r="U26" s="8">
        <f t="shared" si="29"/>
        <v>75565.710000000006</v>
      </c>
      <c r="V26" s="8">
        <f t="shared" si="29"/>
        <v>1224109.71</v>
      </c>
      <c r="W26" s="8">
        <f t="shared" si="7"/>
        <v>15651044.550000001</v>
      </c>
      <c r="X26" s="9"/>
    </row>
    <row r="27" spans="1:2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372000</v>
      </c>
      <c r="F27" s="8">
        <f t="shared" ref="F27:W27" si="30">6000*F93</f>
        <v>432000</v>
      </c>
      <c r="G27" s="8">
        <f t="shared" si="30"/>
        <v>480000</v>
      </c>
      <c r="H27" s="8">
        <f t="shared" si="30"/>
        <v>450000</v>
      </c>
      <c r="I27" s="8">
        <f t="shared" si="30"/>
        <v>486000</v>
      </c>
      <c r="J27" s="8">
        <f t="shared" si="30"/>
        <v>384000</v>
      </c>
      <c r="K27" s="8">
        <f t="shared" si="30"/>
        <v>696000</v>
      </c>
      <c r="L27" s="8">
        <f t="shared" si="30"/>
        <v>354000</v>
      </c>
      <c r="M27" s="8">
        <f t="shared" si="30"/>
        <v>270000</v>
      </c>
      <c r="N27" s="8">
        <f t="shared" si="30"/>
        <v>414000</v>
      </c>
      <c r="O27" s="8">
        <f t="shared" si="30"/>
        <v>126000</v>
      </c>
      <c r="P27" s="8">
        <f t="shared" si="30"/>
        <v>300000</v>
      </c>
      <c r="Q27" s="8">
        <f t="shared" si="30"/>
        <v>150000</v>
      </c>
      <c r="R27" s="8">
        <f t="shared" si="30"/>
        <v>240000</v>
      </c>
      <c r="S27" s="8">
        <f t="shared" si="30"/>
        <v>96000</v>
      </c>
      <c r="T27" s="8">
        <f t="shared" si="30"/>
        <v>30000</v>
      </c>
      <c r="U27" s="8">
        <f t="shared" si="30"/>
        <v>24000</v>
      </c>
      <c r="V27" s="8">
        <f t="shared" si="30"/>
        <v>390000</v>
      </c>
      <c r="W27" s="8">
        <f t="shared" si="30"/>
        <v>5694000</v>
      </c>
      <c r="X27" s="9"/>
    </row>
    <row r="28" spans="1:24">
      <c r="A28" s="5" t="s">
        <v>84</v>
      </c>
      <c r="B28" s="6" t="s">
        <v>88</v>
      </c>
      <c r="C28" s="6" t="s">
        <v>88</v>
      </c>
      <c r="D28" s="7" t="s">
        <v>89</v>
      </c>
      <c r="E28" s="16">
        <v>1020828</v>
      </c>
      <c r="F28" s="16">
        <v>1063392</v>
      </c>
      <c r="G28" s="16">
        <v>1143372</v>
      </c>
      <c r="H28" s="16">
        <v>1105476</v>
      </c>
      <c r="I28" s="16">
        <v>1215744</v>
      </c>
      <c r="J28" s="16">
        <v>927984</v>
      </c>
      <c r="K28" s="16">
        <v>1717644</v>
      </c>
      <c r="L28" s="16">
        <v>840024</v>
      </c>
      <c r="M28" s="16">
        <v>625944</v>
      </c>
      <c r="N28" s="16">
        <v>896784</v>
      </c>
      <c r="O28" s="16">
        <v>280824</v>
      </c>
      <c r="P28" s="16">
        <v>640980</v>
      </c>
      <c r="Q28" s="16">
        <v>333696</v>
      </c>
      <c r="R28" s="16">
        <v>461568</v>
      </c>
      <c r="S28" s="16">
        <v>209724</v>
      </c>
      <c r="T28" s="16">
        <v>73464</v>
      </c>
      <c r="U28" s="16">
        <v>66120</v>
      </c>
      <c r="V28" s="16">
        <v>1071096</v>
      </c>
      <c r="W28" s="8">
        <f t="shared" ref="W28:W89" si="31">SUM(E28:V28)</f>
        <v>13694664</v>
      </c>
      <c r="X28" s="15"/>
    </row>
    <row r="29" spans="1:2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8">
        <f t="shared" si="31"/>
        <v>0</v>
      </c>
      <c r="X29" s="15"/>
    </row>
    <row r="30" spans="1:24">
      <c r="A30" s="5" t="s">
        <v>90</v>
      </c>
      <c r="B30" s="6" t="s">
        <v>95</v>
      </c>
      <c r="C30" s="6"/>
      <c r="D30" s="7" t="s">
        <v>28</v>
      </c>
      <c r="E30" s="8">
        <f>E31+E39+E42+E44</f>
        <v>6440</v>
      </c>
      <c r="F30" s="8">
        <f t="shared" ref="F30:M30" si="32">F31+F39+F42+F44</f>
        <v>9360</v>
      </c>
      <c r="G30" s="8">
        <f t="shared" si="32"/>
        <v>9360</v>
      </c>
      <c r="H30" s="8">
        <f t="shared" si="32"/>
        <v>6600</v>
      </c>
      <c r="I30" s="8">
        <f t="shared" si="32"/>
        <v>9960</v>
      </c>
      <c r="J30" s="8">
        <f t="shared" si="32"/>
        <v>6960</v>
      </c>
      <c r="K30" s="8">
        <f t="shared" si="32"/>
        <v>17040</v>
      </c>
      <c r="L30" s="8">
        <f t="shared" si="32"/>
        <v>8280</v>
      </c>
      <c r="M30" s="8">
        <f t="shared" si="32"/>
        <v>6120</v>
      </c>
      <c r="N30" s="8">
        <f>N31+N39+N42+N44</f>
        <v>13080</v>
      </c>
      <c r="O30" s="8">
        <f t="shared" ref="O30" si="33">O31+O39+O42+O44</f>
        <v>4800</v>
      </c>
      <c r="P30" s="8">
        <f t="shared" ref="P30" si="34">P31+P39+P42+P44</f>
        <v>6720</v>
      </c>
      <c r="Q30" s="8">
        <f t="shared" ref="Q30" si="35">Q31+Q39+Q42+Q44</f>
        <v>5640</v>
      </c>
      <c r="R30" s="8">
        <f t="shared" ref="R30" si="36">R31+R39+R42+R44</f>
        <v>8160</v>
      </c>
      <c r="S30" s="8">
        <f t="shared" ref="S30" si="37">S31+S39+S42+S44</f>
        <v>2520</v>
      </c>
      <c r="T30" s="8">
        <f>T31+T39+T42+T44</f>
        <v>960</v>
      </c>
      <c r="U30" s="8">
        <f t="shared" ref="U30" si="38">U31+U39+U42+U44</f>
        <v>0</v>
      </c>
      <c r="V30" s="8">
        <f t="shared" ref="V30" si="39">V31+V39+V42+V44</f>
        <v>10440</v>
      </c>
      <c r="W30" s="8">
        <f t="shared" si="31"/>
        <v>132440</v>
      </c>
      <c r="X30" s="9"/>
    </row>
    <row r="31" spans="1:2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V31" si="40">F32+F33+F34+F35+F36+F37+F38</f>
        <v>0</v>
      </c>
      <c r="G31" s="8">
        <f t="shared" si="40"/>
        <v>0</v>
      </c>
      <c r="H31" s="8">
        <f t="shared" si="40"/>
        <v>0</v>
      </c>
      <c r="I31" s="8">
        <f t="shared" si="40"/>
        <v>0</v>
      </c>
      <c r="J31" s="8">
        <f t="shared" si="40"/>
        <v>0</v>
      </c>
      <c r="K31" s="8">
        <f t="shared" si="40"/>
        <v>0</v>
      </c>
      <c r="L31" s="8">
        <f t="shared" si="40"/>
        <v>0</v>
      </c>
      <c r="M31" s="8">
        <f t="shared" si="40"/>
        <v>0</v>
      </c>
      <c r="N31" s="8">
        <f t="shared" si="40"/>
        <v>0</v>
      </c>
      <c r="O31" s="8">
        <f t="shared" si="40"/>
        <v>0</v>
      </c>
      <c r="P31" s="8">
        <f t="shared" si="40"/>
        <v>0</v>
      </c>
      <c r="Q31" s="8">
        <f t="shared" si="40"/>
        <v>0</v>
      </c>
      <c r="R31" s="8">
        <f t="shared" si="40"/>
        <v>0</v>
      </c>
      <c r="S31" s="8">
        <f t="shared" si="40"/>
        <v>0</v>
      </c>
      <c r="T31" s="8">
        <f t="shared" si="40"/>
        <v>0</v>
      </c>
      <c r="U31" s="8">
        <f t="shared" si="40"/>
        <v>0</v>
      </c>
      <c r="V31" s="8">
        <f t="shared" si="40"/>
        <v>0</v>
      </c>
      <c r="W31" s="8">
        <f t="shared" si="31"/>
        <v>0</v>
      </c>
      <c r="X31" s="9"/>
    </row>
    <row r="32" spans="1:2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8">
        <f t="shared" si="31"/>
        <v>0</v>
      </c>
      <c r="X32" s="15"/>
    </row>
    <row r="33" spans="1:2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8">
        <f t="shared" si="31"/>
        <v>0</v>
      </c>
      <c r="X33" s="15"/>
    </row>
    <row r="34" spans="1:2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8">
        <f t="shared" si="31"/>
        <v>0</v>
      </c>
      <c r="X34" s="15"/>
    </row>
    <row r="35" spans="1:2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8">
        <f t="shared" si="31"/>
        <v>0</v>
      </c>
      <c r="X35" s="15"/>
    </row>
    <row r="36" spans="1:2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8">
        <f t="shared" si="31"/>
        <v>0</v>
      </c>
      <c r="X36" s="15"/>
    </row>
    <row r="37" spans="1:2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8">
        <f t="shared" si="31"/>
        <v>0</v>
      </c>
      <c r="X37" s="15"/>
    </row>
    <row r="38" spans="1:2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8">
        <f t="shared" si="31"/>
        <v>0</v>
      </c>
      <c r="X38" s="15"/>
    </row>
    <row r="39" spans="1:2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V39" si="41">F40+F41</f>
        <v>0</v>
      </c>
      <c r="G39" s="8">
        <f t="shared" si="41"/>
        <v>0</v>
      </c>
      <c r="H39" s="8">
        <f t="shared" si="41"/>
        <v>0</v>
      </c>
      <c r="I39" s="8">
        <f t="shared" si="41"/>
        <v>0</v>
      </c>
      <c r="J39" s="8">
        <f t="shared" si="41"/>
        <v>0</v>
      </c>
      <c r="K39" s="8">
        <f t="shared" si="41"/>
        <v>0</v>
      </c>
      <c r="L39" s="8">
        <f t="shared" si="41"/>
        <v>0</v>
      </c>
      <c r="M39" s="8">
        <f t="shared" si="41"/>
        <v>0</v>
      </c>
      <c r="N39" s="8">
        <f t="shared" si="41"/>
        <v>0</v>
      </c>
      <c r="O39" s="8">
        <f t="shared" si="41"/>
        <v>0</v>
      </c>
      <c r="P39" s="8">
        <f t="shared" si="41"/>
        <v>0</v>
      </c>
      <c r="Q39" s="8">
        <f t="shared" si="41"/>
        <v>0</v>
      </c>
      <c r="R39" s="8">
        <f t="shared" si="41"/>
        <v>0</v>
      </c>
      <c r="S39" s="8">
        <f t="shared" si="41"/>
        <v>0</v>
      </c>
      <c r="T39" s="8">
        <f t="shared" si="41"/>
        <v>0</v>
      </c>
      <c r="U39" s="8">
        <f t="shared" si="41"/>
        <v>0</v>
      </c>
      <c r="V39" s="8">
        <f t="shared" si="41"/>
        <v>0</v>
      </c>
      <c r="W39" s="8">
        <f t="shared" si="31"/>
        <v>0</v>
      </c>
      <c r="X39" s="9"/>
    </row>
    <row r="40" spans="1:2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8">
        <f t="shared" si="31"/>
        <v>0</v>
      </c>
      <c r="X40" s="9"/>
    </row>
    <row r="41" spans="1:2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8">
        <f t="shared" si="31"/>
        <v>0</v>
      </c>
      <c r="X41" s="9"/>
    </row>
    <row r="42" spans="1:24">
      <c r="A42" s="5" t="s">
        <v>118</v>
      </c>
      <c r="B42" s="6" t="s">
        <v>125</v>
      </c>
      <c r="C42" s="6"/>
      <c r="D42" s="7" t="s">
        <v>28</v>
      </c>
      <c r="E42" s="8">
        <f>E43</f>
        <v>5040</v>
      </c>
      <c r="F42" s="8">
        <f t="shared" ref="F42:V42" si="42">F43</f>
        <v>5760</v>
      </c>
      <c r="G42" s="8">
        <f t="shared" si="42"/>
        <v>5760</v>
      </c>
      <c r="H42" s="8">
        <f t="shared" si="42"/>
        <v>1800</v>
      </c>
      <c r="I42" s="8">
        <f t="shared" si="42"/>
        <v>3960</v>
      </c>
      <c r="J42" s="8">
        <f t="shared" si="42"/>
        <v>2160</v>
      </c>
      <c r="K42" s="8">
        <f t="shared" si="42"/>
        <v>5040</v>
      </c>
      <c r="L42" s="8">
        <f t="shared" si="42"/>
        <v>6480</v>
      </c>
      <c r="M42" s="8">
        <f t="shared" si="42"/>
        <v>4320</v>
      </c>
      <c r="N42" s="8">
        <f t="shared" si="42"/>
        <v>4680</v>
      </c>
      <c r="O42" s="8">
        <f t="shared" si="42"/>
        <v>1800</v>
      </c>
      <c r="P42" s="8">
        <f t="shared" si="42"/>
        <v>2520</v>
      </c>
      <c r="Q42" s="8">
        <f t="shared" si="42"/>
        <v>3240</v>
      </c>
      <c r="R42" s="8">
        <f t="shared" si="42"/>
        <v>3960</v>
      </c>
      <c r="S42" s="8">
        <f t="shared" si="42"/>
        <v>720</v>
      </c>
      <c r="T42" s="8">
        <f t="shared" si="42"/>
        <v>360</v>
      </c>
      <c r="U42" s="8">
        <f t="shared" si="42"/>
        <v>0</v>
      </c>
      <c r="V42" s="8">
        <f t="shared" si="42"/>
        <v>5040</v>
      </c>
      <c r="W42" s="8">
        <f t="shared" si="31"/>
        <v>62640</v>
      </c>
      <c r="X42" s="9"/>
    </row>
    <row r="43" spans="1:24">
      <c r="A43" s="5" t="s">
        <v>120</v>
      </c>
      <c r="B43" s="6" t="s">
        <v>127</v>
      </c>
      <c r="C43" s="6" t="s">
        <v>35</v>
      </c>
      <c r="D43" s="7" t="s">
        <v>36</v>
      </c>
      <c r="E43" s="10">
        <v>5040</v>
      </c>
      <c r="F43" s="10">
        <v>5760</v>
      </c>
      <c r="G43" s="10">
        <v>5760</v>
      </c>
      <c r="H43" s="10">
        <v>1800</v>
      </c>
      <c r="I43" s="10">
        <v>3960</v>
      </c>
      <c r="J43" s="10">
        <v>2160</v>
      </c>
      <c r="K43" s="10">
        <v>5040</v>
      </c>
      <c r="L43" s="10">
        <v>6480</v>
      </c>
      <c r="M43" s="10">
        <v>4320</v>
      </c>
      <c r="N43" s="10">
        <v>4680</v>
      </c>
      <c r="O43" s="10">
        <v>1800</v>
      </c>
      <c r="P43" s="10">
        <v>2520</v>
      </c>
      <c r="Q43" s="10">
        <v>3240</v>
      </c>
      <c r="R43" s="10">
        <v>3960</v>
      </c>
      <c r="S43" s="10">
        <v>720</v>
      </c>
      <c r="T43" s="10">
        <v>360</v>
      </c>
      <c r="U43" s="10"/>
      <c r="V43" s="10">
        <v>5040</v>
      </c>
      <c r="W43" s="8">
        <f t="shared" si="31"/>
        <v>62640</v>
      </c>
      <c r="X43" s="9"/>
    </row>
    <row r="44" spans="1:24">
      <c r="A44" s="5" t="s">
        <v>122</v>
      </c>
      <c r="B44" s="6" t="s">
        <v>129</v>
      </c>
      <c r="C44" s="6"/>
      <c r="D44" s="7" t="s">
        <v>28</v>
      </c>
      <c r="E44" s="8">
        <f>SUM(E45:E48)</f>
        <v>1400</v>
      </c>
      <c r="F44" s="8">
        <f t="shared" ref="F44:V44" si="43">SUM(F45:F48)</f>
        <v>3600</v>
      </c>
      <c r="G44" s="8">
        <f t="shared" si="43"/>
        <v>3600</v>
      </c>
      <c r="H44" s="8">
        <f t="shared" si="43"/>
        <v>4800</v>
      </c>
      <c r="I44" s="8">
        <f t="shared" si="43"/>
        <v>6000</v>
      </c>
      <c r="J44" s="8">
        <f t="shared" si="43"/>
        <v>4800</v>
      </c>
      <c r="K44" s="8">
        <f t="shared" si="43"/>
        <v>12000</v>
      </c>
      <c r="L44" s="8">
        <f t="shared" si="43"/>
        <v>1800</v>
      </c>
      <c r="M44" s="8">
        <f t="shared" si="43"/>
        <v>1800</v>
      </c>
      <c r="N44" s="8">
        <f t="shared" si="43"/>
        <v>8400</v>
      </c>
      <c r="O44" s="8">
        <f t="shared" si="43"/>
        <v>3000</v>
      </c>
      <c r="P44" s="8">
        <f t="shared" si="43"/>
        <v>4200</v>
      </c>
      <c r="Q44" s="8">
        <f t="shared" si="43"/>
        <v>2400</v>
      </c>
      <c r="R44" s="8">
        <f t="shared" si="43"/>
        <v>4200</v>
      </c>
      <c r="S44" s="8">
        <f t="shared" si="43"/>
        <v>1800</v>
      </c>
      <c r="T44" s="8">
        <f t="shared" si="43"/>
        <v>600</v>
      </c>
      <c r="U44" s="8">
        <f t="shared" si="43"/>
        <v>0</v>
      </c>
      <c r="V44" s="8">
        <f t="shared" si="43"/>
        <v>5400</v>
      </c>
      <c r="W44" s="8">
        <f t="shared" si="31"/>
        <v>69800</v>
      </c>
      <c r="X44" s="9"/>
    </row>
    <row r="45" spans="1:24">
      <c r="A45" s="5" t="s">
        <v>124</v>
      </c>
      <c r="B45" s="6" t="s">
        <v>131</v>
      </c>
      <c r="C45" s="6" t="s">
        <v>35</v>
      </c>
      <c r="D45" s="7" t="s">
        <v>132</v>
      </c>
      <c r="E45" s="10">
        <v>1400</v>
      </c>
      <c r="F45" s="10">
        <v>3600</v>
      </c>
      <c r="G45" s="10">
        <v>3600</v>
      </c>
      <c r="H45" s="10">
        <v>4800</v>
      </c>
      <c r="I45" s="10">
        <v>6000</v>
      </c>
      <c r="J45" s="10">
        <v>4800</v>
      </c>
      <c r="K45" s="10">
        <v>12000</v>
      </c>
      <c r="L45" s="10">
        <v>1800</v>
      </c>
      <c r="M45" s="10">
        <v>1800</v>
      </c>
      <c r="N45" s="10">
        <v>8400</v>
      </c>
      <c r="O45" s="10">
        <v>3000</v>
      </c>
      <c r="P45" s="10">
        <v>4200</v>
      </c>
      <c r="Q45" s="10">
        <v>2400</v>
      </c>
      <c r="R45" s="10">
        <v>4200</v>
      </c>
      <c r="S45" s="10">
        <v>1800</v>
      </c>
      <c r="T45" s="10">
        <v>600</v>
      </c>
      <c r="U45" s="10"/>
      <c r="V45" s="10">
        <v>5400</v>
      </c>
      <c r="W45" s="8">
        <f t="shared" si="31"/>
        <v>69800</v>
      </c>
      <c r="X45" s="9"/>
    </row>
    <row r="46" spans="1:2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8">
        <f t="shared" si="31"/>
        <v>0</v>
      </c>
      <c r="X46" s="9"/>
    </row>
    <row r="47" spans="1:2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8">
        <f t="shared" si="31"/>
        <v>0</v>
      </c>
      <c r="X47" s="9"/>
    </row>
    <row r="48" spans="1:2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8">
        <f t="shared" si="31"/>
        <v>0</v>
      </c>
      <c r="X48" s="15"/>
    </row>
    <row r="49" spans="1:2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3139955.5900000003</v>
      </c>
      <c r="F49" s="8">
        <f t="shared" ref="F49:V49" si="44">F50+F68+F70+F72+F74+F76+F78+F80+F82+F90</f>
        <v>3529534.94</v>
      </c>
      <c r="G49" s="8">
        <f t="shared" si="44"/>
        <v>4389210.91</v>
      </c>
      <c r="H49" s="8">
        <f t="shared" si="44"/>
        <v>5215262.4400000004</v>
      </c>
      <c r="I49" s="8">
        <f t="shared" si="44"/>
        <v>3613924.6300000004</v>
      </c>
      <c r="J49" s="8">
        <f t="shared" si="44"/>
        <v>3277509.54</v>
      </c>
      <c r="K49" s="8">
        <f t="shared" si="44"/>
        <v>6885201.2299999995</v>
      </c>
      <c r="L49" s="8">
        <f t="shared" si="44"/>
        <v>2988258.36</v>
      </c>
      <c r="M49" s="8">
        <f t="shared" si="44"/>
        <v>2047542.4900000002</v>
      </c>
      <c r="N49" s="8">
        <f t="shared" si="44"/>
        <v>3429892</v>
      </c>
      <c r="O49" s="8">
        <f t="shared" si="44"/>
        <v>1176470.7299999997</v>
      </c>
      <c r="P49" s="8">
        <f t="shared" si="44"/>
        <v>2259407.04</v>
      </c>
      <c r="Q49" s="8">
        <f t="shared" si="44"/>
        <v>1208457.1599999999</v>
      </c>
      <c r="R49" s="8">
        <f t="shared" si="44"/>
        <v>1947308.2200000002</v>
      </c>
      <c r="S49" s="8">
        <f t="shared" si="44"/>
        <v>1127018.1399999999</v>
      </c>
      <c r="T49" s="8">
        <f t="shared" si="44"/>
        <v>1057751.71</v>
      </c>
      <c r="U49" s="8">
        <f t="shared" si="44"/>
        <v>182971.43</v>
      </c>
      <c r="V49" s="8">
        <f t="shared" si="44"/>
        <v>3626159.6300000004</v>
      </c>
      <c r="W49" s="8">
        <f t="shared" si="31"/>
        <v>51101836.189999998</v>
      </c>
      <c r="X49" s="9"/>
    </row>
    <row r="50" spans="1:24">
      <c r="A50" s="5" t="s">
        <v>136</v>
      </c>
      <c r="B50" s="6" t="s">
        <v>144</v>
      </c>
      <c r="C50" s="6"/>
      <c r="D50" s="7" t="s">
        <v>145</v>
      </c>
      <c r="E50" s="8">
        <v>2010000</v>
      </c>
      <c r="F50" s="8">
        <v>2247850</v>
      </c>
      <c r="G50" s="8">
        <v>3323200</v>
      </c>
      <c r="H50" s="8">
        <v>3852000</v>
      </c>
      <c r="I50" s="8">
        <v>2346510</v>
      </c>
      <c r="J50" s="8">
        <v>2397870</v>
      </c>
      <c r="K50" s="8">
        <v>5283660</v>
      </c>
      <c r="L50" s="8">
        <v>2145000</v>
      </c>
      <c r="M50" s="8">
        <v>1487200</v>
      </c>
      <c r="N50" s="8">
        <v>2571140</v>
      </c>
      <c r="O50" s="8">
        <v>858000</v>
      </c>
      <c r="P50" s="8">
        <v>1627340</v>
      </c>
      <c r="Q50" s="8">
        <v>858000</v>
      </c>
      <c r="R50" s="8">
        <v>1430000</v>
      </c>
      <c r="S50" s="8">
        <v>858000</v>
      </c>
      <c r="T50" s="8">
        <v>858000</v>
      </c>
      <c r="U50" s="8">
        <v>89600</v>
      </c>
      <c r="V50" s="8">
        <v>2579500</v>
      </c>
      <c r="W50" s="8">
        <f t="shared" si="31"/>
        <v>36822870</v>
      </c>
      <c r="X50" s="9"/>
    </row>
    <row r="51" spans="1:2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8">
        <f t="shared" si="31"/>
        <v>0</v>
      </c>
      <c r="X51" s="9"/>
    </row>
    <row r="52" spans="1:2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8">
        <f t="shared" si="31"/>
        <v>0</v>
      </c>
      <c r="X52" s="9"/>
    </row>
    <row r="53" spans="1:2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8">
        <f t="shared" si="31"/>
        <v>0</v>
      </c>
      <c r="X53" s="9"/>
    </row>
    <row r="54" spans="1:2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8">
        <f t="shared" si="31"/>
        <v>0</v>
      </c>
      <c r="X54" s="9"/>
    </row>
    <row r="55" spans="1:2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8">
        <f t="shared" si="31"/>
        <v>0</v>
      </c>
      <c r="X55" s="9"/>
    </row>
    <row r="56" spans="1:2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8">
        <f t="shared" si="31"/>
        <v>0</v>
      </c>
      <c r="X56" s="9"/>
    </row>
    <row r="57" spans="1:2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8">
        <f t="shared" si="31"/>
        <v>0</v>
      </c>
      <c r="X57" s="9"/>
    </row>
    <row r="58" spans="1:2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8">
        <f t="shared" si="31"/>
        <v>0</v>
      </c>
      <c r="X58" s="9"/>
    </row>
    <row r="59" spans="1:2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8">
        <f t="shared" si="31"/>
        <v>0</v>
      </c>
      <c r="X59" s="9"/>
    </row>
    <row r="60" spans="1:2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86262.5</v>
      </c>
      <c r="F60" s="10">
        <v>112392.5</v>
      </c>
      <c r="G60" s="10">
        <v>166160</v>
      </c>
      <c r="H60" s="10">
        <v>127918.5</v>
      </c>
      <c r="I60" s="10">
        <v>117325.5</v>
      </c>
      <c r="J60" s="10">
        <v>119893.5</v>
      </c>
      <c r="K60" s="10">
        <v>264183</v>
      </c>
      <c r="L60" s="10">
        <v>88374</v>
      </c>
      <c r="M60" s="10">
        <v>68211</v>
      </c>
      <c r="N60" s="10">
        <v>128128</v>
      </c>
      <c r="O60" s="10">
        <v>39182</v>
      </c>
      <c r="P60" s="10">
        <v>69641</v>
      </c>
      <c r="Q60" s="10">
        <v>39325</v>
      </c>
      <c r="R60" s="10">
        <v>60632</v>
      </c>
      <c r="S60" s="10">
        <v>38610</v>
      </c>
      <c r="T60" s="10">
        <v>7150</v>
      </c>
      <c r="U60" s="10">
        <v>4480</v>
      </c>
      <c r="V60" s="10">
        <v>128975</v>
      </c>
      <c r="W60" s="8">
        <f t="shared" si="31"/>
        <v>1666843.5</v>
      </c>
      <c r="X60" s="9"/>
    </row>
    <row r="61" spans="1:2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8">
        <f t="shared" si="31"/>
        <v>0</v>
      </c>
      <c r="X61" s="9"/>
    </row>
    <row r="62" spans="1:2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8">
        <f t="shared" si="31"/>
        <v>0</v>
      </c>
      <c r="X62" s="9"/>
    </row>
    <row r="63" spans="1:2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8">
        <f t="shared" si="31"/>
        <v>0</v>
      </c>
      <c r="X63" s="9"/>
    </row>
    <row r="64" spans="1:2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8">
        <f t="shared" si="31"/>
        <v>0</v>
      </c>
      <c r="X64" s="9"/>
    </row>
    <row r="65" spans="1:2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8">
        <f t="shared" si="31"/>
        <v>0</v>
      </c>
      <c r="X65" s="9"/>
    </row>
    <row r="66" spans="1:2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8">
        <f t="shared" si="31"/>
        <v>0</v>
      </c>
      <c r="X66" s="9"/>
    </row>
    <row r="67" spans="1:2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8">
        <f t="shared" si="31"/>
        <v>0</v>
      </c>
      <c r="X67" s="9"/>
    </row>
    <row r="68" spans="1:24">
      <c r="A68" s="5" t="s">
        <v>176</v>
      </c>
      <c r="B68" s="6" t="s">
        <v>183</v>
      </c>
      <c r="C68" s="6"/>
      <c r="D68" s="7"/>
      <c r="E68" s="8">
        <f>E69</f>
        <v>24800</v>
      </c>
      <c r="F68" s="8">
        <f t="shared" ref="F68:V68" si="45">F69</f>
        <v>28800</v>
      </c>
      <c r="G68" s="8">
        <f t="shared" si="45"/>
        <v>32000</v>
      </c>
      <c r="H68" s="8">
        <f t="shared" si="45"/>
        <v>30000</v>
      </c>
      <c r="I68" s="8">
        <f t="shared" si="45"/>
        <v>32400</v>
      </c>
      <c r="J68" s="8">
        <f t="shared" si="45"/>
        <v>25600</v>
      </c>
      <c r="K68" s="8">
        <f t="shared" si="45"/>
        <v>46400</v>
      </c>
      <c r="L68" s="8">
        <f t="shared" si="45"/>
        <v>23600</v>
      </c>
      <c r="M68" s="8">
        <f t="shared" si="45"/>
        <v>18000</v>
      </c>
      <c r="N68" s="8">
        <f t="shared" si="45"/>
        <v>27600</v>
      </c>
      <c r="O68" s="8">
        <f t="shared" si="45"/>
        <v>8400</v>
      </c>
      <c r="P68" s="8">
        <f t="shared" si="45"/>
        <v>20000</v>
      </c>
      <c r="Q68" s="8">
        <f t="shared" si="45"/>
        <v>10000</v>
      </c>
      <c r="R68" s="8">
        <f t="shared" si="45"/>
        <v>16000</v>
      </c>
      <c r="S68" s="8">
        <f t="shared" si="45"/>
        <v>6400</v>
      </c>
      <c r="T68" s="8">
        <f t="shared" si="45"/>
        <v>2000</v>
      </c>
      <c r="U68" s="8">
        <f t="shared" si="45"/>
        <v>1600</v>
      </c>
      <c r="V68" s="8">
        <f t="shared" si="45"/>
        <v>26000</v>
      </c>
      <c r="W68" s="8">
        <f t="shared" si="31"/>
        <v>379600</v>
      </c>
      <c r="X68" s="9"/>
    </row>
    <row r="69" spans="1:2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24800</v>
      </c>
      <c r="F69" s="8">
        <f t="shared" ref="F69:V69" si="46">F93*400</f>
        <v>28800</v>
      </c>
      <c r="G69" s="8">
        <f t="shared" si="46"/>
        <v>32000</v>
      </c>
      <c r="H69" s="8">
        <f t="shared" si="46"/>
        <v>30000</v>
      </c>
      <c r="I69" s="8">
        <f t="shared" si="46"/>
        <v>32400</v>
      </c>
      <c r="J69" s="8">
        <f t="shared" si="46"/>
        <v>25600</v>
      </c>
      <c r="K69" s="8">
        <f t="shared" si="46"/>
        <v>46400</v>
      </c>
      <c r="L69" s="8">
        <f t="shared" si="46"/>
        <v>23600</v>
      </c>
      <c r="M69" s="8">
        <f t="shared" si="46"/>
        <v>18000</v>
      </c>
      <c r="N69" s="8">
        <f t="shared" si="46"/>
        <v>27600</v>
      </c>
      <c r="O69" s="8">
        <f t="shared" si="46"/>
        <v>8400</v>
      </c>
      <c r="P69" s="8">
        <f t="shared" si="46"/>
        <v>20000</v>
      </c>
      <c r="Q69" s="8">
        <f t="shared" si="46"/>
        <v>10000</v>
      </c>
      <c r="R69" s="8">
        <f t="shared" si="46"/>
        <v>16000</v>
      </c>
      <c r="S69" s="8">
        <f t="shared" si="46"/>
        <v>6400</v>
      </c>
      <c r="T69" s="8">
        <f t="shared" si="46"/>
        <v>2000</v>
      </c>
      <c r="U69" s="8">
        <f t="shared" si="46"/>
        <v>1600</v>
      </c>
      <c r="V69" s="8">
        <f t="shared" si="46"/>
        <v>26000</v>
      </c>
      <c r="W69" s="8">
        <f t="shared" si="31"/>
        <v>379600</v>
      </c>
      <c r="X69" s="9"/>
    </row>
    <row r="70" spans="1:24">
      <c r="A70" s="5" t="s">
        <v>180</v>
      </c>
      <c r="B70" s="6" t="s">
        <v>188</v>
      </c>
      <c r="C70" s="6"/>
      <c r="D70" s="7" t="s">
        <v>28</v>
      </c>
      <c r="E70" s="8">
        <f>E71</f>
        <v>118770.45</v>
      </c>
      <c r="F70" s="8">
        <f t="shared" ref="F70:V70" si="47">F71</f>
        <v>331291.05</v>
      </c>
      <c r="G70" s="8">
        <f t="shared" si="47"/>
        <v>259299.59999999998</v>
      </c>
      <c r="H70" s="8">
        <f t="shared" si="47"/>
        <v>191508.15</v>
      </c>
      <c r="I70" s="8">
        <f t="shared" si="47"/>
        <v>164731.20000000001</v>
      </c>
      <c r="J70" s="8">
        <f t="shared" si="47"/>
        <v>98189.25</v>
      </c>
      <c r="K70" s="8">
        <f t="shared" si="47"/>
        <v>310345.80000000005</v>
      </c>
      <c r="L70" s="8">
        <f t="shared" si="47"/>
        <v>141067.5</v>
      </c>
      <c r="M70" s="8">
        <f t="shared" si="47"/>
        <v>69733.350000000006</v>
      </c>
      <c r="N70" s="8">
        <f t="shared" si="47"/>
        <v>173365.2</v>
      </c>
      <c r="O70" s="8">
        <f t="shared" si="47"/>
        <v>88565.7</v>
      </c>
      <c r="P70" s="8">
        <f t="shared" si="47"/>
        <v>128985.9</v>
      </c>
      <c r="Q70" s="8">
        <f t="shared" si="47"/>
        <v>88875.45</v>
      </c>
      <c r="R70" s="8">
        <f t="shared" si="47"/>
        <v>119210.85</v>
      </c>
      <c r="S70" s="8">
        <f t="shared" si="47"/>
        <v>85861.8</v>
      </c>
      <c r="T70" s="8">
        <f t="shared" si="47"/>
        <v>114450</v>
      </c>
      <c r="U70" s="8">
        <f t="shared" si="47"/>
        <v>0</v>
      </c>
      <c r="V70" s="8">
        <f t="shared" si="47"/>
        <v>184792.19999999998</v>
      </c>
      <c r="W70" s="8">
        <f t="shared" si="31"/>
        <v>2669043.4500000002</v>
      </c>
      <c r="X70" s="9"/>
    </row>
    <row r="71" spans="1:2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118770.45</v>
      </c>
      <c r="F71" s="8">
        <f t="shared" ref="F71:V71" si="48">F105*15</f>
        <v>331291.05</v>
      </c>
      <c r="G71" s="8">
        <f t="shared" si="48"/>
        <v>259299.59999999998</v>
      </c>
      <c r="H71" s="8">
        <f t="shared" si="48"/>
        <v>191508.15</v>
      </c>
      <c r="I71" s="8">
        <f t="shared" si="48"/>
        <v>164731.20000000001</v>
      </c>
      <c r="J71" s="8">
        <f t="shared" si="48"/>
        <v>98189.25</v>
      </c>
      <c r="K71" s="8">
        <f t="shared" si="48"/>
        <v>310345.80000000005</v>
      </c>
      <c r="L71" s="8">
        <f t="shared" si="48"/>
        <v>141067.5</v>
      </c>
      <c r="M71" s="8">
        <f t="shared" si="48"/>
        <v>69733.350000000006</v>
      </c>
      <c r="N71" s="8">
        <f t="shared" si="48"/>
        <v>173365.2</v>
      </c>
      <c r="O71" s="8">
        <f t="shared" si="48"/>
        <v>88565.7</v>
      </c>
      <c r="P71" s="8">
        <f t="shared" si="48"/>
        <v>128985.9</v>
      </c>
      <c r="Q71" s="8">
        <f t="shared" si="48"/>
        <v>88875.45</v>
      </c>
      <c r="R71" s="8">
        <f t="shared" si="48"/>
        <v>119210.85</v>
      </c>
      <c r="S71" s="8">
        <f t="shared" si="48"/>
        <v>85861.8</v>
      </c>
      <c r="T71" s="8">
        <f t="shared" si="48"/>
        <v>114450</v>
      </c>
      <c r="U71" s="8">
        <f t="shared" si="48"/>
        <v>0</v>
      </c>
      <c r="V71" s="8">
        <f t="shared" si="48"/>
        <v>184792.19999999998</v>
      </c>
      <c r="W71" s="8">
        <f t="shared" si="31"/>
        <v>2669043.4500000002</v>
      </c>
      <c r="X71" s="9"/>
    </row>
    <row r="72" spans="1:24">
      <c r="A72" s="5" t="s">
        <v>184</v>
      </c>
      <c r="B72" s="6" t="s">
        <v>193</v>
      </c>
      <c r="C72" s="6"/>
      <c r="D72" s="7" t="s">
        <v>28</v>
      </c>
      <c r="E72" s="8">
        <f>E73</f>
        <v>45600</v>
      </c>
      <c r="F72" s="8">
        <f t="shared" ref="F72:V72" si="49">F73</f>
        <v>76487.600000000006</v>
      </c>
      <c r="G72" s="8">
        <f t="shared" si="49"/>
        <v>70433.600000000006</v>
      </c>
      <c r="H72" s="8">
        <f t="shared" si="49"/>
        <v>60304</v>
      </c>
      <c r="I72" s="8">
        <f t="shared" si="49"/>
        <v>76688</v>
      </c>
      <c r="J72" s="8">
        <f t="shared" si="49"/>
        <v>31192</v>
      </c>
      <c r="K72" s="8">
        <f t="shared" si="49"/>
        <v>97640</v>
      </c>
      <c r="L72" s="8">
        <f t="shared" si="49"/>
        <v>33144</v>
      </c>
      <c r="M72" s="8">
        <f t="shared" si="49"/>
        <v>19888</v>
      </c>
      <c r="N72" s="8">
        <f t="shared" si="49"/>
        <v>33722.800000000003</v>
      </c>
      <c r="O72" s="8">
        <f t="shared" si="49"/>
        <v>18549.599999999999</v>
      </c>
      <c r="P72" s="8">
        <f t="shared" si="49"/>
        <v>28344</v>
      </c>
      <c r="Q72" s="8">
        <f t="shared" si="49"/>
        <v>16240</v>
      </c>
      <c r="R72" s="8">
        <f t="shared" si="49"/>
        <v>45420.800000000003</v>
      </c>
      <c r="S72" s="8">
        <f t="shared" si="49"/>
        <v>15715.2</v>
      </c>
      <c r="T72" s="8">
        <f t="shared" si="49"/>
        <v>8712</v>
      </c>
      <c r="U72" s="8">
        <f t="shared" si="49"/>
        <v>0</v>
      </c>
      <c r="V72" s="8">
        <f t="shared" si="49"/>
        <v>28240</v>
      </c>
      <c r="W72" s="8">
        <f t="shared" si="31"/>
        <v>706321.6</v>
      </c>
      <c r="X72" s="9"/>
    </row>
    <row r="73" spans="1:2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45600</v>
      </c>
      <c r="F73" s="8">
        <f t="shared" ref="F73:V73" si="50">F106*8</f>
        <v>76487.600000000006</v>
      </c>
      <c r="G73" s="8">
        <f t="shared" si="50"/>
        <v>70433.600000000006</v>
      </c>
      <c r="H73" s="8">
        <f t="shared" si="50"/>
        <v>60304</v>
      </c>
      <c r="I73" s="8">
        <f t="shared" si="50"/>
        <v>76688</v>
      </c>
      <c r="J73" s="8">
        <f t="shared" si="50"/>
        <v>31192</v>
      </c>
      <c r="K73" s="8">
        <f t="shared" si="50"/>
        <v>97640</v>
      </c>
      <c r="L73" s="8">
        <f t="shared" si="50"/>
        <v>33144</v>
      </c>
      <c r="M73" s="8">
        <f t="shared" si="50"/>
        <v>19888</v>
      </c>
      <c r="N73" s="8">
        <f t="shared" si="50"/>
        <v>33722.800000000003</v>
      </c>
      <c r="O73" s="8">
        <f t="shared" si="50"/>
        <v>18549.599999999999</v>
      </c>
      <c r="P73" s="8">
        <f t="shared" si="50"/>
        <v>28344</v>
      </c>
      <c r="Q73" s="8">
        <f t="shared" si="50"/>
        <v>16240</v>
      </c>
      <c r="R73" s="8">
        <f t="shared" si="50"/>
        <v>45420.800000000003</v>
      </c>
      <c r="S73" s="8">
        <f t="shared" si="50"/>
        <v>15715.2</v>
      </c>
      <c r="T73" s="8">
        <f t="shared" si="50"/>
        <v>8712</v>
      </c>
      <c r="U73" s="8">
        <f t="shared" si="50"/>
        <v>0</v>
      </c>
      <c r="V73" s="8">
        <f t="shared" si="50"/>
        <v>28240</v>
      </c>
      <c r="W73" s="8">
        <f t="shared" si="31"/>
        <v>706321.6</v>
      </c>
      <c r="X73" s="9"/>
    </row>
    <row r="74" spans="1:2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V74" si="51">F75</f>
        <v>0</v>
      </c>
      <c r="G74" s="8">
        <f t="shared" si="51"/>
        <v>0</v>
      </c>
      <c r="H74" s="8">
        <f t="shared" si="51"/>
        <v>0</v>
      </c>
      <c r="I74" s="8">
        <f t="shared" si="51"/>
        <v>0</v>
      </c>
      <c r="J74" s="8">
        <f t="shared" si="51"/>
        <v>0</v>
      </c>
      <c r="K74" s="8">
        <f t="shared" si="51"/>
        <v>0</v>
      </c>
      <c r="L74" s="8">
        <f t="shared" si="51"/>
        <v>0</v>
      </c>
      <c r="M74" s="8">
        <f t="shared" si="51"/>
        <v>0</v>
      </c>
      <c r="N74" s="8">
        <f t="shared" si="51"/>
        <v>0</v>
      </c>
      <c r="O74" s="8">
        <f t="shared" si="51"/>
        <v>0</v>
      </c>
      <c r="P74" s="8">
        <f t="shared" si="51"/>
        <v>0</v>
      </c>
      <c r="Q74" s="8">
        <f t="shared" si="51"/>
        <v>0</v>
      </c>
      <c r="R74" s="8">
        <f t="shared" si="51"/>
        <v>0</v>
      </c>
      <c r="S74" s="8">
        <f t="shared" si="51"/>
        <v>0</v>
      </c>
      <c r="T74" s="8">
        <f t="shared" si="51"/>
        <v>0</v>
      </c>
      <c r="U74" s="8">
        <f t="shared" si="51"/>
        <v>0</v>
      </c>
      <c r="V74" s="8">
        <f t="shared" si="51"/>
        <v>0</v>
      </c>
      <c r="W74" s="8">
        <f t="shared" si="31"/>
        <v>0</v>
      </c>
      <c r="X74" s="9"/>
    </row>
    <row r="75" spans="1:2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8">
        <f t="shared" si="31"/>
        <v>0</v>
      </c>
      <c r="X75" s="9"/>
    </row>
    <row r="76" spans="1:24">
      <c r="A76" s="5" t="s">
        <v>194</v>
      </c>
      <c r="B76" s="6" t="s">
        <v>202</v>
      </c>
      <c r="C76" s="6"/>
      <c r="D76" s="7" t="s">
        <v>28</v>
      </c>
      <c r="E76" s="8">
        <f>E77</f>
        <v>267840</v>
      </c>
      <c r="F76" s="8">
        <f t="shared" ref="F76:V76" si="52">F77</f>
        <v>311040</v>
      </c>
      <c r="G76" s="8">
        <f t="shared" si="52"/>
        <v>345600</v>
      </c>
      <c r="H76" s="8">
        <f t="shared" si="52"/>
        <v>324000</v>
      </c>
      <c r="I76" s="8">
        <f t="shared" si="52"/>
        <v>349920</v>
      </c>
      <c r="J76" s="8">
        <f t="shared" si="52"/>
        <v>276480</v>
      </c>
      <c r="K76" s="8">
        <f t="shared" si="52"/>
        <v>501120</v>
      </c>
      <c r="L76" s="8">
        <f t="shared" si="52"/>
        <v>254880</v>
      </c>
      <c r="M76" s="8">
        <f t="shared" si="52"/>
        <v>194400</v>
      </c>
      <c r="N76" s="8">
        <f t="shared" si="52"/>
        <v>298080</v>
      </c>
      <c r="O76" s="8">
        <f t="shared" si="52"/>
        <v>90720</v>
      </c>
      <c r="P76" s="8">
        <f t="shared" si="52"/>
        <v>216000</v>
      </c>
      <c r="Q76" s="8">
        <f t="shared" si="52"/>
        <v>108000</v>
      </c>
      <c r="R76" s="8">
        <f t="shared" si="52"/>
        <v>172800</v>
      </c>
      <c r="S76" s="8">
        <f t="shared" si="52"/>
        <v>69120</v>
      </c>
      <c r="T76" s="8">
        <f t="shared" si="52"/>
        <v>21600</v>
      </c>
      <c r="U76" s="8">
        <f t="shared" si="52"/>
        <v>17280</v>
      </c>
      <c r="V76" s="8">
        <f t="shared" si="52"/>
        <v>280800</v>
      </c>
      <c r="W76" s="8">
        <f t="shared" si="31"/>
        <v>4099680</v>
      </c>
      <c r="X76" s="9"/>
    </row>
    <row r="77" spans="1:2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267840</v>
      </c>
      <c r="F77" s="8">
        <f t="shared" ref="F77:V77" si="53">F93*4320</f>
        <v>311040</v>
      </c>
      <c r="G77" s="8">
        <f t="shared" si="53"/>
        <v>345600</v>
      </c>
      <c r="H77" s="8">
        <f t="shared" si="53"/>
        <v>324000</v>
      </c>
      <c r="I77" s="8">
        <f t="shared" si="53"/>
        <v>349920</v>
      </c>
      <c r="J77" s="8">
        <f t="shared" si="53"/>
        <v>276480</v>
      </c>
      <c r="K77" s="8">
        <f t="shared" si="53"/>
        <v>501120</v>
      </c>
      <c r="L77" s="8">
        <f t="shared" si="53"/>
        <v>254880</v>
      </c>
      <c r="M77" s="8">
        <f t="shared" si="53"/>
        <v>194400</v>
      </c>
      <c r="N77" s="8">
        <f t="shared" si="53"/>
        <v>298080</v>
      </c>
      <c r="O77" s="8">
        <f t="shared" si="53"/>
        <v>90720</v>
      </c>
      <c r="P77" s="8">
        <f t="shared" si="53"/>
        <v>216000</v>
      </c>
      <c r="Q77" s="8">
        <f t="shared" si="53"/>
        <v>108000</v>
      </c>
      <c r="R77" s="8">
        <f t="shared" si="53"/>
        <v>172800</v>
      </c>
      <c r="S77" s="8">
        <f t="shared" si="53"/>
        <v>69120</v>
      </c>
      <c r="T77" s="8">
        <f t="shared" si="53"/>
        <v>21600</v>
      </c>
      <c r="U77" s="8">
        <f t="shared" si="53"/>
        <v>17280</v>
      </c>
      <c r="V77" s="8">
        <f t="shared" si="53"/>
        <v>280800</v>
      </c>
      <c r="W77" s="8">
        <f t="shared" si="31"/>
        <v>4099680</v>
      </c>
      <c r="X77" s="9"/>
    </row>
    <row r="78" spans="1:24">
      <c r="A78" s="5" t="s">
        <v>199</v>
      </c>
      <c r="B78" s="6" t="s">
        <v>207</v>
      </c>
      <c r="C78" s="6"/>
      <c r="D78" s="7" t="s">
        <v>28</v>
      </c>
      <c r="E78" s="8">
        <f>E79</f>
        <v>291665.14</v>
      </c>
      <c r="F78" s="8">
        <f t="shared" ref="F78:V78" si="54">F79</f>
        <v>303826.28999999998</v>
      </c>
      <c r="G78" s="8">
        <f t="shared" si="54"/>
        <v>326677.71000000002</v>
      </c>
      <c r="H78" s="8">
        <f t="shared" si="54"/>
        <v>315850.28999999998</v>
      </c>
      <c r="I78" s="8">
        <f t="shared" si="54"/>
        <v>347355.43</v>
      </c>
      <c r="J78" s="8">
        <f t="shared" si="54"/>
        <v>265138.28999999998</v>
      </c>
      <c r="K78" s="8">
        <f t="shared" si="54"/>
        <v>490755.43</v>
      </c>
      <c r="L78" s="8">
        <f t="shared" si="54"/>
        <v>240006.86</v>
      </c>
      <c r="M78" s="8">
        <f t="shared" si="54"/>
        <v>178841.14</v>
      </c>
      <c r="N78" s="8">
        <f t="shared" si="54"/>
        <v>256224</v>
      </c>
      <c r="O78" s="8">
        <f t="shared" si="54"/>
        <v>80235.429999999993</v>
      </c>
      <c r="P78" s="8">
        <f t="shared" si="54"/>
        <v>183137.14</v>
      </c>
      <c r="Q78" s="8">
        <f t="shared" si="54"/>
        <v>95341.71</v>
      </c>
      <c r="R78" s="8">
        <f t="shared" si="54"/>
        <v>131876.57</v>
      </c>
      <c r="S78" s="8">
        <f t="shared" si="54"/>
        <v>59921.14</v>
      </c>
      <c r="T78" s="8">
        <f t="shared" si="54"/>
        <v>20989.71</v>
      </c>
      <c r="U78" s="8">
        <f t="shared" si="54"/>
        <v>18891.43</v>
      </c>
      <c r="V78" s="8">
        <f t="shared" si="54"/>
        <v>306027.43</v>
      </c>
      <c r="W78" s="8">
        <f t="shared" si="31"/>
        <v>3912761.1400000006</v>
      </c>
      <c r="X78" s="9"/>
    </row>
    <row r="79" spans="1:2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291665.14</v>
      </c>
      <c r="F79" s="8">
        <f t="shared" ref="F79:V79" si="55">ROUND(F28/0.07*0.02,2)</f>
        <v>303826.28999999998</v>
      </c>
      <c r="G79" s="8">
        <f t="shared" si="55"/>
        <v>326677.71000000002</v>
      </c>
      <c r="H79" s="8">
        <f t="shared" si="55"/>
        <v>315850.28999999998</v>
      </c>
      <c r="I79" s="8">
        <f t="shared" si="55"/>
        <v>347355.43</v>
      </c>
      <c r="J79" s="8">
        <f t="shared" si="55"/>
        <v>265138.28999999998</v>
      </c>
      <c r="K79" s="8">
        <f t="shared" si="55"/>
        <v>490755.43</v>
      </c>
      <c r="L79" s="8">
        <f t="shared" si="55"/>
        <v>240006.86</v>
      </c>
      <c r="M79" s="8">
        <f t="shared" si="55"/>
        <v>178841.14</v>
      </c>
      <c r="N79" s="8">
        <f t="shared" si="55"/>
        <v>256224</v>
      </c>
      <c r="O79" s="8">
        <f t="shared" si="55"/>
        <v>80235.429999999993</v>
      </c>
      <c r="P79" s="8">
        <f t="shared" si="55"/>
        <v>183137.14</v>
      </c>
      <c r="Q79" s="8">
        <f t="shared" si="55"/>
        <v>95341.71</v>
      </c>
      <c r="R79" s="8">
        <f t="shared" si="55"/>
        <v>131876.57</v>
      </c>
      <c r="S79" s="8">
        <f t="shared" si="55"/>
        <v>59921.14</v>
      </c>
      <c r="T79" s="8">
        <f t="shared" si="55"/>
        <v>20989.71</v>
      </c>
      <c r="U79" s="8">
        <f t="shared" si="55"/>
        <v>18891.43</v>
      </c>
      <c r="V79" s="8">
        <f t="shared" si="55"/>
        <v>306027.43</v>
      </c>
      <c r="W79" s="8">
        <f t="shared" si="31"/>
        <v>3912761.1400000006</v>
      </c>
      <c r="X79" s="9"/>
    </row>
    <row r="80" spans="1:24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 t="shared" ref="F80:V80" si="56">F81</f>
        <v>32000</v>
      </c>
      <c r="G80" s="8">
        <f t="shared" si="56"/>
        <v>0</v>
      </c>
      <c r="H80" s="8">
        <f t="shared" si="56"/>
        <v>64000</v>
      </c>
      <c r="I80" s="8">
        <f t="shared" si="56"/>
        <v>32000</v>
      </c>
      <c r="J80" s="8">
        <f t="shared" si="56"/>
        <v>32000</v>
      </c>
      <c r="K80" s="8">
        <f t="shared" si="56"/>
        <v>32000</v>
      </c>
      <c r="L80" s="8">
        <f t="shared" si="56"/>
        <v>32000</v>
      </c>
      <c r="M80" s="8">
        <f t="shared" si="56"/>
        <v>32000</v>
      </c>
      <c r="N80" s="8">
        <f t="shared" si="56"/>
        <v>0</v>
      </c>
      <c r="O80" s="8">
        <f t="shared" si="56"/>
        <v>0</v>
      </c>
      <c r="P80" s="8">
        <f t="shared" si="56"/>
        <v>0</v>
      </c>
      <c r="Q80" s="8">
        <f t="shared" si="56"/>
        <v>0</v>
      </c>
      <c r="R80" s="8">
        <f t="shared" si="56"/>
        <v>0</v>
      </c>
      <c r="S80" s="8">
        <f t="shared" si="56"/>
        <v>0</v>
      </c>
      <c r="T80" s="8">
        <f t="shared" si="56"/>
        <v>0</v>
      </c>
      <c r="U80" s="8">
        <f t="shared" si="56"/>
        <v>0</v>
      </c>
      <c r="V80" s="8">
        <f t="shared" si="56"/>
        <v>32000</v>
      </c>
      <c r="W80" s="8">
        <f t="shared" si="31"/>
        <v>320000</v>
      </c>
      <c r="X80" s="9"/>
    </row>
    <row r="81" spans="1:24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>
        <v>32000</v>
      </c>
      <c r="G81" s="10"/>
      <c r="H81" s="10">
        <v>64000</v>
      </c>
      <c r="I81" s="10">
        <v>32000</v>
      </c>
      <c r="J81" s="10">
        <v>32000</v>
      </c>
      <c r="K81" s="10">
        <v>32000</v>
      </c>
      <c r="L81" s="10">
        <v>32000</v>
      </c>
      <c r="M81" s="10">
        <v>32000</v>
      </c>
      <c r="N81" s="10"/>
      <c r="O81" s="10"/>
      <c r="P81" s="10"/>
      <c r="Q81" s="10"/>
      <c r="R81" s="10"/>
      <c r="S81" s="10"/>
      <c r="T81" s="10"/>
      <c r="U81" s="10"/>
      <c r="V81" s="10">
        <v>32000</v>
      </c>
      <c r="W81" s="8">
        <f t="shared" si="31"/>
        <v>320000</v>
      </c>
      <c r="X81" s="9"/>
    </row>
    <row r="82" spans="1:24">
      <c r="A82" s="5" t="s">
        <v>208</v>
      </c>
      <c r="B82" s="6" t="s">
        <v>216</v>
      </c>
      <c r="C82" s="6"/>
      <c r="D82" s="7" t="s">
        <v>28</v>
      </c>
      <c r="E82" s="8">
        <f>E83+E86+E89</f>
        <v>349280</v>
      </c>
      <c r="F82" s="8">
        <f t="shared" ref="F82:V82" si="57">F83+F86+F89</f>
        <v>198240</v>
      </c>
      <c r="G82" s="8">
        <f t="shared" si="57"/>
        <v>0</v>
      </c>
      <c r="H82" s="8">
        <f t="shared" si="57"/>
        <v>377600</v>
      </c>
      <c r="I82" s="8">
        <f t="shared" si="57"/>
        <v>264320</v>
      </c>
      <c r="J82" s="8">
        <f t="shared" si="57"/>
        <v>151040</v>
      </c>
      <c r="K82" s="8">
        <f t="shared" si="57"/>
        <v>113280</v>
      </c>
      <c r="L82" s="8">
        <f t="shared" si="57"/>
        <v>108560</v>
      </c>
      <c r="M82" s="8">
        <f t="shared" si="57"/>
        <v>42480</v>
      </c>
      <c r="N82" s="8">
        <f t="shared" si="57"/>
        <v>37760</v>
      </c>
      <c r="O82" s="8">
        <f t="shared" si="57"/>
        <v>0</v>
      </c>
      <c r="P82" s="8">
        <f t="shared" si="57"/>
        <v>23600</v>
      </c>
      <c r="Q82" s="8">
        <f t="shared" si="57"/>
        <v>0</v>
      </c>
      <c r="R82" s="8">
        <f t="shared" si="57"/>
        <v>0</v>
      </c>
      <c r="S82" s="8">
        <f t="shared" si="57"/>
        <v>0</v>
      </c>
      <c r="T82" s="8">
        <f t="shared" si="57"/>
        <v>0</v>
      </c>
      <c r="U82" s="8">
        <f t="shared" si="57"/>
        <v>23600</v>
      </c>
      <c r="V82" s="8">
        <f t="shared" si="57"/>
        <v>188800</v>
      </c>
      <c r="W82" s="8">
        <f t="shared" si="31"/>
        <v>1878560</v>
      </c>
      <c r="X82" s="9"/>
    </row>
    <row r="83" spans="1:2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V83" si="58">F84+F85</f>
        <v>0</v>
      </c>
      <c r="G83" s="8">
        <f t="shared" si="58"/>
        <v>0</v>
      </c>
      <c r="H83" s="8">
        <f t="shared" si="58"/>
        <v>0</v>
      </c>
      <c r="I83" s="8">
        <f t="shared" si="58"/>
        <v>0</v>
      </c>
      <c r="J83" s="8">
        <f t="shared" si="58"/>
        <v>0</v>
      </c>
      <c r="K83" s="8">
        <f t="shared" si="58"/>
        <v>0</v>
      </c>
      <c r="L83" s="8">
        <f t="shared" si="58"/>
        <v>0</v>
      </c>
      <c r="M83" s="8">
        <f t="shared" si="58"/>
        <v>0</v>
      </c>
      <c r="N83" s="8">
        <f t="shared" si="58"/>
        <v>0</v>
      </c>
      <c r="O83" s="8">
        <f t="shared" si="58"/>
        <v>0</v>
      </c>
      <c r="P83" s="8">
        <f t="shared" si="58"/>
        <v>0</v>
      </c>
      <c r="Q83" s="8">
        <f t="shared" si="58"/>
        <v>0</v>
      </c>
      <c r="R83" s="8">
        <f t="shared" si="58"/>
        <v>0</v>
      </c>
      <c r="S83" s="8">
        <f t="shared" si="58"/>
        <v>0</v>
      </c>
      <c r="T83" s="8">
        <f t="shared" si="58"/>
        <v>0</v>
      </c>
      <c r="U83" s="8">
        <f t="shared" si="58"/>
        <v>0</v>
      </c>
      <c r="V83" s="8">
        <f t="shared" si="58"/>
        <v>0</v>
      </c>
      <c r="W83" s="8">
        <f t="shared" si="31"/>
        <v>0</v>
      </c>
      <c r="X83" s="9"/>
    </row>
    <row r="84" spans="1:2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8">
        <f t="shared" si="31"/>
        <v>0</v>
      </c>
      <c r="X84" s="15"/>
    </row>
    <row r="85" spans="1:2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8">
        <f t="shared" si="31"/>
        <v>0</v>
      </c>
      <c r="X85" s="15"/>
    </row>
    <row r="86" spans="1:24">
      <c r="A86" s="5" t="s">
        <v>217</v>
      </c>
      <c r="B86" s="6" t="s">
        <v>225</v>
      </c>
      <c r="C86" s="6"/>
      <c r="D86" s="7" t="s">
        <v>28</v>
      </c>
      <c r="E86" s="8">
        <f>E87+E88</f>
        <v>349280</v>
      </c>
      <c r="F86" s="8">
        <f t="shared" ref="F86:V86" si="59">F87+F88</f>
        <v>198240</v>
      </c>
      <c r="G86" s="8">
        <f t="shared" si="59"/>
        <v>0</v>
      </c>
      <c r="H86" s="8">
        <f t="shared" si="59"/>
        <v>377600</v>
      </c>
      <c r="I86" s="8">
        <f t="shared" si="59"/>
        <v>264320</v>
      </c>
      <c r="J86" s="8">
        <f t="shared" si="59"/>
        <v>151040</v>
      </c>
      <c r="K86" s="8">
        <f t="shared" si="59"/>
        <v>113280</v>
      </c>
      <c r="L86" s="8">
        <f t="shared" si="59"/>
        <v>108560</v>
      </c>
      <c r="M86" s="8">
        <f t="shared" si="59"/>
        <v>42480</v>
      </c>
      <c r="N86" s="8">
        <f t="shared" si="59"/>
        <v>37760</v>
      </c>
      <c r="O86" s="8">
        <f t="shared" si="59"/>
        <v>0</v>
      </c>
      <c r="P86" s="8">
        <f t="shared" si="59"/>
        <v>23600</v>
      </c>
      <c r="Q86" s="8">
        <f t="shared" si="59"/>
        <v>0</v>
      </c>
      <c r="R86" s="8">
        <f t="shared" si="59"/>
        <v>0</v>
      </c>
      <c r="S86" s="8">
        <f t="shared" si="59"/>
        <v>0</v>
      </c>
      <c r="T86" s="8">
        <f t="shared" si="59"/>
        <v>0</v>
      </c>
      <c r="U86" s="8">
        <f t="shared" si="59"/>
        <v>23600</v>
      </c>
      <c r="V86" s="8">
        <f t="shared" si="59"/>
        <v>188800</v>
      </c>
      <c r="W86" s="8">
        <f t="shared" si="31"/>
        <v>1878560</v>
      </c>
      <c r="X86" s="9"/>
    </row>
    <row r="87" spans="1:2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29600</v>
      </c>
      <c r="F87" s="8">
        <f t="shared" ref="F87:V87" si="60">F104*400</f>
        <v>16800</v>
      </c>
      <c r="G87" s="8">
        <f t="shared" si="60"/>
        <v>0</v>
      </c>
      <c r="H87" s="8">
        <f t="shared" si="60"/>
        <v>32000</v>
      </c>
      <c r="I87" s="8">
        <f t="shared" si="60"/>
        <v>22400</v>
      </c>
      <c r="J87" s="8">
        <f t="shared" si="60"/>
        <v>12800</v>
      </c>
      <c r="K87" s="8">
        <f t="shared" si="60"/>
        <v>9600</v>
      </c>
      <c r="L87" s="8">
        <f t="shared" si="60"/>
        <v>9200</v>
      </c>
      <c r="M87" s="8">
        <f t="shared" si="60"/>
        <v>3600</v>
      </c>
      <c r="N87" s="8">
        <f t="shared" si="60"/>
        <v>3200</v>
      </c>
      <c r="O87" s="8">
        <f t="shared" si="60"/>
        <v>0</v>
      </c>
      <c r="P87" s="8">
        <f t="shared" si="60"/>
        <v>2000</v>
      </c>
      <c r="Q87" s="8">
        <f t="shared" si="60"/>
        <v>0</v>
      </c>
      <c r="R87" s="8">
        <f t="shared" si="60"/>
        <v>0</v>
      </c>
      <c r="S87" s="8">
        <f t="shared" si="60"/>
        <v>0</v>
      </c>
      <c r="T87" s="8">
        <f t="shared" si="60"/>
        <v>0</v>
      </c>
      <c r="U87" s="8">
        <f t="shared" si="60"/>
        <v>2000</v>
      </c>
      <c r="V87" s="8">
        <f t="shared" si="60"/>
        <v>16000</v>
      </c>
      <c r="W87" s="8">
        <f t="shared" si="31"/>
        <v>159200</v>
      </c>
      <c r="X87" s="9"/>
    </row>
    <row r="88" spans="1:2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319680</v>
      </c>
      <c r="F88" s="8">
        <f t="shared" ref="F88:V88" si="61">F104*4320</f>
        <v>181440</v>
      </c>
      <c r="G88" s="8">
        <f t="shared" si="61"/>
        <v>0</v>
      </c>
      <c r="H88" s="8">
        <f t="shared" si="61"/>
        <v>345600</v>
      </c>
      <c r="I88" s="8">
        <f t="shared" si="61"/>
        <v>241920</v>
      </c>
      <c r="J88" s="8">
        <f t="shared" si="61"/>
        <v>138240</v>
      </c>
      <c r="K88" s="8">
        <f t="shared" si="61"/>
        <v>103680</v>
      </c>
      <c r="L88" s="8">
        <f t="shared" si="61"/>
        <v>99360</v>
      </c>
      <c r="M88" s="8">
        <f t="shared" si="61"/>
        <v>38880</v>
      </c>
      <c r="N88" s="8">
        <f t="shared" si="61"/>
        <v>34560</v>
      </c>
      <c r="O88" s="8">
        <f t="shared" si="61"/>
        <v>0</v>
      </c>
      <c r="P88" s="8">
        <f t="shared" si="61"/>
        <v>21600</v>
      </c>
      <c r="Q88" s="8">
        <f t="shared" si="61"/>
        <v>0</v>
      </c>
      <c r="R88" s="8">
        <f t="shared" si="61"/>
        <v>0</v>
      </c>
      <c r="S88" s="8">
        <f t="shared" si="61"/>
        <v>0</v>
      </c>
      <c r="T88" s="8">
        <f t="shared" si="61"/>
        <v>0</v>
      </c>
      <c r="U88" s="8">
        <f t="shared" si="61"/>
        <v>21600</v>
      </c>
      <c r="V88" s="8">
        <f t="shared" si="61"/>
        <v>172800</v>
      </c>
      <c r="W88" s="8">
        <f t="shared" si="31"/>
        <v>1719360</v>
      </c>
      <c r="X88" s="9"/>
    </row>
    <row r="89" spans="1:2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8">
        <f t="shared" si="31"/>
        <v>0</v>
      </c>
      <c r="X89" s="15"/>
    </row>
    <row r="90" spans="1:24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 t="shared" ref="F90:V90" si="62">F91</f>
        <v>0</v>
      </c>
      <c r="G90" s="8">
        <f t="shared" si="62"/>
        <v>32000</v>
      </c>
      <c r="H90" s="8">
        <f t="shared" si="62"/>
        <v>0</v>
      </c>
      <c r="I90" s="8">
        <f t="shared" si="62"/>
        <v>0</v>
      </c>
      <c r="J90" s="8">
        <f t="shared" si="62"/>
        <v>0</v>
      </c>
      <c r="K90" s="8">
        <f t="shared" si="62"/>
        <v>10000</v>
      </c>
      <c r="L90" s="8">
        <f t="shared" si="62"/>
        <v>10000</v>
      </c>
      <c r="M90" s="8">
        <f t="shared" si="62"/>
        <v>5000</v>
      </c>
      <c r="N90" s="8">
        <f t="shared" si="62"/>
        <v>32000</v>
      </c>
      <c r="O90" s="8">
        <f t="shared" si="62"/>
        <v>32000</v>
      </c>
      <c r="P90" s="8">
        <f t="shared" si="62"/>
        <v>32000</v>
      </c>
      <c r="Q90" s="8">
        <f t="shared" si="62"/>
        <v>32000</v>
      </c>
      <c r="R90" s="8">
        <f t="shared" si="62"/>
        <v>32000</v>
      </c>
      <c r="S90" s="8">
        <f t="shared" si="62"/>
        <v>32000</v>
      </c>
      <c r="T90" s="8">
        <f t="shared" si="62"/>
        <v>32000</v>
      </c>
      <c r="U90" s="8">
        <f t="shared" si="62"/>
        <v>32000</v>
      </c>
      <c r="V90" s="8">
        <f t="shared" si="62"/>
        <v>0</v>
      </c>
      <c r="W90" s="8">
        <f t="shared" ref="W90:W106" si="63">SUM(E90:V90)</f>
        <v>313000</v>
      </c>
      <c r="X90" s="9"/>
    </row>
    <row r="91" spans="1:2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/>
      <c r="G91" s="26">
        <v>32000</v>
      </c>
      <c r="H91" s="26"/>
      <c r="I91" s="26"/>
      <c r="J91" s="26"/>
      <c r="K91" s="26">
        <v>10000</v>
      </c>
      <c r="L91" s="26">
        <v>10000</v>
      </c>
      <c r="M91" s="26">
        <v>5000</v>
      </c>
      <c r="N91" s="26">
        <v>32000</v>
      </c>
      <c r="O91" s="26">
        <v>32000</v>
      </c>
      <c r="P91" s="26">
        <v>32000</v>
      </c>
      <c r="Q91" s="26">
        <v>32000</v>
      </c>
      <c r="R91" s="26">
        <v>32000</v>
      </c>
      <c r="S91" s="26">
        <v>32000</v>
      </c>
      <c r="T91" s="26">
        <v>32000</v>
      </c>
      <c r="U91" s="26">
        <v>32000</v>
      </c>
      <c r="V91" s="26"/>
      <c r="W91" s="8">
        <f t="shared" si="63"/>
        <v>313000</v>
      </c>
      <c r="X91" s="27"/>
    </row>
    <row r="92" spans="1:2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8">
        <f t="shared" si="63"/>
        <v>0</v>
      </c>
      <c r="X92" s="31"/>
    </row>
    <row r="93" spans="1:2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62</v>
      </c>
      <c r="F93" s="8">
        <f t="shared" ref="F93:V93" si="64">F94+F95+F96+F97</f>
        <v>72</v>
      </c>
      <c r="G93" s="8">
        <f t="shared" si="64"/>
        <v>80</v>
      </c>
      <c r="H93" s="8">
        <f t="shared" si="64"/>
        <v>75</v>
      </c>
      <c r="I93" s="8">
        <f t="shared" si="64"/>
        <v>81</v>
      </c>
      <c r="J93" s="8">
        <f t="shared" si="64"/>
        <v>64</v>
      </c>
      <c r="K93" s="8">
        <f t="shared" si="64"/>
        <v>116</v>
      </c>
      <c r="L93" s="8">
        <f t="shared" si="64"/>
        <v>59</v>
      </c>
      <c r="M93" s="8">
        <f t="shared" si="64"/>
        <v>45</v>
      </c>
      <c r="N93" s="8">
        <f t="shared" si="64"/>
        <v>69</v>
      </c>
      <c r="O93" s="8">
        <f t="shared" si="64"/>
        <v>21</v>
      </c>
      <c r="P93" s="8">
        <f t="shared" si="64"/>
        <v>50</v>
      </c>
      <c r="Q93" s="8">
        <f t="shared" si="64"/>
        <v>25</v>
      </c>
      <c r="R93" s="8">
        <f t="shared" si="64"/>
        <v>40</v>
      </c>
      <c r="S93" s="8">
        <f t="shared" si="64"/>
        <v>16</v>
      </c>
      <c r="T93" s="8">
        <f t="shared" si="64"/>
        <v>5</v>
      </c>
      <c r="U93" s="8">
        <f t="shared" si="64"/>
        <v>4</v>
      </c>
      <c r="V93" s="8">
        <f t="shared" si="64"/>
        <v>65</v>
      </c>
      <c r="W93" s="8">
        <f t="shared" si="63"/>
        <v>949</v>
      </c>
      <c r="X93" s="9"/>
    </row>
    <row r="94" spans="1:24">
      <c r="A94" s="5" t="s">
        <v>236</v>
      </c>
      <c r="B94" s="32" t="s">
        <v>245</v>
      </c>
      <c r="C94" s="32"/>
      <c r="D94" s="15"/>
      <c r="E94" s="16">
        <v>62</v>
      </c>
      <c r="F94" s="16">
        <v>72</v>
      </c>
      <c r="G94" s="16">
        <v>80</v>
      </c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>
        <v>65</v>
      </c>
      <c r="W94" s="8">
        <f t="shared" si="63"/>
        <v>279</v>
      </c>
      <c r="X94" s="9"/>
    </row>
    <row r="95" spans="1:24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75</v>
      </c>
      <c r="I95" s="10">
        <v>81</v>
      </c>
      <c r="J95" s="10">
        <v>64</v>
      </c>
      <c r="K95" s="10">
        <v>116</v>
      </c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8">
        <f t="shared" si="63"/>
        <v>336</v>
      </c>
      <c r="X95" s="9"/>
    </row>
    <row r="96" spans="1:24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/>
      <c r="K96" s="16"/>
      <c r="L96" s="16">
        <v>59</v>
      </c>
      <c r="M96" s="16">
        <v>45</v>
      </c>
      <c r="N96" s="16">
        <v>69</v>
      </c>
      <c r="O96" s="16">
        <v>21</v>
      </c>
      <c r="P96" s="16">
        <v>50</v>
      </c>
      <c r="Q96" s="16">
        <v>25</v>
      </c>
      <c r="R96" s="16">
        <v>40</v>
      </c>
      <c r="S96" s="16">
        <v>16</v>
      </c>
      <c r="T96" s="16">
        <v>5</v>
      </c>
      <c r="U96" s="16"/>
      <c r="V96" s="16"/>
      <c r="W96" s="8">
        <f t="shared" si="63"/>
        <v>330</v>
      </c>
      <c r="X96" s="9"/>
    </row>
    <row r="97" spans="1:2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>
        <v>4</v>
      </c>
      <c r="V97" s="16"/>
      <c r="W97" s="8">
        <f t="shared" si="63"/>
        <v>4</v>
      </c>
      <c r="X97" s="9"/>
    </row>
    <row r="98" spans="1:2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515</v>
      </c>
      <c r="F98" s="8">
        <f t="shared" ref="F98:V98" si="65">F99+F100+F101+F102</f>
        <v>671</v>
      </c>
      <c r="G98" s="8">
        <f t="shared" si="65"/>
        <v>992</v>
      </c>
      <c r="H98" s="8">
        <f t="shared" si="65"/>
        <v>797</v>
      </c>
      <c r="I98" s="8">
        <f t="shared" si="65"/>
        <v>731</v>
      </c>
      <c r="J98" s="8">
        <f t="shared" si="65"/>
        <v>747</v>
      </c>
      <c r="K98" s="8">
        <f t="shared" si="65"/>
        <v>1646</v>
      </c>
      <c r="L98" s="8">
        <f t="shared" si="65"/>
        <v>618</v>
      </c>
      <c r="M98" s="8">
        <f t="shared" si="65"/>
        <v>477</v>
      </c>
      <c r="N98" s="8">
        <f t="shared" si="65"/>
        <v>896</v>
      </c>
      <c r="O98" s="8">
        <f t="shared" si="65"/>
        <v>274</v>
      </c>
      <c r="P98" s="8">
        <f t="shared" si="65"/>
        <v>487</v>
      </c>
      <c r="Q98" s="8">
        <f t="shared" si="65"/>
        <v>275</v>
      </c>
      <c r="R98" s="8">
        <f t="shared" si="65"/>
        <v>424</v>
      </c>
      <c r="S98" s="8">
        <f t="shared" si="65"/>
        <v>270</v>
      </c>
      <c r="T98" s="8">
        <f t="shared" si="65"/>
        <v>50</v>
      </c>
      <c r="U98" s="8">
        <f t="shared" si="65"/>
        <v>0</v>
      </c>
      <c r="V98" s="8">
        <f t="shared" si="65"/>
        <v>770</v>
      </c>
      <c r="W98" s="8">
        <f t="shared" si="63"/>
        <v>10640</v>
      </c>
      <c r="X98" s="9"/>
    </row>
    <row r="99" spans="1:24">
      <c r="A99" s="5" t="s">
        <v>248</v>
      </c>
      <c r="B99" s="32" t="s">
        <v>245</v>
      </c>
      <c r="C99" s="32"/>
      <c r="D99" s="15"/>
      <c r="E99" s="16">
        <v>515</v>
      </c>
      <c r="F99" s="16">
        <v>671</v>
      </c>
      <c r="G99" s="16">
        <v>992</v>
      </c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>
        <v>770</v>
      </c>
      <c r="W99" s="8">
        <f t="shared" si="63"/>
        <v>2948</v>
      </c>
      <c r="X99" s="9"/>
    </row>
    <row r="100" spans="1:24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797</v>
      </c>
      <c r="I100" s="10">
        <v>731</v>
      </c>
      <c r="J100" s="10">
        <v>747</v>
      </c>
      <c r="K100" s="10">
        <v>1646</v>
      </c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8">
        <f t="shared" si="63"/>
        <v>3921</v>
      </c>
      <c r="X100" s="9"/>
    </row>
    <row r="101" spans="1:24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/>
      <c r="K101" s="16"/>
      <c r="L101" s="16">
        <v>618</v>
      </c>
      <c r="M101" s="16">
        <v>477</v>
      </c>
      <c r="N101" s="16">
        <v>896</v>
      </c>
      <c r="O101" s="16">
        <v>274</v>
      </c>
      <c r="P101" s="16">
        <v>487</v>
      </c>
      <c r="Q101" s="16">
        <v>275</v>
      </c>
      <c r="R101" s="16">
        <v>424</v>
      </c>
      <c r="S101" s="16">
        <v>270</v>
      </c>
      <c r="T101" s="16">
        <v>50</v>
      </c>
      <c r="U101" s="16"/>
      <c r="V101" s="16"/>
      <c r="W101" s="8">
        <f t="shared" si="63"/>
        <v>3771</v>
      </c>
      <c r="X101" s="9"/>
    </row>
    <row r="102" spans="1:2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8">
        <f t="shared" si="63"/>
        <v>0</v>
      </c>
      <c r="X102" s="9"/>
    </row>
    <row r="103" spans="1:24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8">
        <f t="shared" si="63"/>
        <v>0</v>
      </c>
      <c r="X103" s="9"/>
    </row>
    <row r="104" spans="1:24">
      <c r="A104" s="5" t="s">
        <v>257</v>
      </c>
      <c r="B104" s="6" t="s">
        <v>261</v>
      </c>
      <c r="C104" s="6"/>
      <c r="D104" s="7"/>
      <c r="E104" s="10">
        <v>74</v>
      </c>
      <c r="F104" s="10">
        <v>42</v>
      </c>
      <c r="G104" s="10"/>
      <c r="H104" s="10">
        <v>80</v>
      </c>
      <c r="I104" s="10">
        <v>56</v>
      </c>
      <c r="J104" s="10">
        <v>32</v>
      </c>
      <c r="K104" s="10">
        <v>24</v>
      </c>
      <c r="L104" s="10">
        <v>23</v>
      </c>
      <c r="M104" s="10">
        <v>9</v>
      </c>
      <c r="N104" s="10">
        <v>8</v>
      </c>
      <c r="O104" s="10"/>
      <c r="P104" s="10">
        <v>5</v>
      </c>
      <c r="Q104" s="10"/>
      <c r="R104" s="10"/>
      <c r="S104" s="10"/>
      <c r="T104" s="10"/>
      <c r="U104" s="10">
        <v>5</v>
      </c>
      <c r="V104" s="10">
        <v>40</v>
      </c>
      <c r="W104" s="8">
        <f t="shared" si="63"/>
        <v>398</v>
      </c>
      <c r="X104" s="9"/>
    </row>
    <row r="105" spans="1:24">
      <c r="A105" s="5" t="s">
        <v>258</v>
      </c>
      <c r="B105" s="32" t="s">
        <v>262</v>
      </c>
      <c r="C105" s="32"/>
      <c r="D105" s="20"/>
      <c r="E105" s="10">
        <v>7918.03</v>
      </c>
      <c r="F105" s="10">
        <v>22086.07</v>
      </c>
      <c r="G105" s="10">
        <v>17286.64</v>
      </c>
      <c r="H105" s="10">
        <v>12767.21</v>
      </c>
      <c r="I105" s="10">
        <v>10982.08</v>
      </c>
      <c r="J105" s="10">
        <v>6545.95</v>
      </c>
      <c r="K105" s="10">
        <v>20689.72</v>
      </c>
      <c r="L105" s="10">
        <v>9404.5</v>
      </c>
      <c r="M105" s="10">
        <v>4648.8900000000003</v>
      </c>
      <c r="N105" s="10">
        <v>11557.68</v>
      </c>
      <c r="O105" s="10">
        <v>5904.38</v>
      </c>
      <c r="P105" s="10">
        <v>8599.06</v>
      </c>
      <c r="Q105" s="10">
        <v>5925.03</v>
      </c>
      <c r="R105" s="10">
        <v>7947.39</v>
      </c>
      <c r="S105" s="10">
        <v>5724.12</v>
      </c>
      <c r="T105" s="10">
        <v>7630</v>
      </c>
      <c r="U105" s="10"/>
      <c r="V105" s="10">
        <v>12319.48</v>
      </c>
      <c r="W105" s="8">
        <f t="shared" si="63"/>
        <v>177936.23</v>
      </c>
      <c r="X105" s="9"/>
    </row>
    <row r="106" spans="1:24">
      <c r="A106" s="5" t="s">
        <v>259</v>
      </c>
      <c r="B106" s="32" t="s">
        <v>263</v>
      </c>
      <c r="C106" s="32"/>
      <c r="D106" s="20"/>
      <c r="E106" s="10">
        <v>5700</v>
      </c>
      <c r="F106" s="10">
        <v>9560.9500000000007</v>
      </c>
      <c r="G106" s="10">
        <v>8804.2000000000007</v>
      </c>
      <c r="H106" s="10">
        <v>7538</v>
      </c>
      <c r="I106" s="10">
        <v>9586</v>
      </c>
      <c r="J106" s="10">
        <v>3899</v>
      </c>
      <c r="K106" s="10">
        <v>12205</v>
      </c>
      <c r="L106" s="10">
        <v>4143</v>
      </c>
      <c r="M106" s="10">
        <v>2486</v>
      </c>
      <c r="N106" s="10">
        <v>4215.3500000000004</v>
      </c>
      <c r="O106" s="10">
        <v>2318.6999999999998</v>
      </c>
      <c r="P106" s="10">
        <v>3543</v>
      </c>
      <c r="Q106" s="10">
        <v>2030</v>
      </c>
      <c r="R106" s="10">
        <v>5677.6</v>
      </c>
      <c r="S106" s="10">
        <v>1964.4</v>
      </c>
      <c r="T106" s="10">
        <v>1089</v>
      </c>
      <c r="U106" s="10"/>
      <c r="V106" s="10">
        <v>3530</v>
      </c>
      <c r="W106" s="8">
        <f t="shared" si="63"/>
        <v>88290.2</v>
      </c>
      <c r="X106" s="9"/>
    </row>
    <row r="107" spans="1:24">
      <c r="E107" s="86">
        <f t="shared" ref="E107:W107" si="66">E4/E93</f>
        <v>364564.11967741937</v>
      </c>
      <c r="F107" s="1">
        <f t="shared" si="66"/>
        <v>348729.75472222216</v>
      </c>
      <c r="G107" s="1">
        <f t="shared" si="66"/>
        <v>337209.77712500002</v>
      </c>
      <c r="H107" s="1">
        <f t="shared" si="66"/>
        <v>347244.44559999998</v>
      </c>
      <c r="I107" s="1">
        <f t="shared" si="66"/>
        <v>356166.76975308644</v>
      </c>
      <c r="J107" s="1">
        <f t="shared" si="66"/>
        <v>343748.16062499996</v>
      </c>
      <c r="K107" s="1">
        <f t="shared" si="66"/>
        <v>342095.54784482764</v>
      </c>
      <c r="L107" s="1">
        <f t="shared" si="66"/>
        <v>323259.70508474577</v>
      </c>
      <c r="M107" s="1">
        <f t="shared" si="66"/>
        <v>323955.5988888889</v>
      </c>
      <c r="N107" s="1">
        <f t="shared" si="66"/>
        <v>312687.48797101452</v>
      </c>
      <c r="O107" s="1">
        <f t="shared" si="66"/>
        <v>311507.66619047621</v>
      </c>
      <c r="P107" s="1">
        <f t="shared" si="66"/>
        <v>310948.63660000003</v>
      </c>
      <c r="Q107" s="1">
        <f t="shared" si="66"/>
        <v>313700.76640000002</v>
      </c>
      <c r="R107" s="1">
        <f t="shared" si="66"/>
        <v>302451.52850000001</v>
      </c>
      <c r="S107" s="1">
        <f t="shared" si="66"/>
        <v>311862.76187500003</v>
      </c>
      <c r="T107" s="1">
        <f t="shared" si="66"/>
        <v>320455.62</v>
      </c>
      <c r="U107" s="1">
        <f t="shared" si="66"/>
        <v>350427.24</v>
      </c>
      <c r="V107" s="1">
        <f t="shared" si="66"/>
        <v>358999.42107692308</v>
      </c>
      <c r="W107" s="1">
        <f t="shared" si="66"/>
        <v>337037.19229715492</v>
      </c>
    </row>
  </sheetData>
  <protectedRanges>
    <protectedRange password="E9C1" sqref="D28 W21:X26 X20 W4:X9 X10 X27 A2:X3 A4:D5 W11:X19 B6:D26 W28:X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X1"/>
  </mergeCells>
  <phoneticPr fontId="3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R111"/>
  <sheetViews>
    <sheetView workbookViewId="0">
      <pane xSplit="4" ySplit="2" topLeftCell="K77" activePane="bottomRight" state="frozen"/>
      <selection pane="topRight" activeCell="E1" sqref="E1"/>
      <selection pane="bottomLeft" activeCell="A3" sqref="A3"/>
      <selection pane="bottomRight" activeCell="Q3" sqref="Q3:Q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8" ht="25.5">
      <c r="A1" s="373" t="s">
        <v>0</v>
      </c>
      <c r="B1" s="374"/>
      <c r="C1" s="374"/>
      <c r="D1" s="374"/>
      <c r="E1" s="374"/>
      <c r="F1" s="374"/>
      <c r="G1" s="374"/>
      <c r="H1" s="374"/>
      <c r="I1" s="374"/>
      <c r="J1" s="374"/>
      <c r="K1" s="374"/>
      <c r="L1" s="374"/>
      <c r="M1" s="374"/>
      <c r="N1" s="374"/>
      <c r="O1" s="374"/>
      <c r="P1" s="374"/>
      <c r="Q1" s="374"/>
      <c r="R1" s="374"/>
    </row>
    <row r="2" spans="1:18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294</v>
      </c>
      <c r="F2" s="3" t="s">
        <v>295</v>
      </c>
      <c r="G2" s="3" t="s">
        <v>296</v>
      </c>
      <c r="H2" s="3" t="s">
        <v>297</v>
      </c>
      <c r="I2" s="3" t="s">
        <v>298</v>
      </c>
      <c r="J2" s="3" t="s">
        <v>299</v>
      </c>
      <c r="K2" s="3" t="s">
        <v>300</v>
      </c>
      <c r="L2" s="3" t="s">
        <v>301</v>
      </c>
      <c r="M2" s="3" t="s">
        <v>302</v>
      </c>
      <c r="N2" s="3" t="s">
        <v>303</v>
      </c>
      <c r="O2" s="3" t="s">
        <v>304</v>
      </c>
      <c r="P2" s="3" t="s">
        <v>305</v>
      </c>
      <c r="Q2" s="3" t="s">
        <v>24</v>
      </c>
      <c r="R2" s="4" t="s">
        <v>25</v>
      </c>
    </row>
    <row r="3" spans="1:18">
      <c r="A3" s="5" t="s">
        <v>26</v>
      </c>
      <c r="B3" s="6" t="s">
        <v>27</v>
      </c>
      <c r="C3" s="6"/>
      <c r="D3" s="7" t="s">
        <v>28</v>
      </c>
      <c r="E3" s="8">
        <f t="shared" ref="E3:P3" si="0">E4+E30+E49</f>
        <v>3270628.59</v>
      </c>
      <c r="F3" s="8">
        <f t="shared" si="0"/>
        <v>70438786.730000004</v>
      </c>
      <c r="G3" s="8">
        <f t="shared" si="0"/>
        <v>38072104.530000001</v>
      </c>
      <c r="H3" s="8">
        <f t="shared" si="0"/>
        <v>29315112.400000002</v>
      </c>
      <c r="I3" s="8">
        <f t="shared" si="0"/>
        <v>49595424.289999999</v>
      </c>
      <c r="J3" s="8">
        <f t="shared" si="0"/>
        <v>10919410.069999998</v>
      </c>
      <c r="K3" s="8">
        <f t="shared" si="0"/>
        <v>8203156.2200000007</v>
      </c>
      <c r="L3" s="8">
        <f t="shared" si="0"/>
        <v>9897772.8200000003</v>
      </c>
      <c r="M3" s="8">
        <f t="shared" si="0"/>
        <v>9479815.0800000001</v>
      </c>
      <c r="N3" s="8">
        <f t="shared" si="0"/>
        <v>17772593.420000002</v>
      </c>
      <c r="O3" s="8">
        <f t="shared" si="0"/>
        <v>7721789.2400000002</v>
      </c>
      <c r="P3" s="8">
        <f t="shared" si="0"/>
        <v>7698965.6199999992</v>
      </c>
      <c r="Q3" s="8">
        <f t="shared" ref="Q3:Q9" si="1">SUM(E3:P3)</f>
        <v>262385559.00999999</v>
      </c>
      <c r="R3" s="9"/>
    </row>
    <row r="4" spans="1:18">
      <c r="A4" s="5" t="s">
        <v>29</v>
      </c>
      <c r="B4" s="6" t="s">
        <v>30</v>
      </c>
      <c r="C4" s="6"/>
      <c r="D4" s="7" t="s">
        <v>28</v>
      </c>
      <c r="E4" s="8">
        <f t="shared" ref="E4:P4" si="2">E5+E8+E12+E15+E18+E20+E23+E25+E27+E28+E29</f>
        <v>2905521.88</v>
      </c>
      <c r="F4" s="8">
        <f t="shared" si="2"/>
        <v>62385830.439999998</v>
      </c>
      <c r="G4" s="8">
        <f t="shared" si="2"/>
        <v>32181094.439999998</v>
      </c>
      <c r="H4" s="8">
        <f t="shared" si="2"/>
        <v>24917539.510000002</v>
      </c>
      <c r="I4" s="8">
        <f t="shared" si="2"/>
        <v>40992238.719999999</v>
      </c>
      <c r="J4" s="8">
        <f t="shared" si="2"/>
        <v>9598406.209999999</v>
      </c>
      <c r="K4" s="8">
        <f t="shared" si="2"/>
        <v>7017094.6600000001</v>
      </c>
      <c r="L4" s="8">
        <f t="shared" si="2"/>
        <v>8611465.8200000003</v>
      </c>
      <c r="M4" s="8">
        <f t="shared" si="2"/>
        <v>7844213.7699999996</v>
      </c>
      <c r="N4" s="8">
        <f t="shared" si="2"/>
        <v>15368957.850000001</v>
      </c>
      <c r="O4" s="8">
        <f t="shared" si="2"/>
        <v>6454895.9100000001</v>
      </c>
      <c r="P4" s="8">
        <f t="shared" si="2"/>
        <v>6053868.1899999995</v>
      </c>
      <c r="Q4" s="8">
        <f t="shared" si="1"/>
        <v>224331127.40000001</v>
      </c>
      <c r="R4" s="9"/>
    </row>
    <row r="5" spans="1:18">
      <c r="A5" s="5" t="s">
        <v>31</v>
      </c>
      <c r="B5" s="6" t="s">
        <v>32</v>
      </c>
      <c r="C5" s="6"/>
      <c r="D5" s="7" t="s">
        <v>28</v>
      </c>
      <c r="E5" s="8">
        <f>E6+E7</f>
        <v>436692</v>
      </c>
      <c r="F5" s="8">
        <f t="shared" ref="F5:P5" si="3">F6+F7</f>
        <v>9703476</v>
      </c>
      <c r="G5" s="8">
        <f t="shared" si="3"/>
        <v>3593568</v>
      </c>
      <c r="H5" s="8">
        <f t="shared" si="3"/>
        <v>2871588</v>
      </c>
      <c r="I5" s="8">
        <f t="shared" si="3"/>
        <v>4601004</v>
      </c>
      <c r="J5" s="8">
        <f t="shared" si="3"/>
        <v>1455612</v>
      </c>
      <c r="K5" s="8">
        <f t="shared" si="3"/>
        <v>921336</v>
      </c>
      <c r="L5" s="8">
        <f t="shared" si="3"/>
        <v>1070320.7999999998</v>
      </c>
      <c r="M5" s="8">
        <f t="shared" si="3"/>
        <v>951012</v>
      </c>
      <c r="N5" s="8">
        <f t="shared" si="3"/>
        <v>1923084</v>
      </c>
      <c r="O5" s="8">
        <f t="shared" si="3"/>
        <v>775608</v>
      </c>
      <c r="P5" s="8">
        <f t="shared" si="3"/>
        <v>701976</v>
      </c>
      <c r="Q5" s="8">
        <f t="shared" si="1"/>
        <v>29005276.800000001</v>
      </c>
      <c r="R5" s="9"/>
    </row>
    <row r="6" spans="1:18">
      <c r="A6" s="5" t="s">
        <v>33</v>
      </c>
      <c r="B6" s="6" t="s">
        <v>34</v>
      </c>
      <c r="C6" s="6" t="s">
        <v>35</v>
      </c>
      <c r="D6" s="7" t="s">
        <v>36</v>
      </c>
      <c r="E6" s="10">
        <v>207840</v>
      </c>
      <c r="F6" s="10">
        <v>4735128</v>
      </c>
      <c r="G6" s="10">
        <v>2322252</v>
      </c>
      <c r="H6" s="10">
        <v>1892376</v>
      </c>
      <c r="I6" s="10">
        <v>3004692</v>
      </c>
      <c r="J6" s="10">
        <v>760848</v>
      </c>
      <c r="K6" s="10">
        <v>573240</v>
      </c>
      <c r="L6" s="10">
        <v>682651.2</v>
      </c>
      <c r="M6" s="10">
        <v>619212</v>
      </c>
      <c r="N6" s="10">
        <v>1255488</v>
      </c>
      <c r="O6" s="10">
        <v>508200</v>
      </c>
      <c r="P6" s="10">
        <v>476520</v>
      </c>
      <c r="Q6" s="8">
        <f t="shared" si="1"/>
        <v>17038447.199999999</v>
      </c>
      <c r="R6" s="11"/>
    </row>
    <row r="7" spans="1:18">
      <c r="A7" s="5" t="s">
        <v>37</v>
      </c>
      <c r="B7" s="6" t="s">
        <v>38</v>
      </c>
      <c r="C7" s="6" t="s">
        <v>35</v>
      </c>
      <c r="D7" s="7" t="s">
        <v>36</v>
      </c>
      <c r="E7" s="10">
        <v>228852</v>
      </c>
      <c r="F7" s="10">
        <v>4968348</v>
      </c>
      <c r="G7" s="10">
        <v>1271316</v>
      </c>
      <c r="H7" s="10">
        <v>979212</v>
      </c>
      <c r="I7" s="10">
        <v>1596312</v>
      </c>
      <c r="J7" s="10">
        <v>694764</v>
      </c>
      <c r="K7" s="10">
        <v>348096</v>
      </c>
      <c r="L7" s="10">
        <v>387669.6</v>
      </c>
      <c r="M7" s="10">
        <v>331800</v>
      </c>
      <c r="N7" s="10">
        <v>667596</v>
      </c>
      <c r="O7" s="10">
        <v>267408</v>
      </c>
      <c r="P7" s="10">
        <v>225456</v>
      </c>
      <c r="Q7" s="8">
        <f t="shared" si="1"/>
        <v>11966829.6</v>
      </c>
      <c r="R7" s="9"/>
    </row>
    <row r="8" spans="1:18">
      <c r="A8" s="5" t="s">
        <v>39</v>
      </c>
      <c r="B8" s="6" t="s">
        <v>40</v>
      </c>
      <c r="C8" s="6"/>
      <c r="D8" s="7" t="s">
        <v>28</v>
      </c>
      <c r="E8" s="8">
        <f>E9+E10</f>
        <v>42912</v>
      </c>
      <c r="F8" s="8">
        <f t="shared" ref="F8:P8" si="4">F9+F10</f>
        <v>908916</v>
      </c>
      <c r="G8" s="8">
        <f t="shared" si="4"/>
        <v>503592</v>
      </c>
      <c r="H8" s="8">
        <f t="shared" si="4"/>
        <v>387864</v>
      </c>
      <c r="I8" s="8">
        <f t="shared" si="4"/>
        <v>648660</v>
      </c>
      <c r="J8" s="8">
        <f t="shared" si="4"/>
        <v>155964</v>
      </c>
      <c r="K8" s="8">
        <f t="shared" si="4"/>
        <v>117480</v>
      </c>
      <c r="L8" s="8">
        <f t="shared" si="4"/>
        <v>143808</v>
      </c>
      <c r="M8" s="8">
        <f t="shared" si="4"/>
        <v>133332</v>
      </c>
      <c r="N8" s="8">
        <f t="shared" si="4"/>
        <v>271584</v>
      </c>
      <c r="O8" s="8">
        <f t="shared" si="4"/>
        <v>116484</v>
      </c>
      <c r="P8" s="8">
        <f t="shared" si="4"/>
        <v>106236</v>
      </c>
      <c r="Q8" s="8">
        <f t="shared" si="1"/>
        <v>3536832</v>
      </c>
      <c r="R8" s="9"/>
    </row>
    <row r="9" spans="1:18">
      <c r="A9" s="5" t="s">
        <v>41</v>
      </c>
      <c r="B9" s="6" t="s">
        <v>42</v>
      </c>
      <c r="C9" s="6" t="s">
        <v>35</v>
      </c>
      <c r="D9" s="7" t="s">
        <v>36</v>
      </c>
      <c r="E9" s="10">
        <v>672</v>
      </c>
      <c r="F9" s="10">
        <v>16596</v>
      </c>
      <c r="G9" s="10">
        <v>1992</v>
      </c>
      <c r="H9" s="10">
        <v>2424</v>
      </c>
      <c r="I9" s="10">
        <v>4500</v>
      </c>
      <c r="J9" s="10">
        <v>2844</v>
      </c>
      <c r="K9" s="10">
        <v>1320</v>
      </c>
      <c r="L9" s="10">
        <v>1248</v>
      </c>
      <c r="M9" s="10">
        <v>1332</v>
      </c>
      <c r="N9" s="10">
        <v>2304</v>
      </c>
      <c r="O9" s="10">
        <v>5604</v>
      </c>
      <c r="P9" s="10">
        <v>636</v>
      </c>
      <c r="Q9" s="8">
        <f t="shared" si="1"/>
        <v>41472</v>
      </c>
      <c r="R9" s="9"/>
    </row>
    <row r="10" spans="1:18">
      <c r="A10" s="5" t="s">
        <v>43</v>
      </c>
      <c r="B10" s="6" t="s">
        <v>44</v>
      </c>
      <c r="C10" s="6"/>
      <c r="D10" s="7" t="s">
        <v>28</v>
      </c>
      <c r="E10" s="8">
        <f>E11</f>
        <v>42240</v>
      </c>
      <c r="F10" s="8">
        <f t="shared" ref="F10:Q10" si="5">F11</f>
        <v>892320</v>
      </c>
      <c r="G10" s="8">
        <f t="shared" si="5"/>
        <v>501600</v>
      </c>
      <c r="H10" s="8">
        <f t="shared" si="5"/>
        <v>385440</v>
      </c>
      <c r="I10" s="8">
        <f t="shared" si="5"/>
        <v>644160</v>
      </c>
      <c r="J10" s="8">
        <f t="shared" si="5"/>
        <v>153120</v>
      </c>
      <c r="K10" s="8">
        <f t="shared" si="5"/>
        <v>116160</v>
      </c>
      <c r="L10" s="8">
        <f t="shared" si="5"/>
        <v>142560</v>
      </c>
      <c r="M10" s="8">
        <f t="shared" si="5"/>
        <v>132000</v>
      </c>
      <c r="N10" s="8">
        <f t="shared" si="5"/>
        <v>269280</v>
      </c>
      <c r="O10" s="8">
        <f t="shared" si="5"/>
        <v>110880</v>
      </c>
      <c r="P10" s="8">
        <f t="shared" si="5"/>
        <v>105600</v>
      </c>
      <c r="Q10" s="8">
        <f t="shared" si="5"/>
        <v>3495360</v>
      </c>
      <c r="R10" s="9"/>
    </row>
    <row r="11" spans="1:18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42240</v>
      </c>
      <c r="F11" s="8">
        <f t="shared" ref="F11:P11" si="6">440*12*F93</f>
        <v>892320</v>
      </c>
      <c r="G11" s="8">
        <f t="shared" si="6"/>
        <v>501600</v>
      </c>
      <c r="H11" s="8">
        <f t="shared" si="6"/>
        <v>385440</v>
      </c>
      <c r="I11" s="8">
        <f t="shared" si="6"/>
        <v>644160</v>
      </c>
      <c r="J11" s="8">
        <f t="shared" si="6"/>
        <v>153120</v>
      </c>
      <c r="K11" s="8">
        <f t="shared" si="6"/>
        <v>116160</v>
      </c>
      <c r="L11" s="8">
        <f t="shared" si="6"/>
        <v>142560</v>
      </c>
      <c r="M11" s="8">
        <f t="shared" si="6"/>
        <v>132000</v>
      </c>
      <c r="N11" s="8">
        <f t="shared" si="6"/>
        <v>269280</v>
      </c>
      <c r="O11" s="8">
        <f t="shared" si="6"/>
        <v>110880</v>
      </c>
      <c r="P11" s="8">
        <f t="shared" si="6"/>
        <v>105600</v>
      </c>
      <c r="Q11" s="8">
        <f t="shared" ref="Q11:Q26" si="7">SUM(E11:P11)</f>
        <v>3495360</v>
      </c>
      <c r="R11" s="9"/>
    </row>
    <row r="12" spans="1:18">
      <c r="A12" s="5" t="s">
        <v>47</v>
      </c>
      <c r="B12" s="6" t="s">
        <v>48</v>
      </c>
      <c r="C12" s="6"/>
      <c r="D12" s="7" t="s">
        <v>49</v>
      </c>
      <c r="E12" s="8">
        <f>E13+E14</f>
        <v>14583.89</v>
      </c>
      <c r="F12" s="8">
        <f t="shared" ref="F12:P12" si="8">F13+F14</f>
        <v>301212.43</v>
      </c>
      <c r="G12" s="8">
        <f t="shared" si="8"/>
        <v>152658.43</v>
      </c>
      <c r="H12" s="8">
        <f t="shared" si="8"/>
        <v>118577.51999999999</v>
      </c>
      <c r="I12" s="8">
        <f t="shared" si="8"/>
        <v>190764.72</v>
      </c>
      <c r="J12" s="8">
        <f t="shared" si="8"/>
        <v>44936.2</v>
      </c>
      <c r="K12" s="8">
        <f t="shared" si="8"/>
        <v>32770.65</v>
      </c>
      <c r="L12" s="8">
        <f t="shared" si="8"/>
        <v>41205.020000000004</v>
      </c>
      <c r="M12" s="8">
        <f t="shared" si="8"/>
        <v>36689.759999999995</v>
      </c>
      <c r="N12" s="8">
        <f t="shared" si="8"/>
        <v>64781.85</v>
      </c>
      <c r="O12" s="8">
        <f t="shared" si="8"/>
        <v>28931.91</v>
      </c>
      <c r="P12" s="8">
        <f t="shared" si="8"/>
        <v>26700.190000000002</v>
      </c>
      <c r="Q12" s="8">
        <f t="shared" si="7"/>
        <v>1053812.57</v>
      </c>
      <c r="R12" s="9"/>
    </row>
    <row r="13" spans="1:18" s="13" customFormat="1">
      <c r="A13" s="5" t="s">
        <v>50</v>
      </c>
      <c r="B13" s="49" t="s">
        <v>584</v>
      </c>
      <c r="C13" s="12" t="s">
        <v>35</v>
      </c>
      <c r="D13" s="9" t="s">
        <v>51</v>
      </c>
      <c r="E13" s="8">
        <f>ROUND(E28/0.07*0.00256,2)</f>
        <v>4938.46</v>
      </c>
      <c r="F13" s="8">
        <f t="shared" ref="F13:P13" si="9">ROUND(F28/0.07*0.00256,2)</f>
        <v>101997.86</v>
      </c>
      <c r="G13" s="8">
        <f t="shared" si="9"/>
        <v>51693.86</v>
      </c>
      <c r="H13" s="8">
        <f t="shared" si="9"/>
        <v>40153.230000000003</v>
      </c>
      <c r="I13" s="8">
        <f t="shared" si="9"/>
        <v>64597.58</v>
      </c>
      <c r="J13" s="8">
        <f t="shared" si="9"/>
        <v>15216.49</v>
      </c>
      <c r="K13" s="8">
        <f t="shared" si="9"/>
        <v>11096.94</v>
      </c>
      <c r="L13" s="8">
        <f t="shared" si="9"/>
        <v>13953.02</v>
      </c>
      <c r="M13" s="8">
        <f t="shared" si="9"/>
        <v>12424.05</v>
      </c>
      <c r="N13" s="8">
        <f t="shared" si="9"/>
        <v>21936.71</v>
      </c>
      <c r="O13" s="8">
        <f t="shared" si="9"/>
        <v>9797.0499999999993</v>
      </c>
      <c r="P13" s="8">
        <f t="shared" si="9"/>
        <v>9041.33</v>
      </c>
      <c r="Q13" s="8">
        <f t="shared" si="7"/>
        <v>356846.58</v>
      </c>
      <c r="R13" s="9"/>
    </row>
    <row r="14" spans="1:18" s="13" customFormat="1">
      <c r="A14" s="5" t="s">
        <v>52</v>
      </c>
      <c r="B14" s="49" t="s">
        <v>585</v>
      </c>
      <c r="C14" s="12" t="s">
        <v>35</v>
      </c>
      <c r="D14" s="9" t="s">
        <v>51</v>
      </c>
      <c r="E14" s="8">
        <f>ROUND(E28/0.07*0.005,2)</f>
        <v>9645.43</v>
      </c>
      <c r="F14" s="8">
        <f t="shared" ref="F14:P14" si="10">ROUND(F28/0.07*0.005,2)</f>
        <v>199214.57</v>
      </c>
      <c r="G14" s="8">
        <f t="shared" si="10"/>
        <v>100964.57</v>
      </c>
      <c r="H14" s="8">
        <f t="shared" si="10"/>
        <v>78424.289999999994</v>
      </c>
      <c r="I14" s="8">
        <f t="shared" si="10"/>
        <v>126167.14</v>
      </c>
      <c r="J14" s="8">
        <f t="shared" si="10"/>
        <v>29719.71</v>
      </c>
      <c r="K14" s="8">
        <f t="shared" si="10"/>
        <v>21673.71</v>
      </c>
      <c r="L14" s="8">
        <f t="shared" si="10"/>
        <v>27252</v>
      </c>
      <c r="M14" s="8">
        <f t="shared" si="10"/>
        <v>24265.71</v>
      </c>
      <c r="N14" s="8">
        <f t="shared" si="10"/>
        <v>42845.14</v>
      </c>
      <c r="O14" s="8">
        <f t="shared" si="10"/>
        <v>19134.86</v>
      </c>
      <c r="P14" s="8">
        <f t="shared" si="10"/>
        <v>17658.86</v>
      </c>
      <c r="Q14" s="8">
        <f t="shared" si="7"/>
        <v>696965.98999999987</v>
      </c>
      <c r="R14" s="9"/>
    </row>
    <row r="15" spans="1:18">
      <c r="A15" s="5" t="s">
        <v>53</v>
      </c>
      <c r="B15" s="6" t="s">
        <v>55</v>
      </c>
      <c r="C15" s="6"/>
      <c r="D15" s="7" t="s">
        <v>28</v>
      </c>
      <c r="E15" s="8">
        <v>1485600</v>
      </c>
      <c r="F15" s="8">
        <v>32329700</v>
      </c>
      <c r="G15" s="8">
        <v>18173500</v>
      </c>
      <c r="H15" s="8">
        <v>13964900</v>
      </c>
      <c r="I15" s="8">
        <v>23338600</v>
      </c>
      <c r="J15" s="8">
        <v>5063400</v>
      </c>
      <c r="K15" s="8">
        <v>3841200</v>
      </c>
      <c r="L15" s="8">
        <v>4714200</v>
      </c>
      <c r="M15" s="8">
        <v>4365000</v>
      </c>
      <c r="N15" s="8">
        <v>8904600</v>
      </c>
      <c r="O15" s="8">
        <v>3666600</v>
      </c>
      <c r="P15" s="8">
        <v>3492000</v>
      </c>
      <c r="Q15" s="8">
        <f t="shared" si="7"/>
        <v>123339300</v>
      </c>
      <c r="R15" s="9"/>
    </row>
    <row r="16" spans="1:18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1485600</v>
      </c>
      <c r="F16" s="16">
        <f t="shared" ref="F16:N16" si="11">F15-F17</f>
        <v>31956900</v>
      </c>
      <c r="G16" s="16">
        <f t="shared" si="11"/>
        <v>18173500</v>
      </c>
      <c r="H16" s="16">
        <f t="shared" si="11"/>
        <v>13759088</v>
      </c>
      <c r="I16" s="16">
        <f t="shared" si="11"/>
        <v>23081920</v>
      </c>
      <c r="J16" s="16">
        <f t="shared" si="11"/>
        <v>4887784</v>
      </c>
      <c r="K16" s="16">
        <f t="shared" si="11"/>
        <v>3666544</v>
      </c>
      <c r="L16" s="16">
        <f t="shared" si="11"/>
        <v>4532464</v>
      </c>
      <c r="M16" s="16">
        <f t="shared" si="11"/>
        <v>4198064</v>
      </c>
      <c r="N16" s="16">
        <f t="shared" si="11"/>
        <v>8706448</v>
      </c>
      <c r="O16" s="16">
        <f>O15-O17</f>
        <v>3496196</v>
      </c>
      <c r="P16" s="16">
        <f t="shared" ref="P16" si="12">P15-P17</f>
        <v>3325064</v>
      </c>
      <c r="Q16" s="8">
        <f t="shared" si="7"/>
        <v>121269572</v>
      </c>
      <c r="R16" s="15"/>
    </row>
    <row r="17" spans="1:18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372800</v>
      </c>
      <c r="G17" s="16"/>
      <c r="H17" s="16">
        <v>205812</v>
      </c>
      <c r="I17" s="16">
        <v>256680</v>
      </c>
      <c r="J17" s="16">
        <v>175616</v>
      </c>
      <c r="K17" s="16">
        <v>174656</v>
      </c>
      <c r="L17" s="16">
        <v>181736</v>
      </c>
      <c r="M17" s="16">
        <v>166936</v>
      </c>
      <c r="N17" s="16">
        <v>198152</v>
      </c>
      <c r="O17" s="16">
        <v>170404</v>
      </c>
      <c r="P17" s="16">
        <v>166936</v>
      </c>
      <c r="Q17" s="8">
        <f t="shared" si="7"/>
        <v>2069728</v>
      </c>
      <c r="R17" s="15"/>
    </row>
    <row r="18" spans="1:18">
      <c r="A18" s="5" t="s">
        <v>59</v>
      </c>
      <c r="B18" s="6" t="s">
        <v>63</v>
      </c>
      <c r="C18" s="6"/>
      <c r="D18" s="15" t="s">
        <v>28</v>
      </c>
      <c r="E18" s="17">
        <f>E19</f>
        <v>202554</v>
      </c>
      <c r="F18" s="17">
        <f t="shared" ref="F18:P18" si="13">F19</f>
        <v>4183506</v>
      </c>
      <c r="G18" s="17">
        <f t="shared" si="13"/>
        <v>2120256</v>
      </c>
      <c r="H18" s="17">
        <f t="shared" si="13"/>
        <v>1646910</v>
      </c>
      <c r="I18" s="17">
        <f t="shared" si="13"/>
        <v>2649510</v>
      </c>
      <c r="J18" s="17">
        <f t="shared" si="13"/>
        <v>624114</v>
      </c>
      <c r="K18" s="17">
        <f t="shared" si="13"/>
        <v>455148</v>
      </c>
      <c r="L18" s="17">
        <f t="shared" si="13"/>
        <v>572292</v>
      </c>
      <c r="M18" s="17">
        <f t="shared" si="13"/>
        <v>509580</v>
      </c>
      <c r="N18" s="17">
        <f t="shared" si="13"/>
        <v>899748</v>
      </c>
      <c r="O18" s="17">
        <f t="shared" si="13"/>
        <v>401832</v>
      </c>
      <c r="P18" s="17">
        <f t="shared" si="13"/>
        <v>370836</v>
      </c>
      <c r="Q18" s="8">
        <f t="shared" si="7"/>
        <v>14636286</v>
      </c>
      <c r="R18" s="15"/>
    </row>
    <row r="19" spans="1:18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202554</v>
      </c>
      <c r="F19" s="17">
        <f t="shared" ref="F19:P19" si="14">ROUND(F28/0.07*0.105,2)</f>
        <v>4183506</v>
      </c>
      <c r="G19" s="17">
        <f t="shared" si="14"/>
        <v>2120256</v>
      </c>
      <c r="H19" s="17">
        <f t="shared" si="14"/>
        <v>1646910</v>
      </c>
      <c r="I19" s="17">
        <f t="shared" si="14"/>
        <v>2649510</v>
      </c>
      <c r="J19" s="17">
        <f t="shared" si="14"/>
        <v>624114</v>
      </c>
      <c r="K19" s="17">
        <f t="shared" si="14"/>
        <v>455148</v>
      </c>
      <c r="L19" s="17">
        <f t="shared" si="14"/>
        <v>572292</v>
      </c>
      <c r="M19" s="17">
        <f t="shared" si="14"/>
        <v>509580</v>
      </c>
      <c r="N19" s="17">
        <f t="shared" si="14"/>
        <v>899748</v>
      </c>
      <c r="O19" s="17">
        <f t="shared" si="14"/>
        <v>401832</v>
      </c>
      <c r="P19" s="17">
        <f t="shared" si="14"/>
        <v>370836</v>
      </c>
      <c r="Q19" s="8">
        <f t="shared" si="7"/>
        <v>14636286</v>
      </c>
      <c r="R19" s="15"/>
    </row>
    <row r="20" spans="1:18">
      <c r="A20" s="5" t="s">
        <v>64</v>
      </c>
      <c r="B20" s="6" t="s">
        <v>68</v>
      </c>
      <c r="C20" s="6"/>
      <c r="D20" s="15" t="s">
        <v>51</v>
      </c>
      <c r="E20" s="17">
        <f>E21+E22</f>
        <v>77163.42</v>
      </c>
      <c r="F20" s="17">
        <f t="shared" ref="F20:P20" si="15">F21+F22</f>
        <v>1593716.58</v>
      </c>
      <c r="G20" s="17">
        <f t="shared" si="15"/>
        <v>807716.58</v>
      </c>
      <c r="H20" s="17">
        <f t="shared" si="15"/>
        <v>627394.28</v>
      </c>
      <c r="I20" s="17">
        <f t="shared" si="15"/>
        <v>1009337.14</v>
      </c>
      <c r="J20" s="17">
        <f t="shared" si="15"/>
        <v>237757.72</v>
      </c>
      <c r="K20" s="17">
        <f t="shared" si="15"/>
        <v>173389.72</v>
      </c>
      <c r="L20" s="17">
        <f t="shared" si="15"/>
        <v>218016</v>
      </c>
      <c r="M20" s="17">
        <f t="shared" si="15"/>
        <v>194125.72</v>
      </c>
      <c r="N20" s="17">
        <f t="shared" si="15"/>
        <v>342761.14</v>
      </c>
      <c r="O20" s="17">
        <f t="shared" si="15"/>
        <v>153078.85999999999</v>
      </c>
      <c r="P20" s="17">
        <f t="shared" si="15"/>
        <v>141270.85999999999</v>
      </c>
      <c r="Q20" s="8">
        <f t="shared" si="7"/>
        <v>5575728.0200000005</v>
      </c>
      <c r="R20" s="15"/>
    </row>
    <row r="21" spans="1:18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38581.71</v>
      </c>
      <c r="F21" s="17">
        <f t="shared" ref="F21:P21" si="16">ROUND(F28/0.07*0.02,2)</f>
        <v>796858.29</v>
      </c>
      <c r="G21" s="17">
        <f t="shared" si="16"/>
        <v>403858.29</v>
      </c>
      <c r="H21" s="17">
        <f t="shared" si="16"/>
        <v>313697.14</v>
      </c>
      <c r="I21" s="17">
        <f t="shared" si="16"/>
        <v>504668.57</v>
      </c>
      <c r="J21" s="17">
        <f t="shared" si="16"/>
        <v>118878.86</v>
      </c>
      <c r="K21" s="17">
        <f t="shared" si="16"/>
        <v>86694.86</v>
      </c>
      <c r="L21" s="17">
        <f t="shared" si="16"/>
        <v>109008</v>
      </c>
      <c r="M21" s="17">
        <f t="shared" si="16"/>
        <v>97062.86</v>
      </c>
      <c r="N21" s="17">
        <f t="shared" si="16"/>
        <v>171380.57</v>
      </c>
      <c r="O21" s="17">
        <f t="shared" si="16"/>
        <v>76539.429999999993</v>
      </c>
      <c r="P21" s="17">
        <f t="shared" si="16"/>
        <v>70635.429999999993</v>
      </c>
      <c r="Q21" s="8">
        <f t="shared" si="7"/>
        <v>2787864.0100000002</v>
      </c>
      <c r="R21" s="15"/>
    </row>
    <row r="22" spans="1:18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38581.71</v>
      </c>
      <c r="F22" s="17">
        <f t="shared" ref="F22:P22" si="17">ROUND(F28/0.07*0.02,2)</f>
        <v>796858.29</v>
      </c>
      <c r="G22" s="17">
        <f t="shared" si="17"/>
        <v>403858.29</v>
      </c>
      <c r="H22" s="17">
        <f t="shared" si="17"/>
        <v>313697.14</v>
      </c>
      <c r="I22" s="17">
        <f t="shared" si="17"/>
        <v>504668.57</v>
      </c>
      <c r="J22" s="17">
        <f t="shared" si="17"/>
        <v>118878.86</v>
      </c>
      <c r="K22" s="17">
        <f t="shared" si="17"/>
        <v>86694.86</v>
      </c>
      <c r="L22" s="17">
        <f t="shared" si="17"/>
        <v>109008</v>
      </c>
      <c r="M22" s="17">
        <f t="shared" si="17"/>
        <v>97062.86</v>
      </c>
      <c r="N22" s="17">
        <f t="shared" si="17"/>
        <v>171380.57</v>
      </c>
      <c r="O22" s="17">
        <f t="shared" si="17"/>
        <v>76539.429999999993</v>
      </c>
      <c r="P22" s="17">
        <f t="shared" si="17"/>
        <v>70635.429999999993</v>
      </c>
      <c r="Q22" s="8">
        <f t="shared" si="7"/>
        <v>2787864.0100000002</v>
      </c>
      <c r="R22" s="15"/>
    </row>
    <row r="23" spans="1:18">
      <c r="A23" s="5" t="s">
        <v>72</v>
      </c>
      <c r="B23" s="6" t="s">
        <v>75</v>
      </c>
      <c r="C23" s="6"/>
      <c r="D23" s="7" t="s">
        <v>28</v>
      </c>
      <c r="E23" s="8">
        <f>E24</f>
        <v>308653.71000000002</v>
      </c>
      <c r="F23" s="8">
        <f t="shared" ref="F23:P23" si="18">F24</f>
        <v>6374866.29</v>
      </c>
      <c r="G23" s="8">
        <f t="shared" si="18"/>
        <v>3230866.29</v>
      </c>
      <c r="H23" s="8">
        <f t="shared" si="18"/>
        <v>2509577.14</v>
      </c>
      <c r="I23" s="8">
        <f t="shared" si="18"/>
        <v>4037348.57</v>
      </c>
      <c r="J23" s="8">
        <f t="shared" si="18"/>
        <v>951030.86</v>
      </c>
      <c r="K23" s="8">
        <f t="shared" si="18"/>
        <v>693558.86</v>
      </c>
      <c r="L23" s="8">
        <f t="shared" si="18"/>
        <v>872064</v>
      </c>
      <c r="M23" s="8">
        <f t="shared" si="18"/>
        <v>776502.86</v>
      </c>
      <c r="N23" s="8">
        <f t="shared" si="18"/>
        <v>1371044.57</v>
      </c>
      <c r="O23" s="8">
        <f t="shared" si="18"/>
        <v>612315.43000000005</v>
      </c>
      <c r="P23" s="8">
        <f t="shared" si="18"/>
        <v>565083.43000000005</v>
      </c>
      <c r="Q23" s="8">
        <f t="shared" si="7"/>
        <v>22302912.009999998</v>
      </c>
      <c r="R23" s="9"/>
    </row>
    <row r="24" spans="1:18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308653.71000000002</v>
      </c>
      <c r="F24" s="8">
        <f t="shared" ref="F24:P24" si="19">ROUND(F28/0.07*0.16,2)</f>
        <v>6374866.29</v>
      </c>
      <c r="G24" s="8">
        <f t="shared" si="19"/>
        <v>3230866.29</v>
      </c>
      <c r="H24" s="8">
        <f t="shared" si="19"/>
        <v>2509577.14</v>
      </c>
      <c r="I24" s="8">
        <f t="shared" si="19"/>
        <v>4037348.57</v>
      </c>
      <c r="J24" s="8">
        <f t="shared" si="19"/>
        <v>951030.86</v>
      </c>
      <c r="K24" s="8">
        <f t="shared" si="19"/>
        <v>693558.86</v>
      </c>
      <c r="L24" s="8">
        <f t="shared" si="19"/>
        <v>872064</v>
      </c>
      <c r="M24" s="8">
        <f t="shared" si="19"/>
        <v>776502.86</v>
      </c>
      <c r="N24" s="8">
        <f t="shared" si="19"/>
        <v>1371044.57</v>
      </c>
      <c r="O24" s="8">
        <f t="shared" si="19"/>
        <v>612315.43000000005</v>
      </c>
      <c r="P24" s="8">
        <f t="shared" si="19"/>
        <v>565083.43000000005</v>
      </c>
      <c r="Q24" s="8">
        <f t="shared" si="7"/>
        <v>22302912.009999998</v>
      </c>
      <c r="R24" s="9"/>
    </row>
    <row r="25" spans="1:18">
      <c r="A25" s="5" t="s">
        <v>76</v>
      </c>
      <c r="B25" s="6" t="s">
        <v>80</v>
      </c>
      <c r="C25" s="6"/>
      <c r="D25" s="7" t="s">
        <v>28</v>
      </c>
      <c r="E25" s="8">
        <f>E26</f>
        <v>154326.85999999999</v>
      </c>
      <c r="F25" s="8">
        <f t="shared" ref="F25:P25" si="20">F26</f>
        <v>3187433.14</v>
      </c>
      <c r="G25" s="8">
        <f t="shared" si="20"/>
        <v>1615433.14</v>
      </c>
      <c r="H25" s="8">
        <f t="shared" si="20"/>
        <v>1254788.57</v>
      </c>
      <c r="I25" s="8">
        <f t="shared" si="20"/>
        <v>2018674.29</v>
      </c>
      <c r="J25" s="8">
        <f t="shared" si="20"/>
        <v>475515.43</v>
      </c>
      <c r="K25" s="8">
        <f t="shared" si="20"/>
        <v>346779.43</v>
      </c>
      <c r="L25" s="8">
        <f t="shared" si="20"/>
        <v>436032</v>
      </c>
      <c r="M25" s="8">
        <f t="shared" si="20"/>
        <v>388251.43</v>
      </c>
      <c r="N25" s="8">
        <f t="shared" si="20"/>
        <v>685522.29</v>
      </c>
      <c r="O25" s="8">
        <f t="shared" si="20"/>
        <v>306157.71000000002</v>
      </c>
      <c r="P25" s="8">
        <f t="shared" si="20"/>
        <v>282541.71000000002</v>
      </c>
      <c r="Q25" s="8">
        <f t="shared" si="7"/>
        <v>11151456</v>
      </c>
      <c r="R25" s="9"/>
    </row>
    <row r="26" spans="1:18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154326.85999999999</v>
      </c>
      <c r="F26" s="8">
        <f t="shared" ref="F26:P26" si="21">ROUND(F28/0.07*0.08,2)</f>
        <v>3187433.14</v>
      </c>
      <c r="G26" s="8">
        <f t="shared" si="21"/>
        <v>1615433.14</v>
      </c>
      <c r="H26" s="8">
        <f t="shared" si="21"/>
        <v>1254788.57</v>
      </c>
      <c r="I26" s="8">
        <f t="shared" si="21"/>
        <v>2018674.29</v>
      </c>
      <c r="J26" s="8">
        <f t="shared" si="21"/>
        <v>475515.43</v>
      </c>
      <c r="K26" s="8">
        <f t="shared" si="21"/>
        <v>346779.43</v>
      </c>
      <c r="L26" s="8">
        <f t="shared" si="21"/>
        <v>436032</v>
      </c>
      <c r="M26" s="8">
        <f t="shared" si="21"/>
        <v>388251.43</v>
      </c>
      <c r="N26" s="8">
        <f t="shared" si="21"/>
        <v>685522.29</v>
      </c>
      <c r="O26" s="8">
        <f t="shared" si="21"/>
        <v>306157.71000000002</v>
      </c>
      <c r="P26" s="8">
        <f t="shared" si="21"/>
        <v>282541.71000000002</v>
      </c>
      <c r="Q26" s="8">
        <f t="shared" si="7"/>
        <v>11151456</v>
      </c>
      <c r="R26" s="9"/>
    </row>
    <row r="27" spans="1:18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48000</v>
      </c>
      <c r="F27" s="8">
        <f t="shared" ref="F27:Q27" si="22">6000*F93</f>
        <v>1014000</v>
      </c>
      <c r="G27" s="8">
        <f t="shared" si="22"/>
        <v>570000</v>
      </c>
      <c r="H27" s="8">
        <f t="shared" si="22"/>
        <v>438000</v>
      </c>
      <c r="I27" s="8">
        <f t="shared" si="22"/>
        <v>732000</v>
      </c>
      <c r="J27" s="8">
        <f t="shared" si="22"/>
        <v>174000</v>
      </c>
      <c r="K27" s="8">
        <f t="shared" si="22"/>
        <v>132000</v>
      </c>
      <c r="L27" s="8">
        <f t="shared" si="22"/>
        <v>162000</v>
      </c>
      <c r="M27" s="8">
        <f t="shared" si="22"/>
        <v>150000</v>
      </c>
      <c r="N27" s="8">
        <f t="shared" si="22"/>
        <v>306000</v>
      </c>
      <c r="O27" s="8">
        <f t="shared" si="22"/>
        <v>126000</v>
      </c>
      <c r="P27" s="8">
        <f t="shared" si="22"/>
        <v>120000</v>
      </c>
      <c r="Q27" s="8">
        <f t="shared" si="22"/>
        <v>3972000</v>
      </c>
      <c r="R27" s="9"/>
    </row>
    <row r="28" spans="1:18">
      <c r="A28" s="5" t="s">
        <v>84</v>
      </c>
      <c r="B28" s="6" t="s">
        <v>88</v>
      </c>
      <c r="C28" s="6" t="s">
        <v>88</v>
      </c>
      <c r="D28" s="7" t="s">
        <v>89</v>
      </c>
      <c r="E28" s="16">
        <v>135036</v>
      </c>
      <c r="F28" s="16">
        <v>2789004</v>
      </c>
      <c r="G28" s="16">
        <v>1413504</v>
      </c>
      <c r="H28" s="16">
        <v>1097940</v>
      </c>
      <c r="I28" s="16">
        <v>1766340</v>
      </c>
      <c r="J28" s="16">
        <v>416076</v>
      </c>
      <c r="K28" s="16">
        <v>303432</v>
      </c>
      <c r="L28" s="16">
        <v>381528</v>
      </c>
      <c r="M28" s="16">
        <v>339720</v>
      </c>
      <c r="N28" s="16">
        <v>599832</v>
      </c>
      <c r="O28" s="16">
        <v>267888</v>
      </c>
      <c r="P28" s="16">
        <v>247224</v>
      </c>
      <c r="Q28" s="8">
        <f t="shared" ref="Q28:Q89" si="23">SUM(E28:P28)</f>
        <v>9757524</v>
      </c>
      <c r="R28" s="15"/>
    </row>
    <row r="29" spans="1:18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8">
        <f t="shared" si="23"/>
        <v>0</v>
      </c>
      <c r="R29" s="15"/>
    </row>
    <row r="30" spans="1:18">
      <c r="A30" s="5" t="s">
        <v>90</v>
      </c>
      <c r="B30" s="6" t="s">
        <v>95</v>
      </c>
      <c r="C30" s="6"/>
      <c r="D30" s="7" t="s">
        <v>28</v>
      </c>
      <c r="E30" s="8">
        <f>E31+E39+E42+E44</f>
        <v>360</v>
      </c>
      <c r="F30" s="8">
        <f t="shared" ref="F30:N30" si="24">F31+F39+F42+F44</f>
        <v>11480</v>
      </c>
      <c r="G30" s="8">
        <f t="shared" si="24"/>
        <v>6480</v>
      </c>
      <c r="H30" s="8">
        <f t="shared" si="24"/>
        <v>3800</v>
      </c>
      <c r="I30" s="8">
        <f t="shared" si="24"/>
        <v>10040</v>
      </c>
      <c r="J30" s="8">
        <f t="shared" si="24"/>
        <v>5040</v>
      </c>
      <c r="K30" s="8">
        <f t="shared" si="24"/>
        <v>6000</v>
      </c>
      <c r="L30" s="8">
        <f t="shared" si="24"/>
        <v>8010</v>
      </c>
      <c r="M30" s="8">
        <f t="shared" si="24"/>
        <v>6000</v>
      </c>
      <c r="N30" s="8">
        <f t="shared" si="24"/>
        <v>9320</v>
      </c>
      <c r="O30" s="8">
        <f>O31+O39+O42+O44</f>
        <v>6540</v>
      </c>
      <c r="P30" s="8">
        <f t="shared" ref="P30" si="25">P31+P39+P42+P44</f>
        <v>5000</v>
      </c>
      <c r="Q30" s="8">
        <f t="shared" si="23"/>
        <v>78070</v>
      </c>
      <c r="R30" s="9"/>
    </row>
    <row r="31" spans="1:18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P31" si="26">F32+F33+F34+F35+F36+F37+F38</f>
        <v>0</v>
      </c>
      <c r="G31" s="8">
        <f t="shared" si="26"/>
        <v>0</v>
      </c>
      <c r="H31" s="8">
        <f t="shared" si="26"/>
        <v>0</v>
      </c>
      <c r="I31" s="8">
        <f t="shared" si="26"/>
        <v>0</v>
      </c>
      <c r="J31" s="8">
        <f t="shared" si="26"/>
        <v>0</v>
      </c>
      <c r="K31" s="8">
        <f t="shared" si="26"/>
        <v>0</v>
      </c>
      <c r="L31" s="8">
        <f t="shared" si="26"/>
        <v>0</v>
      </c>
      <c r="M31" s="8">
        <f t="shared" si="26"/>
        <v>0</v>
      </c>
      <c r="N31" s="8">
        <f t="shared" si="26"/>
        <v>0</v>
      </c>
      <c r="O31" s="8">
        <f t="shared" si="26"/>
        <v>0</v>
      </c>
      <c r="P31" s="8">
        <f t="shared" si="26"/>
        <v>0</v>
      </c>
      <c r="Q31" s="8">
        <f t="shared" si="23"/>
        <v>0</v>
      </c>
      <c r="R31" s="9"/>
    </row>
    <row r="32" spans="1:18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8">
        <f t="shared" si="23"/>
        <v>0</v>
      </c>
      <c r="R32" s="15"/>
    </row>
    <row r="33" spans="1:18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8">
        <f t="shared" si="23"/>
        <v>0</v>
      </c>
      <c r="R33" s="15"/>
    </row>
    <row r="34" spans="1:18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8">
        <f t="shared" si="23"/>
        <v>0</v>
      </c>
      <c r="R34" s="15"/>
    </row>
    <row r="35" spans="1:18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8">
        <f t="shared" si="23"/>
        <v>0</v>
      </c>
      <c r="R35" s="15"/>
    </row>
    <row r="36" spans="1:18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8">
        <f t="shared" si="23"/>
        <v>0</v>
      </c>
      <c r="R36" s="15"/>
    </row>
    <row r="37" spans="1:18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8">
        <f t="shared" si="23"/>
        <v>0</v>
      </c>
      <c r="R37" s="15"/>
    </row>
    <row r="38" spans="1:18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8">
        <f t="shared" si="23"/>
        <v>0</v>
      </c>
      <c r="R38" s="15"/>
    </row>
    <row r="39" spans="1:18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P39" si="27">F40+F41</f>
        <v>0</v>
      </c>
      <c r="G39" s="8">
        <f t="shared" si="27"/>
        <v>0</v>
      </c>
      <c r="H39" s="8">
        <f t="shared" si="27"/>
        <v>0</v>
      </c>
      <c r="I39" s="8">
        <f t="shared" si="27"/>
        <v>0</v>
      </c>
      <c r="J39" s="8">
        <f t="shared" si="27"/>
        <v>0</v>
      </c>
      <c r="K39" s="8">
        <f t="shared" si="27"/>
        <v>0</v>
      </c>
      <c r="L39" s="8">
        <f t="shared" si="27"/>
        <v>0</v>
      </c>
      <c r="M39" s="8">
        <f t="shared" si="27"/>
        <v>0</v>
      </c>
      <c r="N39" s="8">
        <f t="shared" si="27"/>
        <v>0</v>
      </c>
      <c r="O39" s="8">
        <f t="shared" si="27"/>
        <v>0</v>
      </c>
      <c r="P39" s="8">
        <f t="shared" si="27"/>
        <v>0</v>
      </c>
      <c r="Q39" s="8">
        <f t="shared" si="23"/>
        <v>0</v>
      </c>
      <c r="R39" s="9"/>
    </row>
    <row r="40" spans="1:18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8">
        <f t="shared" si="23"/>
        <v>0</v>
      </c>
      <c r="R40" s="9"/>
    </row>
    <row r="41" spans="1:18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8">
        <f t="shared" si="23"/>
        <v>0</v>
      </c>
      <c r="R41" s="9"/>
    </row>
    <row r="42" spans="1:18">
      <c r="A42" s="5" t="s">
        <v>118</v>
      </c>
      <c r="B42" s="6" t="s">
        <v>125</v>
      </c>
      <c r="C42" s="6"/>
      <c r="D42" s="7" t="s">
        <v>28</v>
      </c>
      <c r="E42" s="8">
        <f>E43</f>
        <v>360</v>
      </c>
      <c r="F42" s="8">
        <f t="shared" ref="F42:P42" si="28">F43</f>
        <v>6480</v>
      </c>
      <c r="G42" s="8">
        <f t="shared" si="28"/>
        <v>1080</v>
      </c>
      <c r="H42" s="8">
        <f t="shared" si="28"/>
        <v>1800</v>
      </c>
      <c r="I42" s="8">
        <f t="shared" si="28"/>
        <v>5040</v>
      </c>
      <c r="J42" s="8">
        <f t="shared" si="28"/>
        <v>3240</v>
      </c>
      <c r="K42" s="8">
        <f t="shared" si="28"/>
        <v>3000</v>
      </c>
      <c r="L42" s="8">
        <f t="shared" si="28"/>
        <v>2160</v>
      </c>
      <c r="M42" s="8">
        <f t="shared" si="28"/>
        <v>3600</v>
      </c>
      <c r="N42" s="8">
        <f t="shared" si="28"/>
        <v>4320</v>
      </c>
      <c r="O42" s="8">
        <f t="shared" si="28"/>
        <v>3240</v>
      </c>
      <c r="P42" s="8">
        <f t="shared" si="28"/>
        <v>1800</v>
      </c>
      <c r="Q42" s="8">
        <f t="shared" si="23"/>
        <v>36120</v>
      </c>
      <c r="R42" s="9"/>
    </row>
    <row r="43" spans="1:18">
      <c r="A43" s="5" t="s">
        <v>120</v>
      </c>
      <c r="B43" s="6" t="s">
        <v>127</v>
      </c>
      <c r="C43" s="6" t="s">
        <v>35</v>
      </c>
      <c r="D43" s="7" t="s">
        <v>36</v>
      </c>
      <c r="E43" s="10">
        <v>360</v>
      </c>
      <c r="F43" s="10">
        <v>6480</v>
      </c>
      <c r="G43" s="10">
        <v>1080</v>
      </c>
      <c r="H43" s="10">
        <v>1800</v>
      </c>
      <c r="I43" s="10">
        <v>5040</v>
      </c>
      <c r="J43" s="10">
        <v>3240</v>
      </c>
      <c r="K43" s="10">
        <v>3000</v>
      </c>
      <c r="L43" s="10">
        <v>2160</v>
      </c>
      <c r="M43" s="10">
        <v>3600</v>
      </c>
      <c r="N43" s="10">
        <v>4320</v>
      </c>
      <c r="O43" s="10">
        <v>3240</v>
      </c>
      <c r="P43" s="10">
        <v>1800</v>
      </c>
      <c r="Q43" s="8">
        <f t="shared" si="23"/>
        <v>36120</v>
      </c>
      <c r="R43" s="9"/>
    </row>
    <row r="44" spans="1:18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 t="shared" ref="F44:P44" si="29">SUM(F45:F48)</f>
        <v>5000</v>
      </c>
      <c r="G44" s="8">
        <f t="shared" si="29"/>
        <v>5400</v>
      </c>
      <c r="H44" s="8">
        <f t="shared" si="29"/>
        <v>2000</v>
      </c>
      <c r="I44" s="8">
        <f t="shared" si="29"/>
        <v>5000</v>
      </c>
      <c r="J44" s="8">
        <f t="shared" si="29"/>
        <v>1800</v>
      </c>
      <c r="K44" s="8">
        <f t="shared" si="29"/>
        <v>3000</v>
      </c>
      <c r="L44" s="8">
        <f t="shared" si="29"/>
        <v>5850</v>
      </c>
      <c r="M44" s="8">
        <f t="shared" si="29"/>
        <v>2400</v>
      </c>
      <c r="N44" s="8">
        <f t="shared" si="29"/>
        <v>5000</v>
      </c>
      <c r="O44" s="8">
        <f t="shared" si="29"/>
        <v>3300</v>
      </c>
      <c r="P44" s="8">
        <f t="shared" si="29"/>
        <v>3200</v>
      </c>
      <c r="Q44" s="8">
        <f t="shared" si="23"/>
        <v>41950</v>
      </c>
      <c r="R44" s="9"/>
    </row>
    <row r="45" spans="1:18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5000</v>
      </c>
      <c r="G45" s="10">
        <v>5400</v>
      </c>
      <c r="H45" s="10">
        <v>2000</v>
      </c>
      <c r="I45" s="10">
        <v>5000</v>
      </c>
      <c r="J45" s="10">
        <v>1800</v>
      </c>
      <c r="K45" s="10">
        <v>3000</v>
      </c>
      <c r="L45" s="10">
        <v>5850</v>
      </c>
      <c r="M45" s="10">
        <v>2400</v>
      </c>
      <c r="N45" s="10">
        <v>5000</v>
      </c>
      <c r="O45" s="10">
        <v>3300</v>
      </c>
      <c r="P45" s="10">
        <v>3200</v>
      </c>
      <c r="Q45" s="8">
        <f t="shared" si="23"/>
        <v>41950</v>
      </c>
      <c r="R45" s="9"/>
    </row>
    <row r="46" spans="1:18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8">
        <f t="shared" si="23"/>
        <v>0</v>
      </c>
      <c r="R46" s="9"/>
    </row>
    <row r="47" spans="1:18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8">
        <f t="shared" si="23"/>
        <v>0</v>
      </c>
      <c r="R47" s="9"/>
    </row>
    <row r="48" spans="1:18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8">
        <f t="shared" si="23"/>
        <v>0</v>
      </c>
      <c r="R48" s="15"/>
    </row>
    <row r="49" spans="1:18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364746.71</v>
      </c>
      <c r="F49" s="8">
        <f t="shared" ref="F49:P49" si="30">F50+F68+F70+F72+F74+F76+F78+F80+F82+F90</f>
        <v>8041476.29</v>
      </c>
      <c r="G49" s="8">
        <f t="shared" si="30"/>
        <v>5884530.0899999999</v>
      </c>
      <c r="H49" s="8">
        <f t="shared" si="30"/>
        <v>4393772.8899999997</v>
      </c>
      <c r="I49" s="8">
        <f t="shared" si="30"/>
        <v>8593145.5700000003</v>
      </c>
      <c r="J49" s="8">
        <f t="shared" si="30"/>
        <v>1315963.8600000001</v>
      </c>
      <c r="K49" s="8">
        <f t="shared" si="30"/>
        <v>1180061.56</v>
      </c>
      <c r="L49" s="8">
        <f t="shared" si="30"/>
        <v>1278297</v>
      </c>
      <c r="M49" s="8">
        <f t="shared" si="30"/>
        <v>1629601.31</v>
      </c>
      <c r="N49" s="8">
        <f t="shared" si="30"/>
        <v>2394315.5699999998</v>
      </c>
      <c r="O49" s="8">
        <f t="shared" si="30"/>
        <v>1260353.3299999998</v>
      </c>
      <c r="P49" s="8">
        <f t="shared" si="30"/>
        <v>1640097.43</v>
      </c>
      <c r="Q49" s="8">
        <f t="shared" si="23"/>
        <v>37976361.609999992</v>
      </c>
      <c r="R49" s="9"/>
    </row>
    <row r="50" spans="1:18">
      <c r="A50" s="5" t="s">
        <v>136</v>
      </c>
      <c r="B50" s="6" t="s">
        <v>144</v>
      </c>
      <c r="C50" s="6"/>
      <c r="D50" s="7" t="s">
        <v>145</v>
      </c>
      <c r="E50" s="8">
        <v>179200</v>
      </c>
      <c r="F50" s="8">
        <v>5167160</v>
      </c>
      <c r="G50" s="8">
        <v>4577880</v>
      </c>
      <c r="H50" s="8">
        <v>3336600</v>
      </c>
      <c r="I50" s="8">
        <v>6846930</v>
      </c>
      <c r="J50" s="8">
        <v>875160</v>
      </c>
      <c r="K50" s="8">
        <v>858000</v>
      </c>
      <c r="L50" s="8">
        <v>903760</v>
      </c>
      <c r="M50" s="8">
        <v>1269840</v>
      </c>
      <c r="N50" s="8">
        <v>1738880</v>
      </c>
      <c r="O50" s="8">
        <v>915200</v>
      </c>
      <c r="P50" s="8">
        <v>1307020</v>
      </c>
      <c r="Q50" s="8">
        <f t="shared" si="23"/>
        <v>27975630</v>
      </c>
      <c r="R50" s="9"/>
    </row>
    <row r="51" spans="1:18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8">
        <f t="shared" si="23"/>
        <v>0</v>
      </c>
      <c r="R51" s="9"/>
    </row>
    <row r="52" spans="1:18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8">
        <f t="shared" si="23"/>
        <v>0</v>
      </c>
      <c r="R52" s="9"/>
    </row>
    <row r="53" spans="1:18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8">
        <f t="shared" si="23"/>
        <v>0</v>
      </c>
      <c r="R53" s="9"/>
    </row>
    <row r="54" spans="1:18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8">
        <f t="shared" si="23"/>
        <v>0</v>
      </c>
      <c r="R54" s="9"/>
    </row>
    <row r="55" spans="1:18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8">
        <f t="shared" si="23"/>
        <v>0</v>
      </c>
      <c r="R55" s="9"/>
    </row>
    <row r="56" spans="1:18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8">
        <f t="shared" si="23"/>
        <v>0</v>
      </c>
      <c r="R56" s="9"/>
    </row>
    <row r="57" spans="1:18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8">
        <f t="shared" si="23"/>
        <v>0</v>
      </c>
      <c r="R57" s="9"/>
    </row>
    <row r="58" spans="1:18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8">
        <f t="shared" si="23"/>
        <v>0</v>
      </c>
      <c r="R58" s="9"/>
    </row>
    <row r="59" spans="1:18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8">
        <f t="shared" si="23"/>
        <v>0</v>
      </c>
      <c r="R59" s="9"/>
    </row>
    <row r="60" spans="1:18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8960</v>
      </c>
      <c r="F60" s="10">
        <v>258358</v>
      </c>
      <c r="G60" s="10">
        <v>228894</v>
      </c>
      <c r="H60" s="10">
        <v>166830</v>
      </c>
      <c r="I60" s="10">
        <v>310086</v>
      </c>
      <c r="J60" s="10">
        <v>43758</v>
      </c>
      <c r="K60" s="10">
        <v>36465</v>
      </c>
      <c r="L60" s="10">
        <v>45188</v>
      </c>
      <c r="M60" s="10">
        <v>63492</v>
      </c>
      <c r="N60" s="10">
        <v>83941</v>
      </c>
      <c r="O60" s="10">
        <v>45760</v>
      </c>
      <c r="P60" s="10">
        <v>65351</v>
      </c>
      <c r="Q60" s="8">
        <f t="shared" si="23"/>
        <v>1357083</v>
      </c>
      <c r="R60" s="9"/>
    </row>
    <row r="61" spans="1:18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8">
        <f t="shared" si="23"/>
        <v>0</v>
      </c>
      <c r="R61" s="9"/>
    </row>
    <row r="62" spans="1:18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8">
        <f t="shared" si="23"/>
        <v>0</v>
      </c>
      <c r="R62" s="9"/>
    </row>
    <row r="63" spans="1:18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8">
        <f t="shared" si="23"/>
        <v>0</v>
      </c>
      <c r="R63" s="9"/>
    </row>
    <row r="64" spans="1:18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8">
        <f t="shared" si="23"/>
        <v>0</v>
      </c>
      <c r="R64" s="9"/>
    </row>
    <row r="65" spans="1:18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8">
        <f t="shared" si="23"/>
        <v>0</v>
      </c>
      <c r="R65" s="9"/>
    </row>
    <row r="66" spans="1:18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8">
        <f t="shared" si="23"/>
        <v>0</v>
      </c>
      <c r="R66" s="9"/>
    </row>
    <row r="67" spans="1:18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8">
        <f t="shared" si="23"/>
        <v>0</v>
      </c>
      <c r="R67" s="9"/>
    </row>
    <row r="68" spans="1:18">
      <c r="A68" s="5" t="s">
        <v>176</v>
      </c>
      <c r="B68" s="6" t="s">
        <v>183</v>
      </c>
      <c r="C68" s="6"/>
      <c r="D68" s="7"/>
      <c r="E68" s="8">
        <f>E69</f>
        <v>3200</v>
      </c>
      <c r="F68" s="8">
        <f t="shared" ref="F68:P68" si="31">F69</f>
        <v>67600</v>
      </c>
      <c r="G68" s="8">
        <f t="shared" si="31"/>
        <v>38000</v>
      </c>
      <c r="H68" s="8">
        <f t="shared" si="31"/>
        <v>29200</v>
      </c>
      <c r="I68" s="8">
        <f t="shared" si="31"/>
        <v>48800</v>
      </c>
      <c r="J68" s="8">
        <f t="shared" si="31"/>
        <v>11600</v>
      </c>
      <c r="K68" s="8">
        <f t="shared" si="31"/>
        <v>8800</v>
      </c>
      <c r="L68" s="8">
        <f t="shared" si="31"/>
        <v>10800</v>
      </c>
      <c r="M68" s="8">
        <f t="shared" si="31"/>
        <v>10000</v>
      </c>
      <c r="N68" s="8">
        <f t="shared" si="31"/>
        <v>20400</v>
      </c>
      <c r="O68" s="8">
        <f t="shared" si="31"/>
        <v>8400</v>
      </c>
      <c r="P68" s="8">
        <f t="shared" si="31"/>
        <v>8000</v>
      </c>
      <c r="Q68" s="8">
        <f t="shared" si="23"/>
        <v>264800</v>
      </c>
      <c r="R68" s="9"/>
    </row>
    <row r="69" spans="1:18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3200</v>
      </c>
      <c r="F69" s="8">
        <f t="shared" ref="F69:P69" si="32">F93*400</f>
        <v>67600</v>
      </c>
      <c r="G69" s="8">
        <f t="shared" si="32"/>
        <v>38000</v>
      </c>
      <c r="H69" s="8">
        <f t="shared" si="32"/>
        <v>29200</v>
      </c>
      <c r="I69" s="8">
        <f t="shared" si="32"/>
        <v>48800</v>
      </c>
      <c r="J69" s="8">
        <f t="shared" si="32"/>
        <v>11600</v>
      </c>
      <c r="K69" s="8">
        <f t="shared" si="32"/>
        <v>8800</v>
      </c>
      <c r="L69" s="8">
        <f t="shared" si="32"/>
        <v>10800</v>
      </c>
      <c r="M69" s="8">
        <f t="shared" si="32"/>
        <v>10000</v>
      </c>
      <c r="N69" s="8">
        <f t="shared" si="32"/>
        <v>20400</v>
      </c>
      <c r="O69" s="8">
        <f t="shared" si="32"/>
        <v>8400</v>
      </c>
      <c r="P69" s="8">
        <f t="shared" si="32"/>
        <v>8000</v>
      </c>
      <c r="Q69" s="8">
        <f t="shared" si="23"/>
        <v>264800</v>
      </c>
      <c r="R69" s="9"/>
    </row>
    <row r="70" spans="1:18">
      <c r="A70" s="5" t="s">
        <v>180</v>
      </c>
      <c r="B70" s="6" t="s">
        <v>188</v>
      </c>
      <c r="C70" s="6"/>
      <c r="D70" s="7" t="s">
        <v>28</v>
      </c>
      <c r="E70" s="8">
        <f>E71</f>
        <v>20325</v>
      </c>
      <c r="F70" s="8">
        <f t="shared" ref="F70:P70" si="33">F71</f>
        <v>297282</v>
      </c>
      <c r="G70" s="8">
        <f t="shared" si="33"/>
        <v>300871.8</v>
      </c>
      <c r="H70" s="8">
        <f t="shared" si="33"/>
        <v>278907.75</v>
      </c>
      <c r="I70" s="8">
        <f t="shared" si="33"/>
        <v>503355</v>
      </c>
      <c r="J70" s="8">
        <f t="shared" si="33"/>
        <v>71205</v>
      </c>
      <c r="K70" s="8">
        <f t="shared" si="33"/>
        <v>74342.700000000012</v>
      </c>
      <c r="L70" s="8">
        <f t="shared" si="33"/>
        <v>85185</v>
      </c>
      <c r="M70" s="8">
        <f t="shared" si="33"/>
        <v>92082.45</v>
      </c>
      <c r="N70" s="8">
        <f t="shared" si="33"/>
        <v>173535</v>
      </c>
      <c r="O70" s="8">
        <f t="shared" si="33"/>
        <v>110275.5</v>
      </c>
      <c r="P70" s="8">
        <f t="shared" si="33"/>
        <v>110250</v>
      </c>
      <c r="Q70" s="8">
        <f t="shared" si="23"/>
        <v>2117617.2000000002</v>
      </c>
      <c r="R70" s="9"/>
    </row>
    <row r="71" spans="1:18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20325</v>
      </c>
      <c r="F71" s="8">
        <f t="shared" ref="F71:P71" si="34">F105*15</f>
        <v>297282</v>
      </c>
      <c r="G71" s="8">
        <f t="shared" si="34"/>
        <v>300871.8</v>
      </c>
      <c r="H71" s="8">
        <f t="shared" si="34"/>
        <v>278907.75</v>
      </c>
      <c r="I71" s="8">
        <f t="shared" si="34"/>
        <v>503355</v>
      </c>
      <c r="J71" s="8">
        <f t="shared" si="34"/>
        <v>71205</v>
      </c>
      <c r="K71" s="8">
        <f t="shared" si="34"/>
        <v>74342.700000000012</v>
      </c>
      <c r="L71" s="8">
        <f t="shared" si="34"/>
        <v>85185</v>
      </c>
      <c r="M71" s="8">
        <f t="shared" si="34"/>
        <v>92082.45</v>
      </c>
      <c r="N71" s="8">
        <f t="shared" si="34"/>
        <v>173535</v>
      </c>
      <c r="O71" s="8">
        <f t="shared" si="34"/>
        <v>110275.5</v>
      </c>
      <c r="P71" s="8">
        <f t="shared" si="34"/>
        <v>110250</v>
      </c>
      <c r="Q71" s="8">
        <f t="shared" si="23"/>
        <v>2117617.2000000002</v>
      </c>
      <c r="R71" s="9"/>
    </row>
    <row r="72" spans="1:18">
      <c r="A72" s="5" t="s">
        <v>184</v>
      </c>
      <c r="B72" s="6" t="s">
        <v>193</v>
      </c>
      <c r="C72" s="6"/>
      <c r="D72" s="7" t="s">
        <v>28</v>
      </c>
      <c r="E72" s="8">
        <f>E73</f>
        <v>14400</v>
      </c>
      <c r="F72" s="8">
        <f t="shared" ref="F72:P72" si="35">F73</f>
        <v>97216</v>
      </c>
      <c r="G72" s="8">
        <f t="shared" si="35"/>
        <v>112080</v>
      </c>
      <c r="H72" s="8">
        <f t="shared" si="35"/>
        <v>78568</v>
      </c>
      <c r="I72" s="8">
        <f t="shared" si="35"/>
        <v>130352</v>
      </c>
      <c r="J72" s="8">
        <f t="shared" si="35"/>
        <v>20480</v>
      </c>
      <c r="K72" s="8">
        <f t="shared" si="35"/>
        <v>15744</v>
      </c>
      <c r="L72" s="8">
        <f t="shared" si="35"/>
        <v>20904</v>
      </c>
      <c r="M72" s="8">
        <f t="shared" si="35"/>
        <v>20616</v>
      </c>
      <c r="N72" s="8">
        <f t="shared" si="35"/>
        <v>37800</v>
      </c>
      <c r="O72" s="8">
        <f t="shared" si="35"/>
        <v>27218.400000000001</v>
      </c>
      <c r="P72" s="8">
        <f t="shared" si="35"/>
        <v>25792</v>
      </c>
      <c r="Q72" s="8">
        <f t="shared" si="23"/>
        <v>601170.4</v>
      </c>
      <c r="R72" s="9"/>
    </row>
    <row r="73" spans="1:18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14400</v>
      </c>
      <c r="F73" s="8">
        <f t="shared" ref="F73:P73" si="36">F106*8</f>
        <v>97216</v>
      </c>
      <c r="G73" s="8">
        <f t="shared" si="36"/>
        <v>112080</v>
      </c>
      <c r="H73" s="8">
        <f t="shared" si="36"/>
        <v>78568</v>
      </c>
      <c r="I73" s="8">
        <f t="shared" si="36"/>
        <v>130352</v>
      </c>
      <c r="J73" s="8">
        <f t="shared" si="36"/>
        <v>20480</v>
      </c>
      <c r="K73" s="8">
        <f t="shared" si="36"/>
        <v>15744</v>
      </c>
      <c r="L73" s="8">
        <f t="shared" si="36"/>
        <v>20904</v>
      </c>
      <c r="M73" s="8">
        <f t="shared" si="36"/>
        <v>20616</v>
      </c>
      <c r="N73" s="8">
        <f t="shared" si="36"/>
        <v>37800</v>
      </c>
      <c r="O73" s="8">
        <f t="shared" si="36"/>
        <v>27218.400000000001</v>
      </c>
      <c r="P73" s="8">
        <f t="shared" si="36"/>
        <v>25792</v>
      </c>
      <c r="Q73" s="8">
        <f t="shared" si="23"/>
        <v>601170.4</v>
      </c>
      <c r="R73" s="9"/>
    </row>
    <row r="74" spans="1:18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P74" si="37">F75</f>
        <v>0</v>
      </c>
      <c r="G74" s="8">
        <f t="shared" si="37"/>
        <v>0</v>
      </c>
      <c r="H74" s="8">
        <f t="shared" si="37"/>
        <v>0</v>
      </c>
      <c r="I74" s="8">
        <f t="shared" si="37"/>
        <v>0</v>
      </c>
      <c r="J74" s="8">
        <f t="shared" si="37"/>
        <v>0</v>
      </c>
      <c r="K74" s="8">
        <f t="shared" si="37"/>
        <v>0</v>
      </c>
      <c r="L74" s="8">
        <f t="shared" si="37"/>
        <v>0</v>
      </c>
      <c r="M74" s="8">
        <f t="shared" si="37"/>
        <v>0</v>
      </c>
      <c r="N74" s="8">
        <f t="shared" si="37"/>
        <v>0</v>
      </c>
      <c r="O74" s="8">
        <f t="shared" si="37"/>
        <v>0</v>
      </c>
      <c r="P74" s="8">
        <f t="shared" si="37"/>
        <v>0</v>
      </c>
      <c r="Q74" s="8">
        <f t="shared" si="23"/>
        <v>0</v>
      </c>
      <c r="R74" s="9"/>
    </row>
    <row r="75" spans="1:18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8">
        <f t="shared" si="23"/>
        <v>0</v>
      </c>
      <c r="R75" s="9"/>
    </row>
    <row r="76" spans="1:18">
      <c r="A76" s="5" t="s">
        <v>194</v>
      </c>
      <c r="B76" s="6" t="s">
        <v>202</v>
      </c>
      <c r="C76" s="6"/>
      <c r="D76" s="7" t="s">
        <v>28</v>
      </c>
      <c r="E76" s="8">
        <f>E77</f>
        <v>34560</v>
      </c>
      <c r="F76" s="8">
        <f t="shared" ref="F76:P76" si="38">F77</f>
        <v>730080</v>
      </c>
      <c r="G76" s="8">
        <f t="shared" si="38"/>
        <v>410400</v>
      </c>
      <c r="H76" s="8">
        <f t="shared" si="38"/>
        <v>315360</v>
      </c>
      <c r="I76" s="8">
        <f t="shared" si="38"/>
        <v>527040</v>
      </c>
      <c r="J76" s="8">
        <f t="shared" si="38"/>
        <v>125280</v>
      </c>
      <c r="K76" s="8">
        <f t="shared" si="38"/>
        <v>95040</v>
      </c>
      <c r="L76" s="8">
        <f t="shared" si="38"/>
        <v>116640</v>
      </c>
      <c r="M76" s="8">
        <f t="shared" si="38"/>
        <v>108000</v>
      </c>
      <c r="N76" s="8">
        <f t="shared" si="38"/>
        <v>220320</v>
      </c>
      <c r="O76" s="8">
        <f t="shared" si="38"/>
        <v>90720</v>
      </c>
      <c r="P76" s="8">
        <f t="shared" si="38"/>
        <v>86400</v>
      </c>
      <c r="Q76" s="8">
        <f t="shared" si="23"/>
        <v>2859840</v>
      </c>
      <c r="R76" s="9"/>
    </row>
    <row r="77" spans="1:18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34560</v>
      </c>
      <c r="F77" s="8">
        <f t="shared" ref="F77:P77" si="39">F93*4320</f>
        <v>730080</v>
      </c>
      <c r="G77" s="8">
        <f t="shared" si="39"/>
        <v>410400</v>
      </c>
      <c r="H77" s="8">
        <f t="shared" si="39"/>
        <v>315360</v>
      </c>
      <c r="I77" s="8">
        <f t="shared" si="39"/>
        <v>527040</v>
      </c>
      <c r="J77" s="8">
        <f t="shared" si="39"/>
        <v>125280</v>
      </c>
      <c r="K77" s="8">
        <f t="shared" si="39"/>
        <v>95040</v>
      </c>
      <c r="L77" s="8">
        <f t="shared" si="39"/>
        <v>116640</v>
      </c>
      <c r="M77" s="8">
        <f t="shared" si="39"/>
        <v>108000</v>
      </c>
      <c r="N77" s="8">
        <f t="shared" si="39"/>
        <v>220320</v>
      </c>
      <c r="O77" s="8">
        <f t="shared" si="39"/>
        <v>90720</v>
      </c>
      <c r="P77" s="8">
        <f t="shared" si="39"/>
        <v>86400</v>
      </c>
      <c r="Q77" s="8">
        <f t="shared" si="23"/>
        <v>2859840</v>
      </c>
      <c r="R77" s="9"/>
    </row>
    <row r="78" spans="1:18">
      <c r="A78" s="5" t="s">
        <v>199</v>
      </c>
      <c r="B78" s="6" t="s">
        <v>207</v>
      </c>
      <c r="C78" s="6"/>
      <c r="D78" s="7" t="s">
        <v>28</v>
      </c>
      <c r="E78" s="8">
        <f>E79</f>
        <v>38581.71</v>
      </c>
      <c r="F78" s="8">
        <f t="shared" ref="F78:P78" si="40">F79</f>
        <v>796858.29</v>
      </c>
      <c r="G78" s="8">
        <f t="shared" si="40"/>
        <v>403858.29</v>
      </c>
      <c r="H78" s="8">
        <f t="shared" si="40"/>
        <v>313697.14</v>
      </c>
      <c r="I78" s="8">
        <f t="shared" si="40"/>
        <v>504668.57</v>
      </c>
      <c r="J78" s="8">
        <f t="shared" si="40"/>
        <v>118878.86</v>
      </c>
      <c r="K78" s="8">
        <f t="shared" si="40"/>
        <v>86694.86</v>
      </c>
      <c r="L78" s="8">
        <f t="shared" si="40"/>
        <v>109008</v>
      </c>
      <c r="M78" s="8">
        <f t="shared" si="40"/>
        <v>97062.86</v>
      </c>
      <c r="N78" s="8">
        <f t="shared" si="40"/>
        <v>171380.57</v>
      </c>
      <c r="O78" s="8">
        <f t="shared" si="40"/>
        <v>76539.429999999993</v>
      </c>
      <c r="P78" s="8">
        <f t="shared" si="40"/>
        <v>70635.429999999993</v>
      </c>
      <c r="Q78" s="8">
        <f t="shared" si="23"/>
        <v>2787864.0100000002</v>
      </c>
      <c r="R78" s="9"/>
    </row>
    <row r="79" spans="1:18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38581.71</v>
      </c>
      <c r="F79" s="8">
        <f t="shared" ref="F79:P79" si="41">ROUND(F28/0.07*0.02,2)</f>
        <v>796858.29</v>
      </c>
      <c r="G79" s="8">
        <f t="shared" si="41"/>
        <v>403858.29</v>
      </c>
      <c r="H79" s="8">
        <f t="shared" si="41"/>
        <v>313697.14</v>
      </c>
      <c r="I79" s="8">
        <f t="shared" si="41"/>
        <v>504668.57</v>
      </c>
      <c r="J79" s="8">
        <f t="shared" si="41"/>
        <v>118878.86</v>
      </c>
      <c r="K79" s="8">
        <f t="shared" si="41"/>
        <v>86694.86</v>
      </c>
      <c r="L79" s="8">
        <f t="shared" si="41"/>
        <v>109008</v>
      </c>
      <c r="M79" s="8">
        <f t="shared" si="41"/>
        <v>97062.86</v>
      </c>
      <c r="N79" s="8">
        <f t="shared" si="41"/>
        <v>171380.57</v>
      </c>
      <c r="O79" s="8">
        <f t="shared" si="41"/>
        <v>76539.429999999993</v>
      </c>
      <c r="P79" s="8">
        <f t="shared" si="41"/>
        <v>70635.429999999993</v>
      </c>
      <c r="Q79" s="8">
        <f t="shared" si="23"/>
        <v>2787864.0100000002</v>
      </c>
      <c r="R79" s="9"/>
    </row>
    <row r="80" spans="1:18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P80" si="42">F81</f>
        <v>64000</v>
      </c>
      <c r="G80" s="8">
        <f t="shared" si="42"/>
        <v>0</v>
      </c>
      <c r="H80" s="8">
        <f t="shared" si="42"/>
        <v>0</v>
      </c>
      <c r="I80" s="8">
        <f t="shared" si="42"/>
        <v>0</v>
      </c>
      <c r="J80" s="8">
        <f t="shared" si="42"/>
        <v>0</v>
      </c>
      <c r="K80" s="8">
        <f t="shared" si="42"/>
        <v>0</v>
      </c>
      <c r="L80" s="8">
        <f t="shared" si="42"/>
        <v>0</v>
      </c>
      <c r="M80" s="8">
        <f t="shared" si="42"/>
        <v>0</v>
      </c>
      <c r="N80" s="8">
        <f t="shared" si="42"/>
        <v>0</v>
      </c>
      <c r="O80" s="8">
        <f t="shared" si="42"/>
        <v>0</v>
      </c>
      <c r="P80" s="8">
        <f t="shared" si="42"/>
        <v>0</v>
      </c>
      <c r="Q80" s="8">
        <f t="shared" si="23"/>
        <v>64000</v>
      </c>
      <c r="R80" s="9"/>
    </row>
    <row r="81" spans="1:18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64000</v>
      </c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8">
        <f t="shared" si="23"/>
        <v>64000</v>
      </c>
      <c r="R81" s="9"/>
    </row>
    <row r="82" spans="1:18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P82" si="43">F83+F86+F89</f>
        <v>821280</v>
      </c>
      <c r="G82" s="8">
        <f t="shared" si="43"/>
        <v>9440</v>
      </c>
      <c r="H82" s="8">
        <f t="shared" si="43"/>
        <v>9440</v>
      </c>
      <c r="I82" s="8">
        <f t="shared" si="43"/>
        <v>0</v>
      </c>
      <c r="J82" s="8">
        <f t="shared" si="43"/>
        <v>61360</v>
      </c>
      <c r="K82" s="8">
        <f t="shared" si="43"/>
        <v>9440</v>
      </c>
      <c r="L82" s="8">
        <f t="shared" si="43"/>
        <v>0</v>
      </c>
      <c r="M82" s="8">
        <f t="shared" si="43"/>
        <v>0</v>
      </c>
      <c r="N82" s="8">
        <f t="shared" si="43"/>
        <v>0</v>
      </c>
      <c r="O82" s="8">
        <f t="shared" si="43"/>
        <v>0</v>
      </c>
      <c r="P82" s="8">
        <f t="shared" si="43"/>
        <v>0</v>
      </c>
      <c r="Q82" s="8">
        <f t="shared" si="23"/>
        <v>953440</v>
      </c>
      <c r="R82" s="9"/>
    </row>
    <row r="83" spans="1:18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P83" si="44">F84+F85</f>
        <v>0</v>
      </c>
      <c r="G83" s="8">
        <f t="shared" si="44"/>
        <v>0</v>
      </c>
      <c r="H83" s="8">
        <f t="shared" si="44"/>
        <v>0</v>
      </c>
      <c r="I83" s="8">
        <f t="shared" si="44"/>
        <v>0</v>
      </c>
      <c r="J83" s="8">
        <f t="shared" si="44"/>
        <v>0</v>
      </c>
      <c r="K83" s="8">
        <f t="shared" si="44"/>
        <v>0</v>
      </c>
      <c r="L83" s="8">
        <f t="shared" si="44"/>
        <v>0</v>
      </c>
      <c r="M83" s="8">
        <f t="shared" si="44"/>
        <v>0</v>
      </c>
      <c r="N83" s="8">
        <f t="shared" si="44"/>
        <v>0</v>
      </c>
      <c r="O83" s="8">
        <f t="shared" si="44"/>
        <v>0</v>
      </c>
      <c r="P83" s="8">
        <f t="shared" si="44"/>
        <v>0</v>
      </c>
      <c r="Q83" s="8">
        <f t="shared" si="23"/>
        <v>0</v>
      </c>
      <c r="R83" s="9"/>
    </row>
    <row r="84" spans="1:18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8">
        <f t="shared" si="23"/>
        <v>0</v>
      </c>
      <c r="R84" s="15"/>
    </row>
    <row r="85" spans="1:18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8">
        <f t="shared" si="23"/>
        <v>0</v>
      </c>
      <c r="R85" s="15"/>
    </row>
    <row r="86" spans="1:18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P86" si="45">F87+F88</f>
        <v>821280</v>
      </c>
      <c r="G86" s="8">
        <f t="shared" si="45"/>
        <v>9440</v>
      </c>
      <c r="H86" s="8">
        <f t="shared" si="45"/>
        <v>9440</v>
      </c>
      <c r="I86" s="8">
        <f t="shared" si="45"/>
        <v>0</v>
      </c>
      <c r="J86" s="8">
        <f t="shared" si="45"/>
        <v>61360</v>
      </c>
      <c r="K86" s="8">
        <f t="shared" si="45"/>
        <v>9440</v>
      </c>
      <c r="L86" s="8">
        <f t="shared" si="45"/>
        <v>0</v>
      </c>
      <c r="M86" s="8">
        <f t="shared" si="45"/>
        <v>0</v>
      </c>
      <c r="N86" s="8">
        <f t="shared" si="45"/>
        <v>0</v>
      </c>
      <c r="O86" s="8">
        <f t="shared" si="45"/>
        <v>0</v>
      </c>
      <c r="P86" s="8">
        <f t="shared" si="45"/>
        <v>0</v>
      </c>
      <c r="Q86" s="8">
        <f t="shared" si="23"/>
        <v>953440</v>
      </c>
      <c r="R86" s="9"/>
    </row>
    <row r="87" spans="1:18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P87" si="46">F104*400</f>
        <v>69600</v>
      </c>
      <c r="G87" s="8">
        <f t="shared" si="46"/>
        <v>800</v>
      </c>
      <c r="H87" s="8">
        <f t="shared" si="46"/>
        <v>800</v>
      </c>
      <c r="I87" s="8">
        <f t="shared" si="46"/>
        <v>0</v>
      </c>
      <c r="J87" s="8">
        <f t="shared" si="46"/>
        <v>5200</v>
      </c>
      <c r="K87" s="8">
        <f t="shared" si="46"/>
        <v>800</v>
      </c>
      <c r="L87" s="8">
        <f t="shared" si="46"/>
        <v>0</v>
      </c>
      <c r="M87" s="8">
        <f t="shared" si="46"/>
        <v>0</v>
      </c>
      <c r="N87" s="8">
        <f t="shared" si="46"/>
        <v>0</v>
      </c>
      <c r="O87" s="8">
        <f t="shared" si="46"/>
        <v>0</v>
      </c>
      <c r="P87" s="8">
        <f t="shared" si="46"/>
        <v>0</v>
      </c>
      <c r="Q87" s="8">
        <f t="shared" si="23"/>
        <v>80800</v>
      </c>
      <c r="R87" s="9"/>
    </row>
    <row r="88" spans="1:18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P88" si="47">F104*4320</f>
        <v>751680</v>
      </c>
      <c r="G88" s="8">
        <f t="shared" si="47"/>
        <v>8640</v>
      </c>
      <c r="H88" s="8">
        <f t="shared" si="47"/>
        <v>8640</v>
      </c>
      <c r="I88" s="8">
        <f t="shared" si="47"/>
        <v>0</v>
      </c>
      <c r="J88" s="8">
        <f t="shared" si="47"/>
        <v>56160</v>
      </c>
      <c r="K88" s="8">
        <f t="shared" si="47"/>
        <v>8640</v>
      </c>
      <c r="L88" s="8">
        <f t="shared" si="47"/>
        <v>0</v>
      </c>
      <c r="M88" s="8">
        <f t="shared" si="47"/>
        <v>0</v>
      </c>
      <c r="N88" s="8">
        <f t="shared" si="47"/>
        <v>0</v>
      </c>
      <c r="O88" s="8">
        <f t="shared" si="47"/>
        <v>0</v>
      </c>
      <c r="P88" s="8">
        <f t="shared" si="47"/>
        <v>0</v>
      </c>
      <c r="Q88" s="8">
        <f t="shared" si="23"/>
        <v>872640</v>
      </c>
      <c r="R88" s="9"/>
    </row>
    <row r="89" spans="1:18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8">
        <f t="shared" si="23"/>
        <v>0</v>
      </c>
      <c r="R89" s="15"/>
    </row>
    <row r="90" spans="1:18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P90" si="48">F91</f>
        <v>0</v>
      </c>
      <c r="G90" s="8">
        <f t="shared" si="48"/>
        <v>32000</v>
      </c>
      <c r="H90" s="8">
        <f t="shared" si="48"/>
        <v>32000</v>
      </c>
      <c r="I90" s="8">
        <f t="shared" si="48"/>
        <v>32000</v>
      </c>
      <c r="J90" s="8">
        <f t="shared" si="48"/>
        <v>32000</v>
      </c>
      <c r="K90" s="8">
        <f t="shared" si="48"/>
        <v>32000</v>
      </c>
      <c r="L90" s="8">
        <f t="shared" si="48"/>
        <v>32000</v>
      </c>
      <c r="M90" s="8">
        <f t="shared" si="48"/>
        <v>32000</v>
      </c>
      <c r="N90" s="8">
        <f t="shared" si="48"/>
        <v>32000</v>
      </c>
      <c r="O90" s="8">
        <f t="shared" si="48"/>
        <v>32000</v>
      </c>
      <c r="P90" s="8">
        <f t="shared" si="48"/>
        <v>32000</v>
      </c>
      <c r="Q90" s="8">
        <f t="shared" ref="Q90:Q106" si="49">SUM(E90:P90)</f>
        <v>352000</v>
      </c>
      <c r="R90" s="9"/>
    </row>
    <row r="91" spans="1:18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>
        <v>32000</v>
      </c>
      <c r="H91" s="26">
        <v>32000</v>
      </c>
      <c r="I91" s="26">
        <v>32000</v>
      </c>
      <c r="J91" s="26">
        <v>32000</v>
      </c>
      <c r="K91" s="26">
        <v>32000</v>
      </c>
      <c r="L91" s="26">
        <v>32000</v>
      </c>
      <c r="M91" s="26">
        <v>32000</v>
      </c>
      <c r="N91" s="26">
        <v>32000</v>
      </c>
      <c r="O91" s="26">
        <v>32000</v>
      </c>
      <c r="P91" s="26">
        <v>32000</v>
      </c>
      <c r="Q91" s="8">
        <f t="shared" si="49"/>
        <v>352000</v>
      </c>
      <c r="R91" s="27"/>
    </row>
    <row r="92" spans="1:18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8">
        <f t="shared" si="49"/>
        <v>0</v>
      </c>
      <c r="R92" s="31"/>
    </row>
    <row r="93" spans="1:18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8</v>
      </c>
      <c r="F93" s="8">
        <f t="shared" ref="F93:P93" si="50">F94+F95+F96+F97</f>
        <v>169</v>
      </c>
      <c r="G93" s="8">
        <f t="shared" si="50"/>
        <v>95</v>
      </c>
      <c r="H93" s="8">
        <f t="shared" si="50"/>
        <v>73</v>
      </c>
      <c r="I93" s="8">
        <f t="shared" si="50"/>
        <v>122</v>
      </c>
      <c r="J93" s="8">
        <f t="shared" si="50"/>
        <v>29</v>
      </c>
      <c r="K93" s="8">
        <f t="shared" si="50"/>
        <v>22</v>
      </c>
      <c r="L93" s="8">
        <f t="shared" si="50"/>
        <v>27</v>
      </c>
      <c r="M93" s="8">
        <f t="shared" si="50"/>
        <v>25</v>
      </c>
      <c r="N93" s="8">
        <f t="shared" si="50"/>
        <v>51</v>
      </c>
      <c r="O93" s="8">
        <f t="shared" si="50"/>
        <v>21</v>
      </c>
      <c r="P93" s="8">
        <f t="shared" si="50"/>
        <v>20</v>
      </c>
      <c r="Q93" s="19">
        <f t="shared" si="49"/>
        <v>662</v>
      </c>
      <c r="R93" s="9"/>
    </row>
    <row r="94" spans="1:18">
      <c r="A94" s="5" t="s">
        <v>236</v>
      </c>
      <c r="B94" s="32" t="s">
        <v>245</v>
      </c>
      <c r="C94" s="32"/>
      <c r="D94" s="15"/>
      <c r="E94" s="16"/>
      <c r="F94" s="16">
        <v>88</v>
      </c>
      <c r="G94" s="16">
        <v>24</v>
      </c>
      <c r="H94" s="16">
        <v>73</v>
      </c>
      <c r="I94" s="16"/>
      <c r="J94" s="16"/>
      <c r="K94" s="16"/>
      <c r="L94" s="16"/>
      <c r="M94" s="16"/>
      <c r="N94" s="16"/>
      <c r="O94" s="16"/>
      <c r="P94" s="16"/>
      <c r="Q94" s="8">
        <f t="shared" si="49"/>
        <v>185</v>
      </c>
      <c r="R94" s="9"/>
    </row>
    <row r="95" spans="1:18">
      <c r="A95" s="5" t="s">
        <v>239</v>
      </c>
      <c r="B95" s="32" t="s">
        <v>247</v>
      </c>
      <c r="C95" s="32"/>
      <c r="D95" s="7"/>
      <c r="E95" s="10"/>
      <c r="F95" s="10">
        <v>81</v>
      </c>
      <c r="G95" s="10">
        <v>71</v>
      </c>
      <c r="H95" s="10"/>
      <c r="I95" s="10">
        <v>122</v>
      </c>
      <c r="J95" s="10"/>
      <c r="K95" s="10"/>
      <c r="L95" s="10"/>
      <c r="M95" s="10"/>
      <c r="N95" s="10"/>
      <c r="O95" s="10"/>
      <c r="P95" s="10"/>
      <c r="Q95" s="8">
        <f t="shared" si="49"/>
        <v>274</v>
      </c>
      <c r="R95" s="9"/>
    </row>
    <row r="96" spans="1:18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>
        <v>29</v>
      </c>
      <c r="K96" s="16">
        <v>22</v>
      </c>
      <c r="L96" s="16">
        <v>27</v>
      </c>
      <c r="M96" s="16">
        <v>25</v>
      </c>
      <c r="N96" s="16">
        <v>51</v>
      </c>
      <c r="O96" s="16">
        <v>21</v>
      </c>
      <c r="P96" s="16">
        <v>20</v>
      </c>
      <c r="Q96" s="8">
        <f t="shared" si="49"/>
        <v>195</v>
      </c>
      <c r="R96" s="9"/>
    </row>
    <row r="97" spans="1:18">
      <c r="A97" s="5" t="s">
        <v>244</v>
      </c>
      <c r="B97" s="32" t="s">
        <v>251</v>
      </c>
      <c r="C97" s="32"/>
      <c r="D97" s="15"/>
      <c r="E97" s="16">
        <v>8</v>
      </c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8">
        <f t="shared" si="49"/>
        <v>8</v>
      </c>
      <c r="R97" s="9"/>
    </row>
    <row r="98" spans="1:18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 t="shared" ref="F98:P98" si="51">F99+F100+F101+F102</f>
        <v>1578</v>
      </c>
      <c r="G98" s="8">
        <f t="shared" si="51"/>
        <v>1412</v>
      </c>
      <c r="H98" s="8">
        <f t="shared" si="51"/>
        <v>996</v>
      </c>
      <c r="I98" s="8">
        <f t="shared" si="51"/>
        <v>1932</v>
      </c>
      <c r="J98" s="8">
        <f t="shared" si="51"/>
        <v>306</v>
      </c>
      <c r="K98" s="8">
        <f t="shared" si="51"/>
        <v>255</v>
      </c>
      <c r="L98" s="8">
        <f t="shared" si="51"/>
        <v>316</v>
      </c>
      <c r="M98" s="8">
        <f t="shared" si="51"/>
        <v>444</v>
      </c>
      <c r="N98" s="8">
        <f t="shared" si="51"/>
        <v>587</v>
      </c>
      <c r="O98" s="8">
        <f t="shared" si="51"/>
        <v>320</v>
      </c>
      <c r="P98" s="8">
        <f t="shared" si="51"/>
        <v>457</v>
      </c>
      <c r="Q98" s="8">
        <f t="shared" si="49"/>
        <v>8603</v>
      </c>
      <c r="R98" s="9"/>
    </row>
    <row r="99" spans="1:18">
      <c r="A99" s="5" t="s">
        <v>248</v>
      </c>
      <c r="B99" s="32" t="s">
        <v>245</v>
      </c>
      <c r="C99" s="32"/>
      <c r="D99" s="15"/>
      <c r="E99" s="16"/>
      <c r="F99" s="16">
        <v>727</v>
      </c>
      <c r="G99" s="16">
        <v>324</v>
      </c>
      <c r="H99" s="16">
        <v>996</v>
      </c>
      <c r="I99" s="16"/>
      <c r="J99" s="16"/>
      <c r="K99" s="16"/>
      <c r="L99" s="16"/>
      <c r="M99" s="16"/>
      <c r="N99" s="16"/>
      <c r="O99" s="16"/>
      <c r="P99" s="16"/>
      <c r="Q99" s="8">
        <f t="shared" si="49"/>
        <v>2047</v>
      </c>
      <c r="R99" s="9"/>
    </row>
    <row r="100" spans="1:18">
      <c r="A100" s="5" t="s">
        <v>250</v>
      </c>
      <c r="B100" s="32" t="s">
        <v>247</v>
      </c>
      <c r="C100" s="32"/>
      <c r="D100" s="7"/>
      <c r="E100" s="10"/>
      <c r="F100" s="10">
        <v>851</v>
      </c>
      <c r="G100" s="10">
        <v>1088</v>
      </c>
      <c r="H100" s="10"/>
      <c r="I100" s="10">
        <v>1932</v>
      </c>
      <c r="J100" s="10"/>
      <c r="K100" s="10"/>
      <c r="L100" s="10"/>
      <c r="M100" s="10"/>
      <c r="N100" s="10"/>
      <c r="O100" s="10"/>
      <c r="P100" s="10"/>
      <c r="Q100" s="8">
        <f t="shared" si="49"/>
        <v>3871</v>
      </c>
      <c r="R100" s="9"/>
    </row>
    <row r="101" spans="1:18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>
        <v>306</v>
      </c>
      <c r="K101" s="16">
        <v>255</v>
      </c>
      <c r="L101" s="16">
        <v>316</v>
      </c>
      <c r="M101" s="16">
        <v>444</v>
      </c>
      <c r="N101" s="16">
        <v>587</v>
      </c>
      <c r="O101" s="16">
        <v>320</v>
      </c>
      <c r="P101" s="16">
        <v>457</v>
      </c>
      <c r="Q101" s="8">
        <f t="shared" si="49"/>
        <v>2685</v>
      </c>
      <c r="R101" s="9"/>
    </row>
    <row r="102" spans="1:18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8">
        <f t="shared" si="49"/>
        <v>0</v>
      </c>
      <c r="R102" s="9"/>
    </row>
    <row r="103" spans="1:18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8">
        <f t="shared" si="49"/>
        <v>0</v>
      </c>
      <c r="R103" s="9"/>
    </row>
    <row r="104" spans="1:18">
      <c r="A104" s="5" t="s">
        <v>257</v>
      </c>
      <c r="B104" s="6" t="s">
        <v>261</v>
      </c>
      <c r="C104" s="6"/>
      <c r="D104" s="7"/>
      <c r="E104" s="10">
        <v>9</v>
      </c>
      <c r="F104" s="10">
        <v>174</v>
      </c>
      <c r="G104" s="10">
        <v>2</v>
      </c>
      <c r="H104" s="10">
        <v>2</v>
      </c>
      <c r="I104" s="10"/>
      <c r="J104" s="10">
        <v>13</v>
      </c>
      <c r="K104" s="10">
        <v>2</v>
      </c>
      <c r="L104" s="10"/>
      <c r="M104" s="10"/>
      <c r="N104" s="10"/>
      <c r="O104" s="10"/>
      <c r="P104" s="10"/>
      <c r="Q104" s="19">
        <f t="shared" si="49"/>
        <v>202</v>
      </c>
      <c r="R104" s="9"/>
    </row>
    <row r="105" spans="1:18">
      <c r="A105" s="5" t="s">
        <v>258</v>
      </c>
      <c r="B105" s="32" t="s">
        <v>262</v>
      </c>
      <c r="C105" s="32"/>
      <c r="D105" s="20"/>
      <c r="E105" s="10">
        <v>1355</v>
      </c>
      <c r="F105" s="10">
        <v>19818.8</v>
      </c>
      <c r="G105" s="10">
        <v>20058.12</v>
      </c>
      <c r="H105" s="10">
        <v>18593.849999999999</v>
      </c>
      <c r="I105" s="10">
        <v>33557</v>
      </c>
      <c r="J105" s="10">
        <v>4747</v>
      </c>
      <c r="K105" s="10">
        <v>4956.18</v>
      </c>
      <c r="L105" s="10">
        <v>5679</v>
      </c>
      <c r="M105" s="10">
        <v>6138.83</v>
      </c>
      <c r="N105" s="10">
        <v>11569</v>
      </c>
      <c r="O105" s="10">
        <v>7351.7</v>
      </c>
      <c r="P105" s="10">
        <v>7350</v>
      </c>
      <c r="Q105" s="8">
        <f t="shared" si="49"/>
        <v>141174.47999999998</v>
      </c>
      <c r="R105" s="9"/>
    </row>
    <row r="106" spans="1:18">
      <c r="A106" s="5" t="s">
        <v>259</v>
      </c>
      <c r="B106" s="32" t="s">
        <v>263</v>
      </c>
      <c r="C106" s="32"/>
      <c r="D106" s="20"/>
      <c r="E106" s="10">
        <v>1800</v>
      </c>
      <c r="F106" s="10">
        <v>12152</v>
      </c>
      <c r="G106" s="10">
        <v>14010</v>
      </c>
      <c r="H106" s="10">
        <v>9821</v>
      </c>
      <c r="I106" s="10">
        <v>16294</v>
      </c>
      <c r="J106" s="10">
        <v>2560</v>
      </c>
      <c r="K106" s="10">
        <v>1968</v>
      </c>
      <c r="L106" s="10">
        <v>2613</v>
      </c>
      <c r="M106" s="10">
        <v>2577</v>
      </c>
      <c r="N106" s="10">
        <v>4725</v>
      </c>
      <c r="O106" s="10">
        <v>3402.3</v>
      </c>
      <c r="P106" s="10">
        <v>3224</v>
      </c>
      <c r="Q106" s="8">
        <f t="shared" si="49"/>
        <v>75146.3</v>
      </c>
      <c r="R106" s="9"/>
    </row>
    <row r="107" spans="1:18">
      <c r="E107" s="1">
        <f t="shared" ref="E107:Q107" si="52">E4/E93</f>
        <v>363190.23499999999</v>
      </c>
      <c r="F107" s="86">
        <f t="shared" si="52"/>
        <v>369146.92568047333</v>
      </c>
      <c r="G107" s="1">
        <f t="shared" si="52"/>
        <v>338748.36252631579</v>
      </c>
      <c r="H107" s="1">
        <f t="shared" si="52"/>
        <v>341336.15767123288</v>
      </c>
      <c r="I107" s="1">
        <f t="shared" si="52"/>
        <v>336001.95672131149</v>
      </c>
      <c r="J107" s="1">
        <f t="shared" si="52"/>
        <v>330979.5244827586</v>
      </c>
      <c r="K107" s="1">
        <f t="shared" si="52"/>
        <v>318958.8481818182</v>
      </c>
      <c r="L107" s="1">
        <f t="shared" si="52"/>
        <v>318943.17851851851</v>
      </c>
      <c r="M107" s="86">
        <f t="shared" si="52"/>
        <v>313768.55079999997</v>
      </c>
      <c r="N107" s="1">
        <f t="shared" si="52"/>
        <v>301352.11470588238</v>
      </c>
      <c r="O107" s="1">
        <f t="shared" si="52"/>
        <v>307375.9957142857</v>
      </c>
      <c r="P107" s="1">
        <f t="shared" si="52"/>
        <v>302693.40949999995</v>
      </c>
      <c r="Q107" s="1">
        <f t="shared" si="52"/>
        <v>338868.77250755287</v>
      </c>
    </row>
    <row r="111" spans="1:18">
      <c r="E111" s="36"/>
      <c r="F111" s="36"/>
      <c r="G111" s="36"/>
      <c r="H111" s="36"/>
      <c r="I111" s="36"/>
      <c r="J111" s="36"/>
      <c r="K111" s="36"/>
      <c r="L111" s="36"/>
      <c r="M111" s="36"/>
      <c r="N111" s="36"/>
      <c r="O111" s="36"/>
      <c r="P111" s="36"/>
      <c r="Q111" s="36"/>
    </row>
  </sheetData>
  <protectedRanges>
    <protectedRange password="E9C1" sqref="D28 Q21:R26 R20 Q4:R9 R10 R27 A2:R3 A4:D5 Q11:R19 B6:D26 Q28:R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R1"/>
  </mergeCells>
  <phoneticPr fontId="3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N107"/>
  <sheetViews>
    <sheetView workbookViewId="0">
      <pane xSplit="4" ySplit="2" topLeftCell="E77" activePane="bottomRight" state="frozen"/>
      <selection pane="topRight" activeCell="E1" sqref="E1"/>
      <selection pane="bottomLeft" activeCell="A3" sqref="A3"/>
      <selection pane="bottomRight" activeCell="M3" sqref="M3:M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4" ht="25.5">
      <c r="A1" s="373" t="s">
        <v>0</v>
      </c>
      <c r="B1" s="374"/>
      <c r="C1" s="374"/>
      <c r="D1" s="374"/>
      <c r="E1" s="374"/>
      <c r="F1" s="374"/>
      <c r="G1" s="374"/>
      <c r="H1" s="374"/>
      <c r="I1" s="374"/>
      <c r="J1" s="374"/>
      <c r="K1" s="374"/>
      <c r="L1" s="374"/>
      <c r="M1" s="374"/>
      <c r="N1" s="374"/>
    </row>
    <row r="2" spans="1:14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287</v>
      </c>
      <c r="F2" s="3" t="s">
        <v>288</v>
      </c>
      <c r="G2" s="3" t="s">
        <v>289</v>
      </c>
      <c r="H2" s="3" t="s">
        <v>290</v>
      </c>
      <c r="I2" s="3" t="s">
        <v>291</v>
      </c>
      <c r="J2" s="3" t="s">
        <v>22</v>
      </c>
      <c r="K2" s="3" t="s">
        <v>292</v>
      </c>
      <c r="L2" s="3" t="s">
        <v>293</v>
      </c>
      <c r="M2" s="3" t="s">
        <v>24</v>
      </c>
      <c r="N2" s="4" t="s">
        <v>25</v>
      </c>
    </row>
    <row r="3" spans="1:14">
      <c r="A3" s="5" t="s">
        <v>26</v>
      </c>
      <c r="B3" s="6" t="s">
        <v>27</v>
      </c>
      <c r="C3" s="6"/>
      <c r="D3" s="7" t="s">
        <v>28</v>
      </c>
      <c r="E3" s="8">
        <f t="shared" ref="E3:L3" si="0">E4+E30+E49</f>
        <v>11128817.98</v>
      </c>
      <c r="F3" s="8">
        <f t="shared" si="0"/>
        <v>60838674.350000009</v>
      </c>
      <c r="G3" s="8">
        <f t="shared" si="0"/>
        <v>63181881.060000002</v>
      </c>
      <c r="H3" s="8">
        <f t="shared" si="0"/>
        <v>15587679.199999999</v>
      </c>
      <c r="I3" s="8">
        <f t="shared" si="0"/>
        <v>13245217.07</v>
      </c>
      <c r="J3" s="8">
        <f t="shared" si="0"/>
        <v>2866570.86</v>
      </c>
      <c r="K3" s="8">
        <f t="shared" si="0"/>
        <v>48456611.219999999</v>
      </c>
      <c r="L3" s="8">
        <f t="shared" si="0"/>
        <v>21988982.420000002</v>
      </c>
      <c r="M3" s="8">
        <f t="shared" ref="M3:M9" si="1">SUM(E3:L3)</f>
        <v>237294434.16000003</v>
      </c>
      <c r="N3" s="9"/>
    </row>
    <row r="4" spans="1:14">
      <c r="A4" s="5" t="s">
        <v>29</v>
      </c>
      <c r="B4" s="6" t="s">
        <v>30</v>
      </c>
      <c r="C4" s="6"/>
      <c r="D4" s="7" t="s">
        <v>28</v>
      </c>
      <c r="E4" s="8">
        <f t="shared" ref="E4:L4" si="2">E5+E8+E12+E15+E18+E20+E23+E25+E27+E28+E29</f>
        <v>9811035.5500000007</v>
      </c>
      <c r="F4" s="8">
        <f t="shared" si="2"/>
        <v>51843665.730000004</v>
      </c>
      <c r="G4" s="8">
        <f t="shared" si="2"/>
        <v>53516730.469999999</v>
      </c>
      <c r="H4" s="8">
        <f t="shared" si="2"/>
        <v>13258871.669999998</v>
      </c>
      <c r="I4" s="8">
        <f t="shared" si="2"/>
        <v>11380665.030000001</v>
      </c>
      <c r="J4" s="8">
        <f t="shared" si="2"/>
        <v>2506081.7199999997</v>
      </c>
      <c r="K4" s="8">
        <f t="shared" si="2"/>
        <v>42548651.649999999</v>
      </c>
      <c r="L4" s="8">
        <f t="shared" si="2"/>
        <v>19044603.550000001</v>
      </c>
      <c r="M4" s="8">
        <f t="shared" si="1"/>
        <v>203910305.37</v>
      </c>
      <c r="N4" s="9"/>
    </row>
    <row r="5" spans="1:14">
      <c r="A5" s="5" t="s">
        <v>31</v>
      </c>
      <c r="B5" s="6" t="s">
        <v>32</v>
      </c>
      <c r="C5" s="6"/>
      <c r="D5" s="7" t="s">
        <v>28</v>
      </c>
      <c r="E5" s="8">
        <f>E6+E7</f>
        <v>1485348</v>
      </c>
      <c r="F5" s="8">
        <f t="shared" ref="F5:L5" si="3">F6+F7</f>
        <v>7574388</v>
      </c>
      <c r="G5" s="8">
        <f t="shared" si="3"/>
        <v>7437696</v>
      </c>
      <c r="H5" s="8">
        <f t="shared" si="3"/>
        <v>1704960</v>
      </c>
      <c r="I5" s="8">
        <f t="shared" si="3"/>
        <v>1432176</v>
      </c>
      <c r="J5" s="8">
        <f t="shared" si="3"/>
        <v>399192</v>
      </c>
      <c r="K5" s="8">
        <f t="shared" si="3"/>
        <v>6198732</v>
      </c>
      <c r="L5" s="8">
        <f t="shared" si="3"/>
        <v>2531940</v>
      </c>
      <c r="M5" s="8">
        <f t="shared" si="1"/>
        <v>28764432</v>
      </c>
      <c r="N5" s="9"/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0">
        <v>805752</v>
      </c>
      <c r="F6" s="10">
        <v>4046640</v>
      </c>
      <c r="G6" s="10">
        <v>4069860</v>
      </c>
      <c r="H6" s="10">
        <v>1081404</v>
      </c>
      <c r="I6" s="10">
        <v>892764</v>
      </c>
      <c r="J6" s="10">
        <v>185508</v>
      </c>
      <c r="K6" s="10">
        <v>3240504</v>
      </c>
      <c r="L6" s="10">
        <v>1512900</v>
      </c>
      <c r="M6" s="8">
        <f t="shared" si="1"/>
        <v>15835332</v>
      </c>
      <c r="N6" s="11"/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0">
        <v>679596</v>
      </c>
      <c r="F7" s="10">
        <v>3527748</v>
      </c>
      <c r="G7" s="10">
        <v>3367836</v>
      </c>
      <c r="H7" s="10">
        <v>623556</v>
      </c>
      <c r="I7" s="10">
        <v>539412</v>
      </c>
      <c r="J7" s="10">
        <v>213684</v>
      </c>
      <c r="K7" s="10">
        <v>2958228</v>
      </c>
      <c r="L7" s="10">
        <v>1019040</v>
      </c>
      <c r="M7" s="8">
        <f t="shared" si="1"/>
        <v>12929100</v>
      </c>
      <c r="N7" s="9"/>
    </row>
    <row r="8" spans="1:14">
      <c r="A8" s="5" t="s">
        <v>39</v>
      </c>
      <c r="B8" s="6" t="s">
        <v>40</v>
      </c>
      <c r="C8" s="6"/>
      <c r="D8" s="7" t="s">
        <v>28</v>
      </c>
      <c r="E8" s="8">
        <f>E9+E10</f>
        <v>161112</v>
      </c>
      <c r="F8" s="8">
        <f t="shared" ref="F8:L8" si="4">F9+F10</f>
        <v>767664</v>
      </c>
      <c r="G8" s="8">
        <f t="shared" si="4"/>
        <v>809424</v>
      </c>
      <c r="H8" s="8">
        <f t="shared" si="4"/>
        <v>238902</v>
      </c>
      <c r="I8" s="8">
        <f t="shared" si="4"/>
        <v>192264</v>
      </c>
      <c r="J8" s="8">
        <f t="shared" si="4"/>
        <v>38004</v>
      </c>
      <c r="K8" s="8">
        <f t="shared" si="4"/>
        <v>633876</v>
      </c>
      <c r="L8" s="8">
        <f t="shared" si="4"/>
        <v>315504</v>
      </c>
      <c r="M8" s="8">
        <f t="shared" si="1"/>
        <v>3156750</v>
      </c>
      <c r="N8" s="9"/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0">
        <f>226*12</f>
        <v>2712</v>
      </c>
      <c r="F9" s="10">
        <v>12624</v>
      </c>
      <c r="G9" s="10">
        <v>12144</v>
      </c>
      <c r="H9" s="10">
        <v>11862</v>
      </c>
      <c r="I9" s="10">
        <v>2184</v>
      </c>
      <c r="J9" s="10">
        <v>1044</v>
      </c>
      <c r="K9" s="10">
        <v>10836</v>
      </c>
      <c r="L9" s="10">
        <v>3984</v>
      </c>
      <c r="M9" s="8">
        <f t="shared" si="1"/>
        <v>57390</v>
      </c>
      <c r="N9" s="9"/>
    </row>
    <row r="10" spans="1:14">
      <c r="A10" s="5" t="s">
        <v>43</v>
      </c>
      <c r="B10" s="6" t="s">
        <v>44</v>
      </c>
      <c r="C10" s="6"/>
      <c r="D10" s="7" t="s">
        <v>28</v>
      </c>
      <c r="E10" s="8">
        <f>E11</f>
        <v>158400</v>
      </c>
      <c r="F10" s="8">
        <f t="shared" ref="F10:M10" si="5">F11</f>
        <v>755040</v>
      </c>
      <c r="G10" s="8">
        <f t="shared" si="5"/>
        <v>797280</v>
      </c>
      <c r="H10" s="8">
        <f t="shared" si="5"/>
        <v>227040</v>
      </c>
      <c r="I10" s="8">
        <f t="shared" si="5"/>
        <v>190080</v>
      </c>
      <c r="J10" s="8">
        <f t="shared" si="5"/>
        <v>36960</v>
      </c>
      <c r="K10" s="8">
        <f t="shared" si="5"/>
        <v>623040</v>
      </c>
      <c r="L10" s="8">
        <f t="shared" si="5"/>
        <v>311520</v>
      </c>
      <c r="M10" s="8">
        <f t="shared" si="5"/>
        <v>3099360</v>
      </c>
      <c r="N10" s="9"/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158400</v>
      </c>
      <c r="F11" s="8">
        <f t="shared" ref="F11:L11" si="6">440*12*F93</f>
        <v>755040</v>
      </c>
      <c r="G11" s="8">
        <f t="shared" si="6"/>
        <v>797280</v>
      </c>
      <c r="H11" s="8">
        <f t="shared" si="6"/>
        <v>227040</v>
      </c>
      <c r="I11" s="8">
        <f t="shared" si="6"/>
        <v>190080</v>
      </c>
      <c r="J11" s="8">
        <f t="shared" si="6"/>
        <v>36960</v>
      </c>
      <c r="K11" s="8">
        <f t="shared" si="6"/>
        <v>623040</v>
      </c>
      <c r="L11" s="8">
        <f t="shared" si="6"/>
        <v>311520</v>
      </c>
      <c r="M11" s="8">
        <f t="shared" ref="M11:M26" si="7">SUM(E11:L11)</f>
        <v>3099360</v>
      </c>
      <c r="N11" s="9"/>
    </row>
    <row r="12" spans="1:14">
      <c r="A12" s="5" t="s">
        <v>47</v>
      </c>
      <c r="B12" s="6" t="s">
        <v>48</v>
      </c>
      <c r="C12" s="6"/>
      <c r="D12" s="7" t="s">
        <v>49</v>
      </c>
      <c r="E12" s="8">
        <f>E13+E14</f>
        <v>44889.55</v>
      </c>
      <c r="F12" s="8">
        <f t="shared" ref="F12:L12" si="8">F13+F14</f>
        <v>249859.73</v>
      </c>
      <c r="G12" s="8">
        <f t="shared" si="8"/>
        <v>252958.46000000002</v>
      </c>
      <c r="H12" s="8">
        <f t="shared" si="8"/>
        <v>58007.67</v>
      </c>
      <c r="I12" s="8">
        <f t="shared" si="8"/>
        <v>53193.020000000004</v>
      </c>
      <c r="J12" s="8">
        <f t="shared" si="8"/>
        <v>11881.73</v>
      </c>
      <c r="K12" s="8">
        <f t="shared" si="8"/>
        <v>203229.65000000002</v>
      </c>
      <c r="L12" s="8">
        <f t="shared" si="8"/>
        <v>90573.55</v>
      </c>
      <c r="M12" s="8">
        <f t="shared" si="7"/>
        <v>964593.3600000001</v>
      </c>
      <c r="N12" s="9"/>
    </row>
    <row r="13" spans="1:14" s="13" customFormat="1">
      <c r="A13" s="5" t="s">
        <v>50</v>
      </c>
      <c r="B13" s="49" t="s">
        <v>584</v>
      </c>
      <c r="C13" s="12" t="s">
        <v>35</v>
      </c>
      <c r="D13" s="9" t="s">
        <v>51</v>
      </c>
      <c r="E13" s="8">
        <f>ROUND(E28/0.07*0.00256,2)</f>
        <v>15200.69</v>
      </c>
      <c r="F13" s="8">
        <f t="shared" ref="F13:L13" si="9">ROUND(F28/0.07*0.00256,2)</f>
        <v>84608.59</v>
      </c>
      <c r="G13" s="8">
        <f t="shared" si="9"/>
        <v>85657.89</v>
      </c>
      <c r="H13" s="8">
        <f t="shared" si="9"/>
        <v>19642.810000000001</v>
      </c>
      <c r="I13" s="8">
        <f t="shared" si="9"/>
        <v>18012.45</v>
      </c>
      <c r="J13" s="8">
        <f t="shared" si="9"/>
        <v>4023.44</v>
      </c>
      <c r="K13" s="8">
        <f t="shared" si="9"/>
        <v>68818.509999999995</v>
      </c>
      <c r="L13" s="8">
        <f t="shared" si="9"/>
        <v>30670.41</v>
      </c>
      <c r="M13" s="8">
        <f t="shared" si="7"/>
        <v>326634.78999999998</v>
      </c>
      <c r="N13" s="9"/>
    </row>
    <row r="14" spans="1:14" s="13" customFormat="1">
      <c r="A14" s="5" t="s">
        <v>52</v>
      </c>
      <c r="B14" s="49" t="s">
        <v>585</v>
      </c>
      <c r="C14" s="12" t="s">
        <v>35</v>
      </c>
      <c r="D14" s="9" t="s">
        <v>51</v>
      </c>
      <c r="E14" s="8">
        <f>ROUND(E28/0.07*0.005,2)</f>
        <v>29688.86</v>
      </c>
      <c r="F14" s="8">
        <f t="shared" ref="F14:L14" si="10">ROUND(F28/0.07*0.005,2)</f>
        <v>165251.14000000001</v>
      </c>
      <c r="G14" s="8">
        <f t="shared" si="10"/>
        <v>167300.57</v>
      </c>
      <c r="H14" s="8">
        <f t="shared" si="10"/>
        <v>38364.86</v>
      </c>
      <c r="I14" s="8">
        <f t="shared" si="10"/>
        <v>35180.57</v>
      </c>
      <c r="J14" s="8">
        <f t="shared" si="10"/>
        <v>7858.29</v>
      </c>
      <c r="K14" s="8">
        <f t="shared" si="10"/>
        <v>134411.14000000001</v>
      </c>
      <c r="L14" s="8">
        <f t="shared" si="10"/>
        <v>59903.14</v>
      </c>
      <c r="M14" s="8">
        <f t="shared" si="7"/>
        <v>637958.56999999995</v>
      </c>
      <c r="N14" s="9"/>
    </row>
    <row r="15" spans="1:14">
      <c r="A15" s="5" t="s">
        <v>53</v>
      </c>
      <c r="B15" s="6" t="s">
        <v>55</v>
      </c>
      <c r="C15" s="6"/>
      <c r="D15" s="7" t="s">
        <v>28</v>
      </c>
      <c r="E15" s="8">
        <v>5238000</v>
      </c>
      <c r="F15" s="8">
        <v>27355900</v>
      </c>
      <c r="G15" s="8">
        <v>28886300</v>
      </c>
      <c r="H15" s="8">
        <v>7507800</v>
      </c>
      <c r="I15" s="8">
        <v>6285600</v>
      </c>
      <c r="J15" s="8">
        <v>1299900</v>
      </c>
      <c r="K15" s="8">
        <v>22573400</v>
      </c>
      <c r="L15" s="8">
        <v>10301400</v>
      </c>
      <c r="M15" s="8">
        <f t="shared" si="7"/>
        <v>109448300</v>
      </c>
      <c r="N15" s="9"/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5070424</v>
      </c>
      <c r="F16" s="16">
        <f t="shared" ref="F16:L16" si="11">F15-F17</f>
        <v>26859408</v>
      </c>
      <c r="G16" s="16">
        <f t="shared" si="11"/>
        <v>28640396</v>
      </c>
      <c r="H16" s="16">
        <f t="shared" si="11"/>
        <v>7319656</v>
      </c>
      <c r="I16" s="16">
        <f t="shared" si="11"/>
        <v>6104224</v>
      </c>
      <c r="J16" s="16">
        <f t="shared" si="11"/>
        <v>1299900</v>
      </c>
      <c r="K16" s="16">
        <f t="shared" si="11"/>
        <v>22154428</v>
      </c>
      <c r="L16" s="16">
        <f t="shared" si="11"/>
        <v>10074544</v>
      </c>
      <c r="M16" s="8">
        <f t="shared" si="7"/>
        <v>107522980</v>
      </c>
      <c r="N16" s="15"/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167576</v>
      </c>
      <c r="F17" s="16">
        <v>496492</v>
      </c>
      <c r="G17" s="16">
        <v>245904</v>
      </c>
      <c r="H17" s="16">
        <v>188144</v>
      </c>
      <c r="I17" s="16">
        <v>181376</v>
      </c>
      <c r="J17" s="16"/>
      <c r="K17" s="16">
        <v>418972</v>
      </c>
      <c r="L17" s="16">
        <v>226856</v>
      </c>
      <c r="M17" s="8">
        <f t="shared" si="7"/>
        <v>1925320</v>
      </c>
      <c r="N17" s="15"/>
    </row>
    <row r="18" spans="1:14">
      <c r="A18" s="5" t="s">
        <v>59</v>
      </c>
      <c r="B18" s="6" t="s">
        <v>63</v>
      </c>
      <c r="C18" s="6"/>
      <c r="D18" s="15" t="s">
        <v>28</v>
      </c>
      <c r="E18" s="17">
        <f>E19</f>
        <v>623466</v>
      </c>
      <c r="F18" s="17">
        <f t="shared" ref="F18:L18" si="12">F19</f>
        <v>3470274</v>
      </c>
      <c r="G18" s="17">
        <f t="shared" si="12"/>
        <v>3513312</v>
      </c>
      <c r="H18" s="17">
        <f t="shared" si="12"/>
        <v>805662</v>
      </c>
      <c r="I18" s="17">
        <f t="shared" si="12"/>
        <v>738792</v>
      </c>
      <c r="J18" s="17">
        <f t="shared" si="12"/>
        <v>165024</v>
      </c>
      <c r="K18" s="17">
        <f t="shared" si="12"/>
        <v>2822634</v>
      </c>
      <c r="L18" s="17">
        <f t="shared" si="12"/>
        <v>1257966</v>
      </c>
      <c r="M18" s="8">
        <f t="shared" si="7"/>
        <v>13397130</v>
      </c>
      <c r="N18" s="15"/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623466</v>
      </c>
      <c r="F19" s="17">
        <f t="shared" ref="F19:L19" si="13">ROUND(F28/0.07*0.105,2)</f>
        <v>3470274</v>
      </c>
      <c r="G19" s="17">
        <f t="shared" si="13"/>
        <v>3513312</v>
      </c>
      <c r="H19" s="17">
        <f t="shared" si="13"/>
        <v>805662</v>
      </c>
      <c r="I19" s="17">
        <f t="shared" si="13"/>
        <v>738792</v>
      </c>
      <c r="J19" s="17">
        <f t="shared" si="13"/>
        <v>165024</v>
      </c>
      <c r="K19" s="17">
        <f t="shared" si="13"/>
        <v>2822634</v>
      </c>
      <c r="L19" s="17">
        <f t="shared" si="13"/>
        <v>1257966</v>
      </c>
      <c r="M19" s="8">
        <f t="shared" si="7"/>
        <v>13397130</v>
      </c>
      <c r="N19" s="15"/>
    </row>
    <row r="20" spans="1:14">
      <c r="A20" s="5" t="s">
        <v>64</v>
      </c>
      <c r="B20" s="6" t="s">
        <v>68</v>
      </c>
      <c r="C20" s="6"/>
      <c r="D20" s="15" t="s">
        <v>51</v>
      </c>
      <c r="E20" s="17">
        <f>E21+E22</f>
        <v>237510.86</v>
      </c>
      <c r="F20" s="17">
        <f t="shared" ref="F20:L20" si="14">F21+F22</f>
        <v>1322009.1399999999</v>
      </c>
      <c r="G20" s="17">
        <f t="shared" si="14"/>
        <v>1338404.58</v>
      </c>
      <c r="H20" s="17">
        <f t="shared" si="14"/>
        <v>306918.86</v>
      </c>
      <c r="I20" s="17">
        <f t="shared" si="14"/>
        <v>281444.58</v>
      </c>
      <c r="J20" s="17">
        <f t="shared" si="14"/>
        <v>62866.28</v>
      </c>
      <c r="K20" s="17">
        <f t="shared" si="14"/>
        <v>1075289.1399999999</v>
      </c>
      <c r="L20" s="17">
        <f t="shared" si="14"/>
        <v>479225.14</v>
      </c>
      <c r="M20" s="8">
        <f t="shared" si="7"/>
        <v>5103668.5799999991</v>
      </c>
      <c r="N20" s="15"/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118755.43</v>
      </c>
      <c r="F21" s="17">
        <f t="shared" ref="F21:L21" si="15">ROUND(F28/0.07*0.02,2)</f>
        <v>661004.56999999995</v>
      </c>
      <c r="G21" s="17">
        <f t="shared" si="15"/>
        <v>669202.29</v>
      </c>
      <c r="H21" s="17">
        <f t="shared" si="15"/>
        <v>153459.43</v>
      </c>
      <c r="I21" s="17">
        <f t="shared" si="15"/>
        <v>140722.29</v>
      </c>
      <c r="J21" s="17">
        <f t="shared" si="15"/>
        <v>31433.14</v>
      </c>
      <c r="K21" s="17">
        <f t="shared" si="15"/>
        <v>537644.56999999995</v>
      </c>
      <c r="L21" s="17">
        <f t="shared" si="15"/>
        <v>239612.57</v>
      </c>
      <c r="M21" s="8">
        <f t="shared" si="7"/>
        <v>2551834.2899999996</v>
      </c>
      <c r="N21" s="15"/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118755.43</v>
      </c>
      <c r="F22" s="17">
        <f t="shared" ref="F22:L22" si="16">ROUND(F28/0.07*0.02,2)</f>
        <v>661004.56999999995</v>
      </c>
      <c r="G22" s="17">
        <f t="shared" si="16"/>
        <v>669202.29</v>
      </c>
      <c r="H22" s="17">
        <f t="shared" si="16"/>
        <v>153459.43</v>
      </c>
      <c r="I22" s="17">
        <f t="shared" si="16"/>
        <v>140722.29</v>
      </c>
      <c r="J22" s="17">
        <f t="shared" si="16"/>
        <v>31433.14</v>
      </c>
      <c r="K22" s="17">
        <f t="shared" si="16"/>
        <v>537644.56999999995</v>
      </c>
      <c r="L22" s="17">
        <f t="shared" si="16"/>
        <v>239612.57</v>
      </c>
      <c r="M22" s="8">
        <f t="shared" si="7"/>
        <v>2551834.2899999996</v>
      </c>
      <c r="N22" s="15"/>
    </row>
    <row r="23" spans="1:14">
      <c r="A23" s="5" t="s">
        <v>72</v>
      </c>
      <c r="B23" s="6" t="s">
        <v>75</v>
      </c>
      <c r="C23" s="6"/>
      <c r="D23" s="7" t="s">
        <v>28</v>
      </c>
      <c r="E23" s="8">
        <f>E24</f>
        <v>950043.43</v>
      </c>
      <c r="F23" s="8">
        <f t="shared" ref="F23:L23" si="17">F24</f>
        <v>5288036.57</v>
      </c>
      <c r="G23" s="8">
        <f t="shared" si="17"/>
        <v>5353618.29</v>
      </c>
      <c r="H23" s="8">
        <f t="shared" si="17"/>
        <v>1227675.43</v>
      </c>
      <c r="I23" s="8">
        <f t="shared" si="17"/>
        <v>1125778.29</v>
      </c>
      <c r="J23" s="8">
        <f t="shared" si="17"/>
        <v>251465.14</v>
      </c>
      <c r="K23" s="8">
        <f t="shared" si="17"/>
        <v>4301156.57</v>
      </c>
      <c r="L23" s="8">
        <f t="shared" si="17"/>
        <v>1916900.57</v>
      </c>
      <c r="M23" s="8">
        <f t="shared" si="7"/>
        <v>20414674.289999999</v>
      </c>
      <c r="N23" s="9"/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950043.43</v>
      </c>
      <c r="F24" s="8">
        <f t="shared" ref="F24:L24" si="18">ROUND(F28/0.07*0.16,2)</f>
        <v>5288036.57</v>
      </c>
      <c r="G24" s="8">
        <f t="shared" si="18"/>
        <v>5353618.29</v>
      </c>
      <c r="H24" s="8">
        <f t="shared" si="18"/>
        <v>1227675.43</v>
      </c>
      <c r="I24" s="8">
        <f t="shared" si="18"/>
        <v>1125778.29</v>
      </c>
      <c r="J24" s="8">
        <f t="shared" si="18"/>
        <v>251465.14</v>
      </c>
      <c r="K24" s="8">
        <f t="shared" si="18"/>
        <v>4301156.57</v>
      </c>
      <c r="L24" s="8">
        <f t="shared" si="18"/>
        <v>1916900.57</v>
      </c>
      <c r="M24" s="8">
        <f t="shared" si="7"/>
        <v>20414674.289999999</v>
      </c>
      <c r="N24" s="9"/>
    </row>
    <row r="25" spans="1:14">
      <c r="A25" s="5" t="s">
        <v>76</v>
      </c>
      <c r="B25" s="6" t="s">
        <v>80</v>
      </c>
      <c r="C25" s="6"/>
      <c r="D25" s="7" t="s">
        <v>28</v>
      </c>
      <c r="E25" s="8">
        <f>E26</f>
        <v>475021.71</v>
      </c>
      <c r="F25" s="8">
        <f t="shared" ref="F25:L25" si="19">F26</f>
        <v>2644018.29</v>
      </c>
      <c r="G25" s="8">
        <f t="shared" si="19"/>
        <v>2676809.14</v>
      </c>
      <c r="H25" s="8">
        <f t="shared" si="19"/>
        <v>613837.71</v>
      </c>
      <c r="I25" s="8">
        <f t="shared" si="19"/>
        <v>562889.14</v>
      </c>
      <c r="J25" s="8">
        <f t="shared" si="19"/>
        <v>125732.57</v>
      </c>
      <c r="K25" s="8">
        <f t="shared" si="19"/>
        <v>2150578.29</v>
      </c>
      <c r="L25" s="8">
        <f t="shared" si="19"/>
        <v>958450.29</v>
      </c>
      <c r="M25" s="8">
        <f t="shared" si="7"/>
        <v>10207337.140000001</v>
      </c>
      <c r="N25" s="9"/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475021.71</v>
      </c>
      <c r="F26" s="8">
        <f t="shared" ref="F26:L26" si="20">ROUND(F28/0.07*0.08,2)</f>
        <v>2644018.29</v>
      </c>
      <c r="G26" s="8">
        <f t="shared" si="20"/>
        <v>2676809.14</v>
      </c>
      <c r="H26" s="8">
        <f t="shared" si="20"/>
        <v>613837.71</v>
      </c>
      <c r="I26" s="8">
        <f t="shared" si="20"/>
        <v>562889.14</v>
      </c>
      <c r="J26" s="8">
        <f t="shared" si="20"/>
        <v>125732.57</v>
      </c>
      <c r="K26" s="8">
        <f t="shared" si="20"/>
        <v>2150578.29</v>
      </c>
      <c r="L26" s="8">
        <f t="shared" si="20"/>
        <v>958450.29</v>
      </c>
      <c r="M26" s="8">
        <f t="shared" si="7"/>
        <v>10207337.140000001</v>
      </c>
      <c r="N26" s="9"/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180000</v>
      </c>
      <c r="F27" s="8">
        <f t="shared" ref="F27:M27" si="21">6000*F93</f>
        <v>858000</v>
      </c>
      <c r="G27" s="8">
        <f t="shared" si="21"/>
        <v>906000</v>
      </c>
      <c r="H27" s="8">
        <f t="shared" si="21"/>
        <v>258000</v>
      </c>
      <c r="I27" s="8">
        <f t="shared" si="21"/>
        <v>216000</v>
      </c>
      <c r="J27" s="8">
        <f t="shared" si="21"/>
        <v>42000</v>
      </c>
      <c r="K27" s="8">
        <f t="shared" si="21"/>
        <v>708000</v>
      </c>
      <c r="L27" s="8">
        <f t="shared" si="21"/>
        <v>354000</v>
      </c>
      <c r="M27" s="8">
        <f t="shared" si="21"/>
        <v>3522000</v>
      </c>
      <c r="N27" s="9"/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6">
        <v>415644</v>
      </c>
      <c r="F28" s="16">
        <v>2313516</v>
      </c>
      <c r="G28" s="16">
        <v>2342208</v>
      </c>
      <c r="H28" s="16">
        <v>537108</v>
      </c>
      <c r="I28" s="16">
        <v>492528</v>
      </c>
      <c r="J28" s="16">
        <v>110016</v>
      </c>
      <c r="K28" s="16">
        <v>1881756</v>
      </c>
      <c r="L28" s="16">
        <v>838644</v>
      </c>
      <c r="M28" s="8">
        <f t="shared" ref="M28:M89" si="22">SUM(E28:L28)</f>
        <v>8931420</v>
      </c>
      <c r="N28" s="15"/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8">
        <f t="shared" si="22"/>
        <v>0</v>
      </c>
      <c r="N29" s="15"/>
    </row>
    <row r="30" spans="1:14">
      <c r="A30" s="5" t="s">
        <v>90</v>
      </c>
      <c r="B30" s="6" t="s">
        <v>95</v>
      </c>
      <c r="C30" s="6"/>
      <c r="D30" s="7" t="s">
        <v>28</v>
      </c>
      <c r="E30" s="8">
        <f>E31+E39+E42+E44</f>
        <v>2660</v>
      </c>
      <c r="F30" s="8">
        <f t="shared" ref="F30:L30" si="23">F31+F39+F42+F44</f>
        <v>17640</v>
      </c>
      <c r="G30" s="8">
        <f t="shared" si="23"/>
        <v>111460</v>
      </c>
      <c r="H30" s="8">
        <f t="shared" si="23"/>
        <v>2840</v>
      </c>
      <c r="I30" s="8">
        <f t="shared" si="23"/>
        <v>7740</v>
      </c>
      <c r="J30" s="8">
        <f t="shared" si="23"/>
        <v>360</v>
      </c>
      <c r="K30" s="8">
        <f t="shared" si="23"/>
        <v>10200</v>
      </c>
      <c r="L30" s="8">
        <f t="shared" si="23"/>
        <v>7290</v>
      </c>
      <c r="M30" s="8">
        <f t="shared" si="22"/>
        <v>160190</v>
      </c>
      <c r="N30" s="9"/>
    </row>
    <row r="31" spans="1:1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L31" si="24">F32+F33+F34+F35+F36+F37+F38</f>
        <v>0</v>
      </c>
      <c r="G31" s="8">
        <f t="shared" si="24"/>
        <v>101740</v>
      </c>
      <c r="H31" s="8">
        <f t="shared" si="24"/>
        <v>0</v>
      </c>
      <c r="I31" s="8">
        <f t="shared" si="24"/>
        <v>0</v>
      </c>
      <c r="J31" s="8">
        <f t="shared" si="24"/>
        <v>0</v>
      </c>
      <c r="K31" s="8">
        <f t="shared" si="24"/>
        <v>0</v>
      </c>
      <c r="L31" s="8">
        <f t="shared" si="24"/>
        <v>0</v>
      </c>
      <c r="M31" s="8">
        <f t="shared" si="22"/>
        <v>101740</v>
      </c>
      <c r="N31" s="9"/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>
        <v>492</v>
      </c>
      <c r="H32" s="16"/>
      <c r="I32" s="16"/>
      <c r="J32" s="16"/>
      <c r="K32" s="16"/>
      <c r="L32" s="16"/>
      <c r="M32" s="8">
        <f t="shared" si="22"/>
        <v>492</v>
      </c>
      <c r="N32" s="15"/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>
        <v>29400</v>
      </c>
      <c r="H33" s="16"/>
      <c r="I33" s="16"/>
      <c r="J33" s="16"/>
      <c r="K33" s="16"/>
      <c r="L33" s="16"/>
      <c r="M33" s="8">
        <f t="shared" si="22"/>
        <v>29400</v>
      </c>
      <c r="N33" s="15"/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8">
        <f t="shared" si="22"/>
        <v>0</v>
      </c>
      <c r="N34" s="15"/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8">
        <f t="shared" si="22"/>
        <v>0</v>
      </c>
      <c r="N35" s="15"/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8">
        <f t="shared" si="22"/>
        <v>0</v>
      </c>
      <c r="N36" s="15"/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>
        <v>71848</v>
      </c>
      <c r="H37" s="16"/>
      <c r="I37" s="16"/>
      <c r="J37" s="16"/>
      <c r="K37" s="16"/>
      <c r="L37" s="16"/>
      <c r="M37" s="8">
        <f t="shared" si="22"/>
        <v>71848</v>
      </c>
      <c r="N37" s="15"/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8">
        <f t="shared" si="22"/>
        <v>0</v>
      </c>
      <c r="N38" s="15"/>
    </row>
    <row r="39" spans="1:1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L39" si="25">F40+F41</f>
        <v>0</v>
      </c>
      <c r="G39" s="8">
        <f t="shared" si="25"/>
        <v>0</v>
      </c>
      <c r="H39" s="8">
        <f t="shared" si="25"/>
        <v>0</v>
      </c>
      <c r="I39" s="8">
        <f t="shared" si="25"/>
        <v>0</v>
      </c>
      <c r="J39" s="8">
        <f t="shared" si="25"/>
        <v>0</v>
      </c>
      <c r="K39" s="8">
        <f t="shared" si="25"/>
        <v>0</v>
      </c>
      <c r="L39" s="8">
        <f t="shared" si="25"/>
        <v>0</v>
      </c>
      <c r="M39" s="8">
        <f t="shared" si="22"/>
        <v>0</v>
      </c>
      <c r="N39" s="9"/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8">
        <f t="shared" si="22"/>
        <v>0</v>
      </c>
      <c r="N40" s="9"/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8">
        <f t="shared" si="22"/>
        <v>0</v>
      </c>
      <c r="N41" s="9"/>
    </row>
    <row r="42" spans="1:14">
      <c r="A42" s="5" t="s">
        <v>118</v>
      </c>
      <c r="B42" s="6" t="s">
        <v>125</v>
      </c>
      <c r="C42" s="6"/>
      <c r="D42" s="7" t="s">
        <v>28</v>
      </c>
      <c r="E42" s="8">
        <f>E43</f>
        <v>2160</v>
      </c>
      <c r="F42" s="8">
        <f t="shared" ref="F42:L42" si="26">F43</f>
        <v>6840</v>
      </c>
      <c r="G42" s="8">
        <f t="shared" si="26"/>
        <v>6120</v>
      </c>
      <c r="H42" s="8">
        <f t="shared" si="26"/>
        <v>1440</v>
      </c>
      <c r="I42" s="8">
        <f t="shared" si="26"/>
        <v>3240</v>
      </c>
      <c r="J42" s="8">
        <f t="shared" si="26"/>
        <v>360</v>
      </c>
      <c r="K42" s="8">
        <f t="shared" si="26"/>
        <v>7200</v>
      </c>
      <c r="L42" s="8">
        <f t="shared" si="26"/>
        <v>5040</v>
      </c>
      <c r="M42" s="8">
        <f t="shared" si="22"/>
        <v>32400</v>
      </c>
      <c r="N42" s="9"/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0">
        <v>2160</v>
      </c>
      <c r="F43" s="10">
        <v>6840</v>
      </c>
      <c r="G43" s="10">
        <v>6120</v>
      </c>
      <c r="H43" s="10">
        <v>1440</v>
      </c>
      <c r="I43" s="10">
        <v>3240</v>
      </c>
      <c r="J43" s="10">
        <v>360</v>
      </c>
      <c r="K43" s="10">
        <v>7200</v>
      </c>
      <c r="L43" s="10">
        <v>5040</v>
      </c>
      <c r="M43" s="8">
        <f t="shared" si="22"/>
        <v>32400</v>
      </c>
      <c r="N43" s="9"/>
    </row>
    <row r="44" spans="1:14">
      <c r="A44" s="5" t="s">
        <v>122</v>
      </c>
      <c r="B44" s="6" t="s">
        <v>129</v>
      </c>
      <c r="C44" s="6"/>
      <c r="D44" s="7" t="s">
        <v>28</v>
      </c>
      <c r="E44" s="8">
        <f>SUM(E45:E48)</f>
        <v>500</v>
      </c>
      <c r="F44" s="8">
        <f t="shared" ref="F44:L44" si="27">SUM(F45:F48)</f>
        <v>10800</v>
      </c>
      <c r="G44" s="8">
        <f t="shared" si="27"/>
        <v>3600</v>
      </c>
      <c r="H44" s="8">
        <f t="shared" si="27"/>
        <v>1400</v>
      </c>
      <c r="I44" s="8">
        <f t="shared" si="27"/>
        <v>4500</v>
      </c>
      <c r="J44" s="8">
        <f t="shared" si="27"/>
        <v>0</v>
      </c>
      <c r="K44" s="8">
        <f t="shared" si="27"/>
        <v>3000</v>
      </c>
      <c r="L44" s="8">
        <f t="shared" si="27"/>
        <v>2250</v>
      </c>
      <c r="M44" s="8">
        <f t="shared" si="22"/>
        <v>26050</v>
      </c>
      <c r="N44" s="9"/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0">
        <v>500</v>
      </c>
      <c r="F45" s="10">
        <v>10800</v>
      </c>
      <c r="G45" s="10">
        <v>3600</v>
      </c>
      <c r="H45" s="10">
        <v>1400</v>
      </c>
      <c r="I45" s="10">
        <v>4500</v>
      </c>
      <c r="J45" s="10"/>
      <c r="K45" s="10">
        <v>3000</v>
      </c>
      <c r="L45" s="10">
        <v>2250</v>
      </c>
      <c r="M45" s="8">
        <f t="shared" si="22"/>
        <v>26050</v>
      </c>
      <c r="N45" s="9"/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8">
        <f t="shared" si="22"/>
        <v>0</v>
      </c>
      <c r="N46" s="9"/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8">
        <f t="shared" si="22"/>
        <v>0</v>
      </c>
      <c r="N47" s="9"/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8">
        <f t="shared" si="22"/>
        <v>0</v>
      </c>
      <c r="N48" s="15"/>
    </row>
    <row r="49" spans="1:1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1315122.43</v>
      </c>
      <c r="F49" s="8">
        <f t="shared" ref="F49:L49" si="28">F50+F68+F70+F72+F74+F76+F78+F80+F82+F90</f>
        <v>8977368.620000001</v>
      </c>
      <c r="G49" s="8">
        <f t="shared" si="28"/>
        <v>9553690.5899999999</v>
      </c>
      <c r="H49" s="8">
        <f t="shared" si="28"/>
        <v>2325967.5300000003</v>
      </c>
      <c r="I49" s="8">
        <f t="shared" si="28"/>
        <v>1856812.04</v>
      </c>
      <c r="J49" s="8">
        <f t="shared" si="28"/>
        <v>360129.14</v>
      </c>
      <c r="K49" s="8">
        <f t="shared" si="28"/>
        <v>5897759.5700000003</v>
      </c>
      <c r="L49" s="8">
        <f t="shared" si="28"/>
        <v>2937088.8699999996</v>
      </c>
      <c r="M49" s="8">
        <f t="shared" si="22"/>
        <v>33223938.790000003</v>
      </c>
      <c r="N49" s="9"/>
    </row>
    <row r="50" spans="1:14">
      <c r="A50" s="5" t="s">
        <v>136</v>
      </c>
      <c r="B50" s="6" t="s">
        <v>144</v>
      </c>
      <c r="C50" s="6"/>
      <c r="D50" s="7" t="s">
        <v>145</v>
      </c>
      <c r="E50" s="8">
        <v>892320</v>
      </c>
      <c r="F50" s="8">
        <v>6386200</v>
      </c>
      <c r="G50" s="8">
        <v>6994860</v>
      </c>
      <c r="H50" s="8">
        <v>1716000</v>
      </c>
      <c r="I50" s="8">
        <v>1312740</v>
      </c>
      <c r="J50" s="8">
        <v>156800</v>
      </c>
      <c r="K50" s="8">
        <v>4104450</v>
      </c>
      <c r="L50" s="8">
        <v>2179320</v>
      </c>
      <c r="M50" s="8">
        <f t="shared" si="22"/>
        <v>23742690</v>
      </c>
      <c r="N50" s="9"/>
    </row>
    <row r="51" spans="1:1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8">
        <f t="shared" si="22"/>
        <v>0</v>
      </c>
      <c r="N51" s="9"/>
    </row>
    <row r="52" spans="1:1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8">
        <f t="shared" si="22"/>
        <v>0</v>
      </c>
      <c r="N52" s="9"/>
    </row>
    <row r="53" spans="1:1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8">
        <f t="shared" si="22"/>
        <v>0</v>
      </c>
      <c r="N53" s="9"/>
    </row>
    <row r="54" spans="1:1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8">
        <f t="shared" si="22"/>
        <v>0</v>
      </c>
      <c r="N54" s="9"/>
    </row>
    <row r="55" spans="1:1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8">
        <f t="shared" si="22"/>
        <v>0</v>
      </c>
      <c r="N55" s="9"/>
    </row>
    <row r="56" spans="1:1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8">
        <f t="shared" si="22"/>
        <v>0</v>
      </c>
      <c r="N56" s="9"/>
    </row>
    <row r="57" spans="1:1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8">
        <f t="shared" si="22"/>
        <v>0</v>
      </c>
      <c r="N57" s="9"/>
    </row>
    <row r="58" spans="1:1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8">
        <f t="shared" si="22"/>
        <v>0</v>
      </c>
      <c r="N58" s="9"/>
    </row>
    <row r="59" spans="1:1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8">
        <f t="shared" si="22"/>
        <v>0</v>
      </c>
      <c r="N59" s="9"/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44616</v>
      </c>
      <c r="F60" s="10">
        <v>319310</v>
      </c>
      <c r="G60" s="10">
        <v>349743</v>
      </c>
      <c r="H60" s="10">
        <v>68783</v>
      </c>
      <c r="I60" s="10">
        <v>55198</v>
      </c>
      <c r="J60" s="10">
        <v>7840</v>
      </c>
      <c r="K60" s="10">
        <v>205222.5</v>
      </c>
      <c r="L60" s="10">
        <v>108966</v>
      </c>
      <c r="M60" s="8">
        <f t="shared" si="22"/>
        <v>1159678.5</v>
      </c>
      <c r="N60" s="9"/>
    </row>
    <row r="61" spans="1:1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8">
        <f t="shared" si="22"/>
        <v>0</v>
      </c>
      <c r="N61" s="9"/>
    </row>
    <row r="62" spans="1:1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8">
        <f t="shared" si="22"/>
        <v>0</v>
      </c>
      <c r="N62" s="9"/>
    </row>
    <row r="63" spans="1:1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8">
        <f t="shared" si="22"/>
        <v>0</v>
      </c>
      <c r="N63" s="9"/>
    </row>
    <row r="64" spans="1:1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8">
        <f t="shared" si="22"/>
        <v>0</v>
      </c>
      <c r="N64" s="9"/>
    </row>
    <row r="65" spans="1:1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8">
        <f t="shared" si="22"/>
        <v>0</v>
      </c>
      <c r="N65" s="9"/>
    </row>
    <row r="66" spans="1:1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8">
        <f t="shared" si="22"/>
        <v>0</v>
      </c>
      <c r="N66" s="9"/>
    </row>
    <row r="67" spans="1:1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8">
        <f t="shared" si="22"/>
        <v>0</v>
      </c>
      <c r="N67" s="9"/>
    </row>
    <row r="68" spans="1:14">
      <c r="A68" s="5" t="s">
        <v>176</v>
      </c>
      <c r="B68" s="6" t="s">
        <v>183</v>
      </c>
      <c r="C68" s="6"/>
      <c r="D68" s="7"/>
      <c r="E68" s="8">
        <f>E69</f>
        <v>12000</v>
      </c>
      <c r="F68" s="8">
        <f t="shared" ref="F68:L68" si="29">F69</f>
        <v>57200</v>
      </c>
      <c r="G68" s="8">
        <f t="shared" si="29"/>
        <v>60400</v>
      </c>
      <c r="H68" s="8">
        <f t="shared" si="29"/>
        <v>17200</v>
      </c>
      <c r="I68" s="8">
        <f t="shared" si="29"/>
        <v>14400</v>
      </c>
      <c r="J68" s="8">
        <f t="shared" si="29"/>
        <v>2800</v>
      </c>
      <c r="K68" s="8">
        <f t="shared" si="29"/>
        <v>47200</v>
      </c>
      <c r="L68" s="8">
        <f t="shared" si="29"/>
        <v>23600</v>
      </c>
      <c r="M68" s="8">
        <f t="shared" si="22"/>
        <v>234800</v>
      </c>
      <c r="N68" s="9"/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12000</v>
      </c>
      <c r="F69" s="8">
        <f t="shared" ref="F69:L69" si="30">F93*400</f>
        <v>57200</v>
      </c>
      <c r="G69" s="8">
        <f t="shared" si="30"/>
        <v>60400</v>
      </c>
      <c r="H69" s="8">
        <f t="shared" si="30"/>
        <v>17200</v>
      </c>
      <c r="I69" s="8">
        <f t="shared" si="30"/>
        <v>14400</v>
      </c>
      <c r="J69" s="8">
        <f t="shared" si="30"/>
        <v>2800</v>
      </c>
      <c r="K69" s="8">
        <f t="shared" si="30"/>
        <v>47200</v>
      </c>
      <c r="L69" s="8">
        <f t="shared" si="30"/>
        <v>23600</v>
      </c>
      <c r="M69" s="8">
        <f t="shared" si="22"/>
        <v>234800</v>
      </c>
      <c r="N69" s="9"/>
    </row>
    <row r="70" spans="1:14">
      <c r="A70" s="5" t="s">
        <v>180</v>
      </c>
      <c r="B70" s="6" t="s">
        <v>188</v>
      </c>
      <c r="C70" s="6"/>
      <c r="D70" s="7" t="s">
        <v>28</v>
      </c>
      <c r="E70" s="8">
        <f>E71</f>
        <v>64068.6</v>
      </c>
      <c r="F70" s="8">
        <f t="shared" ref="F70:L70" si="31">F71</f>
        <v>281524.05</v>
      </c>
      <c r="G70" s="8">
        <f t="shared" si="31"/>
        <v>436567.5</v>
      </c>
      <c r="H70" s="8">
        <f t="shared" si="31"/>
        <v>162034.5</v>
      </c>
      <c r="I70" s="8">
        <f t="shared" si="31"/>
        <v>97749.75</v>
      </c>
      <c r="J70" s="8">
        <f t="shared" si="31"/>
        <v>33240</v>
      </c>
      <c r="K70" s="8">
        <f t="shared" si="31"/>
        <v>174225</v>
      </c>
      <c r="L70" s="8">
        <f t="shared" si="31"/>
        <v>117936.3</v>
      </c>
      <c r="M70" s="8">
        <f t="shared" si="22"/>
        <v>1367345.7</v>
      </c>
      <c r="N70" s="9"/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64068.6</v>
      </c>
      <c r="F71" s="8">
        <f t="shared" ref="F71:L71" si="32">F105*15</f>
        <v>281524.05</v>
      </c>
      <c r="G71" s="8">
        <f t="shared" si="32"/>
        <v>436567.5</v>
      </c>
      <c r="H71" s="8">
        <f t="shared" si="32"/>
        <v>162034.5</v>
      </c>
      <c r="I71" s="8">
        <f t="shared" si="32"/>
        <v>97749.75</v>
      </c>
      <c r="J71" s="8">
        <f t="shared" si="32"/>
        <v>33240</v>
      </c>
      <c r="K71" s="8">
        <f t="shared" si="32"/>
        <v>174225</v>
      </c>
      <c r="L71" s="8">
        <f t="shared" si="32"/>
        <v>117936.3</v>
      </c>
      <c r="M71" s="8">
        <f t="shared" si="22"/>
        <v>1367345.7</v>
      </c>
      <c r="N71" s="9"/>
    </row>
    <row r="72" spans="1:14">
      <c r="A72" s="5" t="s">
        <v>184</v>
      </c>
      <c r="B72" s="6" t="s">
        <v>193</v>
      </c>
      <c r="C72" s="6"/>
      <c r="D72" s="7" t="s">
        <v>28</v>
      </c>
      <c r="E72" s="8">
        <f>E73</f>
        <v>23898.400000000001</v>
      </c>
      <c r="F72" s="8">
        <f t="shared" ref="F72:L72" si="33">F73</f>
        <v>144000</v>
      </c>
      <c r="G72" s="8">
        <f t="shared" si="33"/>
        <v>100900.8</v>
      </c>
      <c r="H72" s="8">
        <f t="shared" si="33"/>
        <v>50073.599999999999</v>
      </c>
      <c r="I72" s="8">
        <f t="shared" si="33"/>
        <v>37600</v>
      </c>
      <c r="J72" s="8">
        <f t="shared" si="33"/>
        <v>50016</v>
      </c>
      <c r="K72" s="8">
        <f t="shared" si="33"/>
        <v>96000</v>
      </c>
      <c r="L72" s="8">
        <f t="shared" si="33"/>
        <v>33100</v>
      </c>
      <c r="M72" s="8">
        <f t="shared" si="22"/>
        <v>535588.80000000005</v>
      </c>
      <c r="N72" s="9"/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23898.400000000001</v>
      </c>
      <c r="F73" s="8">
        <f t="shared" ref="F73:L73" si="34">F106*8</f>
        <v>144000</v>
      </c>
      <c r="G73" s="8">
        <f t="shared" si="34"/>
        <v>100900.8</v>
      </c>
      <c r="H73" s="8">
        <f t="shared" si="34"/>
        <v>50073.599999999999</v>
      </c>
      <c r="I73" s="8">
        <f t="shared" si="34"/>
        <v>37600</v>
      </c>
      <c r="J73" s="8">
        <f t="shared" si="34"/>
        <v>50016</v>
      </c>
      <c r="K73" s="8">
        <f t="shared" si="34"/>
        <v>96000</v>
      </c>
      <c r="L73" s="8">
        <f t="shared" si="34"/>
        <v>33100</v>
      </c>
      <c r="M73" s="8">
        <f t="shared" si="22"/>
        <v>535588.80000000005</v>
      </c>
      <c r="N73" s="9"/>
    </row>
    <row r="74" spans="1:1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L74" si="35">F75</f>
        <v>0</v>
      </c>
      <c r="G74" s="8">
        <f t="shared" si="35"/>
        <v>0</v>
      </c>
      <c r="H74" s="8">
        <f t="shared" si="35"/>
        <v>0</v>
      </c>
      <c r="I74" s="8">
        <f t="shared" si="35"/>
        <v>0</v>
      </c>
      <c r="J74" s="8">
        <f t="shared" si="35"/>
        <v>0</v>
      </c>
      <c r="K74" s="8">
        <f t="shared" si="35"/>
        <v>0</v>
      </c>
      <c r="L74" s="8">
        <f t="shared" si="35"/>
        <v>0</v>
      </c>
      <c r="M74" s="8">
        <f t="shared" si="22"/>
        <v>0</v>
      </c>
      <c r="N74" s="9"/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8">
        <f t="shared" si="22"/>
        <v>0</v>
      </c>
      <c r="N75" s="9"/>
    </row>
    <row r="76" spans="1:14">
      <c r="A76" s="5" t="s">
        <v>194</v>
      </c>
      <c r="B76" s="6" t="s">
        <v>202</v>
      </c>
      <c r="C76" s="6"/>
      <c r="D76" s="7" t="s">
        <v>28</v>
      </c>
      <c r="E76" s="8">
        <f>E77</f>
        <v>129600</v>
      </c>
      <c r="F76" s="8">
        <f t="shared" ref="F76:L76" si="36">F77</f>
        <v>617760</v>
      </c>
      <c r="G76" s="8">
        <f t="shared" si="36"/>
        <v>652320</v>
      </c>
      <c r="H76" s="8">
        <f t="shared" si="36"/>
        <v>185760</v>
      </c>
      <c r="I76" s="8">
        <f t="shared" si="36"/>
        <v>155520</v>
      </c>
      <c r="J76" s="8">
        <f t="shared" si="36"/>
        <v>30240</v>
      </c>
      <c r="K76" s="8">
        <f t="shared" si="36"/>
        <v>509760</v>
      </c>
      <c r="L76" s="8">
        <f t="shared" si="36"/>
        <v>254880</v>
      </c>
      <c r="M76" s="8">
        <f t="shared" si="22"/>
        <v>2535840</v>
      </c>
      <c r="N76" s="9"/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129600</v>
      </c>
      <c r="F77" s="8">
        <f t="shared" ref="F77:L77" si="37">F93*4320</f>
        <v>617760</v>
      </c>
      <c r="G77" s="8">
        <f t="shared" si="37"/>
        <v>652320</v>
      </c>
      <c r="H77" s="8">
        <f t="shared" si="37"/>
        <v>185760</v>
      </c>
      <c r="I77" s="8">
        <f t="shared" si="37"/>
        <v>155520</v>
      </c>
      <c r="J77" s="8">
        <f t="shared" si="37"/>
        <v>30240</v>
      </c>
      <c r="K77" s="8">
        <f t="shared" si="37"/>
        <v>509760</v>
      </c>
      <c r="L77" s="8">
        <f t="shared" si="37"/>
        <v>254880</v>
      </c>
      <c r="M77" s="8">
        <f t="shared" si="22"/>
        <v>2535840</v>
      </c>
      <c r="N77" s="9"/>
    </row>
    <row r="78" spans="1:14">
      <c r="A78" s="5" t="s">
        <v>199</v>
      </c>
      <c r="B78" s="6" t="s">
        <v>207</v>
      </c>
      <c r="C78" s="6"/>
      <c r="D78" s="7" t="s">
        <v>28</v>
      </c>
      <c r="E78" s="8">
        <f>E79</f>
        <v>118755.43</v>
      </c>
      <c r="F78" s="8">
        <f t="shared" ref="F78:L78" si="38">F79</f>
        <v>661004.56999999995</v>
      </c>
      <c r="G78" s="8">
        <f t="shared" si="38"/>
        <v>669202.29</v>
      </c>
      <c r="H78" s="8">
        <f t="shared" si="38"/>
        <v>153459.43</v>
      </c>
      <c r="I78" s="8">
        <f t="shared" si="38"/>
        <v>140722.29</v>
      </c>
      <c r="J78" s="8">
        <f t="shared" si="38"/>
        <v>31433.14</v>
      </c>
      <c r="K78" s="8">
        <f t="shared" si="38"/>
        <v>537644.56999999995</v>
      </c>
      <c r="L78" s="8">
        <f t="shared" si="38"/>
        <v>239612.57</v>
      </c>
      <c r="M78" s="8">
        <f t="shared" si="22"/>
        <v>2551834.2899999996</v>
      </c>
      <c r="N78" s="9"/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118755.43</v>
      </c>
      <c r="F79" s="8">
        <f t="shared" ref="F79:L79" si="39">ROUND(F28/0.07*0.02,2)</f>
        <v>661004.56999999995</v>
      </c>
      <c r="G79" s="8">
        <f t="shared" si="39"/>
        <v>669202.29</v>
      </c>
      <c r="H79" s="8">
        <f t="shared" si="39"/>
        <v>153459.43</v>
      </c>
      <c r="I79" s="8">
        <f t="shared" si="39"/>
        <v>140722.29</v>
      </c>
      <c r="J79" s="8">
        <f t="shared" si="39"/>
        <v>31433.14</v>
      </c>
      <c r="K79" s="8">
        <f t="shared" si="39"/>
        <v>537644.56999999995</v>
      </c>
      <c r="L79" s="8">
        <f t="shared" si="39"/>
        <v>239612.57</v>
      </c>
      <c r="M79" s="8">
        <f t="shared" si="22"/>
        <v>2551834.2899999996</v>
      </c>
      <c r="N79" s="9"/>
    </row>
    <row r="80" spans="1:14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L80" si="40">F81</f>
        <v>32000</v>
      </c>
      <c r="G80" s="8">
        <f t="shared" si="40"/>
        <v>64000</v>
      </c>
      <c r="H80" s="8">
        <f t="shared" si="40"/>
        <v>0</v>
      </c>
      <c r="I80" s="8">
        <f t="shared" si="40"/>
        <v>0</v>
      </c>
      <c r="J80" s="8">
        <f t="shared" si="40"/>
        <v>0</v>
      </c>
      <c r="K80" s="8">
        <f t="shared" si="40"/>
        <v>32000</v>
      </c>
      <c r="L80" s="8">
        <f t="shared" si="40"/>
        <v>0</v>
      </c>
      <c r="M80" s="8">
        <f t="shared" si="22"/>
        <v>128000</v>
      </c>
      <c r="N80" s="9"/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>
        <v>64000</v>
      </c>
      <c r="H81" s="10"/>
      <c r="I81" s="10"/>
      <c r="J81" s="10"/>
      <c r="K81" s="10">
        <v>32000</v>
      </c>
      <c r="L81" s="10"/>
      <c r="M81" s="8">
        <f t="shared" si="22"/>
        <v>128000</v>
      </c>
      <c r="N81" s="9"/>
    </row>
    <row r="82" spans="1:14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L82" si="41">F83+F86+F89</f>
        <v>797680</v>
      </c>
      <c r="G82" s="8">
        <f t="shared" si="41"/>
        <v>575440</v>
      </c>
      <c r="H82" s="8">
        <f t="shared" si="41"/>
        <v>9440</v>
      </c>
      <c r="I82" s="8">
        <f t="shared" si="41"/>
        <v>66080</v>
      </c>
      <c r="J82" s="8">
        <f t="shared" si="41"/>
        <v>23600</v>
      </c>
      <c r="K82" s="8">
        <f t="shared" si="41"/>
        <v>396480</v>
      </c>
      <c r="L82" s="8">
        <f t="shared" si="41"/>
        <v>56640</v>
      </c>
      <c r="M82" s="8">
        <f t="shared" si="22"/>
        <v>1967840</v>
      </c>
      <c r="N82" s="9"/>
    </row>
    <row r="83" spans="1:1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L83" si="42">F84+F85</f>
        <v>0</v>
      </c>
      <c r="G83" s="8">
        <f t="shared" si="42"/>
        <v>4320</v>
      </c>
      <c r="H83" s="8">
        <f t="shared" si="42"/>
        <v>0</v>
      </c>
      <c r="I83" s="8">
        <f t="shared" si="42"/>
        <v>0</v>
      </c>
      <c r="J83" s="8">
        <f t="shared" si="42"/>
        <v>0</v>
      </c>
      <c r="K83" s="8">
        <f t="shared" si="42"/>
        <v>0</v>
      </c>
      <c r="L83" s="8">
        <f t="shared" si="42"/>
        <v>0</v>
      </c>
      <c r="M83" s="8">
        <f t="shared" si="22"/>
        <v>4320</v>
      </c>
      <c r="N83" s="9"/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8">
        <f t="shared" si="22"/>
        <v>0</v>
      </c>
      <c r="N84" s="15"/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>
        <v>4320</v>
      </c>
      <c r="H85" s="16"/>
      <c r="I85" s="16"/>
      <c r="J85" s="16"/>
      <c r="K85" s="16"/>
      <c r="L85" s="16"/>
      <c r="M85" s="8">
        <f t="shared" si="22"/>
        <v>4320</v>
      </c>
      <c r="N85" s="15"/>
    </row>
    <row r="86" spans="1:14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L86" si="43">F87+F88</f>
        <v>797680</v>
      </c>
      <c r="G86" s="8">
        <f t="shared" si="43"/>
        <v>571120</v>
      </c>
      <c r="H86" s="8">
        <f t="shared" si="43"/>
        <v>9440</v>
      </c>
      <c r="I86" s="8">
        <f t="shared" si="43"/>
        <v>66080</v>
      </c>
      <c r="J86" s="8">
        <f t="shared" si="43"/>
        <v>23600</v>
      </c>
      <c r="K86" s="8">
        <f t="shared" si="43"/>
        <v>396480</v>
      </c>
      <c r="L86" s="8">
        <f t="shared" si="43"/>
        <v>56640</v>
      </c>
      <c r="M86" s="8">
        <f t="shared" si="22"/>
        <v>1963520</v>
      </c>
      <c r="N86" s="9"/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L87" si="44">F104*400</f>
        <v>67600</v>
      </c>
      <c r="G87" s="8">
        <f t="shared" si="44"/>
        <v>48400</v>
      </c>
      <c r="H87" s="8">
        <f t="shared" si="44"/>
        <v>800</v>
      </c>
      <c r="I87" s="8">
        <f t="shared" si="44"/>
        <v>5600</v>
      </c>
      <c r="J87" s="8">
        <f t="shared" si="44"/>
        <v>2000</v>
      </c>
      <c r="K87" s="8">
        <f t="shared" si="44"/>
        <v>33600</v>
      </c>
      <c r="L87" s="8">
        <f t="shared" si="44"/>
        <v>4800</v>
      </c>
      <c r="M87" s="8">
        <f t="shared" si="22"/>
        <v>166400</v>
      </c>
      <c r="N87" s="9"/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L88" si="45">F104*4320</f>
        <v>730080</v>
      </c>
      <c r="G88" s="8">
        <f t="shared" si="45"/>
        <v>522720</v>
      </c>
      <c r="H88" s="8">
        <f t="shared" si="45"/>
        <v>8640</v>
      </c>
      <c r="I88" s="8">
        <f t="shared" si="45"/>
        <v>60480</v>
      </c>
      <c r="J88" s="8">
        <f t="shared" si="45"/>
        <v>21600</v>
      </c>
      <c r="K88" s="8">
        <f t="shared" si="45"/>
        <v>362880</v>
      </c>
      <c r="L88" s="8">
        <f t="shared" si="45"/>
        <v>51840</v>
      </c>
      <c r="M88" s="8">
        <f t="shared" si="22"/>
        <v>1797120</v>
      </c>
      <c r="N88" s="9"/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8">
        <f t="shared" si="22"/>
        <v>0</v>
      </c>
      <c r="N89" s="15"/>
    </row>
    <row r="90" spans="1:14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L90" si="46">F91</f>
        <v>0</v>
      </c>
      <c r="G90" s="8">
        <f t="shared" si="46"/>
        <v>0</v>
      </c>
      <c r="H90" s="8">
        <f t="shared" si="46"/>
        <v>32000</v>
      </c>
      <c r="I90" s="8">
        <f t="shared" si="46"/>
        <v>32000</v>
      </c>
      <c r="J90" s="8">
        <f t="shared" si="46"/>
        <v>32000</v>
      </c>
      <c r="K90" s="8">
        <f t="shared" si="46"/>
        <v>0</v>
      </c>
      <c r="L90" s="8">
        <f t="shared" si="46"/>
        <v>32000</v>
      </c>
      <c r="M90" s="8">
        <f t="shared" ref="M90:M106" si="47">SUM(E90:L90)</f>
        <v>160000</v>
      </c>
      <c r="N90" s="9"/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/>
      <c r="H91" s="26">
        <v>32000</v>
      </c>
      <c r="I91" s="26">
        <v>32000</v>
      </c>
      <c r="J91" s="26">
        <v>32000</v>
      </c>
      <c r="K91" s="26"/>
      <c r="L91" s="26">
        <v>32000</v>
      </c>
      <c r="M91" s="8">
        <f t="shared" si="47"/>
        <v>160000</v>
      </c>
      <c r="N91" s="27"/>
    </row>
    <row r="92" spans="1:1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8">
        <f t="shared" si="47"/>
        <v>0</v>
      </c>
      <c r="N92" s="31"/>
    </row>
    <row r="93" spans="1:1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30</v>
      </c>
      <c r="F93" s="8">
        <f t="shared" ref="F93:L93" si="48">F94+F95+F96+F97</f>
        <v>143</v>
      </c>
      <c r="G93" s="8">
        <f t="shared" si="48"/>
        <v>151</v>
      </c>
      <c r="H93" s="8">
        <f t="shared" si="48"/>
        <v>43</v>
      </c>
      <c r="I93" s="8">
        <f t="shared" si="48"/>
        <v>36</v>
      </c>
      <c r="J93" s="8">
        <f t="shared" si="48"/>
        <v>7</v>
      </c>
      <c r="K93" s="8">
        <f t="shared" si="48"/>
        <v>118</v>
      </c>
      <c r="L93" s="8">
        <f t="shared" si="48"/>
        <v>59</v>
      </c>
      <c r="M93" s="8">
        <f t="shared" si="47"/>
        <v>587</v>
      </c>
      <c r="N93" s="9"/>
    </row>
    <row r="94" spans="1:14">
      <c r="A94" s="5" t="s">
        <v>236</v>
      </c>
      <c r="B94" s="32" t="s">
        <v>245</v>
      </c>
      <c r="C94" s="32"/>
      <c r="D94" s="15"/>
      <c r="E94" s="16"/>
      <c r="F94" s="16">
        <v>76</v>
      </c>
      <c r="G94" s="16">
        <v>68</v>
      </c>
      <c r="H94" s="16"/>
      <c r="I94" s="16"/>
      <c r="J94" s="16"/>
      <c r="K94" s="16">
        <v>54</v>
      </c>
      <c r="L94" s="16"/>
      <c r="M94" s="8">
        <f t="shared" si="47"/>
        <v>198</v>
      </c>
      <c r="N94" s="9"/>
    </row>
    <row r="95" spans="1:14">
      <c r="A95" s="5" t="s">
        <v>239</v>
      </c>
      <c r="B95" s="32" t="s">
        <v>247</v>
      </c>
      <c r="C95" s="32"/>
      <c r="D95" s="7"/>
      <c r="E95" s="10"/>
      <c r="F95" s="10">
        <v>67</v>
      </c>
      <c r="G95" s="10">
        <v>83</v>
      </c>
      <c r="H95" s="10"/>
      <c r="I95" s="10"/>
      <c r="J95" s="10"/>
      <c r="K95" s="10">
        <v>64</v>
      </c>
      <c r="L95" s="10"/>
      <c r="M95" s="8">
        <f t="shared" si="47"/>
        <v>214</v>
      </c>
      <c r="N95" s="9"/>
    </row>
    <row r="96" spans="1:14">
      <c r="A96" s="5" t="s">
        <v>241</v>
      </c>
      <c r="B96" s="32" t="s">
        <v>249</v>
      </c>
      <c r="C96" s="32"/>
      <c r="D96" s="15"/>
      <c r="E96" s="16">
        <v>30</v>
      </c>
      <c r="F96" s="16"/>
      <c r="G96" s="16"/>
      <c r="H96" s="16">
        <v>43</v>
      </c>
      <c r="I96" s="16">
        <v>36</v>
      </c>
      <c r="J96" s="16"/>
      <c r="K96" s="16"/>
      <c r="L96" s="16">
        <v>59</v>
      </c>
      <c r="M96" s="8">
        <f t="shared" si="47"/>
        <v>168</v>
      </c>
      <c r="N96" s="9"/>
    </row>
    <row r="97" spans="1:1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>
        <v>7</v>
      </c>
      <c r="K97" s="16"/>
      <c r="L97" s="16"/>
      <c r="M97" s="8">
        <f t="shared" si="47"/>
        <v>7</v>
      </c>
      <c r="N97" s="9"/>
    </row>
    <row r="98" spans="1:1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312</v>
      </c>
      <c r="F98" s="8">
        <f t="shared" ref="F98:L98" si="49">F99+F100+F101+F102</f>
        <v>1950</v>
      </c>
      <c r="G98" s="8">
        <f t="shared" si="49"/>
        <v>2138</v>
      </c>
      <c r="H98" s="8">
        <f t="shared" si="49"/>
        <v>481</v>
      </c>
      <c r="I98" s="8">
        <f t="shared" si="49"/>
        <v>386</v>
      </c>
      <c r="J98" s="8">
        <f t="shared" si="49"/>
        <v>0</v>
      </c>
      <c r="K98" s="8">
        <f t="shared" si="49"/>
        <v>1253</v>
      </c>
      <c r="L98" s="8">
        <f t="shared" si="49"/>
        <v>762</v>
      </c>
      <c r="M98" s="8">
        <f t="shared" si="47"/>
        <v>7282</v>
      </c>
      <c r="N98" s="9"/>
    </row>
    <row r="99" spans="1:14">
      <c r="A99" s="5" t="s">
        <v>248</v>
      </c>
      <c r="B99" s="32" t="s">
        <v>245</v>
      </c>
      <c r="C99" s="32"/>
      <c r="D99" s="15"/>
      <c r="E99" s="16"/>
      <c r="F99" s="16">
        <v>905</v>
      </c>
      <c r="G99" s="16">
        <v>942</v>
      </c>
      <c r="H99" s="16"/>
      <c r="I99" s="16"/>
      <c r="J99" s="16"/>
      <c r="K99" s="16">
        <v>588</v>
      </c>
      <c r="L99" s="16"/>
      <c r="M99" s="8">
        <f t="shared" si="47"/>
        <v>2435</v>
      </c>
      <c r="N99" s="9"/>
    </row>
    <row r="100" spans="1:14">
      <c r="A100" s="5" t="s">
        <v>250</v>
      </c>
      <c r="B100" s="32" t="s">
        <v>247</v>
      </c>
      <c r="C100" s="32"/>
      <c r="D100" s="7"/>
      <c r="E100" s="10"/>
      <c r="F100" s="10">
        <v>1045</v>
      </c>
      <c r="G100" s="10">
        <v>1196</v>
      </c>
      <c r="H100" s="10"/>
      <c r="I100" s="10"/>
      <c r="J100" s="10"/>
      <c r="K100" s="10">
        <v>665</v>
      </c>
      <c r="L100" s="10"/>
      <c r="M100" s="8">
        <f t="shared" si="47"/>
        <v>2906</v>
      </c>
      <c r="N100" s="9"/>
    </row>
    <row r="101" spans="1:14">
      <c r="A101" s="5" t="s">
        <v>252</v>
      </c>
      <c r="B101" s="32" t="s">
        <v>249</v>
      </c>
      <c r="C101" s="32"/>
      <c r="D101" s="15"/>
      <c r="E101" s="16">
        <v>312</v>
      </c>
      <c r="F101" s="16"/>
      <c r="G101" s="16"/>
      <c r="H101" s="16">
        <v>481</v>
      </c>
      <c r="I101" s="16">
        <v>386</v>
      </c>
      <c r="J101" s="16"/>
      <c r="K101" s="16"/>
      <c r="L101" s="16">
        <v>762</v>
      </c>
      <c r="M101" s="8">
        <f t="shared" si="47"/>
        <v>1941</v>
      </c>
      <c r="N101" s="9"/>
    </row>
    <row r="102" spans="1:1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8">
        <f t="shared" si="47"/>
        <v>0</v>
      </c>
      <c r="N102" s="9"/>
    </row>
    <row r="103" spans="1:14">
      <c r="A103" s="5" t="s">
        <v>256</v>
      </c>
      <c r="B103" s="6" t="s">
        <v>260</v>
      </c>
      <c r="C103" s="6"/>
      <c r="D103" s="20"/>
      <c r="E103" s="33"/>
      <c r="F103" s="33"/>
      <c r="G103" s="33">
        <v>1</v>
      </c>
      <c r="H103" s="33"/>
      <c r="I103" s="33"/>
      <c r="J103" s="33"/>
      <c r="K103" s="33"/>
      <c r="L103" s="33"/>
      <c r="M103" s="8">
        <f t="shared" si="47"/>
        <v>1</v>
      </c>
      <c r="N103" s="9"/>
    </row>
    <row r="104" spans="1:14">
      <c r="A104" s="5" t="s">
        <v>257</v>
      </c>
      <c r="B104" s="6" t="s">
        <v>261</v>
      </c>
      <c r="C104" s="6"/>
      <c r="D104" s="7"/>
      <c r="E104" s="10">
        <v>9</v>
      </c>
      <c r="F104" s="10">
        <v>169</v>
      </c>
      <c r="G104" s="10">
        <v>121</v>
      </c>
      <c r="H104" s="10">
        <v>2</v>
      </c>
      <c r="I104" s="10">
        <v>14</v>
      </c>
      <c r="J104" s="10">
        <v>5</v>
      </c>
      <c r="K104" s="10">
        <v>84</v>
      </c>
      <c r="L104" s="10">
        <v>12</v>
      </c>
      <c r="M104" s="8">
        <f t="shared" si="47"/>
        <v>416</v>
      </c>
      <c r="N104" s="9"/>
    </row>
    <row r="105" spans="1:14">
      <c r="A105" s="5" t="s">
        <v>258</v>
      </c>
      <c r="B105" s="32" t="s">
        <v>262</v>
      </c>
      <c r="C105" s="32"/>
      <c r="D105" s="20"/>
      <c r="E105" s="10">
        <v>4271.24</v>
      </c>
      <c r="F105" s="10">
        <v>18768.27</v>
      </c>
      <c r="G105" s="10">
        <v>29104.5</v>
      </c>
      <c r="H105" s="10">
        <v>10802.3</v>
      </c>
      <c r="I105" s="10">
        <v>6516.65</v>
      </c>
      <c r="J105" s="10">
        <v>2216</v>
      </c>
      <c r="K105" s="10">
        <v>11615</v>
      </c>
      <c r="L105" s="10">
        <v>7862.42</v>
      </c>
      <c r="M105" s="8">
        <f t="shared" si="47"/>
        <v>91156.37999999999</v>
      </c>
      <c r="N105" s="9"/>
    </row>
    <row r="106" spans="1:14">
      <c r="A106" s="5" t="s">
        <v>259</v>
      </c>
      <c r="B106" s="32" t="s">
        <v>263</v>
      </c>
      <c r="C106" s="32"/>
      <c r="D106" s="20"/>
      <c r="E106" s="10">
        <v>2987.3</v>
      </c>
      <c r="F106" s="10">
        <v>18000</v>
      </c>
      <c r="G106" s="10">
        <v>12612.6</v>
      </c>
      <c r="H106" s="10">
        <v>6259.2</v>
      </c>
      <c r="I106" s="10">
        <v>4700</v>
      </c>
      <c r="J106" s="10">
        <v>6252</v>
      </c>
      <c r="K106" s="10">
        <v>12000</v>
      </c>
      <c r="L106" s="10">
        <v>4137.5</v>
      </c>
      <c r="M106" s="8">
        <f t="shared" si="47"/>
        <v>66948.600000000006</v>
      </c>
      <c r="N106" s="9"/>
    </row>
    <row r="107" spans="1:14">
      <c r="E107" s="1">
        <f t="shared" ref="E107:M107" si="50">E4/E93</f>
        <v>327034.51833333337</v>
      </c>
      <c r="F107" s="1">
        <f t="shared" si="50"/>
        <v>362543.11699300702</v>
      </c>
      <c r="G107" s="1">
        <f t="shared" si="50"/>
        <v>354415.43357615895</v>
      </c>
      <c r="H107" s="1">
        <f t="shared" si="50"/>
        <v>308345.85279069765</v>
      </c>
      <c r="I107" s="1">
        <f t="shared" si="50"/>
        <v>316129.58416666673</v>
      </c>
      <c r="J107" s="1">
        <f t="shared" si="50"/>
        <v>358011.67428571422</v>
      </c>
      <c r="K107" s="1">
        <f t="shared" si="50"/>
        <v>360581.79364406777</v>
      </c>
      <c r="L107" s="1">
        <f t="shared" si="50"/>
        <v>322789.89067796612</v>
      </c>
      <c r="M107" s="1">
        <f t="shared" si="50"/>
        <v>347377.01085178874</v>
      </c>
    </row>
  </sheetData>
  <protectedRanges>
    <protectedRange password="E9C1" sqref="D28 M21:N26 N20 M4:N9 N10 N27 A2:N3 A4:D5 M11:N19 B6:D26 M28:N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U107"/>
  <sheetViews>
    <sheetView workbookViewId="0">
      <pane xSplit="4" ySplit="2" topLeftCell="N77" activePane="bottomRight" state="frozen"/>
      <selection pane="topRight" activeCell="E1" sqref="E1"/>
      <selection pane="bottomLeft" activeCell="A3" sqref="A3"/>
      <selection pane="bottomRight" activeCell="T3" sqref="T3:T106"/>
    </sheetView>
  </sheetViews>
  <sheetFormatPr defaultColWidth="15.625" defaultRowHeight="11.25"/>
  <cols>
    <col min="1" max="1" width="4.625" style="69" customWidth="1"/>
    <col min="2" max="2" width="29.25" style="38" customWidth="1"/>
    <col min="3" max="3" width="13" style="38" customWidth="1"/>
    <col min="4" max="4" width="20" style="70" customWidth="1"/>
    <col min="5" max="16384" width="15.625" style="38"/>
  </cols>
  <sheetData>
    <row r="1" spans="1:21" ht="25.5">
      <c r="A1" s="378" t="s">
        <v>335</v>
      </c>
      <c r="B1" s="379"/>
      <c r="C1" s="379"/>
      <c r="D1" s="379"/>
      <c r="E1" s="379"/>
      <c r="F1" s="379"/>
      <c r="G1" s="379"/>
      <c r="H1" s="379"/>
      <c r="I1" s="379"/>
      <c r="J1" s="379"/>
      <c r="K1" s="379"/>
      <c r="L1" s="379"/>
      <c r="M1" s="379"/>
      <c r="N1" s="379"/>
      <c r="O1" s="379"/>
      <c r="P1" s="379"/>
      <c r="Q1" s="379"/>
      <c r="R1" s="379"/>
      <c r="S1" s="379"/>
      <c r="T1" s="379"/>
      <c r="U1" s="379"/>
    </row>
    <row r="2" spans="1:21" ht="30" customHeight="1">
      <c r="A2" s="39" t="s">
        <v>1</v>
      </c>
      <c r="B2" s="39" t="s">
        <v>2</v>
      </c>
      <c r="C2" s="39" t="s">
        <v>3</v>
      </c>
      <c r="D2" s="40" t="s">
        <v>4</v>
      </c>
      <c r="E2" s="40" t="s">
        <v>336</v>
      </c>
      <c r="F2" s="40" t="s">
        <v>337</v>
      </c>
      <c r="G2" s="40" t="s">
        <v>338</v>
      </c>
      <c r="H2" s="40" t="s">
        <v>339</v>
      </c>
      <c r="I2" s="40" t="s">
        <v>340</v>
      </c>
      <c r="J2" s="40" t="s">
        <v>341</v>
      </c>
      <c r="K2" s="40" t="s">
        <v>342</v>
      </c>
      <c r="L2" s="40" t="s">
        <v>343</v>
      </c>
      <c r="M2" s="40" t="s">
        <v>344</v>
      </c>
      <c r="N2" s="40" t="s">
        <v>345</v>
      </c>
      <c r="O2" s="40" t="s">
        <v>346</v>
      </c>
      <c r="P2" s="40" t="s">
        <v>275</v>
      </c>
      <c r="Q2" s="40" t="s">
        <v>347</v>
      </c>
      <c r="R2" s="40" t="s">
        <v>348</v>
      </c>
      <c r="S2" s="40" t="s">
        <v>349</v>
      </c>
      <c r="T2" s="40" t="s">
        <v>24</v>
      </c>
      <c r="U2" s="41" t="s">
        <v>25</v>
      </c>
    </row>
    <row r="3" spans="1:21">
      <c r="A3" s="42" t="s">
        <v>26</v>
      </c>
      <c r="B3" s="43" t="s">
        <v>27</v>
      </c>
      <c r="C3" s="43"/>
      <c r="D3" s="44" t="s">
        <v>28</v>
      </c>
      <c r="E3" s="45">
        <f t="shared" ref="E3:S3" si="0">E4+E30+E49</f>
        <v>47882168.390000001</v>
      </c>
      <c r="F3" s="45">
        <f t="shared" si="0"/>
        <v>31366177.720000003</v>
      </c>
      <c r="G3" s="45">
        <f t="shared" si="0"/>
        <v>32726365.490000002</v>
      </c>
      <c r="H3" s="45">
        <f t="shared" si="0"/>
        <v>37193079.609999999</v>
      </c>
      <c r="I3" s="45">
        <f t="shared" si="0"/>
        <v>80885878.409999996</v>
      </c>
      <c r="J3" s="45">
        <f t="shared" si="0"/>
        <v>20018077.23</v>
      </c>
      <c r="K3" s="45">
        <f t="shared" si="0"/>
        <v>21521577.839999996</v>
      </c>
      <c r="L3" s="45">
        <f t="shared" si="0"/>
        <v>17969619.739999998</v>
      </c>
      <c r="M3" s="45">
        <f t="shared" si="0"/>
        <v>15918493.17</v>
      </c>
      <c r="N3" s="45">
        <f t="shared" si="0"/>
        <v>16452030.860000003</v>
      </c>
      <c r="O3" s="45">
        <f t="shared" si="0"/>
        <v>56119752.979999997</v>
      </c>
      <c r="P3" s="45">
        <f t="shared" si="0"/>
        <v>2021099.07</v>
      </c>
      <c r="Q3" s="45">
        <f t="shared" si="0"/>
        <v>5172070.26</v>
      </c>
      <c r="R3" s="45">
        <f t="shared" si="0"/>
        <v>28369847.84</v>
      </c>
      <c r="S3" s="45">
        <f t="shared" si="0"/>
        <v>11071306.07</v>
      </c>
      <c r="T3" s="45">
        <f t="shared" ref="T3:T9" si="1">SUM(E3:S3)</f>
        <v>424687544.67999995</v>
      </c>
      <c r="U3" s="46"/>
    </row>
    <row r="4" spans="1:21">
      <c r="A4" s="42" t="s">
        <v>29</v>
      </c>
      <c r="B4" s="43" t="s">
        <v>30</v>
      </c>
      <c r="C4" s="43"/>
      <c r="D4" s="44" t="s">
        <v>28</v>
      </c>
      <c r="E4" s="45">
        <f t="shared" ref="E4:S4" si="2">E5+E8+E12+E15+E18+E20+E23+E25+E27+E28+E29</f>
        <v>41643540.100000001</v>
      </c>
      <c r="F4" s="45">
        <f t="shared" si="2"/>
        <v>27366814.010000002</v>
      </c>
      <c r="G4" s="45">
        <f t="shared" si="2"/>
        <v>28614486.780000001</v>
      </c>
      <c r="H4" s="45">
        <f t="shared" si="2"/>
        <v>32704291.039999999</v>
      </c>
      <c r="I4" s="45">
        <f t="shared" si="2"/>
        <v>67554896.519999996</v>
      </c>
      <c r="J4" s="45">
        <f t="shared" si="2"/>
        <v>17098965.289999999</v>
      </c>
      <c r="K4" s="45">
        <f t="shared" si="2"/>
        <v>18605143.099999998</v>
      </c>
      <c r="L4" s="45">
        <f t="shared" si="2"/>
        <v>15437463.08</v>
      </c>
      <c r="M4" s="45">
        <f t="shared" si="2"/>
        <v>13549872.279999999</v>
      </c>
      <c r="N4" s="45">
        <f t="shared" si="2"/>
        <v>14260526.490000002</v>
      </c>
      <c r="O4" s="45">
        <f t="shared" si="2"/>
        <v>48949641.769999996</v>
      </c>
      <c r="P4" s="45">
        <f t="shared" si="2"/>
        <v>1780815.07</v>
      </c>
      <c r="Q4" s="45">
        <f t="shared" si="2"/>
        <v>4081612.1199999996</v>
      </c>
      <c r="R4" s="45">
        <f t="shared" si="2"/>
        <v>24151915.140000001</v>
      </c>
      <c r="S4" s="45">
        <f t="shared" si="2"/>
        <v>9206966.4100000001</v>
      </c>
      <c r="T4" s="45">
        <f t="shared" si="1"/>
        <v>365006949.19999999</v>
      </c>
      <c r="U4" s="46"/>
    </row>
    <row r="5" spans="1:21">
      <c r="A5" s="42" t="s">
        <v>31</v>
      </c>
      <c r="B5" s="43" t="s">
        <v>32</v>
      </c>
      <c r="C5" s="43"/>
      <c r="D5" s="44" t="s">
        <v>28</v>
      </c>
      <c r="E5" s="45">
        <f>E6+E7</f>
        <v>5589264</v>
      </c>
      <c r="F5" s="45">
        <f>F6+F7</f>
        <v>3871248</v>
      </c>
      <c r="G5" s="45">
        <f t="shared" ref="G5:S5" si="3">G6+G7</f>
        <v>4116144</v>
      </c>
      <c r="H5" s="45">
        <f t="shared" si="3"/>
        <v>4447680</v>
      </c>
      <c r="I5" s="45">
        <f t="shared" si="3"/>
        <v>8591148</v>
      </c>
      <c r="J5" s="45">
        <f t="shared" si="3"/>
        <v>2024352</v>
      </c>
      <c r="K5" s="45">
        <f t="shared" si="3"/>
        <v>2542200</v>
      </c>
      <c r="L5" s="45">
        <f t="shared" si="3"/>
        <v>2159976</v>
      </c>
      <c r="M5" s="45">
        <f t="shared" si="3"/>
        <v>1716732</v>
      </c>
      <c r="N5" s="45">
        <f t="shared" si="3"/>
        <v>1862976</v>
      </c>
      <c r="O5" s="45">
        <f t="shared" si="3"/>
        <v>6124404</v>
      </c>
      <c r="P5" s="45">
        <f t="shared" si="3"/>
        <v>240012</v>
      </c>
      <c r="Q5" s="45">
        <f t="shared" si="3"/>
        <v>271716</v>
      </c>
      <c r="R5" s="45">
        <f t="shared" si="3"/>
        <v>3107700</v>
      </c>
      <c r="S5" s="45">
        <f t="shared" si="3"/>
        <v>1248132</v>
      </c>
      <c r="T5" s="45">
        <f t="shared" si="1"/>
        <v>47913684</v>
      </c>
      <c r="U5" s="46"/>
    </row>
    <row r="6" spans="1:21">
      <c r="A6" s="42" t="s">
        <v>33</v>
      </c>
      <c r="B6" s="43" t="s">
        <v>34</v>
      </c>
      <c r="C6" s="43" t="s">
        <v>35</v>
      </c>
      <c r="D6" s="44" t="s">
        <v>36</v>
      </c>
      <c r="E6" s="47">
        <f>263538*12</f>
        <v>3162456</v>
      </c>
      <c r="F6" s="47">
        <f>184166*12</f>
        <v>2209992</v>
      </c>
      <c r="G6" s="47">
        <f>180072*12</f>
        <v>2160864</v>
      </c>
      <c r="H6" s="47">
        <f>202040*12</f>
        <v>2424480</v>
      </c>
      <c r="I6" s="47">
        <f>447201*12</f>
        <v>5366412</v>
      </c>
      <c r="J6" s="47">
        <f>111641*12</f>
        <v>1339692</v>
      </c>
      <c r="K6" s="47">
        <f>123200*12</f>
        <v>1478400</v>
      </c>
      <c r="L6" s="47">
        <f>104512*12</f>
        <v>1254144</v>
      </c>
      <c r="M6" s="47">
        <f>90041*12</f>
        <v>1080492</v>
      </c>
      <c r="N6" s="47">
        <f>95190*12</f>
        <v>1142280</v>
      </c>
      <c r="O6" s="47">
        <f>310424*12</f>
        <v>3725088</v>
      </c>
      <c r="P6" s="47">
        <f>11132*12</f>
        <v>133584</v>
      </c>
      <c r="Q6" s="47">
        <f>14652*12</f>
        <v>175824</v>
      </c>
      <c r="R6" s="47">
        <f>156834*12</f>
        <v>1882008</v>
      </c>
      <c r="S6" s="47">
        <f>62018*12</f>
        <v>744216</v>
      </c>
      <c r="T6" s="45">
        <f t="shared" si="1"/>
        <v>28279932</v>
      </c>
      <c r="U6" s="48"/>
    </row>
    <row r="7" spans="1:21">
      <c r="A7" s="42" t="s">
        <v>37</v>
      </c>
      <c r="B7" s="43" t="s">
        <v>38</v>
      </c>
      <c r="C7" s="43" t="s">
        <v>35</v>
      </c>
      <c r="D7" s="44" t="s">
        <v>36</v>
      </c>
      <c r="E7" s="47">
        <f>202234*12</f>
        <v>2426808</v>
      </c>
      <c r="F7" s="47">
        <f>138438*12</f>
        <v>1661256</v>
      </c>
      <c r="G7" s="47">
        <f>162940*12</f>
        <v>1955280</v>
      </c>
      <c r="H7" s="47">
        <f>168600*12</f>
        <v>2023200</v>
      </c>
      <c r="I7" s="47">
        <f>268728*12</f>
        <v>3224736</v>
      </c>
      <c r="J7" s="47">
        <f>57055*12</f>
        <v>684660</v>
      </c>
      <c r="K7" s="47">
        <f>88650*12</f>
        <v>1063800</v>
      </c>
      <c r="L7" s="47">
        <f>75486*12</f>
        <v>905832</v>
      </c>
      <c r="M7" s="47">
        <f>53020*12</f>
        <v>636240</v>
      </c>
      <c r="N7" s="47">
        <f>60058*12</f>
        <v>720696</v>
      </c>
      <c r="O7" s="47">
        <f>199943*12</f>
        <v>2399316</v>
      </c>
      <c r="P7" s="47">
        <f>8869*12</f>
        <v>106428</v>
      </c>
      <c r="Q7" s="47">
        <f>7991*12</f>
        <v>95892</v>
      </c>
      <c r="R7" s="47">
        <f>102141*12</f>
        <v>1225692</v>
      </c>
      <c r="S7" s="47">
        <f>41993*12</f>
        <v>503916</v>
      </c>
      <c r="T7" s="45">
        <f t="shared" si="1"/>
        <v>19633752</v>
      </c>
      <c r="U7" s="46"/>
    </row>
    <row r="8" spans="1:21">
      <c r="A8" s="42" t="s">
        <v>39</v>
      </c>
      <c r="B8" s="43" t="s">
        <v>40</v>
      </c>
      <c r="C8" s="43"/>
      <c r="D8" s="44" t="s">
        <v>28</v>
      </c>
      <c r="E8" s="45">
        <f>E9+E10</f>
        <v>625692</v>
      </c>
      <c r="F8" s="45">
        <f>F9+F10</f>
        <v>406944</v>
      </c>
      <c r="G8" s="45">
        <f t="shared" ref="G8:S8" si="4">G9+G10</f>
        <v>429576</v>
      </c>
      <c r="H8" s="45">
        <f t="shared" si="4"/>
        <v>502956</v>
      </c>
      <c r="I8" s="45">
        <f t="shared" si="4"/>
        <v>1065684</v>
      </c>
      <c r="J8" s="45">
        <f t="shared" si="4"/>
        <v>281808</v>
      </c>
      <c r="K8" s="45">
        <f t="shared" si="4"/>
        <v>305328</v>
      </c>
      <c r="L8" s="45">
        <f t="shared" si="4"/>
        <v>256764</v>
      </c>
      <c r="M8" s="45">
        <f t="shared" si="4"/>
        <v>229176</v>
      </c>
      <c r="N8" s="45">
        <f t="shared" si="4"/>
        <v>240252</v>
      </c>
      <c r="O8" s="45">
        <f t="shared" si="4"/>
        <v>746784</v>
      </c>
      <c r="P8" s="45">
        <f t="shared" si="4"/>
        <v>26676</v>
      </c>
      <c r="Q8" s="45">
        <f t="shared" si="4"/>
        <v>69024</v>
      </c>
      <c r="R8" s="45">
        <f t="shared" si="4"/>
        <v>370860</v>
      </c>
      <c r="S8" s="45">
        <f t="shared" si="4"/>
        <v>159972</v>
      </c>
      <c r="T8" s="45">
        <f t="shared" si="1"/>
        <v>5717496</v>
      </c>
      <c r="U8" s="46"/>
    </row>
    <row r="9" spans="1:21">
      <c r="A9" s="42" t="s">
        <v>41</v>
      </c>
      <c r="B9" s="43" t="s">
        <v>42</v>
      </c>
      <c r="C9" s="43" t="s">
        <v>35</v>
      </c>
      <c r="D9" s="44" t="s">
        <v>36</v>
      </c>
      <c r="E9" s="47">
        <f>661*12</f>
        <v>7932</v>
      </c>
      <c r="F9" s="47">
        <f>472*12</f>
        <v>5664</v>
      </c>
      <c r="G9" s="47">
        <f>598*12</f>
        <v>7176</v>
      </c>
      <c r="H9" s="47">
        <f>553*12</f>
        <v>6636</v>
      </c>
      <c r="I9" s="47">
        <f>807*12</f>
        <v>9684</v>
      </c>
      <c r="J9" s="47">
        <f>164*12</f>
        <v>1968</v>
      </c>
      <c r="K9" s="47">
        <f>364*12</f>
        <v>4368</v>
      </c>
      <c r="L9" s="47">
        <f>277*12</f>
        <v>3324</v>
      </c>
      <c r="M9" s="47">
        <f>178*12</f>
        <v>2136</v>
      </c>
      <c r="N9" s="47">
        <f>221*12</f>
        <v>2652</v>
      </c>
      <c r="O9" s="47">
        <f>632*12</f>
        <v>7584</v>
      </c>
      <c r="P9" s="47">
        <f>23*12</f>
        <v>276</v>
      </c>
      <c r="Q9" s="47">
        <f>32*12</f>
        <v>384</v>
      </c>
      <c r="R9" s="47">
        <f>105*12</f>
        <v>1260</v>
      </c>
      <c r="S9" s="47">
        <f>131*12</f>
        <v>1572</v>
      </c>
      <c r="T9" s="45">
        <f t="shared" si="1"/>
        <v>62616</v>
      </c>
      <c r="U9" s="46"/>
    </row>
    <row r="10" spans="1:21">
      <c r="A10" s="42" t="s">
        <v>43</v>
      </c>
      <c r="B10" s="43" t="s">
        <v>44</v>
      </c>
      <c r="C10" s="43"/>
      <c r="D10" s="44" t="s">
        <v>28</v>
      </c>
      <c r="E10" s="45">
        <f>E11</f>
        <v>617760</v>
      </c>
      <c r="F10" s="45">
        <f>F11</f>
        <v>401280</v>
      </c>
      <c r="G10" s="45">
        <f t="shared" ref="G10:T10" si="5">G11</f>
        <v>422400</v>
      </c>
      <c r="H10" s="45">
        <f t="shared" si="5"/>
        <v>496320</v>
      </c>
      <c r="I10" s="45">
        <f t="shared" si="5"/>
        <v>1056000</v>
      </c>
      <c r="J10" s="45">
        <f t="shared" si="5"/>
        <v>279840</v>
      </c>
      <c r="K10" s="45">
        <f t="shared" si="5"/>
        <v>300960</v>
      </c>
      <c r="L10" s="45">
        <f t="shared" si="5"/>
        <v>253440</v>
      </c>
      <c r="M10" s="45">
        <f t="shared" si="5"/>
        <v>227040</v>
      </c>
      <c r="N10" s="45">
        <f t="shared" si="5"/>
        <v>237600</v>
      </c>
      <c r="O10" s="45">
        <f t="shared" si="5"/>
        <v>739200</v>
      </c>
      <c r="P10" s="45">
        <f t="shared" si="5"/>
        <v>26400</v>
      </c>
      <c r="Q10" s="45">
        <f t="shared" si="5"/>
        <v>68640</v>
      </c>
      <c r="R10" s="45">
        <f t="shared" si="5"/>
        <v>369600</v>
      </c>
      <c r="S10" s="45">
        <f t="shared" si="5"/>
        <v>158400</v>
      </c>
      <c r="T10" s="45">
        <f t="shared" si="5"/>
        <v>5654880</v>
      </c>
      <c r="U10" s="46"/>
    </row>
    <row r="11" spans="1:21" s="50" customFormat="1">
      <c r="A11" s="42" t="s">
        <v>45</v>
      </c>
      <c r="B11" s="49" t="s">
        <v>350</v>
      </c>
      <c r="C11" s="49" t="s">
        <v>35</v>
      </c>
      <c r="D11" s="46" t="s">
        <v>28</v>
      </c>
      <c r="E11" s="45">
        <f>440*12*E93</f>
        <v>617760</v>
      </c>
      <c r="F11" s="45">
        <f>440*12*F93</f>
        <v>401280</v>
      </c>
      <c r="G11" s="45">
        <f t="shared" ref="G11:S11" si="6">440*12*G93</f>
        <v>422400</v>
      </c>
      <c r="H11" s="45">
        <f t="shared" si="6"/>
        <v>496320</v>
      </c>
      <c r="I11" s="45">
        <f t="shared" si="6"/>
        <v>1056000</v>
      </c>
      <c r="J11" s="45">
        <f t="shared" si="6"/>
        <v>279840</v>
      </c>
      <c r="K11" s="45">
        <f t="shared" si="6"/>
        <v>300960</v>
      </c>
      <c r="L11" s="45">
        <f t="shared" si="6"/>
        <v>253440</v>
      </c>
      <c r="M11" s="45">
        <f t="shared" si="6"/>
        <v>227040</v>
      </c>
      <c r="N11" s="45">
        <f t="shared" si="6"/>
        <v>237600</v>
      </c>
      <c r="O11" s="45">
        <f t="shared" si="6"/>
        <v>739200</v>
      </c>
      <c r="P11" s="45">
        <f t="shared" si="6"/>
        <v>26400</v>
      </c>
      <c r="Q11" s="45">
        <f t="shared" si="6"/>
        <v>68640</v>
      </c>
      <c r="R11" s="45">
        <f t="shared" si="6"/>
        <v>369600</v>
      </c>
      <c r="S11" s="45">
        <f t="shared" si="6"/>
        <v>158400</v>
      </c>
      <c r="T11" s="45">
        <f t="shared" ref="T11:T26" si="7">SUM(E11:S11)</f>
        <v>5654880</v>
      </c>
      <c r="U11" s="46"/>
    </row>
    <row r="12" spans="1:21">
      <c r="A12" s="42" t="s">
        <v>47</v>
      </c>
      <c r="B12" s="43" t="s">
        <v>48</v>
      </c>
      <c r="C12" s="43"/>
      <c r="D12" s="44" t="s">
        <v>49</v>
      </c>
      <c r="E12" s="45">
        <f>E13+E14</f>
        <v>201756.09000000003</v>
      </c>
      <c r="F12" s="45">
        <f t="shared" ref="F12:N12" si="8">F13+F14</f>
        <v>132284.01999999999</v>
      </c>
      <c r="G12" s="45">
        <f t="shared" si="8"/>
        <v>135404.78999999998</v>
      </c>
      <c r="H12" s="45">
        <f t="shared" si="8"/>
        <v>150485.04</v>
      </c>
      <c r="I12" s="45">
        <f t="shared" si="8"/>
        <v>301348.51</v>
      </c>
      <c r="J12" s="45">
        <f t="shared" si="8"/>
        <v>70865.279999999999</v>
      </c>
      <c r="K12" s="45">
        <f t="shared" si="8"/>
        <v>89293.11</v>
      </c>
      <c r="L12" s="45">
        <f t="shared" si="8"/>
        <v>71127.070000000007</v>
      </c>
      <c r="M12" s="45">
        <f t="shared" si="8"/>
        <v>62730.29</v>
      </c>
      <c r="N12" s="45">
        <f t="shared" si="8"/>
        <v>65870.489999999991</v>
      </c>
      <c r="O12" s="45">
        <f>O13+O14</f>
        <v>236273.76</v>
      </c>
      <c r="P12" s="45">
        <f t="shared" ref="P12" si="9">P13+P14</f>
        <v>9081.07</v>
      </c>
      <c r="Q12" s="45">
        <f t="shared" ref="Q12" si="10">Q13+Q14</f>
        <v>22768.13</v>
      </c>
      <c r="R12" s="45">
        <f t="shared" ref="R12" si="11">R13+R14</f>
        <v>112157.14</v>
      </c>
      <c r="S12" s="45">
        <f t="shared" ref="S12" si="12">S13+S14</f>
        <v>38912.400000000001</v>
      </c>
      <c r="T12" s="45">
        <f t="shared" si="7"/>
        <v>1700357.19</v>
      </c>
      <c r="U12" s="46"/>
    </row>
    <row r="13" spans="1:21" s="50" customFormat="1">
      <c r="A13" s="42" t="s">
        <v>50</v>
      </c>
      <c r="B13" s="49" t="s">
        <v>589</v>
      </c>
      <c r="C13" s="49" t="s">
        <v>35</v>
      </c>
      <c r="D13" s="46" t="s">
        <v>51</v>
      </c>
      <c r="E13" s="45">
        <f>ROUND(E28/0.07*0.00256,2)</f>
        <v>68319.520000000004</v>
      </c>
      <c r="F13" s="45">
        <f>ROUND(F28/0.07*0.00256,2)</f>
        <v>44794.59</v>
      </c>
      <c r="G13" s="45">
        <f t="shared" ref="G13:S13" si="13">ROUND(G28/0.07*0.00256,2)</f>
        <v>45851.360000000001</v>
      </c>
      <c r="H13" s="45">
        <f t="shared" si="13"/>
        <v>50957.9</v>
      </c>
      <c r="I13" s="45">
        <f t="shared" si="13"/>
        <v>102043.94</v>
      </c>
      <c r="J13" s="45">
        <f t="shared" si="13"/>
        <v>23996.71</v>
      </c>
      <c r="K13" s="45">
        <f t="shared" si="13"/>
        <v>30236.82</v>
      </c>
      <c r="L13" s="45">
        <f t="shared" si="13"/>
        <v>24085.360000000001</v>
      </c>
      <c r="M13" s="45">
        <f t="shared" si="13"/>
        <v>21242</v>
      </c>
      <c r="N13" s="45">
        <f t="shared" si="13"/>
        <v>22305.35</v>
      </c>
      <c r="O13" s="45">
        <f t="shared" si="13"/>
        <v>80008.05</v>
      </c>
      <c r="P13" s="45">
        <f t="shared" si="13"/>
        <v>3075.07</v>
      </c>
      <c r="Q13" s="45">
        <f t="shared" si="13"/>
        <v>7709.84</v>
      </c>
      <c r="R13" s="45">
        <f t="shared" si="13"/>
        <v>37979.14</v>
      </c>
      <c r="S13" s="45">
        <f t="shared" si="13"/>
        <v>13176.69</v>
      </c>
      <c r="T13" s="45">
        <f t="shared" si="7"/>
        <v>575782.34</v>
      </c>
      <c r="U13" s="46"/>
    </row>
    <row r="14" spans="1:21" s="50" customFormat="1">
      <c r="A14" s="42" t="s">
        <v>52</v>
      </c>
      <c r="B14" s="49" t="s">
        <v>590</v>
      </c>
      <c r="C14" s="49" t="s">
        <v>35</v>
      </c>
      <c r="D14" s="46" t="s">
        <v>51</v>
      </c>
      <c r="E14" s="45">
        <f>ROUND(E28/0.07*0.005,2)</f>
        <v>133436.57</v>
      </c>
      <c r="F14" s="45">
        <f>ROUND(F28/0.07*0.005,2)</f>
        <v>87489.43</v>
      </c>
      <c r="G14" s="45">
        <f t="shared" ref="G14:S14" si="14">ROUND(G28/0.07*0.005,2)</f>
        <v>89553.43</v>
      </c>
      <c r="H14" s="45">
        <f t="shared" si="14"/>
        <v>99527.14</v>
      </c>
      <c r="I14" s="45">
        <f t="shared" si="14"/>
        <v>199304.57</v>
      </c>
      <c r="J14" s="45">
        <f t="shared" si="14"/>
        <v>46868.57</v>
      </c>
      <c r="K14" s="45">
        <f t="shared" si="14"/>
        <v>59056.29</v>
      </c>
      <c r="L14" s="45">
        <f t="shared" si="14"/>
        <v>47041.71</v>
      </c>
      <c r="M14" s="45">
        <f t="shared" si="14"/>
        <v>41488.29</v>
      </c>
      <c r="N14" s="45">
        <f t="shared" si="14"/>
        <v>43565.14</v>
      </c>
      <c r="O14" s="45">
        <f t="shared" si="14"/>
        <v>156265.71</v>
      </c>
      <c r="P14" s="45">
        <f t="shared" si="14"/>
        <v>6006</v>
      </c>
      <c r="Q14" s="45">
        <f t="shared" si="14"/>
        <v>15058.29</v>
      </c>
      <c r="R14" s="45">
        <f t="shared" si="14"/>
        <v>74178</v>
      </c>
      <c r="S14" s="45">
        <f t="shared" si="14"/>
        <v>25735.71</v>
      </c>
      <c r="T14" s="45">
        <f t="shared" si="7"/>
        <v>1124574.8500000001</v>
      </c>
      <c r="U14" s="46"/>
    </row>
    <row r="15" spans="1:21">
      <c r="A15" s="42" t="s">
        <v>53</v>
      </c>
      <c r="B15" s="43" t="s">
        <v>55</v>
      </c>
      <c r="C15" s="43"/>
      <c r="D15" s="44" t="s">
        <v>28</v>
      </c>
      <c r="E15" s="45">
        <v>22382100</v>
      </c>
      <c r="F15" s="45">
        <v>14538800</v>
      </c>
      <c r="G15" s="45">
        <v>15304000</v>
      </c>
      <c r="H15" s="45">
        <v>17982200</v>
      </c>
      <c r="I15" s="45">
        <v>38260000</v>
      </c>
      <c r="J15" s="45">
        <v>10138900</v>
      </c>
      <c r="K15" s="45">
        <v>9952200</v>
      </c>
      <c r="L15" s="45">
        <v>8380800</v>
      </c>
      <c r="M15" s="45">
        <v>7507800</v>
      </c>
      <c r="N15" s="45">
        <v>7857000</v>
      </c>
      <c r="O15" s="45">
        <v>26782000</v>
      </c>
      <c r="P15" s="45">
        <v>928500</v>
      </c>
      <c r="Q15" s="45">
        <v>2269800</v>
      </c>
      <c r="R15" s="45">
        <v>13391000</v>
      </c>
      <c r="S15" s="45">
        <v>5238000</v>
      </c>
      <c r="T15" s="45">
        <f t="shared" si="7"/>
        <v>200913100</v>
      </c>
      <c r="U15" s="46"/>
    </row>
    <row r="16" spans="1:21" ht="22.5">
      <c r="A16" s="42" t="s">
        <v>54</v>
      </c>
      <c r="B16" s="51" t="s">
        <v>57</v>
      </c>
      <c r="C16" s="51" t="s">
        <v>35</v>
      </c>
      <c r="D16" s="52" t="s">
        <v>58</v>
      </c>
      <c r="E16" s="53">
        <f>E15-E17</f>
        <v>22163352</v>
      </c>
      <c r="F16" s="53">
        <f t="shared" ref="F16:S16" si="15">F15-F17</f>
        <v>14333288</v>
      </c>
      <c r="G16" s="53">
        <f t="shared" si="15"/>
        <v>14797900</v>
      </c>
      <c r="H16" s="53">
        <f t="shared" si="15"/>
        <v>17499440</v>
      </c>
      <c r="I16" s="53">
        <f t="shared" si="15"/>
        <v>37955440</v>
      </c>
      <c r="J16" s="53">
        <f t="shared" si="15"/>
        <v>9945508</v>
      </c>
      <c r="K16" s="53">
        <f t="shared" si="15"/>
        <v>9755268</v>
      </c>
      <c r="L16" s="53">
        <f t="shared" si="15"/>
        <v>8161068</v>
      </c>
      <c r="M16" s="53">
        <f t="shared" si="15"/>
        <v>7292784</v>
      </c>
      <c r="N16" s="53">
        <f t="shared" si="15"/>
        <v>7666416</v>
      </c>
      <c r="O16" s="53">
        <f t="shared" si="15"/>
        <v>26542192</v>
      </c>
      <c r="P16" s="53">
        <f t="shared" si="15"/>
        <v>928500</v>
      </c>
      <c r="Q16" s="53">
        <f t="shared" si="15"/>
        <v>2096964</v>
      </c>
      <c r="R16" s="53">
        <f t="shared" si="15"/>
        <v>13205528</v>
      </c>
      <c r="S16" s="53">
        <f t="shared" si="15"/>
        <v>5048856</v>
      </c>
      <c r="T16" s="45">
        <f t="shared" si="7"/>
        <v>197392504</v>
      </c>
      <c r="U16" s="52"/>
    </row>
    <row r="17" spans="1:21">
      <c r="A17" s="42" t="s">
        <v>56</v>
      </c>
      <c r="B17" s="51" t="s">
        <v>60</v>
      </c>
      <c r="C17" s="51" t="s">
        <v>35</v>
      </c>
      <c r="D17" s="52" t="s">
        <v>61</v>
      </c>
      <c r="E17" s="53">
        <f>(3110+12619)*12+10000+20000</f>
        <v>218748</v>
      </c>
      <c r="F17" s="53">
        <f>(3520+11106)*12+30000</f>
        <v>205512</v>
      </c>
      <c r="G17" s="53">
        <f>(3980+3930+16388+12877)*12+60000</f>
        <v>506100</v>
      </c>
      <c r="H17" s="53">
        <f>(4080+11706+3770+15674)*12+60000</f>
        <v>482760</v>
      </c>
      <c r="I17" s="53">
        <f>(4070+18810)*12+30000</f>
        <v>304560</v>
      </c>
      <c r="J17" s="53">
        <f>(3570+10046)*12+30000</f>
        <v>193392</v>
      </c>
      <c r="K17" s="53">
        <f>(2825+11086)*12+30000</f>
        <v>196932</v>
      </c>
      <c r="L17" s="53">
        <f>(3425+12386)*12+30000</f>
        <v>219732</v>
      </c>
      <c r="M17" s="53">
        <f>(3375+12043)*12+30000</f>
        <v>215016</v>
      </c>
      <c r="N17" s="53">
        <f>(3055+10327)*12+30000</f>
        <v>190584</v>
      </c>
      <c r="O17" s="53">
        <f>(3420+14064)*12+30000</f>
        <v>239808</v>
      </c>
      <c r="P17" s="53"/>
      <c r="Q17" s="53">
        <f>(2665+9238)*12+30000</f>
        <v>172836</v>
      </c>
      <c r="R17" s="53">
        <f>(2910+10046)*12+30000</f>
        <v>185472</v>
      </c>
      <c r="S17" s="53">
        <f>(3045+10217)*12+30000</f>
        <v>189144</v>
      </c>
      <c r="T17" s="45">
        <f t="shared" si="7"/>
        <v>3520596</v>
      </c>
      <c r="U17" s="52"/>
    </row>
    <row r="18" spans="1:21">
      <c r="A18" s="42" t="s">
        <v>59</v>
      </c>
      <c r="B18" s="43" t="s">
        <v>63</v>
      </c>
      <c r="C18" s="43"/>
      <c r="D18" s="52" t="s">
        <v>28</v>
      </c>
      <c r="E18" s="54">
        <f>E19</f>
        <v>2802168</v>
      </c>
      <c r="F18" s="54">
        <f>F19</f>
        <v>1837278</v>
      </c>
      <c r="G18" s="54">
        <f t="shared" ref="G18:S18" si="16">G19</f>
        <v>1880622</v>
      </c>
      <c r="H18" s="54">
        <f t="shared" si="16"/>
        <v>2090070</v>
      </c>
      <c r="I18" s="54">
        <f t="shared" si="16"/>
        <v>4185396</v>
      </c>
      <c r="J18" s="54">
        <f t="shared" si="16"/>
        <v>984240</v>
      </c>
      <c r="K18" s="54">
        <f t="shared" si="16"/>
        <v>1240182</v>
      </c>
      <c r="L18" s="54">
        <f t="shared" si="16"/>
        <v>987876</v>
      </c>
      <c r="M18" s="54">
        <f t="shared" si="16"/>
        <v>871254</v>
      </c>
      <c r="N18" s="54">
        <f t="shared" si="16"/>
        <v>914868</v>
      </c>
      <c r="O18" s="54">
        <f t="shared" si="16"/>
        <v>3281580</v>
      </c>
      <c r="P18" s="54">
        <f t="shared" si="16"/>
        <v>126126</v>
      </c>
      <c r="Q18" s="54">
        <f t="shared" si="16"/>
        <v>316224</v>
      </c>
      <c r="R18" s="54">
        <f t="shared" si="16"/>
        <v>1557738</v>
      </c>
      <c r="S18" s="54">
        <f t="shared" si="16"/>
        <v>540450</v>
      </c>
      <c r="T18" s="45">
        <f t="shared" si="7"/>
        <v>23616072</v>
      </c>
      <c r="U18" s="52"/>
    </row>
    <row r="19" spans="1:21">
      <c r="A19" s="42" t="s">
        <v>62</v>
      </c>
      <c r="B19" s="43" t="s">
        <v>351</v>
      </c>
      <c r="C19" s="43" t="s">
        <v>66</v>
      </c>
      <c r="D19" s="52" t="s">
        <v>28</v>
      </c>
      <c r="E19" s="54">
        <f>ROUND(E28/0.07*0.105,2)</f>
        <v>2802168</v>
      </c>
      <c r="F19" s="54">
        <f>ROUND(F28/0.07*0.105,2)</f>
        <v>1837278</v>
      </c>
      <c r="G19" s="54">
        <f t="shared" ref="G19:S19" si="17">ROUND(G28/0.07*0.105,2)</f>
        <v>1880622</v>
      </c>
      <c r="H19" s="54">
        <f t="shared" si="17"/>
        <v>2090070</v>
      </c>
      <c r="I19" s="54">
        <f t="shared" si="17"/>
        <v>4185396</v>
      </c>
      <c r="J19" s="54">
        <f t="shared" si="17"/>
        <v>984240</v>
      </c>
      <c r="K19" s="54">
        <f t="shared" si="17"/>
        <v>1240182</v>
      </c>
      <c r="L19" s="54">
        <f t="shared" si="17"/>
        <v>987876</v>
      </c>
      <c r="M19" s="54">
        <f t="shared" si="17"/>
        <v>871254</v>
      </c>
      <c r="N19" s="54">
        <f t="shared" si="17"/>
        <v>914868</v>
      </c>
      <c r="O19" s="54">
        <f t="shared" si="17"/>
        <v>3281580</v>
      </c>
      <c r="P19" s="54">
        <f t="shared" si="17"/>
        <v>126126</v>
      </c>
      <c r="Q19" s="54">
        <f t="shared" si="17"/>
        <v>316224</v>
      </c>
      <c r="R19" s="54">
        <f t="shared" si="17"/>
        <v>1557738</v>
      </c>
      <c r="S19" s="54">
        <f t="shared" si="17"/>
        <v>540450</v>
      </c>
      <c r="T19" s="45">
        <f t="shared" si="7"/>
        <v>23616072</v>
      </c>
      <c r="U19" s="52"/>
    </row>
    <row r="20" spans="1:21">
      <c r="A20" s="42" t="s">
        <v>64</v>
      </c>
      <c r="B20" s="43" t="s">
        <v>68</v>
      </c>
      <c r="C20" s="43"/>
      <c r="D20" s="52" t="s">
        <v>51</v>
      </c>
      <c r="E20" s="54">
        <f>E21+E22</f>
        <v>1067492.58</v>
      </c>
      <c r="F20" s="54">
        <f>F21+F22</f>
        <v>699915.42</v>
      </c>
      <c r="G20" s="54">
        <f t="shared" ref="G20:S20" si="18">G21+G22</f>
        <v>716427.42</v>
      </c>
      <c r="H20" s="54">
        <f t="shared" si="18"/>
        <v>796217.14</v>
      </c>
      <c r="I20" s="54">
        <f t="shared" si="18"/>
        <v>1594436.58</v>
      </c>
      <c r="J20" s="54">
        <f t="shared" si="18"/>
        <v>374948.58</v>
      </c>
      <c r="K20" s="54">
        <f t="shared" si="18"/>
        <v>472450.28</v>
      </c>
      <c r="L20" s="54">
        <f t="shared" si="18"/>
        <v>376333.72</v>
      </c>
      <c r="M20" s="54">
        <f t="shared" si="18"/>
        <v>331906.28000000003</v>
      </c>
      <c r="N20" s="54">
        <f t="shared" si="18"/>
        <v>348521.14</v>
      </c>
      <c r="O20" s="54">
        <f t="shared" si="18"/>
        <v>1250125.72</v>
      </c>
      <c r="P20" s="54">
        <f t="shared" si="18"/>
        <v>48048</v>
      </c>
      <c r="Q20" s="54">
        <f t="shared" si="18"/>
        <v>120466.28</v>
      </c>
      <c r="R20" s="54">
        <f t="shared" si="18"/>
        <v>593424</v>
      </c>
      <c r="S20" s="54">
        <f t="shared" si="18"/>
        <v>205885.72</v>
      </c>
      <c r="T20" s="45">
        <f t="shared" si="7"/>
        <v>8996598.8600000013</v>
      </c>
      <c r="U20" s="52"/>
    </row>
    <row r="21" spans="1:21">
      <c r="A21" s="42" t="s">
        <v>67</v>
      </c>
      <c r="B21" s="43" t="s">
        <v>352</v>
      </c>
      <c r="C21" s="43" t="s">
        <v>71</v>
      </c>
      <c r="D21" s="52" t="s">
        <v>51</v>
      </c>
      <c r="E21" s="54">
        <f>ROUND(E28/0.07*0.02,2)</f>
        <v>533746.29</v>
      </c>
      <c r="F21" s="54">
        <f>ROUND(F28/0.07*0.02,2)</f>
        <v>349957.71</v>
      </c>
      <c r="G21" s="54">
        <f t="shared" ref="G21:S21" si="19">ROUND(G28/0.07*0.02,2)</f>
        <v>358213.71</v>
      </c>
      <c r="H21" s="54">
        <f t="shared" si="19"/>
        <v>398108.57</v>
      </c>
      <c r="I21" s="54">
        <f t="shared" si="19"/>
        <v>797218.29</v>
      </c>
      <c r="J21" s="54">
        <f t="shared" si="19"/>
        <v>187474.29</v>
      </c>
      <c r="K21" s="54">
        <f t="shared" si="19"/>
        <v>236225.14</v>
      </c>
      <c r="L21" s="54">
        <f t="shared" si="19"/>
        <v>188166.86</v>
      </c>
      <c r="M21" s="54">
        <f t="shared" si="19"/>
        <v>165953.14000000001</v>
      </c>
      <c r="N21" s="54">
        <f t="shared" si="19"/>
        <v>174260.57</v>
      </c>
      <c r="O21" s="54">
        <f t="shared" si="19"/>
        <v>625062.86</v>
      </c>
      <c r="P21" s="54">
        <f t="shared" si="19"/>
        <v>24024</v>
      </c>
      <c r="Q21" s="54">
        <f t="shared" si="19"/>
        <v>60233.14</v>
      </c>
      <c r="R21" s="54">
        <f t="shared" si="19"/>
        <v>296712</v>
      </c>
      <c r="S21" s="54">
        <f t="shared" si="19"/>
        <v>102942.86</v>
      </c>
      <c r="T21" s="45">
        <f t="shared" si="7"/>
        <v>4498299.4300000006</v>
      </c>
      <c r="U21" s="52"/>
    </row>
    <row r="22" spans="1:21">
      <c r="A22" s="42" t="s">
        <v>69</v>
      </c>
      <c r="B22" s="43" t="s">
        <v>353</v>
      </c>
      <c r="C22" s="43" t="s">
        <v>71</v>
      </c>
      <c r="D22" s="52" t="s">
        <v>51</v>
      </c>
      <c r="E22" s="54">
        <f>ROUND(E28/0.07*0.02,2)</f>
        <v>533746.29</v>
      </c>
      <c r="F22" s="54">
        <f>ROUND(F28/0.07*0.02,2)</f>
        <v>349957.71</v>
      </c>
      <c r="G22" s="54">
        <f t="shared" ref="G22:S22" si="20">ROUND(G28/0.07*0.02,2)</f>
        <v>358213.71</v>
      </c>
      <c r="H22" s="54">
        <f t="shared" si="20"/>
        <v>398108.57</v>
      </c>
      <c r="I22" s="54">
        <f t="shared" si="20"/>
        <v>797218.29</v>
      </c>
      <c r="J22" s="54">
        <f t="shared" si="20"/>
        <v>187474.29</v>
      </c>
      <c r="K22" s="54">
        <f t="shared" si="20"/>
        <v>236225.14</v>
      </c>
      <c r="L22" s="54">
        <f t="shared" si="20"/>
        <v>188166.86</v>
      </c>
      <c r="M22" s="54">
        <f t="shared" si="20"/>
        <v>165953.14000000001</v>
      </c>
      <c r="N22" s="54">
        <f t="shared" si="20"/>
        <v>174260.57</v>
      </c>
      <c r="O22" s="54">
        <f t="shared" si="20"/>
        <v>625062.86</v>
      </c>
      <c r="P22" s="54">
        <f t="shared" si="20"/>
        <v>24024</v>
      </c>
      <c r="Q22" s="54">
        <f t="shared" si="20"/>
        <v>60233.14</v>
      </c>
      <c r="R22" s="54">
        <f t="shared" si="20"/>
        <v>296712</v>
      </c>
      <c r="S22" s="54">
        <f t="shared" si="20"/>
        <v>102942.86</v>
      </c>
      <c r="T22" s="45">
        <f t="shared" si="7"/>
        <v>4498299.4300000006</v>
      </c>
      <c r="U22" s="52"/>
    </row>
    <row r="23" spans="1:21">
      <c r="A23" s="42" t="s">
        <v>72</v>
      </c>
      <c r="B23" s="43" t="s">
        <v>75</v>
      </c>
      <c r="C23" s="43"/>
      <c r="D23" s="44" t="s">
        <v>28</v>
      </c>
      <c r="E23" s="45">
        <f>E24</f>
        <v>4269970.29</v>
      </c>
      <c r="F23" s="45">
        <f>F24</f>
        <v>2799661.71</v>
      </c>
      <c r="G23" s="45">
        <f t="shared" ref="G23:S23" si="21">G24</f>
        <v>2865709.71</v>
      </c>
      <c r="H23" s="45">
        <f t="shared" si="21"/>
        <v>3184868.57</v>
      </c>
      <c r="I23" s="45">
        <f t="shared" si="21"/>
        <v>6377746.29</v>
      </c>
      <c r="J23" s="45">
        <f t="shared" si="21"/>
        <v>1499794.29</v>
      </c>
      <c r="K23" s="45">
        <f t="shared" si="21"/>
        <v>1889801.14</v>
      </c>
      <c r="L23" s="45">
        <f t="shared" si="21"/>
        <v>1505334.86</v>
      </c>
      <c r="M23" s="45">
        <f t="shared" si="21"/>
        <v>1327625.1399999999</v>
      </c>
      <c r="N23" s="45">
        <f t="shared" si="21"/>
        <v>1394084.57</v>
      </c>
      <c r="O23" s="45">
        <f t="shared" si="21"/>
        <v>5000502.8600000003</v>
      </c>
      <c r="P23" s="45">
        <f t="shared" si="21"/>
        <v>192192</v>
      </c>
      <c r="Q23" s="45">
        <f t="shared" si="21"/>
        <v>481865.14</v>
      </c>
      <c r="R23" s="45">
        <f t="shared" si="21"/>
        <v>2373696</v>
      </c>
      <c r="S23" s="45">
        <f t="shared" si="21"/>
        <v>823542.86</v>
      </c>
      <c r="T23" s="45">
        <f t="shared" si="7"/>
        <v>35986395.43</v>
      </c>
      <c r="U23" s="46"/>
    </row>
    <row r="24" spans="1:21" s="50" customFormat="1">
      <c r="A24" s="42" t="s">
        <v>74</v>
      </c>
      <c r="B24" s="49" t="s">
        <v>354</v>
      </c>
      <c r="C24" s="49" t="s">
        <v>78</v>
      </c>
      <c r="D24" s="46" t="s">
        <v>51</v>
      </c>
      <c r="E24" s="45">
        <f>ROUND(E28/0.07*0.16,2)</f>
        <v>4269970.29</v>
      </c>
      <c r="F24" s="45">
        <f>ROUND(F28/0.07*0.16,2)</f>
        <v>2799661.71</v>
      </c>
      <c r="G24" s="45">
        <f t="shared" ref="G24:S24" si="22">ROUND(G28/0.07*0.16,2)</f>
        <v>2865709.71</v>
      </c>
      <c r="H24" s="45">
        <f t="shared" si="22"/>
        <v>3184868.57</v>
      </c>
      <c r="I24" s="45">
        <f t="shared" si="22"/>
        <v>6377746.29</v>
      </c>
      <c r="J24" s="45">
        <f t="shared" si="22"/>
        <v>1499794.29</v>
      </c>
      <c r="K24" s="45">
        <f t="shared" si="22"/>
        <v>1889801.14</v>
      </c>
      <c r="L24" s="45">
        <f t="shared" si="22"/>
        <v>1505334.86</v>
      </c>
      <c r="M24" s="45">
        <f t="shared" si="22"/>
        <v>1327625.1399999999</v>
      </c>
      <c r="N24" s="45">
        <f t="shared" si="22"/>
        <v>1394084.57</v>
      </c>
      <c r="O24" s="45">
        <f t="shared" si="22"/>
        <v>5000502.8600000003</v>
      </c>
      <c r="P24" s="45">
        <f t="shared" si="22"/>
        <v>192192</v>
      </c>
      <c r="Q24" s="45">
        <f t="shared" si="22"/>
        <v>481865.14</v>
      </c>
      <c r="R24" s="45">
        <f t="shared" si="22"/>
        <v>2373696</v>
      </c>
      <c r="S24" s="45">
        <f t="shared" si="22"/>
        <v>823542.86</v>
      </c>
      <c r="T24" s="45">
        <f t="shared" si="7"/>
        <v>35986395.43</v>
      </c>
      <c r="U24" s="46"/>
    </row>
    <row r="25" spans="1:21">
      <c r="A25" s="42" t="s">
        <v>76</v>
      </c>
      <c r="B25" s="43" t="s">
        <v>80</v>
      </c>
      <c r="C25" s="43"/>
      <c r="D25" s="44" t="s">
        <v>28</v>
      </c>
      <c r="E25" s="45">
        <f>E26</f>
        <v>2134985.14</v>
      </c>
      <c r="F25" s="45">
        <f>F26</f>
        <v>1399830.86</v>
      </c>
      <c r="G25" s="45">
        <f t="shared" ref="G25:S25" si="23">G26</f>
        <v>1432854.86</v>
      </c>
      <c r="H25" s="45">
        <f t="shared" si="23"/>
        <v>1592434.29</v>
      </c>
      <c r="I25" s="45">
        <f t="shared" si="23"/>
        <v>3188873.14</v>
      </c>
      <c r="J25" s="45">
        <f t="shared" si="23"/>
        <v>749897.14</v>
      </c>
      <c r="K25" s="45">
        <f t="shared" si="23"/>
        <v>944900.57</v>
      </c>
      <c r="L25" s="45">
        <f t="shared" si="23"/>
        <v>752667.43</v>
      </c>
      <c r="M25" s="45">
        <f t="shared" si="23"/>
        <v>663812.56999999995</v>
      </c>
      <c r="N25" s="45">
        <f t="shared" si="23"/>
        <v>697042.29</v>
      </c>
      <c r="O25" s="45">
        <f t="shared" si="23"/>
        <v>2500251.4300000002</v>
      </c>
      <c r="P25" s="45">
        <f t="shared" si="23"/>
        <v>96096</v>
      </c>
      <c r="Q25" s="45">
        <f t="shared" si="23"/>
        <v>240932.57</v>
      </c>
      <c r="R25" s="45">
        <f t="shared" si="23"/>
        <v>1186848</v>
      </c>
      <c r="S25" s="45">
        <f t="shared" si="23"/>
        <v>411771.43</v>
      </c>
      <c r="T25" s="45">
        <f t="shared" si="7"/>
        <v>17993197.720000003</v>
      </c>
      <c r="U25" s="46"/>
    </row>
    <row r="26" spans="1:21" s="50" customFormat="1">
      <c r="A26" s="42" t="s">
        <v>79</v>
      </c>
      <c r="B26" s="49" t="s">
        <v>82</v>
      </c>
      <c r="C26" s="49" t="s">
        <v>83</v>
      </c>
      <c r="D26" s="46" t="s">
        <v>51</v>
      </c>
      <c r="E26" s="45">
        <f>ROUND(E28/0.07*0.08,2)</f>
        <v>2134985.14</v>
      </c>
      <c r="F26" s="45">
        <f>ROUND(F28/0.07*0.08,2)</f>
        <v>1399830.86</v>
      </c>
      <c r="G26" s="45">
        <f t="shared" ref="G26:S26" si="24">ROUND(G28/0.07*0.08,2)</f>
        <v>1432854.86</v>
      </c>
      <c r="H26" s="45">
        <f t="shared" si="24"/>
        <v>1592434.29</v>
      </c>
      <c r="I26" s="45">
        <f t="shared" si="24"/>
        <v>3188873.14</v>
      </c>
      <c r="J26" s="45">
        <f t="shared" si="24"/>
        <v>749897.14</v>
      </c>
      <c r="K26" s="45">
        <f t="shared" si="24"/>
        <v>944900.57</v>
      </c>
      <c r="L26" s="45">
        <f t="shared" si="24"/>
        <v>752667.43</v>
      </c>
      <c r="M26" s="45">
        <f t="shared" si="24"/>
        <v>663812.56999999995</v>
      </c>
      <c r="N26" s="45">
        <f t="shared" si="24"/>
        <v>697042.29</v>
      </c>
      <c r="O26" s="45">
        <f t="shared" si="24"/>
        <v>2500251.4300000002</v>
      </c>
      <c r="P26" s="45">
        <f t="shared" si="24"/>
        <v>96096</v>
      </c>
      <c r="Q26" s="45">
        <f t="shared" si="24"/>
        <v>240932.57</v>
      </c>
      <c r="R26" s="45">
        <f t="shared" si="24"/>
        <v>1186848</v>
      </c>
      <c r="S26" s="45">
        <f t="shared" si="24"/>
        <v>411771.43</v>
      </c>
      <c r="T26" s="45">
        <f t="shared" si="7"/>
        <v>17993197.720000003</v>
      </c>
      <c r="U26" s="46"/>
    </row>
    <row r="27" spans="1:21" ht="22.5">
      <c r="A27" s="42" t="s">
        <v>81</v>
      </c>
      <c r="B27" s="43" t="s">
        <v>85</v>
      </c>
      <c r="C27" s="51" t="s">
        <v>35</v>
      </c>
      <c r="D27" s="46" t="s">
        <v>355</v>
      </c>
      <c r="E27" s="45">
        <f>6000*E93</f>
        <v>702000</v>
      </c>
      <c r="F27" s="45">
        <f>6000*F93</f>
        <v>456000</v>
      </c>
      <c r="G27" s="45">
        <f t="shared" ref="G27:T27" si="25">6000*G93</f>
        <v>480000</v>
      </c>
      <c r="H27" s="45">
        <f t="shared" si="25"/>
        <v>564000</v>
      </c>
      <c r="I27" s="45">
        <f t="shared" si="25"/>
        <v>1200000</v>
      </c>
      <c r="J27" s="45">
        <f t="shared" si="25"/>
        <v>318000</v>
      </c>
      <c r="K27" s="45">
        <f t="shared" si="25"/>
        <v>342000</v>
      </c>
      <c r="L27" s="45">
        <f t="shared" si="25"/>
        <v>288000</v>
      </c>
      <c r="M27" s="45">
        <f t="shared" si="25"/>
        <v>258000</v>
      </c>
      <c r="N27" s="45">
        <f t="shared" si="25"/>
        <v>270000</v>
      </c>
      <c r="O27" s="45">
        <f t="shared" si="25"/>
        <v>840000</v>
      </c>
      <c r="P27" s="45">
        <f t="shared" si="25"/>
        <v>30000</v>
      </c>
      <c r="Q27" s="45">
        <f t="shared" si="25"/>
        <v>78000</v>
      </c>
      <c r="R27" s="45">
        <f t="shared" si="25"/>
        <v>420000</v>
      </c>
      <c r="S27" s="45">
        <f t="shared" si="25"/>
        <v>180000</v>
      </c>
      <c r="T27" s="45">
        <f t="shared" si="25"/>
        <v>6426000</v>
      </c>
      <c r="U27" s="46"/>
    </row>
    <row r="28" spans="1:21">
      <c r="A28" s="42" t="s">
        <v>84</v>
      </c>
      <c r="B28" s="43" t="s">
        <v>88</v>
      </c>
      <c r="C28" s="43" t="s">
        <v>88</v>
      </c>
      <c r="D28" s="44" t="s">
        <v>356</v>
      </c>
      <c r="E28" s="53">
        <f>155676*12</f>
        <v>1868112</v>
      </c>
      <c r="F28" s="53">
        <f>102071*12</f>
        <v>1224852</v>
      </c>
      <c r="G28" s="53">
        <f>104479*12</f>
        <v>1253748</v>
      </c>
      <c r="H28" s="53">
        <f>116115*12</f>
        <v>1393380</v>
      </c>
      <c r="I28" s="53">
        <f>232522*12</f>
        <v>2790264</v>
      </c>
      <c r="J28" s="53">
        <f>54680*12</f>
        <v>656160</v>
      </c>
      <c r="K28" s="53">
        <f>68899*12</f>
        <v>826788</v>
      </c>
      <c r="L28" s="53">
        <f>54882*12</f>
        <v>658584</v>
      </c>
      <c r="M28" s="53">
        <f>48403*12</f>
        <v>580836</v>
      </c>
      <c r="N28" s="53">
        <f>50826*12</f>
        <v>609912</v>
      </c>
      <c r="O28" s="53">
        <f>182310*12</f>
        <v>2187720</v>
      </c>
      <c r="P28" s="53">
        <f>7007*12</f>
        <v>84084</v>
      </c>
      <c r="Q28" s="53">
        <f>17568*12</f>
        <v>210816</v>
      </c>
      <c r="R28" s="53">
        <f>86541*12</f>
        <v>1038492</v>
      </c>
      <c r="S28" s="53">
        <f>30025*12</f>
        <v>360300</v>
      </c>
      <c r="T28" s="45">
        <f t="shared" ref="T28:T57" si="26">SUM(E28:S28)</f>
        <v>15744048</v>
      </c>
      <c r="U28" s="52"/>
    </row>
    <row r="29" spans="1:21">
      <c r="A29" s="42" t="s">
        <v>87</v>
      </c>
      <c r="B29" s="43" t="s">
        <v>357</v>
      </c>
      <c r="C29" s="43" t="s">
        <v>358</v>
      </c>
      <c r="D29" s="46" t="s">
        <v>359</v>
      </c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45">
        <f t="shared" si="26"/>
        <v>0</v>
      </c>
      <c r="U29" s="52"/>
    </row>
    <row r="30" spans="1:21">
      <c r="A30" s="42" t="s">
        <v>90</v>
      </c>
      <c r="B30" s="43" t="s">
        <v>95</v>
      </c>
      <c r="C30" s="43"/>
      <c r="D30" s="44" t="s">
        <v>28</v>
      </c>
      <c r="E30" s="45">
        <f>E31+E39+E42+E44</f>
        <v>6240</v>
      </c>
      <c r="F30" s="45">
        <f t="shared" ref="F30:M30" si="27">F31+F39+F42+F44</f>
        <v>10400</v>
      </c>
      <c r="G30" s="45">
        <f t="shared" si="27"/>
        <v>6380</v>
      </c>
      <c r="H30" s="45">
        <f t="shared" si="27"/>
        <v>3010</v>
      </c>
      <c r="I30" s="45">
        <f t="shared" si="27"/>
        <v>6770</v>
      </c>
      <c r="J30" s="45">
        <f t="shared" si="27"/>
        <v>3850</v>
      </c>
      <c r="K30" s="45">
        <f t="shared" si="27"/>
        <v>8100</v>
      </c>
      <c r="L30" s="45">
        <f t="shared" si="27"/>
        <v>9460</v>
      </c>
      <c r="M30" s="45">
        <f t="shared" si="27"/>
        <v>7970</v>
      </c>
      <c r="N30" s="45">
        <f>N31+N39+N42+N44</f>
        <v>5290</v>
      </c>
      <c r="O30" s="45">
        <f t="shared" ref="O30" si="28">O31+O39+O42+O44</f>
        <v>13400</v>
      </c>
      <c r="P30" s="45">
        <f t="shared" ref="P30" si="29">P31+P39+P42+P44</f>
        <v>0</v>
      </c>
      <c r="Q30" s="45">
        <f t="shared" ref="Q30" si="30">Q31+Q39+Q42+Q44</f>
        <v>1470</v>
      </c>
      <c r="R30" s="45">
        <f t="shared" ref="R30" si="31">R31+R39+R42+R44</f>
        <v>4160</v>
      </c>
      <c r="S30" s="45">
        <f t="shared" ref="S30" si="32">S31+S39+S42+S44</f>
        <v>3800</v>
      </c>
      <c r="T30" s="45">
        <f t="shared" si="26"/>
        <v>90300</v>
      </c>
      <c r="U30" s="46"/>
    </row>
    <row r="31" spans="1:21">
      <c r="A31" s="42" t="s">
        <v>94</v>
      </c>
      <c r="B31" s="43" t="s">
        <v>97</v>
      </c>
      <c r="C31" s="43"/>
      <c r="D31" s="44" t="s">
        <v>28</v>
      </c>
      <c r="E31" s="45">
        <f>E32+E33+E34+E35+E36+E37+E38</f>
        <v>0</v>
      </c>
      <c r="F31" s="45">
        <f>F32+F33+F34+F35+F36+F37+F38</f>
        <v>0</v>
      </c>
      <c r="G31" s="45">
        <f t="shared" ref="G31:S31" si="33">G32+G33+G34+G35+G36+G37+G38</f>
        <v>0</v>
      </c>
      <c r="H31" s="45">
        <f t="shared" si="33"/>
        <v>0</v>
      </c>
      <c r="I31" s="45">
        <f t="shared" si="33"/>
        <v>0</v>
      </c>
      <c r="J31" s="45">
        <f t="shared" si="33"/>
        <v>0</v>
      </c>
      <c r="K31" s="45">
        <f t="shared" si="33"/>
        <v>0</v>
      </c>
      <c r="L31" s="45">
        <f t="shared" si="33"/>
        <v>0</v>
      </c>
      <c r="M31" s="45">
        <f t="shared" si="33"/>
        <v>0</v>
      </c>
      <c r="N31" s="45">
        <f t="shared" si="33"/>
        <v>0</v>
      </c>
      <c r="O31" s="45">
        <f t="shared" si="33"/>
        <v>0</v>
      </c>
      <c r="P31" s="45">
        <f t="shared" si="33"/>
        <v>0</v>
      </c>
      <c r="Q31" s="45">
        <f t="shared" si="33"/>
        <v>0</v>
      </c>
      <c r="R31" s="45">
        <f t="shared" si="33"/>
        <v>0</v>
      </c>
      <c r="S31" s="45">
        <f t="shared" si="33"/>
        <v>0</v>
      </c>
      <c r="T31" s="45">
        <f t="shared" si="26"/>
        <v>0</v>
      </c>
      <c r="U31" s="46"/>
    </row>
    <row r="32" spans="1:21">
      <c r="A32" s="42" t="s">
        <v>96</v>
      </c>
      <c r="B32" s="43" t="s">
        <v>99</v>
      </c>
      <c r="C32" s="43" t="s">
        <v>100</v>
      </c>
      <c r="D32" s="52" t="s">
        <v>101</v>
      </c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45">
        <f t="shared" si="26"/>
        <v>0</v>
      </c>
      <c r="U32" s="52"/>
    </row>
    <row r="33" spans="1:21">
      <c r="A33" s="42" t="s">
        <v>98</v>
      </c>
      <c r="B33" s="43" t="s">
        <v>103</v>
      </c>
      <c r="C33" s="43" t="s">
        <v>100</v>
      </c>
      <c r="D33" s="52" t="s">
        <v>101</v>
      </c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45">
        <f t="shared" si="26"/>
        <v>0</v>
      </c>
      <c r="U33" s="52"/>
    </row>
    <row r="34" spans="1:21">
      <c r="A34" s="42" t="s">
        <v>102</v>
      </c>
      <c r="B34" s="43" t="s">
        <v>105</v>
      </c>
      <c r="C34" s="43" t="s">
        <v>100</v>
      </c>
      <c r="D34" s="52" t="s">
        <v>106</v>
      </c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45">
        <f t="shared" si="26"/>
        <v>0</v>
      </c>
      <c r="U34" s="52"/>
    </row>
    <row r="35" spans="1:21">
      <c r="A35" s="42" t="s">
        <v>104</v>
      </c>
      <c r="B35" s="43" t="s">
        <v>108</v>
      </c>
      <c r="C35" s="43" t="s">
        <v>100</v>
      </c>
      <c r="D35" s="52" t="s">
        <v>101</v>
      </c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45">
        <f t="shared" si="26"/>
        <v>0</v>
      </c>
      <c r="U35" s="52"/>
    </row>
    <row r="36" spans="1:21">
      <c r="A36" s="42" t="s">
        <v>107</v>
      </c>
      <c r="B36" s="43" t="s">
        <v>110</v>
      </c>
      <c r="C36" s="43" t="s">
        <v>100</v>
      </c>
      <c r="D36" s="52" t="s">
        <v>101</v>
      </c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45">
        <f t="shared" si="26"/>
        <v>0</v>
      </c>
      <c r="U36" s="52"/>
    </row>
    <row r="37" spans="1:21">
      <c r="A37" s="42" t="s">
        <v>109</v>
      </c>
      <c r="B37" s="43" t="s">
        <v>112</v>
      </c>
      <c r="C37" s="43" t="s">
        <v>100</v>
      </c>
      <c r="D37" s="52" t="s">
        <v>101</v>
      </c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45">
        <f t="shared" si="26"/>
        <v>0</v>
      </c>
      <c r="U37" s="52"/>
    </row>
    <row r="38" spans="1:21">
      <c r="A38" s="42" t="s">
        <v>111</v>
      </c>
      <c r="B38" s="43" t="s">
        <v>114</v>
      </c>
      <c r="C38" s="43" t="s">
        <v>100</v>
      </c>
      <c r="D38" s="52" t="s">
        <v>101</v>
      </c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45">
        <f t="shared" si="26"/>
        <v>0</v>
      </c>
      <c r="U38" s="52"/>
    </row>
    <row r="39" spans="1:21">
      <c r="A39" s="42" t="s">
        <v>113</v>
      </c>
      <c r="B39" s="43" t="s">
        <v>119</v>
      </c>
      <c r="C39" s="43"/>
      <c r="D39" s="44" t="s">
        <v>28</v>
      </c>
      <c r="E39" s="45">
        <f>E40+E41</f>
        <v>0</v>
      </c>
      <c r="F39" s="45">
        <f>F40+F41</f>
        <v>0</v>
      </c>
      <c r="G39" s="45">
        <f t="shared" ref="G39:S39" si="34">G40+G41</f>
        <v>0</v>
      </c>
      <c r="H39" s="45">
        <f t="shared" si="34"/>
        <v>0</v>
      </c>
      <c r="I39" s="45">
        <f t="shared" si="34"/>
        <v>0</v>
      </c>
      <c r="J39" s="45">
        <f t="shared" si="34"/>
        <v>0</v>
      </c>
      <c r="K39" s="45">
        <f t="shared" si="34"/>
        <v>0</v>
      </c>
      <c r="L39" s="45">
        <f t="shared" si="34"/>
        <v>0</v>
      </c>
      <c r="M39" s="45">
        <f t="shared" si="34"/>
        <v>0</v>
      </c>
      <c r="N39" s="45">
        <f t="shared" si="34"/>
        <v>0</v>
      </c>
      <c r="O39" s="45">
        <f t="shared" si="34"/>
        <v>0</v>
      </c>
      <c r="P39" s="45">
        <f t="shared" si="34"/>
        <v>0</v>
      </c>
      <c r="Q39" s="45">
        <f t="shared" si="34"/>
        <v>0</v>
      </c>
      <c r="R39" s="45">
        <f t="shared" si="34"/>
        <v>0</v>
      </c>
      <c r="S39" s="45">
        <f t="shared" si="34"/>
        <v>0</v>
      </c>
      <c r="T39" s="45">
        <f t="shared" si="26"/>
        <v>0</v>
      </c>
      <c r="U39" s="46"/>
    </row>
    <row r="40" spans="1:21" s="50" customFormat="1">
      <c r="A40" s="42" t="s">
        <v>115</v>
      </c>
      <c r="B40" s="49" t="s">
        <v>121</v>
      </c>
      <c r="C40" s="49" t="s">
        <v>35</v>
      </c>
      <c r="D40" s="46" t="s">
        <v>106</v>
      </c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45">
        <f t="shared" si="26"/>
        <v>0</v>
      </c>
      <c r="U40" s="46"/>
    </row>
    <row r="41" spans="1:21" s="50" customFormat="1">
      <c r="A41" s="42" t="s">
        <v>116</v>
      </c>
      <c r="B41" s="49" t="s">
        <v>123</v>
      </c>
      <c r="C41" s="49" t="s">
        <v>35</v>
      </c>
      <c r="D41" s="46" t="s">
        <v>106</v>
      </c>
      <c r="E41" s="55"/>
      <c r="F41" s="55"/>
      <c r="G41" s="55"/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45">
        <f t="shared" si="26"/>
        <v>0</v>
      </c>
      <c r="U41" s="46"/>
    </row>
    <row r="42" spans="1:21">
      <c r="A42" s="42" t="s">
        <v>118</v>
      </c>
      <c r="B42" s="43" t="s">
        <v>125</v>
      </c>
      <c r="C42" s="43"/>
      <c r="D42" s="44" t="s">
        <v>28</v>
      </c>
      <c r="E42" s="45">
        <f>E43</f>
        <v>5040</v>
      </c>
      <c r="F42" s="45">
        <f>F43</f>
        <v>5400</v>
      </c>
      <c r="G42" s="45">
        <f t="shared" ref="G42:S42" si="35">G43</f>
        <v>2880</v>
      </c>
      <c r="H42" s="45">
        <f t="shared" si="35"/>
        <v>2160</v>
      </c>
      <c r="I42" s="45">
        <f t="shared" si="35"/>
        <v>4320</v>
      </c>
      <c r="J42" s="45">
        <f t="shared" si="35"/>
        <v>1800</v>
      </c>
      <c r="K42" s="45">
        <f t="shared" si="35"/>
        <v>3600</v>
      </c>
      <c r="L42" s="45">
        <f t="shared" si="35"/>
        <v>3960</v>
      </c>
      <c r="M42" s="45">
        <f t="shared" si="35"/>
        <v>4320</v>
      </c>
      <c r="N42" s="45">
        <f t="shared" si="35"/>
        <v>3240</v>
      </c>
      <c r="O42" s="45">
        <f t="shared" si="35"/>
        <v>5400</v>
      </c>
      <c r="P42" s="45">
        <f t="shared" si="35"/>
        <v>0</v>
      </c>
      <c r="Q42" s="45">
        <f t="shared" si="35"/>
        <v>720</v>
      </c>
      <c r="R42" s="45">
        <f t="shared" si="35"/>
        <v>2160</v>
      </c>
      <c r="S42" s="45">
        <f t="shared" si="35"/>
        <v>1800</v>
      </c>
      <c r="T42" s="45">
        <f t="shared" si="26"/>
        <v>46800</v>
      </c>
      <c r="U42" s="46"/>
    </row>
    <row r="43" spans="1:21">
      <c r="A43" s="42" t="s">
        <v>120</v>
      </c>
      <c r="B43" s="43" t="s">
        <v>127</v>
      </c>
      <c r="C43" s="43" t="s">
        <v>35</v>
      </c>
      <c r="D43" s="44" t="s">
        <v>36</v>
      </c>
      <c r="E43" s="47">
        <f>420*12</f>
        <v>5040</v>
      </c>
      <c r="F43" s="47">
        <f>450*12</f>
        <v>5400</v>
      </c>
      <c r="G43" s="47">
        <f>240*12</f>
        <v>2880</v>
      </c>
      <c r="H43" s="47">
        <f>180*12</f>
        <v>2160</v>
      </c>
      <c r="I43" s="47">
        <f>360*12</f>
        <v>4320</v>
      </c>
      <c r="J43" s="47">
        <f>150*12</f>
        <v>1800</v>
      </c>
      <c r="K43" s="47">
        <f>300*12</f>
        <v>3600</v>
      </c>
      <c r="L43" s="47">
        <f>330*12</f>
        <v>3960</v>
      </c>
      <c r="M43" s="47">
        <f>360*12</f>
        <v>4320</v>
      </c>
      <c r="N43" s="47">
        <f>270*12</f>
        <v>3240</v>
      </c>
      <c r="O43" s="47">
        <f>450*12</f>
        <v>5400</v>
      </c>
      <c r="P43" s="47"/>
      <c r="Q43" s="47">
        <f>60*12</f>
        <v>720</v>
      </c>
      <c r="R43" s="47">
        <f>180*12</f>
        <v>2160</v>
      </c>
      <c r="S43" s="47">
        <f>150*12</f>
        <v>1800</v>
      </c>
      <c r="T43" s="45">
        <f t="shared" si="26"/>
        <v>46800</v>
      </c>
      <c r="U43" s="46"/>
    </row>
    <row r="44" spans="1:21">
      <c r="A44" s="42" t="s">
        <v>122</v>
      </c>
      <c r="B44" s="43" t="s">
        <v>129</v>
      </c>
      <c r="C44" s="43"/>
      <c r="D44" s="44" t="s">
        <v>28</v>
      </c>
      <c r="E44" s="45">
        <f>SUM(E45:E48)</f>
        <v>1200</v>
      </c>
      <c r="F44" s="45">
        <f>SUM(F45:F48)</f>
        <v>5000</v>
      </c>
      <c r="G44" s="45">
        <f t="shared" ref="G44:S44" si="36">SUM(G45:G48)</f>
        <v>3500</v>
      </c>
      <c r="H44" s="45">
        <f t="shared" si="36"/>
        <v>850</v>
      </c>
      <c r="I44" s="45">
        <f t="shared" si="36"/>
        <v>2450</v>
      </c>
      <c r="J44" s="45">
        <f t="shared" si="36"/>
        <v>2050</v>
      </c>
      <c r="K44" s="45">
        <f t="shared" si="36"/>
        <v>4500</v>
      </c>
      <c r="L44" s="45">
        <f t="shared" si="36"/>
        <v>5500</v>
      </c>
      <c r="M44" s="45">
        <f t="shared" si="36"/>
        <v>3650</v>
      </c>
      <c r="N44" s="45">
        <f t="shared" si="36"/>
        <v>2050</v>
      </c>
      <c r="O44" s="45">
        <f t="shared" si="36"/>
        <v>8000</v>
      </c>
      <c r="P44" s="45">
        <f t="shared" si="36"/>
        <v>0</v>
      </c>
      <c r="Q44" s="45">
        <f t="shared" si="36"/>
        <v>750</v>
      </c>
      <c r="R44" s="45">
        <f t="shared" si="36"/>
        <v>2000</v>
      </c>
      <c r="S44" s="45">
        <f t="shared" si="36"/>
        <v>2000</v>
      </c>
      <c r="T44" s="45">
        <f t="shared" si="26"/>
        <v>43500</v>
      </c>
      <c r="U44" s="46"/>
    </row>
    <row r="45" spans="1:21">
      <c r="A45" s="42" t="s">
        <v>124</v>
      </c>
      <c r="B45" s="43" t="s">
        <v>131</v>
      </c>
      <c r="C45" s="43" t="s">
        <v>35</v>
      </c>
      <c r="D45" s="44" t="s">
        <v>132</v>
      </c>
      <c r="E45" s="47">
        <v>1200</v>
      </c>
      <c r="F45" s="47">
        <v>5000</v>
      </c>
      <c r="G45" s="47">
        <v>3500</v>
      </c>
      <c r="H45" s="47">
        <v>850</v>
      </c>
      <c r="I45" s="47">
        <v>2450</v>
      </c>
      <c r="J45" s="47">
        <v>2050</v>
      </c>
      <c r="K45" s="47">
        <v>4500</v>
      </c>
      <c r="L45" s="47">
        <v>5500</v>
      </c>
      <c r="M45" s="47">
        <v>3650</v>
      </c>
      <c r="N45" s="47">
        <v>2050</v>
      </c>
      <c r="O45" s="47">
        <v>8000</v>
      </c>
      <c r="P45" s="47"/>
      <c r="Q45" s="47">
        <v>750</v>
      </c>
      <c r="R45" s="47">
        <v>2000</v>
      </c>
      <c r="S45" s="47">
        <v>2000</v>
      </c>
      <c r="T45" s="45">
        <f t="shared" si="26"/>
        <v>43500</v>
      </c>
      <c r="U45" s="46"/>
    </row>
    <row r="46" spans="1:21" s="50" customFormat="1">
      <c r="A46" s="42" t="s">
        <v>126</v>
      </c>
      <c r="B46" s="49" t="s">
        <v>134</v>
      </c>
      <c r="C46" s="49" t="s">
        <v>35</v>
      </c>
      <c r="D46" s="46" t="s">
        <v>135</v>
      </c>
      <c r="E46" s="55"/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45">
        <f t="shared" si="26"/>
        <v>0</v>
      </c>
      <c r="U46" s="46"/>
    </row>
    <row r="47" spans="1:21" s="50" customFormat="1">
      <c r="A47" s="42" t="s">
        <v>128</v>
      </c>
      <c r="B47" s="49" t="s">
        <v>137</v>
      </c>
      <c r="C47" s="49" t="s">
        <v>35</v>
      </c>
      <c r="D47" s="46" t="s">
        <v>135</v>
      </c>
      <c r="E47" s="55"/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45">
        <f t="shared" si="26"/>
        <v>0</v>
      </c>
      <c r="U47" s="46"/>
    </row>
    <row r="48" spans="1:21" ht="33.75">
      <c r="A48" s="42" t="s">
        <v>130</v>
      </c>
      <c r="B48" s="43" t="s">
        <v>139</v>
      </c>
      <c r="C48" s="43" t="s">
        <v>35</v>
      </c>
      <c r="D48" s="52" t="s">
        <v>140</v>
      </c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45">
        <f t="shared" si="26"/>
        <v>0</v>
      </c>
      <c r="U48" s="52"/>
    </row>
    <row r="49" spans="1:21">
      <c r="A49" s="42" t="s">
        <v>133</v>
      </c>
      <c r="B49" s="43" t="s">
        <v>142</v>
      </c>
      <c r="C49" s="43"/>
      <c r="D49" s="44" t="s">
        <v>28</v>
      </c>
      <c r="E49" s="45">
        <f>E50+E68+E70+E72+E74+E76+E78+E80+E82+E90</f>
        <v>6232388.29</v>
      </c>
      <c r="F49" s="45">
        <f>F50+F68+F70+F72+F74+F76+F78+F80+F82+F90</f>
        <v>3988963.71</v>
      </c>
      <c r="G49" s="45">
        <f t="shared" ref="G49:S49" si="37">G50+G68+G70+G72+G74+G76+G78+G80+G82+G90</f>
        <v>4105498.71</v>
      </c>
      <c r="H49" s="45">
        <f t="shared" si="37"/>
        <v>4485778.57</v>
      </c>
      <c r="I49" s="45">
        <f t="shared" si="37"/>
        <v>13324211.890000001</v>
      </c>
      <c r="J49" s="45">
        <f t="shared" si="37"/>
        <v>2915261.94</v>
      </c>
      <c r="K49" s="45">
        <f t="shared" si="37"/>
        <v>2908334.74</v>
      </c>
      <c r="L49" s="45">
        <f t="shared" si="37"/>
        <v>2522696.6599999997</v>
      </c>
      <c r="M49" s="45">
        <f t="shared" si="37"/>
        <v>2360650.89</v>
      </c>
      <c r="N49" s="45">
        <f t="shared" si="37"/>
        <v>2186214.37</v>
      </c>
      <c r="O49" s="45">
        <f t="shared" si="37"/>
        <v>7156711.21</v>
      </c>
      <c r="P49" s="45">
        <f t="shared" si="37"/>
        <v>240284</v>
      </c>
      <c r="Q49" s="45">
        <f t="shared" si="37"/>
        <v>1088988.1399999999</v>
      </c>
      <c r="R49" s="45">
        <f t="shared" si="37"/>
        <v>4213772.7</v>
      </c>
      <c r="S49" s="45">
        <f t="shared" si="37"/>
        <v>1860539.6600000001</v>
      </c>
      <c r="T49" s="45">
        <f t="shared" si="26"/>
        <v>59590295.480000004</v>
      </c>
      <c r="U49" s="46"/>
    </row>
    <row r="50" spans="1:21">
      <c r="A50" s="42" t="s">
        <v>136</v>
      </c>
      <c r="B50" s="43" t="s">
        <v>144</v>
      </c>
      <c r="C50" s="43"/>
      <c r="D50" s="44" t="s">
        <v>145</v>
      </c>
      <c r="E50" s="45">
        <v>3966400</v>
      </c>
      <c r="F50" s="45">
        <v>2807300</v>
      </c>
      <c r="G50" s="45">
        <v>2696400</v>
      </c>
      <c r="H50" s="45">
        <v>3062340</v>
      </c>
      <c r="I50" s="45">
        <v>10930050</v>
      </c>
      <c r="J50" s="45">
        <v>2211690</v>
      </c>
      <c r="K50" s="45">
        <v>2062060</v>
      </c>
      <c r="L50" s="45">
        <v>1859000</v>
      </c>
      <c r="M50" s="45">
        <v>1716000</v>
      </c>
      <c r="N50" s="45">
        <v>1601600</v>
      </c>
      <c r="O50" s="45">
        <v>5150930</v>
      </c>
      <c r="P50" s="45">
        <v>112000</v>
      </c>
      <c r="Q50" s="45">
        <v>858000</v>
      </c>
      <c r="R50" s="45">
        <v>3296400</v>
      </c>
      <c r="S50" s="45">
        <v>1450020</v>
      </c>
      <c r="T50" s="45">
        <f t="shared" si="26"/>
        <v>43780190</v>
      </c>
      <c r="U50" s="46"/>
    </row>
    <row r="51" spans="1:21">
      <c r="A51" s="42" t="s">
        <v>138</v>
      </c>
      <c r="B51" s="43" t="s">
        <v>147</v>
      </c>
      <c r="C51" s="43" t="s">
        <v>35</v>
      </c>
      <c r="D51" s="56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5">
        <f t="shared" si="26"/>
        <v>0</v>
      </c>
      <c r="U51" s="46"/>
    </row>
    <row r="52" spans="1:21">
      <c r="A52" s="42" t="s">
        <v>141</v>
      </c>
      <c r="B52" s="43" t="s">
        <v>149</v>
      </c>
      <c r="C52" s="43" t="s">
        <v>35</v>
      </c>
      <c r="D52" s="56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5">
        <f t="shared" si="26"/>
        <v>0</v>
      </c>
      <c r="U52" s="46"/>
    </row>
    <row r="53" spans="1:21">
      <c r="A53" s="42" t="s">
        <v>143</v>
      </c>
      <c r="B53" s="43" t="s">
        <v>151</v>
      </c>
      <c r="C53" s="43" t="s">
        <v>35</v>
      </c>
      <c r="D53" s="56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5">
        <f t="shared" si="26"/>
        <v>0</v>
      </c>
      <c r="U53" s="46"/>
    </row>
    <row r="54" spans="1:21">
      <c r="A54" s="42" t="s">
        <v>146</v>
      </c>
      <c r="B54" s="43" t="s">
        <v>153</v>
      </c>
      <c r="C54" s="43" t="s">
        <v>35</v>
      </c>
      <c r="D54" s="56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5">
        <f t="shared" si="26"/>
        <v>0</v>
      </c>
      <c r="U54" s="46"/>
    </row>
    <row r="55" spans="1:21">
      <c r="A55" s="42" t="s">
        <v>148</v>
      </c>
      <c r="B55" s="43" t="s">
        <v>155</v>
      </c>
      <c r="C55" s="43" t="s">
        <v>35</v>
      </c>
      <c r="D55" s="56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 s="47"/>
      <c r="R55" s="47"/>
      <c r="S55" s="47"/>
      <c r="T55" s="45">
        <f t="shared" si="26"/>
        <v>0</v>
      </c>
      <c r="U55" s="46"/>
    </row>
    <row r="56" spans="1:21">
      <c r="A56" s="42" t="s">
        <v>150</v>
      </c>
      <c r="B56" s="43" t="s">
        <v>157</v>
      </c>
      <c r="C56" s="43" t="s">
        <v>35</v>
      </c>
      <c r="D56" s="56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5">
        <f t="shared" si="26"/>
        <v>0</v>
      </c>
      <c r="U56" s="46"/>
    </row>
    <row r="57" spans="1:21">
      <c r="A57" s="42" t="s">
        <v>152</v>
      </c>
      <c r="B57" s="43" t="s">
        <v>159</v>
      </c>
      <c r="C57" s="43" t="s">
        <v>35</v>
      </c>
      <c r="D57" s="56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 s="47"/>
      <c r="R57" s="47"/>
      <c r="S57" s="47"/>
      <c r="T57" s="45">
        <f t="shared" si="26"/>
        <v>0</v>
      </c>
      <c r="U57" s="46"/>
    </row>
    <row r="58" spans="1:21">
      <c r="A58" s="42" t="s">
        <v>154</v>
      </c>
      <c r="B58" s="43" t="s">
        <v>161</v>
      </c>
      <c r="C58" s="43" t="s">
        <v>35</v>
      </c>
      <c r="D58" s="56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47"/>
      <c r="S58" s="47"/>
      <c r="T58" s="45">
        <f t="shared" ref="T58:T89" si="38">SUM(E58:S58)</f>
        <v>0</v>
      </c>
      <c r="U58" s="46"/>
    </row>
    <row r="59" spans="1:21">
      <c r="A59" s="42" t="s">
        <v>156</v>
      </c>
      <c r="B59" s="43" t="s">
        <v>163</v>
      </c>
      <c r="C59" s="43" t="s">
        <v>35</v>
      </c>
      <c r="D59" s="56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 s="47"/>
      <c r="R59" s="47"/>
      <c r="S59" s="47"/>
      <c r="T59" s="45">
        <f t="shared" si="38"/>
        <v>0</v>
      </c>
      <c r="U59" s="46"/>
    </row>
    <row r="60" spans="1:21">
      <c r="A60" s="42" t="s">
        <v>158</v>
      </c>
      <c r="B60" s="43" t="s">
        <v>360</v>
      </c>
      <c r="C60" s="43" t="s">
        <v>361</v>
      </c>
      <c r="D60" s="56" t="s">
        <v>362</v>
      </c>
      <c r="E60" s="47">
        <v>198320</v>
      </c>
      <c r="F60" s="47">
        <v>140365</v>
      </c>
      <c r="G60" s="47">
        <v>134820</v>
      </c>
      <c r="H60" s="47">
        <v>153117</v>
      </c>
      <c r="I60" s="47">
        <v>546502.5</v>
      </c>
      <c r="J60" s="47">
        <v>110584.5</v>
      </c>
      <c r="K60" s="47">
        <v>97383</v>
      </c>
      <c r="L60" s="47">
        <v>64922</v>
      </c>
      <c r="M60" s="47">
        <v>72501</v>
      </c>
      <c r="N60" s="47">
        <v>73359</v>
      </c>
      <c r="O60" s="47">
        <v>257546.5</v>
      </c>
      <c r="P60" s="47">
        <v>5600</v>
      </c>
      <c r="Q60" s="47">
        <v>23452</v>
      </c>
      <c r="R60" s="47">
        <v>164820</v>
      </c>
      <c r="S60" s="47">
        <v>66638</v>
      </c>
      <c r="T60" s="45">
        <f t="shared" si="38"/>
        <v>2109930.5</v>
      </c>
      <c r="U60" s="46"/>
    </row>
    <row r="61" spans="1:21">
      <c r="A61" s="42" t="s">
        <v>160</v>
      </c>
      <c r="B61" s="43" t="s">
        <v>169</v>
      </c>
      <c r="C61" s="43" t="s">
        <v>35</v>
      </c>
      <c r="D61" s="56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 s="47"/>
      <c r="R61" s="47"/>
      <c r="S61" s="47"/>
      <c r="T61" s="45">
        <f t="shared" si="38"/>
        <v>0</v>
      </c>
      <c r="U61" s="46"/>
    </row>
    <row r="62" spans="1:21">
      <c r="A62" s="42" t="s">
        <v>162</v>
      </c>
      <c r="B62" s="43" t="s">
        <v>171</v>
      </c>
      <c r="C62" s="43" t="s">
        <v>35</v>
      </c>
      <c r="D62" s="56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5">
        <f t="shared" si="38"/>
        <v>0</v>
      </c>
      <c r="U62" s="46"/>
    </row>
    <row r="63" spans="1:21">
      <c r="A63" s="42" t="s">
        <v>164</v>
      </c>
      <c r="B63" s="43" t="s">
        <v>173</v>
      </c>
      <c r="C63" s="43" t="s">
        <v>35</v>
      </c>
      <c r="D63" s="56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 s="47"/>
      <c r="R63" s="47"/>
      <c r="S63" s="47"/>
      <c r="T63" s="45">
        <f t="shared" si="38"/>
        <v>0</v>
      </c>
      <c r="U63" s="46"/>
    </row>
    <row r="64" spans="1:21">
      <c r="A64" s="42" t="s">
        <v>168</v>
      </c>
      <c r="B64" s="43" t="s">
        <v>175</v>
      </c>
      <c r="C64" s="43" t="s">
        <v>35</v>
      </c>
      <c r="D64" s="56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 s="47"/>
      <c r="R64" s="47"/>
      <c r="S64" s="47"/>
      <c r="T64" s="45">
        <f t="shared" si="38"/>
        <v>0</v>
      </c>
      <c r="U64" s="46"/>
    </row>
    <row r="65" spans="1:21">
      <c r="A65" s="42" t="s">
        <v>170</v>
      </c>
      <c r="B65" s="43" t="s">
        <v>177</v>
      </c>
      <c r="C65" s="43" t="s">
        <v>35</v>
      </c>
      <c r="D65" s="56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 s="47"/>
      <c r="R65" s="47"/>
      <c r="S65" s="47"/>
      <c r="T65" s="45">
        <f t="shared" si="38"/>
        <v>0</v>
      </c>
      <c r="U65" s="46"/>
    </row>
    <row r="66" spans="1:21">
      <c r="A66" s="42" t="s">
        <v>172</v>
      </c>
      <c r="B66" s="43" t="s">
        <v>179</v>
      </c>
      <c r="C66" s="43" t="s">
        <v>35</v>
      </c>
      <c r="D66" s="56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5">
        <f t="shared" si="38"/>
        <v>0</v>
      </c>
      <c r="U66" s="46"/>
    </row>
    <row r="67" spans="1:21">
      <c r="A67" s="42" t="s">
        <v>174</v>
      </c>
      <c r="B67" s="43" t="s">
        <v>181</v>
      </c>
      <c r="C67" s="43" t="s">
        <v>35</v>
      </c>
      <c r="D67" s="56"/>
      <c r="E67" s="47">
        <f>[1]明细!C22</f>
        <v>0</v>
      </c>
      <c r="F67" s="47">
        <f>[1]明细!D22</f>
        <v>0</v>
      </c>
      <c r="G67" s="47">
        <f>[1]明细!E22</f>
        <v>0</v>
      </c>
      <c r="H67" s="47">
        <f>[1]明细!F22</f>
        <v>0</v>
      </c>
      <c r="I67" s="47">
        <f>[1]明细!G22</f>
        <v>0</v>
      </c>
      <c r="J67" s="47">
        <f>[1]明细!H22</f>
        <v>0</v>
      </c>
      <c r="K67" s="47">
        <f>[1]明细!I22</f>
        <v>0</v>
      </c>
      <c r="L67" s="47">
        <f>[1]明细!J22</f>
        <v>0</v>
      </c>
      <c r="M67" s="47">
        <f>[1]明细!K22</f>
        <v>0</v>
      </c>
      <c r="N67" s="47">
        <f>[1]明细!L22</f>
        <v>0</v>
      </c>
      <c r="O67" s="47">
        <f>[1]明细!M22</f>
        <v>0</v>
      </c>
      <c r="P67" s="47">
        <f>[1]明细!N22</f>
        <v>0</v>
      </c>
      <c r="Q67" s="47">
        <f>[1]明细!O22</f>
        <v>0</v>
      </c>
      <c r="R67" s="47">
        <f>[1]明细!P22</f>
        <v>0</v>
      </c>
      <c r="S67" s="47">
        <f>[1]明细!Q22</f>
        <v>0</v>
      </c>
      <c r="T67" s="45">
        <f t="shared" si="38"/>
        <v>0</v>
      </c>
      <c r="U67" s="46"/>
    </row>
    <row r="68" spans="1:21">
      <c r="A68" s="42" t="s">
        <v>176</v>
      </c>
      <c r="B68" s="43" t="s">
        <v>183</v>
      </c>
      <c r="C68" s="43"/>
      <c r="D68" s="44"/>
      <c r="E68" s="45">
        <f>E69</f>
        <v>46800</v>
      </c>
      <c r="F68" s="45">
        <f>F69</f>
        <v>30400</v>
      </c>
      <c r="G68" s="45">
        <f t="shared" ref="G68:S68" si="39">G69</f>
        <v>32000</v>
      </c>
      <c r="H68" s="45">
        <f t="shared" si="39"/>
        <v>37600</v>
      </c>
      <c r="I68" s="45">
        <f t="shared" si="39"/>
        <v>80000</v>
      </c>
      <c r="J68" s="45">
        <f t="shared" si="39"/>
        <v>21200</v>
      </c>
      <c r="K68" s="45">
        <f t="shared" si="39"/>
        <v>22800</v>
      </c>
      <c r="L68" s="45">
        <f t="shared" si="39"/>
        <v>19200</v>
      </c>
      <c r="M68" s="45">
        <f t="shared" si="39"/>
        <v>17200</v>
      </c>
      <c r="N68" s="45">
        <f t="shared" si="39"/>
        <v>18000</v>
      </c>
      <c r="O68" s="45">
        <f t="shared" si="39"/>
        <v>56000</v>
      </c>
      <c r="P68" s="45">
        <f t="shared" si="39"/>
        <v>2000</v>
      </c>
      <c r="Q68" s="45">
        <f t="shared" si="39"/>
        <v>5200</v>
      </c>
      <c r="R68" s="45">
        <f t="shared" si="39"/>
        <v>28000</v>
      </c>
      <c r="S68" s="45">
        <f t="shared" si="39"/>
        <v>12000</v>
      </c>
      <c r="T68" s="45">
        <f t="shared" si="38"/>
        <v>428400</v>
      </c>
      <c r="U68" s="46"/>
    </row>
    <row r="69" spans="1:21" s="50" customFormat="1" ht="22.5">
      <c r="A69" s="42" t="s">
        <v>178</v>
      </c>
      <c r="B69" s="49" t="s">
        <v>185</v>
      </c>
      <c r="C69" s="49" t="s">
        <v>35</v>
      </c>
      <c r="D69" s="57" t="s">
        <v>186</v>
      </c>
      <c r="E69" s="45">
        <f>E93*400</f>
        <v>46800</v>
      </c>
      <c r="F69" s="45">
        <f>F93*400</f>
        <v>30400</v>
      </c>
      <c r="G69" s="45">
        <f t="shared" ref="G69:S69" si="40">G93*400</f>
        <v>32000</v>
      </c>
      <c r="H69" s="45">
        <f t="shared" si="40"/>
        <v>37600</v>
      </c>
      <c r="I69" s="45">
        <f t="shared" si="40"/>
        <v>80000</v>
      </c>
      <c r="J69" s="45">
        <f t="shared" si="40"/>
        <v>21200</v>
      </c>
      <c r="K69" s="45">
        <f t="shared" si="40"/>
        <v>22800</v>
      </c>
      <c r="L69" s="45">
        <f t="shared" si="40"/>
        <v>19200</v>
      </c>
      <c r="M69" s="45">
        <f t="shared" si="40"/>
        <v>17200</v>
      </c>
      <c r="N69" s="45">
        <f t="shared" si="40"/>
        <v>18000</v>
      </c>
      <c r="O69" s="45">
        <f t="shared" si="40"/>
        <v>56000</v>
      </c>
      <c r="P69" s="45">
        <f t="shared" si="40"/>
        <v>2000</v>
      </c>
      <c r="Q69" s="45">
        <f t="shared" si="40"/>
        <v>5200</v>
      </c>
      <c r="R69" s="45">
        <f t="shared" si="40"/>
        <v>28000</v>
      </c>
      <c r="S69" s="45">
        <f t="shared" si="40"/>
        <v>12000</v>
      </c>
      <c r="T69" s="45">
        <f t="shared" si="38"/>
        <v>428400</v>
      </c>
      <c r="U69" s="46"/>
    </row>
    <row r="70" spans="1:21">
      <c r="A70" s="42" t="s">
        <v>180</v>
      </c>
      <c r="B70" s="43" t="s">
        <v>188</v>
      </c>
      <c r="C70" s="43"/>
      <c r="D70" s="44" t="s">
        <v>28</v>
      </c>
      <c r="E70" s="45">
        <f>E71</f>
        <v>489330</v>
      </c>
      <c r="F70" s="45">
        <f>F71</f>
        <v>135690</v>
      </c>
      <c r="G70" s="45">
        <f t="shared" ref="G70:S70" si="41">G71</f>
        <v>204405</v>
      </c>
      <c r="H70" s="45">
        <f t="shared" si="41"/>
        <v>268530</v>
      </c>
      <c r="I70" s="45">
        <f t="shared" si="41"/>
        <v>386583.60000000003</v>
      </c>
      <c r="J70" s="45">
        <f t="shared" si="41"/>
        <v>196585.65</v>
      </c>
      <c r="K70" s="45">
        <f t="shared" si="41"/>
        <v>205953.60000000003</v>
      </c>
      <c r="L70" s="45">
        <f t="shared" si="41"/>
        <v>99419.4</v>
      </c>
      <c r="M70" s="45">
        <f t="shared" si="41"/>
        <v>172176.15</v>
      </c>
      <c r="N70" s="45">
        <f t="shared" si="41"/>
        <v>136753.79999999999</v>
      </c>
      <c r="O70" s="45">
        <f t="shared" si="41"/>
        <v>509998.35</v>
      </c>
      <c r="P70" s="45">
        <f t="shared" si="41"/>
        <v>34500</v>
      </c>
      <c r="Q70" s="45">
        <f t="shared" si="41"/>
        <v>65355</v>
      </c>
      <c r="R70" s="45">
        <f t="shared" si="41"/>
        <v>199268.7</v>
      </c>
      <c r="S70" s="45">
        <f t="shared" si="41"/>
        <v>59392.800000000003</v>
      </c>
      <c r="T70" s="45">
        <f t="shared" si="38"/>
        <v>3163942.05</v>
      </c>
      <c r="U70" s="46"/>
    </row>
    <row r="71" spans="1:21" s="50" customFormat="1">
      <c r="A71" s="42" t="s">
        <v>182</v>
      </c>
      <c r="B71" s="49" t="s">
        <v>190</v>
      </c>
      <c r="C71" s="49" t="s">
        <v>35</v>
      </c>
      <c r="D71" s="57" t="s">
        <v>191</v>
      </c>
      <c r="E71" s="45">
        <f>E105*15</f>
        <v>489330</v>
      </c>
      <c r="F71" s="45">
        <f>F105*15</f>
        <v>135690</v>
      </c>
      <c r="G71" s="45">
        <f t="shared" ref="G71:S71" si="42">G105*15</f>
        <v>204405</v>
      </c>
      <c r="H71" s="45">
        <f t="shared" si="42"/>
        <v>268530</v>
      </c>
      <c r="I71" s="45">
        <f t="shared" si="42"/>
        <v>386583.60000000003</v>
      </c>
      <c r="J71" s="45">
        <f t="shared" si="42"/>
        <v>196585.65</v>
      </c>
      <c r="K71" s="45">
        <f t="shared" si="42"/>
        <v>205953.60000000003</v>
      </c>
      <c r="L71" s="45">
        <f t="shared" si="42"/>
        <v>99419.4</v>
      </c>
      <c r="M71" s="45">
        <f t="shared" si="42"/>
        <v>172176.15</v>
      </c>
      <c r="N71" s="45">
        <f t="shared" si="42"/>
        <v>136753.79999999999</v>
      </c>
      <c r="O71" s="45">
        <f t="shared" si="42"/>
        <v>509998.35</v>
      </c>
      <c r="P71" s="45">
        <f t="shared" si="42"/>
        <v>34500</v>
      </c>
      <c r="Q71" s="45">
        <f t="shared" si="42"/>
        <v>65355</v>
      </c>
      <c r="R71" s="45">
        <f t="shared" si="42"/>
        <v>199268.7</v>
      </c>
      <c r="S71" s="45">
        <f t="shared" si="42"/>
        <v>59392.800000000003</v>
      </c>
      <c r="T71" s="45">
        <f t="shared" si="38"/>
        <v>3163942.05</v>
      </c>
      <c r="U71" s="46"/>
    </row>
    <row r="72" spans="1:21">
      <c r="A72" s="42" t="s">
        <v>184</v>
      </c>
      <c r="B72" s="43" t="s">
        <v>193</v>
      </c>
      <c r="C72" s="43"/>
      <c r="D72" s="44" t="s">
        <v>28</v>
      </c>
      <c r="E72" s="45">
        <f>E73</f>
        <v>238592</v>
      </c>
      <c r="F72" s="45">
        <f>F73</f>
        <v>69296</v>
      </c>
      <c r="G72" s="45">
        <f t="shared" ref="G72:S72" si="43">G73</f>
        <v>64000</v>
      </c>
      <c r="H72" s="45">
        <f t="shared" si="43"/>
        <v>64000</v>
      </c>
      <c r="I72" s="45">
        <f t="shared" si="43"/>
        <v>126840</v>
      </c>
      <c r="J72" s="45">
        <f t="shared" si="43"/>
        <v>37352</v>
      </c>
      <c r="K72" s="45">
        <f t="shared" si="43"/>
        <v>51136</v>
      </c>
      <c r="L72" s="45">
        <f t="shared" si="43"/>
        <v>37310.400000000001</v>
      </c>
      <c r="M72" s="45">
        <f t="shared" si="43"/>
        <v>52681.599999999999</v>
      </c>
      <c r="N72" s="45">
        <f t="shared" si="43"/>
        <v>24480</v>
      </c>
      <c r="O72" s="45">
        <f t="shared" si="43"/>
        <v>168480</v>
      </c>
      <c r="P72" s="45">
        <f t="shared" si="43"/>
        <v>0</v>
      </c>
      <c r="Q72" s="45">
        <f t="shared" si="43"/>
        <v>12040</v>
      </c>
      <c r="R72" s="45">
        <f t="shared" si="43"/>
        <v>54272</v>
      </c>
      <c r="S72" s="45">
        <f t="shared" si="43"/>
        <v>32104</v>
      </c>
      <c r="T72" s="45">
        <f t="shared" si="38"/>
        <v>1032584</v>
      </c>
      <c r="U72" s="46"/>
    </row>
    <row r="73" spans="1:21" s="50" customFormat="1">
      <c r="A73" s="42" t="s">
        <v>187</v>
      </c>
      <c r="B73" s="49" t="s">
        <v>195</v>
      </c>
      <c r="C73" s="49" t="s">
        <v>35</v>
      </c>
      <c r="D73" s="57" t="s">
        <v>196</v>
      </c>
      <c r="E73" s="45">
        <f>E106*8</f>
        <v>238592</v>
      </c>
      <c r="F73" s="45">
        <f>F106*8</f>
        <v>69296</v>
      </c>
      <c r="G73" s="45">
        <f t="shared" ref="G73:S73" si="44">G106*8</f>
        <v>64000</v>
      </c>
      <c r="H73" s="45">
        <f t="shared" si="44"/>
        <v>64000</v>
      </c>
      <c r="I73" s="45">
        <f t="shared" si="44"/>
        <v>126840</v>
      </c>
      <c r="J73" s="45">
        <f t="shared" si="44"/>
        <v>37352</v>
      </c>
      <c r="K73" s="45">
        <f t="shared" si="44"/>
        <v>51136</v>
      </c>
      <c r="L73" s="45">
        <f t="shared" si="44"/>
        <v>37310.400000000001</v>
      </c>
      <c r="M73" s="45">
        <f t="shared" si="44"/>
        <v>52681.599999999999</v>
      </c>
      <c r="N73" s="45">
        <f t="shared" si="44"/>
        <v>24480</v>
      </c>
      <c r="O73" s="45">
        <f t="shared" si="44"/>
        <v>168480</v>
      </c>
      <c r="P73" s="45">
        <f t="shared" si="44"/>
        <v>0</v>
      </c>
      <c r="Q73" s="45">
        <f t="shared" si="44"/>
        <v>12040</v>
      </c>
      <c r="R73" s="45">
        <f t="shared" si="44"/>
        <v>54272</v>
      </c>
      <c r="S73" s="45">
        <f t="shared" si="44"/>
        <v>32104</v>
      </c>
      <c r="T73" s="45">
        <f t="shared" si="38"/>
        <v>1032584</v>
      </c>
      <c r="U73" s="46"/>
    </row>
    <row r="74" spans="1:21">
      <c r="A74" s="42" t="s">
        <v>189</v>
      </c>
      <c r="B74" s="43" t="s">
        <v>198</v>
      </c>
      <c r="C74" s="43"/>
      <c r="D74" s="44" t="s">
        <v>28</v>
      </c>
      <c r="E74" s="45">
        <f>E75</f>
        <v>0</v>
      </c>
      <c r="F74" s="45">
        <f>F75</f>
        <v>0</v>
      </c>
      <c r="G74" s="45">
        <f t="shared" ref="G74:S74" si="45">G75</f>
        <v>0</v>
      </c>
      <c r="H74" s="45">
        <f t="shared" si="45"/>
        <v>0</v>
      </c>
      <c r="I74" s="45">
        <f t="shared" si="45"/>
        <v>0</v>
      </c>
      <c r="J74" s="45">
        <f t="shared" si="45"/>
        <v>0</v>
      </c>
      <c r="K74" s="45">
        <f t="shared" si="45"/>
        <v>0</v>
      </c>
      <c r="L74" s="45">
        <f t="shared" si="45"/>
        <v>0</v>
      </c>
      <c r="M74" s="45">
        <f t="shared" si="45"/>
        <v>0</v>
      </c>
      <c r="N74" s="45">
        <f t="shared" si="45"/>
        <v>0</v>
      </c>
      <c r="O74" s="45">
        <f t="shared" si="45"/>
        <v>0</v>
      </c>
      <c r="P74" s="45">
        <f t="shared" si="45"/>
        <v>0</v>
      </c>
      <c r="Q74" s="45">
        <f t="shared" si="45"/>
        <v>0</v>
      </c>
      <c r="R74" s="45">
        <f t="shared" si="45"/>
        <v>0</v>
      </c>
      <c r="S74" s="45">
        <f t="shared" si="45"/>
        <v>0</v>
      </c>
      <c r="T74" s="45">
        <f t="shared" si="38"/>
        <v>0</v>
      </c>
      <c r="U74" s="46"/>
    </row>
    <row r="75" spans="1:21" s="50" customFormat="1">
      <c r="A75" s="42" t="s">
        <v>192</v>
      </c>
      <c r="B75" s="49" t="s">
        <v>200</v>
      </c>
      <c r="C75" s="49" t="s">
        <v>35</v>
      </c>
      <c r="D75" s="57" t="s">
        <v>135</v>
      </c>
      <c r="E75" s="55"/>
      <c r="F75" s="55"/>
      <c r="G75" s="55"/>
      <c r="H75" s="55"/>
      <c r="I75" s="55"/>
      <c r="J75" s="55"/>
      <c r="K75" s="55"/>
      <c r="L75" s="55"/>
      <c r="M75" s="55"/>
      <c r="N75" s="55"/>
      <c r="O75" s="55"/>
      <c r="P75" s="55"/>
      <c r="Q75" s="55"/>
      <c r="R75" s="55"/>
      <c r="S75" s="55"/>
      <c r="T75" s="45">
        <f t="shared" si="38"/>
        <v>0</v>
      </c>
      <c r="U75" s="46"/>
    </row>
    <row r="76" spans="1:21">
      <c r="A76" s="42" t="s">
        <v>194</v>
      </c>
      <c r="B76" s="43" t="s">
        <v>202</v>
      </c>
      <c r="C76" s="43"/>
      <c r="D76" s="44" t="s">
        <v>28</v>
      </c>
      <c r="E76" s="45">
        <f>E77</f>
        <v>505440</v>
      </c>
      <c r="F76" s="45">
        <f>F77</f>
        <v>328320</v>
      </c>
      <c r="G76" s="45">
        <f t="shared" ref="G76:S76" si="46">G77</f>
        <v>345600</v>
      </c>
      <c r="H76" s="45">
        <f t="shared" si="46"/>
        <v>406080</v>
      </c>
      <c r="I76" s="45">
        <f t="shared" si="46"/>
        <v>864000</v>
      </c>
      <c r="J76" s="45">
        <f t="shared" si="46"/>
        <v>228960</v>
      </c>
      <c r="K76" s="45">
        <f t="shared" si="46"/>
        <v>246240</v>
      </c>
      <c r="L76" s="45">
        <f t="shared" si="46"/>
        <v>207360</v>
      </c>
      <c r="M76" s="45">
        <f t="shared" si="46"/>
        <v>185760</v>
      </c>
      <c r="N76" s="45">
        <f t="shared" si="46"/>
        <v>194400</v>
      </c>
      <c r="O76" s="45">
        <f t="shared" si="46"/>
        <v>604800</v>
      </c>
      <c r="P76" s="45">
        <f t="shared" si="46"/>
        <v>21600</v>
      </c>
      <c r="Q76" s="45">
        <f t="shared" si="46"/>
        <v>56160</v>
      </c>
      <c r="R76" s="45">
        <f t="shared" si="46"/>
        <v>302400</v>
      </c>
      <c r="S76" s="45">
        <f t="shared" si="46"/>
        <v>129600</v>
      </c>
      <c r="T76" s="45">
        <f t="shared" si="38"/>
        <v>4626720</v>
      </c>
      <c r="U76" s="46"/>
    </row>
    <row r="77" spans="1:21" s="50" customFormat="1" ht="22.5">
      <c r="A77" s="42" t="s">
        <v>197</v>
      </c>
      <c r="B77" s="49" t="s">
        <v>204</v>
      </c>
      <c r="C77" s="49" t="s">
        <v>35</v>
      </c>
      <c r="D77" s="57" t="s">
        <v>205</v>
      </c>
      <c r="E77" s="45">
        <f>E93*4320</f>
        <v>505440</v>
      </c>
      <c r="F77" s="45">
        <f>F93*4320</f>
        <v>328320</v>
      </c>
      <c r="G77" s="45">
        <f t="shared" ref="G77:S77" si="47">G93*4320</f>
        <v>345600</v>
      </c>
      <c r="H77" s="45">
        <f t="shared" si="47"/>
        <v>406080</v>
      </c>
      <c r="I77" s="45">
        <f t="shared" si="47"/>
        <v>864000</v>
      </c>
      <c r="J77" s="45">
        <f t="shared" si="47"/>
        <v>228960</v>
      </c>
      <c r="K77" s="45">
        <f t="shared" si="47"/>
        <v>246240</v>
      </c>
      <c r="L77" s="45">
        <f t="shared" si="47"/>
        <v>207360</v>
      </c>
      <c r="M77" s="45">
        <f t="shared" si="47"/>
        <v>185760</v>
      </c>
      <c r="N77" s="45">
        <f t="shared" si="47"/>
        <v>194400</v>
      </c>
      <c r="O77" s="45">
        <f t="shared" si="47"/>
        <v>604800</v>
      </c>
      <c r="P77" s="45">
        <f t="shared" si="47"/>
        <v>21600</v>
      </c>
      <c r="Q77" s="45">
        <f t="shared" si="47"/>
        <v>56160</v>
      </c>
      <c r="R77" s="45">
        <f t="shared" si="47"/>
        <v>302400</v>
      </c>
      <c r="S77" s="45">
        <f t="shared" si="47"/>
        <v>129600</v>
      </c>
      <c r="T77" s="45">
        <f t="shared" si="38"/>
        <v>4626720</v>
      </c>
      <c r="U77" s="46"/>
    </row>
    <row r="78" spans="1:21">
      <c r="A78" s="42" t="s">
        <v>199</v>
      </c>
      <c r="B78" s="43" t="s">
        <v>207</v>
      </c>
      <c r="C78" s="43"/>
      <c r="D78" s="44" t="s">
        <v>28</v>
      </c>
      <c r="E78" s="45">
        <f>E79</f>
        <v>533746.29</v>
      </c>
      <c r="F78" s="45">
        <f>F79</f>
        <v>349957.71</v>
      </c>
      <c r="G78" s="45">
        <f t="shared" ref="G78:S78" si="48">G79</f>
        <v>358213.71</v>
      </c>
      <c r="H78" s="45">
        <f t="shared" si="48"/>
        <v>398108.57</v>
      </c>
      <c r="I78" s="45">
        <f t="shared" si="48"/>
        <v>797218.29</v>
      </c>
      <c r="J78" s="45">
        <f t="shared" si="48"/>
        <v>187474.29</v>
      </c>
      <c r="K78" s="45">
        <f t="shared" si="48"/>
        <v>236225.14</v>
      </c>
      <c r="L78" s="45">
        <f t="shared" si="48"/>
        <v>188166.86</v>
      </c>
      <c r="M78" s="45">
        <f t="shared" si="48"/>
        <v>165953.14000000001</v>
      </c>
      <c r="N78" s="45">
        <f t="shared" si="48"/>
        <v>174260.57</v>
      </c>
      <c r="O78" s="45">
        <f t="shared" si="48"/>
        <v>625062.86</v>
      </c>
      <c r="P78" s="45">
        <f t="shared" si="48"/>
        <v>24024</v>
      </c>
      <c r="Q78" s="45">
        <f t="shared" si="48"/>
        <v>60233.14</v>
      </c>
      <c r="R78" s="45">
        <f t="shared" si="48"/>
        <v>296712</v>
      </c>
      <c r="S78" s="45">
        <f t="shared" si="48"/>
        <v>102942.86</v>
      </c>
      <c r="T78" s="45">
        <f t="shared" si="38"/>
        <v>4498299.4300000006</v>
      </c>
      <c r="U78" s="46"/>
    </row>
    <row r="79" spans="1:21" s="50" customFormat="1">
      <c r="A79" s="42" t="s">
        <v>201</v>
      </c>
      <c r="B79" s="49" t="s">
        <v>209</v>
      </c>
      <c r="C79" s="49" t="s">
        <v>35</v>
      </c>
      <c r="D79" s="46" t="s">
        <v>51</v>
      </c>
      <c r="E79" s="45">
        <f>ROUND(E28/0.07*0.02,2)</f>
        <v>533746.29</v>
      </c>
      <c r="F79" s="45">
        <f>ROUND(F28/0.07*0.02,2)</f>
        <v>349957.71</v>
      </c>
      <c r="G79" s="45">
        <f t="shared" ref="G79:S79" si="49">ROUND(G28/0.07*0.02,2)</f>
        <v>358213.71</v>
      </c>
      <c r="H79" s="45">
        <f t="shared" si="49"/>
        <v>398108.57</v>
      </c>
      <c r="I79" s="45">
        <f t="shared" si="49"/>
        <v>797218.29</v>
      </c>
      <c r="J79" s="45">
        <f t="shared" si="49"/>
        <v>187474.29</v>
      </c>
      <c r="K79" s="45">
        <f t="shared" si="49"/>
        <v>236225.14</v>
      </c>
      <c r="L79" s="45">
        <f t="shared" si="49"/>
        <v>188166.86</v>
      </c>
      <c r="M79" s="45">
        <f t="shared" si="49"/>
        <v>165953.14000000001</v>
      </c>
      <c r="N79" s="45">
        <f t="shared" si="49"/>
        <v>174260.57</v>
      </c>
      <c r="O79" s="45">
        <f t="shared" si="49"/>
        <v>625062.86</v>
      </c>
      <c r="P79" s="45">
        <f t="shared" si="49"/>
        <v>24024</v>
      </c>
      <c r="Q79" s="45">
        <f t="shared" si="49"/>
        <v>60233.14</v>
      </c>
      <c r="R79" s="45">
        <f t="shared" si="49"/>
        <v>296712</v>
      </c>
      <c r="S79" s="45">
        <f t="shared" si="49"/>
        <v>102942.86</v>
      </c>
      <c r="T79" s="45">
        <f t="shared" si="38"/>
        <v>4498299.4300000006</v>
      </c>
      <c r="U79" s="46"/>
    </row>
    <row r="80" spans="1:21">
      <c r="A80" s="42" t="s">
        <v>203</v>
      </c>
      <c r="B80" s="43" t="s">
        <v>211</v>
      </c>
      <c r="C80" s="43"/>
      <c r="D80" s="44" t="s">
        <v>28</v>
      </c>
      <c r="E80" s="45">
        <f>E81</f>
        <v>32000</v>
      </c>
      <c r="F80" s="45">
        <f>F81</f>
        <v>32000</v>
      </c>
      <c r="G80" s="45">
        <f t="shared" ref="G80:S80" si="50">G81</f>
        <v>32000</v>
      </c>
      <c r="H80" s="45">
        <f t="shared" si="50"/>
        <v>32000</v>
      </c>
      <c r="I80" s="45">
        <f t="shared" si="50"/>
        <v>64000</v>
      </c>
      <c r="J80" s="45">
        <f t="shared" si="50"/>
        <v>0</v>
      </c>
      <c r="K80" s="45">
        <f t="shared" si="50"/>
        <v>32000</v>
      </c>
      <c r="L80" s="45">
        <f t="shared" si="50"/>
        <v>32000</v>
      </c>
      <c r="M80" s="45">
        <f t="shared" si="50"/>
        <v>0</v>
      </c>
      <c r="N80" s="45">
        <f t="shared" si="50"/>
        <v>0</v>
      </c>
      <c r="O80" s="45">
        <f t="shared" si="50"/>
        <v>32000</v>
      </c>
      <c r="P80" s="45">
        <f t="shared" si="50"/>
        <v>32000</v>
      </c>
      <c r="Q80" s="45">
        <f t="shared" si="50"/>
        <v>0</v>
      </c>
      <c r="R80" s="45">
        <f t="shared" si="50"/>
        <v>0</v>
      </c>
      <c r="S80" s="45">
        <f t="shared" si="50"/>
        <v>0</v>
      </c>
      <c r="T80" s="45">
        <f t="shared" si="38"/>
        <v>320000</v>
      </c>
      <c r="U80" s="46"/>
    </row>
    <row r="81" spans="1:21" ht="33.75">
      <c r="A81" s="42" t="s">
        <v>206</v>
      </c>
      <c r="B81" s="43" t="s">
        <v>213</v>
      </c>
      <c r="C81" s="43" t="s">
        <v>35</v>
      </c>
      <c r="D81" s="56" t="s">
        <v>214</v>
      </c>
      <c r="E81" s="47">
        <v>32000</v>
      </c>
      <c r="F81" s="47">
        <v>32000</v>
      </c>
      <c r="G81" s="47">
        <v>32000</v>
      </c>
      <c r="H81" s="47">
        <v>32000</v>
      </c>
      <c r="I81" s="47">
        <v>64000</v>
      </c>
      <c r="J81" s="47"/>
      <c r="K81" s="47">
        <v>32000</v>
      </c>
      <c r="L81" s="47">
        <v>32000</v>
      </c>
      <c r="M81" s="47"/>
      <c r="N81" s="47"/>
      <c r="O81" s="47">
        <v>32000</v>
      </c>
      <c r="P81" s="47">
        <v>32000</v>
      </c>
      <c r="Q81" s="47"/>
      <c r="R81" s="47"/>
      <c r="S81" s="47"/>
      <c r="T81" s="45">
        <f t="shared" si="38"/>
        <v>320000</v>
      </c>
      <c r="U81" s="46"/>
    </row>
    <row r="82" spans="1:21">
      <c r="A82" s="42" t="s">
        <v>208</v>
      </c>
      <c r="B82" s="43" t="s">
        <v>216</v>
      </c>
      <c r="C82" s="43"/>
      <c r="D82" s="44" t="s">
        <v>28</v>
      </c>
      <c r="E82" s="45">
        <f>E83+E86+E89</f>
        <v>420080</v>
      </c>
      <c r="F82" s="45">
        <f>F83+F86+F89</f>
        <v>236000</v>
      </c>
      <c r="G82" s="45">
        <f t="shared" ref="G82:S82" si="51">G83+G86+G89</f>
        <v>372880</v>
      </c>
      <c r="H82" s="45">
        <f t="shared" si="51"/>
        <v>217120</v>
      </c>
      <c r="I82" s="45">
        <f t="shared" si="51"/>
        <v>75520</v>
      </c>
      <c r="J82" s="45">
        <f t="shared" si="51"/>
        <v>0</v>
      </c>
      <c r="K82" s="45">
        <f t="shared" si="51"/>
        <v>51920</v>
      </c>
      <c r="L82" s="45">
        <f t="shared" si="51"/>
        <v>80240</v>
      </c>
      <c r="M82" s="45">
        <f t="shared" si="51"/>
        <v>18880</v>
      </c>
      <c r="N82" s="45">
        <f t="shared" si="51"/>
        <v>4720</v>
      </c>
      <c r="O82" s="45">
        <f t="shared" si="51"/>
        <v>9440</v>
      </c>
      <c r="P82" s="45">
        <f t="shared" si="51"/>
        <v>14160</v>
      </c>
      <c r="Q82" s="45">
        <f t="shared" si="51"/>
        <v>0</v>
      </c>
      <c r="R82" s="45">
        <f t="shared" si="51"/>
        <v>4720</v>
      </c>
      <c r="S82" s="45">
        <f t="shared" si="51"/>
        <v>42480</v>
      </c>
      <c r="T82" s="45">
        <f t="shared" si="38"/>
        <v>1548160</v>
      </c>
      <c r="U82" s="46"/>
    </row>
    <row r="83" spans="1:21">
      <c r="A83" s="42" t="s">
        <v>210</v>
      </c>
      <c r="B83" s="43" t="s">
        <v>218</v>
      </c>
      <c r="C83" s="43"/>
      <c r="D83" s="44" t="s">
        <v>28</v>
      </c>
      <c r="E83" s="45">
        <f>E84+E85</f>
        <v>0</v>
      </c>
      <c r="F83" s="45">
        <f>F84+F85</f>
        <v>0</v>
      </c>
      <c r="G83" s="45">
        <f t="shared" ref="G83:S83" si="52">G84+G85</f>
        <v>0</v>
      </c>
      <c r="H83" s="45">
        <f t="shared" si="52"/>
        <v>0</v>
      </c>
      <c r="I83" s="45">
        <f t="shared" si="52"/>
        <v>0</v>
      </c>
      <c r="J83" s="45">
        <f t="shared" si="52"/>
        <v>0</v>
      </c>
      <c r="K83" s="45">
        <f t="shared" si="52"/>
        <v>0</v>
      </c>
      <c r="L83" s="45">
        <f t="shared" si="52"/>
        <v>0</v>
      </c>
      <c r="M83" s="45">
        <f t="shared" si="52"/>
        <v>0</v>
      </c>
      <c r="N83" s="45">
        <f t="shared" si="52"/>
        <v>0</v>
      </c>
      <c r="O83" s="45">
        <f t="shared" si="52"/>
        <v>0</v>
      </c>
      <c r="P83" s="45">
        <f t="shared" si="52"/>
        <v>0</v>
      </c>
      <c r="Q83" s="45">
        <f t="shared" si="52"/>
        <v>0</v>
      </c>
      <c r="R83" s="45">
        <f t="shared" si="52"/>
        <v>0</v>
      </c>
      <c r="S83" s="45">
        <f t="shared" si="52"/>
        <v>0</v>
      </c>
      <c r="T83" s="45">
        <f t="shared" si="38"/>
        <v>0</v>
      </c>
      <c r="U83" s="46"/>
    </row>
    <row r="84" spans="1:21">
      <c r="A84" s="42" t="s">
        <v>212</v>
      </c>
      <c r="B84" s="43" t="s">
        <v>220</v>
      </c>
      <c r="C84" s="43" t="s">
        <v>35</v>
      </c>
      <c r="D84" s="56" t="s">
        <v>135</v>
      </c>
      <c r="E84" s="53"/>
      <c r="F84" s="53"/>
      <c r="G84" s="53"/>
      <c r="H84" s="53"/>
      <c r="I84" s="53"/>
      <c r="J84" s="53"/>
      <c r="K84" s="53"/>
      <c r="L84" s="53"/>
      <c r="M84" s="53"/>
      <c r="N84" s="53"/>
      <c r="O84" s="53"/>
      <c r="P84" s="53"/>
      <c r="Q84" s="53"/>
      <c r="R84" s="53"/>
      <c r="S84" s="53"/>
      <c r="T84" s="45">
        <f t="shared" si="38"/>
        <v>0</v>
      </c>
      <c r="U84" s="52"/>
    </row>
    <row r="85" spans="1:21">
      <c r="A85" s="42" t="s">
        <v>215</v>
      </c>
      <c r="B85" s="43" t="s">
        <v>222</v>
      </c>
      <c r="C85" s="43" t="s">
        <v>35</v>
      </c>
      <c r="D85" s="44" t="s">
        <v>223</v>
      </c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53"/>
      <c r="P85" s="53"/>
      <c r="Q85" s="53"/>
      <c r="R85" s="53"/>
      <c r="S85" s="53"/>
      <c r="T85" s="45">
        <f t="shared" si="38"/>
        <v>0</v>
      </c>
      <c r="U85" s="52"/>
    </row>
    <row r="86" spans="1:21">
      <c r="A86" s="42" t="s">
        <v>217</v>
      </c>
      <c r="B86" s="43" t="s">
        <v>225</v>
      </c>
      <c r="C86" s="43"/>
      <c r="D86" s="44" t="s">
        <v>28</v>
      </c>
      <c r="E86" s="45">
        <f>E87+E88</f>
        <v>420080</v>
      </c>
      <c r="F86" s="45">
        <f>F87+F88</f>
        <v>236000</v>
      </c>
      <c r="G86" s="45">
        <f t="shared" ref="G86:S86" si="53">G87+G88</f>
        <v>372880</v>
      </c>
      <c r="H86" s="45">
        <f t="shared" si="53"/>
        <v>217120</v>
      </c>
      <c r="I86" s="45">
        <f t="shared" si="53"/>
        <v>75520</v>
      </c>
      <c r="J86" s="45">
        <f t="shared" si="53"/>
        <v>0</v>
      </c>
      <c r="K86" s="45">
        <f t="shared" si="53"/>
        <v>51920</v>
      </c>
      <c r="L86" s="45">
        <f t="shared" si="53"/>
        <v>80240</v>
      </c>
      <c r="M86" s="45">
        <f t="shared" si="53"/>
        <v>18880</v>
      </c>
      <c r="N86" s="45">
        <f t="shared" si="53"/>
        <v>4720</v>
      </c>
      <c r="O86" s="45">
        <f t="shared" si="53"/>
        <v>9440</v>
      </c>
      <c r="P86" s="45">
        <f t="shared" si="53"/>
        <v>14160</v>
      </c>
      <c r="Q86" s="45">
        <f t="shared" si="53"/>
        <v>0</v>
      </c>
      <c r="R86" s="45">
        <f t="shared" si="53"/>
        <v>4720</v>
      </c>
      <c r="S86" s="45">
        <f t="shared" si="53"/>
        <v>42480</v>
      </c>
      <c r="T86" s="45">
        <f t="shared" si="38"/>
        <v>1548160</v>
      </c>
      <c r="U86" s="46"/>
    </row>
    <row r="87" spans="1:21" s="50" customFormat="1" ht="22.5">
      <c r="A87" s="42" t="s">
        <v>219</v>
      </c>
      <c r="B87" s="49" t="s">
        <v>227</v>
      </c>
      <c r="C87" s="49" t="s">
        <v>35</v>
      </c>
      <c r="D87" s="57" t="s">
        <v>228</v>
      </c>
      <c r="E87" s="45">
        <f>E104*400</f>
        <v>35600</v>
      </c>
      <c r="F87" s="45">
        <f>F104*400</f>
        <v>20000</v>
      </c>
      <c r="G87" s="45">
        <f t="shared" ref="G87:S87" si="54">G104*400</f>
        <v>31600</v>
      </c>
      <c r="H87" s="45">
        <f t="shared" si="54"/>
        <v>18400</v>
      </c>
      <c r="I87" s="45">
        <f t="shared" si="54"/>
        <v>6400</v>
      </c>
      <c r="J87" s="45">
        <f t="shared" si="54"/>
        <v>0</v>
      </c>
      <c r="K87" s="45">
        <f t="shared" si="54"/>
        <v>4400</v>
      </c>
      <c r="L87" s="45">
        <f t="shared" si="54"/>
        <v>6800</v>
      </c>
      <c r="M87" s="45">
        <f t="shared" si="54"/>
        <v>1600</v>
      </c>
      <c r="N87" s="45">
        <f t="shared" si="54"/>
        <v>400</v>
      </c>
      <c r="O87" s="45">
        <f t="shared" si="54"/>
        <v>800</v>
      </c>
      <c r="P87" s="45">
        <f t="shared" si="54"/>
        <v>1200</v>
      </c>
      <c r="Q87" s="45">
        <f t="shared" si="54"/>
        <v>0</v>
      </c>
      <c r="R87" s="45">
        <f t="shared" si="54"/>
        <v>400</v>
      </c>
      <c r="S87" s="45">
        <f t="shared" si="54"/>
        <v>3600</v>
      </c>
      <c r="T87" s="45">
        <f t="shared" si="38"/>
        <v>131200</v>
      </c>
      <c r="U87" s="46"/>
    </row>
    <row r="88" spans="1:21" s="50" customFormat="1" ht="22.5">
      <c r="A88" s="42" t="s">
        <v>221</v>
      </c>
      <c r="B88" s="49" t="s">
        <v>230</v>
      </c>
      <c r="C88" s="49" t="s">
        <v>35</v>
      </c>
      <c r="D88" s="57" t="s">
        <v>231</v>
      </c>
      <c r="E88" s="45">
        <f>E104*4320</f>
        <v>384480</v>
      </c>
      <c r="F88" s="45">
        <f>F104*4320</f>
        <v>216000</v>
      </c>
      <c r="G88" s="45">
        <f t="shared" ref="G88:S88" si="55">G104*4320</f>
        <v>341280</v>
      </c>
      <c r="H88" s="45">
        <f t="shared" si="55"/>
        <v>198720</v>
      </c>
      <c r="I88" s="45">
        <f t="shared" si="55"/>
        <v>69120</v>
      </c>
      <c r="J88" s="45">
        <f t="shared" si="55"/>
        <v>0</v>
      </c>
      <c r="K88" s="45">
        <f t="shared" si="55"/>
        <v>47520</v>
      </c>
      <c r="L88" s="45">
        <f t="shared" si="55"/>
        <v>73440</v>
      </c>
      <c r="M88" s="45">
        <f t="shared" si="55"/>
        <v>17280</v>
      </c>
      <c r="N88" s="45">
        <f t="shared" si="55"/>
        <v>4320</v>
      </c>
      <c r="O88" s="45">
        <f t="shared" si="55"/>
        <v>8640</v>
      </c>
      <c r="P88" s="45">
        <f t="shared" si="55"/>
        <v>12960</v>
      </c>
      <c r="Q88" s="45">
        <f t="shared" si="55"/>
        <v>0</v>
      </c>
      <c r="R88" s="45">
        <f t="shared" si="55"/>
        <v>4320</v>
      </c>
      <c r="S88" s="45">
        <f t="shared" si="55"/>
        <v>38880</v>
      </c>
      <c r="T88" s="45">
        <f t="shared" si="38"/>
        <v>1416960</v>
      </c>
      <c r="U88" s="46"/>
    </row>
    <row r="89" spans="1:21">
      <c r="A89" s="42" t="s">
        <v>224</v>
      </c>
      <c r="B89" s="43" t="s">
        <v>233</v>
      </c>
      <c r="C89" s="43" t="s">
        <v>35</v>
      </c>
      <c r="D89" s="56" t="s">
        <v>135</v>
      </c>
      <c r="E89" s="58"/>
      <c r="F89" s="58"/>
      <c r="G89" s="58"/>
      <c r="H89" s="58"/>
      <c r="I89" s="58"/>
      <c r="J89" s="58"/>
      <c r="K89" s="58"/>
      <c r="L89" s="58"/>
      <c r="M89" s="58"/>
      <c r="N89" s="58"/>
      <c r="O89" s="58"/>
      <c r="P89" s="58"/>
      <c r="Q89" s="58"/>
      <c r="R89" s="58"/>
      <c r="S89" s="58"/>
      <c r="T89" s="45">
        <f t="shared" si="38"/>
        <v>0</v>
      </c>
      <c r="U89" s="52"/>
    </row>
    <row r="90" spans="1:21">
      <c r="A90" s="42" t="s">
        <v>226</v>
      </c>
      <c r="B90" s="43" t="s">
        <v>235</v>
      </c>
      <c r="C90" s="43"/>
      <c r="D90" s="44" t="s">
        <v>28</v>
      </c>
      <c r="E90" s="45">
        <f>E91</f>
        <v>0</v>
      </c>
      <c r="F90" s="45">
        <f>F91</f>
        <v>0</v>
      </c>
      <c r="G90" s="45">
        <f t="shared" ref="G90:S90" si="56">G91</f>
        <v>0</v>
      </c>
      <c r="H90" s="45">
        <f t="shared" si="56"/>
        <v>0</v>
      </c>
      <c r="I90" s="45">
        <f t="shared" si="56"/>
        <v>0</v>
      </c>
      <c r="J90" s="45">
        <f t="shared" si="56"/>
        <v>32000</v>
      </c>
      <c r="K90" s="45">
        <f t="shared" si="56"/>
        <v>0</v>
      </c>
      <c r="L90" s="45">
        <f t="shared" si="56"/>
        <v>0</v>
      </c>
      <c r="M90" s="45">
        <f t="shared" si="56"/>
        <v>32000</v>
      </c>
      <c r="N90" s="45">
        <f t="shared" si="56"/>
        <v>32000</v>
      </c>
      <c r="O90" s="45">
        <f t="shared" si="56"/>
        <v>0</v>
      </c>
      <c r="P90" s="45">
        <f t="shared" si="56"/>
        <v>0</v>
      </c>
      <c r="Q90" s="45">
        <f t="shared" si="56"/>
        <v>32000</v>
      </c>
      <c r="R90" s="45">
        <f t="shared" si="56"/>
        <v>32000</v>
      </c>
      <c r="S90" s="45">
        <f t="shared" si="56"/>
        <v>32000</v>
      </c>
      <c r="T90" s="45">
        <f t="shared" ref="T90:T106" si="57">SUM(E90:S90)</f>
        <v>192000</v>
      </c>
      <c r="U90" s="46"/>
    </row>
    <row r="91" spans="1:21" ht="68.25" thickBot="1">
      <c r="A91" s="42" t="s">
        <v>229</v>
      </c>
      <c r="B91" s="59" t="s">
        <v>237</v>
      </c>
      <c r="C91" s="43" t="s">
        <v>35</v>
      </c>
      <c r="D91" s="60" t="s">
        <v>363</v>
      </c>
      <c r="E91" s="61"/>
      <c r="F91" s="61"/>
      <c r="G91" s="61"/>
      <c r="H91" s="61"/>
      <c r="I91" s="61"/>
      <c r="J91" s="61">
        <v>32000</v>
      </c>
      <c r="K91" s="61"/>
      <c r="L91" s="61"/>
      <c r="M91" s="61">
        <v>32000</v>
      </c>
      <c r="N91" s="61">
        <v>32000</v>
      </c>
      <c r="O91" s="61"/>
      <c r="P91" s="61"/>
      <c r="Q91" s="61">
        <v>32000</v>
      </c>
      <c r="R91" s="61">
        <v>32000</v>
      </c>
      <c r="S91" s="61">
        <v>32000</v>
      </c>
      <c r="T91" s="45">
        <f t="shared" si="57"/>
        <v>192000</v>
      </c>
      <c r="U91" s="62"/>
    </row>
    <row r="92" spans="1:21" ht="23.25" customHeight="1" thickTop="1">
      <c r="A92" s="42" t="s">
        <v>232</v>
      </c>
      <c r="B92" s="63" t="s">
        <v>240</v>
      </c>
      <c r="C92" s="63"/>
      <c r="D92" s="64"/>
      <c r="E92" s="65"/>
      <c r="F92" s="65"/>
      <c r="G92" s="65"/>
      <c r="H92" s="65"/>
      <c r="I92" s="65"/>
      <c r="J92" s="65"/>
      <c r="K92" s="65"/>
      <c r="L92" s="65"/>
      <c r="M92" s="65"/>
      <c r="N92" s="65"/>
      <c r="O92" s="65"/>
      <c r="P92" s="65"/>
      <c r="Q92" s="65"/>
      <c r="R92" s="65"/>
      <c r="S92" s="65"/>
      <c r="T92" s="45">
        <f t="shared" si="57"/>
        <v>0</v>
      </c>
      <c r="U92" s="66"/>
    </row>
    <row r="93" spans="1:21" ht="22.5">
      <c r="A93" s="42" t="s">
        <v>234</v>
      </c>
      <c r="B93" s="43" t="s">
        <v>242</v>
      </c>
      <c r="C93" s="43"/>
      <c r="D93" s="44" t="s">
        <v>364</v>
      </c>
      <c r="E93" s="45">
        <f>E94+E95+E96+E97</f>
        <v>117</v>
      </c>
      <c r="F93" s="45">
        <f>F94+F95+F96+F97</f>
        <v>76</v>
      </c>
      <c r="G93" s="45">
        <f t="shared" ref="G93:S93" si="58">G94+G95+G96+G97</f>
        <v>80</v>
      </c>
      <c r="H93" s="45">
        <f t="shared" si="58"/>
        <v>94</v>
      </c>
      <c r="I93" s="45">
        <f t="shared" si="58"/>
        <v>200</v>
      </c>
      <c r="J93" s="45">
        <f t="shared" si="58"/>
        <v>53</v>
      </c>
      <c r="K93" s="45">
        <f t="shared" si="58"/>
        <v>57</v>
      </c>
      <c r="L93" s="45">
        <f t="shared" si="58"/>
        <v>48</v>
      </c>
      <c r="M93" s="45">
        <f t="shared" si="58"/>
        <v>43</v>
      </c>
      <c r="N93" s="45">
        <f t="shared" si="58"/>
        <v>45</v>
      </c>
      <c r="O93" s="45">
        <f t="shared" si="58"/>
        <v>140</v>
      </c>
      <c r="P93" s="45">
        <f t="shared" si="58"/>
        <v>5</v>
      </c>
      <c r="Q93" s="45">
        <f t="shared" si="58"/>
        <v>13</v>
      </c>
      <c r="R93" s="45">
        <f t="shared" si="58"/>
        <v>70</v>
      </c>
      <c r="S93" s="45">
        <f t="shared" si="58"/>
        <v>30</v>
      </c>
      <c r="T93" s="45">
        <f t="shared" si="57"/>
        <v>1071</v>
      </c>
      <c r="U93" s="46"/>
    </row>
    <row r="94" spans="1:21">
      <c r="A94" s="42" t="s">
        <v>236</v>
      </c>
      <c r="B94" s="67" t="s">
        <v>245</v>
      </c>
      <c r="C94" s="67"/>
      <c r="D94" s="52"/>
      <c r="E94" s="53">
        <v>117</v>
      </c>
      <c r="F94" s="53">
        <v>76</v>
      </c>
      <c r="G94" s="53"/>
      <c r="H94" s="53"/>
      <c r="I94" s="53"/>
      <c r="J94" s="53"/>
      <c r="K94" s="53"/>
      <c r="L94" s="53"/>
      <c r="M94" s="53"/>
      <c r="N94" s="53"/>
      <c r="O94" s="53">
        <v>140</v>
      </c>
      <c r="P94" s="53"/>
      <c r="Q94" s="53"/>
      <c r="R94" s="53">
        <v>70</v>
      </c>
      <c r="S94" s="53"/>
      <c r="T94" s="45">
        <f t="shared" si="57"/>
        <v>403</v>
      </c>
      <c r="U94" s="46"/>
    </row>
    <row r="95" spans="1:21">
      <c r="A95" s="42" t="s">
        <v>239</v>
      </c>
      <c r="B95" s="67" t="s">
        <v>247</v>
      </c>
      <c r="C95" s="67"/>
      <c r="D95" s="44"/>
      <c r="E95" s="47"/>
      <c r="F95" s="47"/>
      <c r="G95" s="47">
        <v>80</v>
      </c>
      <c r="H95" s="47">
        <v>94</v>
      </c>
      <c r="I95" s="47">
        <v>200</v>
      </c>
      <c r="J95" s="47">
        <v>53</v>
      </c>
      <c r="K95" s="47"/>
      <c r="L95" s="47"/>
      <c r="M95" s="47"/>
      <c r="N95" s="47"/>
      <c r="O95" s="47">
        <v>0</v>
      </c>
      <c r="P95" s="47"/>
      <c r="Q95" s="47"/>
      <c r="R95" s="47"/>
      <c r="S95" s="47"/>
      <c r="T95" s="45">
        <f t="shared" si="57"/>
        <v>427</v>
      </c>
      <c r="U95" s="46"/>
    </row>
    <row r="96" spans="1:21">
      <c r="A96" s="42" t="s">
        <v>241</v>
      </c>
      <c r="B96" s="67" t="s">
        <v>249</v>
      </c>
      <c r="C96" s="67"/>
      <c r="D96" s="52"/>
      <c r="E96" s="53"/>
      <c r="F96" s="53"/>
      <c r="G96" s="53"/>
      <c r="H96" s="53"/>
      <c r="I96" s="53"/>
      <c r="J96" s="53"/>
      <c r="K96" s="53">
        <v>57</v>
      </c>
      <c r="L96" s="53">
        <v>48</v>
      </c>
      <c r="M96" s="53">
        <v>43</v>
      </c>
      <c r="N96" s="53">
        <v>45</v>
      </c>
      <c r="O96" s="53"/>
      <c r="P96" s="53"/>
      <c r="Q96" s="53">
        <v>13</v>
      </c>
      <c r="R96" s="53">
        <v>0</v>
      </c>
      <c r="S96" s="53">
        <v>30</v>
      </c>
      <c r="T96" s="45">
        <f t="shared" si="57"/>
        <v>236</v>
      </c>
      <c r="U96" s="46"/>
    </row>
    <row r="97" spans="1:21">
      <c r="A97" s="42" t="s">
        <v>244</v>
      </c>
      <c r="B97" s="67" t="s">
        <v>251</v>
      </c>
      <c r="C97" s="67"/>
      <c r="D97" s="52"/>
      <c r="E97" s="53"/>
      <c r="F97" s="53"/>
      <c r="G97" s="53"/>
      <c r="H97" s="53"/>
      <c r="I97" s="53"/>
      <c r="J97" s="53"/>
      <c r="K97" s="53"/>
      <c r="L97" s="53"/>
      <c r="M97" s="53"/>
      <c r="N97" s="53"/>
      <c r="O97" s="53"/>
      <c r="P97" s="53">
        <v>5</v>
      </c>
      <c r="Q97" s="53"/>
      <c r="R97" s="53"/>
      <c r="S97" s="53"/>
      <c r="T97" s="45">
        <f t="shared" si="57"/>
        <v>5</v>
      </c>
      <c r="U97" s="46"/>
    </row>
    <row r="98" spans="1:21" ht="22.5">
      <c r="A98" s="42" t="s">
        <v>246</v>
      </c>
      <c r="B98" s="43" t="s">
        <v>253</v>
      </c>
      <c r="C98" s="43"/>
      <c r="D98" s="44" t="s">
        <v>365</v>
      </c>
      <c r="E98" s="45">
        <f>E99+E100+E101+E102</f>
        <v>1184</v>
      </c>
      <c r="F98" s="45">
        <f>F99+F100+F101+F102</f>
        <v>838</v>
      </c>
      <c r="G98" s="45">
        <f t="shared" ref="G98:S98" si="59">G99+G100+G101+G102</f>
        <v>840</v>
      </c>
      <c r="H98" s="45">
        <f t="shared" si="59"/>
        <v>954</v>
      </c>
      <c r="I98" s="45">
        <f t="shared" si="59"/>
        <v>3405</v>
      </c>
      <c r="J98" s="45">
        <f t="shared" si="59"/>
        <v>689</v>
      </c>
      <c r="K98" s="45">
        <f t="shared" si="59"/>
        <v>681</v>
      </c>
      <c r="L98" s="45">
        <f t="shared" si="59"/>
        <v>454</v>
      </c>
      <c r="M98" s="45">
        <f t="shared" si="59"/>
        <v>507</v>
      </c>
      <c r="N98" s="45">
        <f t="shared" si="59"/>
        <v>513</v>
      </c>
      <c r="O98" s="45">
        <f t="shared" si="59"/>
        <v>1577</v>
      </c>
      <c r="P98" s="45">
        <f t="shared" si="59"/>
        <v>0</v>
      </c>
      <c r="Q98" s="45">
        <f t="shared" si="59"/>
        <v>164</v>
      </c>
      <c r="R98" s="45">
        <f t="shared" si="59"/>
        <v>984</v>
      </c>
      <c r="S98" s="45">
        <f t="shared" si="59"/>
        <v>466</v>
      </c>
      <c r="T98" s="45">
        <f t="shared" si="57"/>
        <v>13256</v>
      </c>
      <c r="U98" s="46"/>
    </row>
    <row r="99" spans="1:21">
      <c r="A99" s="42" t="s">
        <v>248</v>
      </c>
      <c r="B99" s="67" t="s">
        <v>245</v>
      </c>
      <c r="C99" s="67"/>
      <c r="D99" s="52"/>
      <c r="E99" s="53">
        <v>1184</v>
      </c>
      <c r="F99" s="53">
        <v>838</v>
      </c>
      <c r="G99" s="53"/>
      <c r="H99" s="53"/>
      <c r="I99" s="53"/>
      <c r="J99" s="53"/>
      <c r="K99" s="53"/>
      <c r="L99" s="53"/>
      <c r="M99" s="53"/>
      <c r="N99" s="53"/>
      <c r="O99" s="53">
        <f>[1]生均公用定额标准!E47</f>
        <v>634</v>
      </c>
      <c r="P99" s="53"/>
      <c r="Q99" s="53"/>
      <c r="R99" s="53">
        <f>[1]生均公用定额标准!C28</f>
        <v>984</v>
      </c>
      <c r="S99" s="53"/>
      <c r="T99" s="45">
        <f t="shared" si="57"/>
        <v>3640</v>
      </c>
      <c r="U99" s="46"/>
    </row>
    <row r="100" spans="1:21">
      <c r="A100" s="42" t="s">
        <v>250</v>
      </c>
      <c r="B100" s="67" t="s">
        <v>247</v>
      </c>
      <c r="C100" s="67"/>
      <c r="D100" s="44"/>
      <c r="E100" s="47"/>
      <c r="F100" s="47"/>
      <c r="G100" s="47">
        <v>840</v>
      </c>
      <c r="H100" s="47">
        <v>954</v>
      </c>
      <c r="I100" s="47">
        <f>[1]生均公用定额标准!C20</f>
        <v>3405</v>
      </c>
      <c r="J100" s="47">
        <f>[1]生均公用定额标准!C21</f>
        <v>689</v>
      </c>
      <c r="K100" s="47"/>
      <c r="L100" s="47"/>
      <c r="M100" s="47"/>
      <c r="N100" s="47"/>
      <c r="O100" s="47">
        <f>[1]生均公用定额标准!E46</f>
        <v>943</v>
      </c>
      <c r="P100" s="47"/>
      <c r="Q100" s="47"/>
      <c r="R100" s="47"/>
      <c r="S100" s="47"/>
      <c r="T100" s="45">
        <f t="shared" si="57"/>
        <v>6831</v>
      </c>
      <c r="U100" s="46"/>
    </row>
    <row r="101" spans="1:21">
      <c r="A101" s="42" t="s">
        <v>252</v>
      </c>
      <c r="B101" s="67" t="s">
        <v>249</v>
      </c>
      <c r="C101" s="67"/>
      <c r="D101" s="52"/>
      <c r="E101" s="53"/>
      <c r="F101" s="53"/>
      <c r="G101" s="53"/>
      <c r="H101" s="53"/>
      <c r="I101" s="53"/>
      <c r="J101" s="53"/>
      <c r="K101" s="53">
        <f>[1]生均公用定额标准!C23</f>
        <v>681</v>
      </c>
      <c r="L101" s="53">
        <f>[1]生均公用定额标准!C22</f>
        <v>454</v>
      </c>
      <c r="M101" s="53">
        <f>[1]生均公用定额标准!C24</f>
        <v>507</v>
      </c>
      <c r="N101" s="53">
        <f>[1]生均公用定额标准!C25</f>
        <v>513</v>
      </c>
      <c r="O101" s="53"/>
      <c r="P101" s="53"/>
      <c r="Q101" s="53">
        <f>[1]生均公用定额标准!C29</f>
        <v>164</v>
      </c>
      <c r="R101" s="53"/>
      <c r="S101" s="53">
        <f>[1]生均公用定额标准!C26</f>
        <v>466</v>
      </c>
      <c r="T101" s="45">
        <f t="shared" si="57"/>
        <v>2785</v>
      </c>
      <c r="U101" s="46"/>
    </row>
    <row r="102" spans="1:21">
      <c r="A102" s="42" t="s">
        <v>255</v>
      </c>
      <c r="B102" s="67" t="s">
        <v>251</v>
      </c>
      <c r="C102" s="67"/>
      <c r="D102" s="52"/>
      <c r="E102" s="53"/>
      <c r="F102" s="53"/>
      <c r="G102" s="53"/>
      <c r="H102" s="53"/>
      <c r="I102" s="53"/>
      <c r="J102" s="53"/>
      <c r="K102" s="53"/>
      <c r="L102" s="53"/>
      <c r="M102" s="53"/>
      <c r="N102" s="53"/>
      <c r="O102" s="53"/>
      <c r="P102" s="53"/>
      <c r="Q102" s="53"/>
      <c r="R102" s="53"/>
      <c r="S102" s="53"/>
      <c r="T102" s="45">
        <f t="shared" si="57"/>
        <v>0</v>
      </c>
      <c r="U102" s="46"/>
    </row>
    <row r="103" spans="1:21">
      <c r="A103" s="42" t="s">
        <v>256</v>
      </c>
      <c r="B103" s="43" t="s">
        <v>260</v>
      </c>
      <c r="C103" s="43"/>
      <c r="D103" s="56"/>
      <c r="E103" s="68"/>
      <c r="F103" s="68"/>
      <c r="G103" s="68"/>
      <c r="H103" s="68"/>
      <c r="I103" s="68"/>
      <c r="J103" s="68"/>
      <c r="K103" s="68"/>
      <c r="L103" s="68"/>
      <c r="M103" s="68"/>
      <c r="N103" s="68"/>
      <c r="O103" s="68"/>
      <c r="P103" s="68"/>
      <c r="Q103" s="68"/>
      <c r="R103" s="68"/>
      <c r="S103" s="68"/>
      <c r="T103" s="45">
        <f t="shared" si="57"/>
        <v>0</v>
      </c>
      <c r="U103" s="46"/>
    </row>
    <row r="104" spans="1:21">
      <c r="A104" s="42" t="s">
        <v>257</v>
      </c>
      <c r="B104" s="43" t="s">
        <v>261</v>
      </c>
      <c r="C104" s="43"/>
      <c r="D104" s="44"/>
      <c r="E104" s="47">
        <v>89</v>
      </c>
      <c r="F104" s="47">
        <v>50</v>
      </c>
      <c r="G104" s="47">
        <v>79</v>
      </c>
      <c r="H104" s="47">
        <v>46</v>
      </c>
      <c r="I104" s="47">
        <v>16</v>
      </c>
      <c r="J104" s="47">
        <v>0</v>
      </c>
      <c r="K104" s="47">
        <v>11</v>
      </c>
      <c r="L104" s="47">
        <v>17</v>
      </c>
      <c r="M104" s="47">
        <v>4</v>
      </c>
      <c r="N104" s="47">
        <v>1</v>
      </c>
      <c r="O104" s="47">
        <v>2</v>
      </c>
      <c r="P104" s="47">
        <v>3</v>
      </c>
      <c r="Q104" s="47"/>
      <c r="R104" s="47">
        <v>1</v>
      </c>
      <c r="S104" s="47">
        <v>9</v>
      </c>
      <c r="T104" s="45">
        <f t="shared" si="57"/>
        <v>328</v>
      </c>
      <c r="U104" s="46"/>
    </row>
    <row r="105" spans="1:21">
      <c r="A105" s="42" t="s">
        <v>258</v>
      </c>
      <c r="B105" s="67" t="s">
        <v>262</v>
      </c>
      <c r="C105" s="67"/>
      <c r="D105" s="56"/>
      <c r="E105" s="47">
        <v>32622</v>
      </c>
      <c r="F105" s="47">
        <v>9046</v>
      </c>
      <c r="G105" s="47">
        <v>13627</v>
      </c>
      <c r="H105" s="47">
        <v>17902</v>
      </c>
      <c r="I105" s="47">
        <v>25772.240000000002</v>
      </c>
      <c r="J105" s="47">
        <v>13105.71</v>
      </c>
      <c r="K105" s="47">
        <f>10602.95+3127.29</f>
        <v>13730.240000000002</v>
      </c>
      <c r="L105" s="47">
        <v>6627.96</v>
      </c>
      <c r="M105" s="47">
        <v>11478.41</v>
      </c>
      <c r="N105" s="47">
        <v>9116.92</v>
      </c>
      <c r="O105" s="47">
        <v>33999.89</v>
      </c>
      <c r="P105" s="47">
        <v>2300</v>
      </c>
      <c r="Q105" s="47">
        <v>4357</v>
      </c>
      <c r="R105" s="47">
        <v>13284.58</v>
      </c>
      <c r="S105" s="47">
        <f>2564.98+1394.54</f>
        <v>3959.52</v>
      </c>
      <c r="T105" s="45">
        <f t="shared" si="57"/>
        <v>210929.47000000003</v>
      </c>
      <c r="U105" s="46"/>
    </row>
    <row r="106" spans="1:21">
      <c r="A106" s="42" t="s">
        <v>259</v>
      </c>
      <c r="B106" s="67" t="s">
        <v>263</v>
      </c>
      <c r="C106" s="67"/>
      <c r="D106" s="56"/>
      <c r="E106" s="47">
        <v>29824</v>
      </c>
      <c r="F106" s="47">
        <v>8662</v>
      </c>
      <c r="G106" s="47">
        <v>8000</v>
      </c>
      <c r="H106" s="47">
        <v>8000</v>
      </c>
      <c r="I106" s="47">
        <v>15855</v>
      </c>
      <c r="J106" s="47">
        <v>4669</v>
      </c>
      <c r="K106" s="47">
        <f>4900+1492</f>
        <v>6392</v>
      </c>
      <c r="L106" s="47">
        <v>4663.8</v>
      </c>
      <c r="M106" s="47">
        <v>6585.2</v>
      </c>
      <c r="N106" s="47">
        <v>3060</v>
      </c>
      <c r="O106" s="47">
        <v>21060</v>
      </c>
      <c r="P106" s="47"/>
      <c r="Q106" s="47">
        <v>1505</v>
      </c>
      <c r="R106" s="47">
        <v>6784</v>
      </c>
      <c r="S106" s="47">
        <v>4013</v>
      </c>
      <c r="T106" s="45">
        <f t="shared" si="57"/>
        <v>129073</v>
      </c>
      <c r="U106" s="46"/>
    </row>
    <row r="107" spans="1:21">
      <c r="E107" s="38">
        <f t="shared" ref="E107:T107" si="60">E4/E93</f>
        <v>355927.69316239317</v>
      </c>
      <c r="F107" s="38">
        <f t="shared" si="60"/>
        <v>360089.6580263158</v>
      </c>
      <c r="G107" s="38">
        <f t="shared" si="60"/>
        <v>357681.08475000004</v>
      </c>
      <c r="H107" s="38">
        <f t="shared" si="60"/>
        <v>347917.98978723405</v>
      </c>
      <c r="I107" s="38">
        <f t="shared" si="60"/>
        <v>337774.48259999999</v>
      </c>
      <c r="J107" s="38">
        <f t="shared" si="60"/>
        <v>322621.98660377355</v>
      </c>
      <c r="K107" s="38">
        <f t="shared" si="60"/>
        <v>326406.01929824555</v>
      </c>
      <c r="L107" s="38">
        <f t="shared" si="60"/>
        <v>321613.81416666665</v>
      </c>
      <c r="M107" s="38">
        <f t="shared" si="60"/>
        <v>315113.3088372093</v>
      </c>
      <c r="N107" s="38">
        <f t="shared" si="60"/>
        <v>316900.58866666671</v>
      </c>
      <c r="O107" s="38">
        <f t="shared" si="60"/>
        <v>349640.29835714283</v>
      </c>
      <c r="P107" s="38">
        <f t="shared" si="60"/>
        <v>356163.01400000002</v>
      </c>
      <c r="Q107" s="38">
        <f t="shared" si="60"/>
        <v>313970.16307692305</v>
      </c>
      <c r="R107" s="38">
        <f t="shared" si="60"/>
        <v>345027.35914285714</v>
      </c>
      <c r="S107" s="38">
        <f t="shared" si="60"/>
        <v>306898.88033333333</v>
      </c>
      <c r="T107" s="38">
        <f t="shared" si="60"/>
        <v>340809.47637721756</v>
      </c>
    </row>
  </sheetData>
  <protectedRanges>
    <protectedRange password="E9C1" sqref="D28 T21:U26 U20 T4:U9 U10 U27 A2:U3 A4:D5 T11:U19 B6:D26 T28:U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U1"/>
  </mergeCells>
  <phoneticPr fontId="3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P107"/>
  <sheetViews>
    <sheetView workbookViewId="0">
      <pane xSplit="4" ySplit="2" topLeftCell="G35" activePane="bottomRight" state="frozen"/>
      <selection pane="topRight" activeCell="E1" sqref="E1"/>
      <selection pane="bottomLeft" activeCell="A3" sqref="A3"/>
      <selection pane="bottomRight" activeCell="A50" sqref="A50:XFD50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6" ht="25.5">
      <c r="A1" s="375" t="s">
        <v>265</v>
      </c>
      <c r="B1" s="376"/>
      <c r="C1" s="376"/>
      <c r="D1" s="376"/>
      <c r="E1" s="376"/>
      <c r="F1" s="376"/>
      <c r="G1" s="376"/>
      <c r="H1" s="376"/>
      <c r="I1" s="376"/>
      <c r="J1" s="376"/>
      <c r="K1" s="376"/>
      <c r="L1" s="376"/>
      <c r="M1" s="376"/>
      <c r="N1" s="376"/>
      <c r="O1" s="376"/>
      <c r="P1" s="376"/>
    </row>
    <row r="2" spans="1:16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266</v>
      </c>
      <c r="F2" s="88" t="s">
        <v>267</v>
      </c>
      <c r="G2" s="88" t="s">
        <v>268</v>
      </c>
      <c r="H2" s="88" t="s">
        <v>269</v>
      </c>
      <c r="I2" s="88" t="s">
        <v>270</v>
      </c>
      <c r="J2" s="88" t="s">
        <v>271</v>
      </c>
      <c r="K2" s="88" t="s">
        <v>272</v>
      </c>
      <c r="L2" s="88" t="s">
        <v>273</v>
      </c>
      <c r="M2" s="88" t="s">
        <v>274</v>
      </c>
      <c r="N2" s="88" t="s">
        <v>275</v>
      </c>
      <c r="O2" s="88" t="s">
        <v>24</v>
      </c>
      <c r="P2" s="89" t="s">
        <v>25</v>
      </c>
    </row>
    <row r="3" spans="1:16">
      <c r="A3" s="90" t="s">
        <v>26</v>
      </c>
      <c r="B3" s="91" t="s">
        <v>27</v>
      </c>
      <c r="C3" s="91"/>
      <c r="D3" s="92" t="s">
        <v>28</v>
      </c>
      <c r="E3" s="19">
        <f t="shared" ref="E3:N3" si="0">E4+E30+E49</f>
        <v>31667865.210000001</v>
      </c>
      <c r="F3" s="19">
        <f t="shared" si="0"/>
        <v>24120794.590000004</v>
      </c>
      <c r="G3" s="19">
        <f t="shared" si="0"/>
        <v>43888663.520000003</v>
      </c>
      <c r="H3" s="19">
        <f t="shared" si="0"/>
        <v>35132186.140000001</v>
      </c>
      <c r="I3" s="19">
        <f t="shared" si="0"/>
        <v>29130852.210000001</v>
      </c>
      <c r="J3" s="19">
        <f t="shared" si="0"/>
        <v>20055281.75</v>
      </c>
      <c r="K3" s="19">
        <f t="shared" si="0"/>
        <v>18481524.969999999</v>
      </c>
      <c r="L3" s="19">
        <f t="shared" si="0"/>
        <v>13268283.579999998</v>
      </c>
      <c r="M3" s="19">
        <f t="shared" si="0"/>
        <v>16345660.029999999</v>
      </c>
      <c r="N3" s="19">
        <f t="shared" si="0"/>
        <v>520535.56</v>
      </c>
      <c r="O3" s="19">
        <f t="shared" ref="O3:O9" si="1">SUM(E3:N3)</f>
        <v>232611647.56000003</v>
      </c>
      <c r="P3" s="93"/>
    </row>
    <row r="4" spans="1:16">
      <c r="A4" s="90" t="s">
        <v>29</v>
      </c>
      <c r="B4" s="91" t="s">
        <v>30</v>
      </c>
      <c r="C4" s="91"/>
      <c r="D4" s="92" t="s">
        <v>28</v>
      </c>
      <c r="E4" s="19">
        <f t="shared" ref="E4:N4" si="2">E5+E8+E12+E15+E18+E20+E23+E25+E27+E28+E29</f>
        <v>28142842.48</v>
      </c>
      <c r="F4" s="19">
        <f t="shared" si="2"/>
        <v>21122888.240000002</v>
      </c>
      <c r="G4" s="19">
        <f t="shared" si="2"/>
        <v>38316733.82</v>
      </c>
      <c r="H4" s="19">
        <f t="shared" si="2"/>
        <v>29836545.740000002</v>
      </c>
      <c r="I4" s="19">
        <f t="shared" si="2"/>
        <v>24764070.059999999</v>
      </c>
      <c r="J4" s="19">
        <f t="shared" si="2"/>
        <v>17504316.5</v>
      </c>
      <c r="K4" s="19">
        <f t="shared" si="2"/>
        <v>16334748.220000001</v>
      </c>
      <c r="L4" s="19">
        <f t="shared" si="2"/>
        <v>11527922.879999999</v>
      </c>
      <c r="M4" s="19">
        <f t="shared" si="2"/>
        <v>14371969.779999999</v>
      </c>
      <c r="N4" s="19">
        <f t="shared" si="2"/>
        <v>388090.56</v>
      </c>
      <c r="O4" s="19">
        <f t="shared" si="1"/>
        <v>202310128.28</v>
      </c>
      <c r="P4" s="93"/>
    </row>
    <row r="5" spans="1:16">
      <c r="A5" s="90" t="s">
        <v>31</v>
      </c>
      <c r="B5" s="91" t="s">
        <v>32</v>
      </c>
      <c r="C5" s="91"/>
      <c r="D5" s="92" t="s">
        <v>28</v>
      </c>
      <c r="E5" s="19">
        <f>E6+E7</f>
        <v>3988530</v>
      </c>
      <c r="F5" s="19">
        <f>F6+F7</f>
        <v>3012300</v>
      </c>
      <c r="G5" s="19">
        <f t="shared" ref="G5:N5" si="3">G6+G7</f>
        <v>6029300</v>
      </c>
      <c r="H5" s="19">
        <f t="shared" si="3"/>
        <v>3961260</v>
      </c>
      <c r="I5" s="19">
        <f t="shared" si="3"/>
        <v>3334668</v>
      </c>
      <c r="J5" s="19">
        <f t="shared" si="3"/>
        <v>2275390</v>
      </c>
      <c r="K5" s="19">
        <f t="shared" si="3"/>
        <v>2194360</v>
      </c>
      <c r="L5" s="19">
        <f t="shared" si="3"/>
        <v>1503360</v>
      </c>
      <c r="M5" s="19">
        <f t="shared" si="3"/>
        <v>2000870</v>
      </c>
      <c r="N5" s="19">
        <f t="shared" si="3"/>
        <v>63444</v>
      </c>
      <c r="O5" s="19">
        <f t="shared" si="1"/>
        <v>28363482</v>
      </c>
      <c r="P5" s="93"/>
    </row>
    <row r="6" spans="1:16">
      <c r="A6" s="90" t="s">
        <v>33</v>
      </c>
      <c r="B6" s="91" t="s">
        <v>34</v>
      </c>
      <c r="C6" s="91" t="s">
        <v>35</v>
      </c>
      <c r="D6" s="92" t="s">
        <v>36</v>
      </c>
      <c r="E6" s="22">
        <v>2186340</v>
      </c>
      <c r="F6" s="22">
        <v>1681200</v>
      </c>
      <c r="G6" s="22">
        <v>3098200</v>
      </c>
      <c r="H6" s="22">
        <v>2204904</v>
      </c>
      <c r="I6" s="22">
        <v>1830792</v>
      </c>
      <c r="J6" s="22">
        <v>1435090</v>
      </c>
      <c r="K6" s="22">
        <v>1294470</v>
      </c>
      <c r="L6" s="22">
        <v>922310</v>
      </c>
      <c r="M6" s="22">
        <v>1216720</v>
      </c>
      <c r="N6" s="22">
        <v>31284</v>
      </c>
      <c r="O6" s="19">
        <f t="shared" si="1"/>
        <v>15901310</v>
      </c>
      <c r="P6" s="94"/>
    </row>
    <row r="7" spans="1:16">
      <c r="A7" s="90" t="s">
        <v>37</v>
      </c>
      <c r="B7" s="91" t="s">
        <v>38</v>
      </c>
      <c r="C7" s="91" t="s">
        <v>35</v>
      </c>
      <c r="D7" s="92" t="s">
        <v>36</v>
      </c>
      <c r="E7" s="22">
        <v>1802190</v>
      </c>
      <c r="F7" s="22">
        <v>1331100</v>
      </c>
      <c r="G7" s="22">
        <v>2931100</v>
      </c>
      <c r="H7" s="22">
        <v>1756356</v>
      </c>
      <c r="I7" s="22">
        <v>1503876</v>
      </c>
      <c r="J7" s="22">
        <v>840300</v>
      </c>
      <c r="K7" s="22">
        <v>899890</v>
      </c>
      <c r="L7" s="22">
        <v>581050</v>
      </c>
      <c r="M7" s="22">
        <v>784150</v>
      </c>
      <c r="N7" s="22">
        <v>32160</v>
      </c>
      <c r="O7" s="19">
        <f t="shared" si="1"/>
        <v>12462172</v>
      </c>
      <c r="P7" s="93"/>
    </row>
    <row r="8" spans="1:16">
      <c r="A8" s="90" t="s">
        <v>39</v>
      </c>
      <c r="B8" s="91" t="s">
        <v>40</v>
      </c>
      <c r="C8" s="91"/>
      <c r="D8" s="92" t="s">
        <v>28</v>
      </c>
      <c r="E8" s="19">
        <f>E9+E10</f>
        <v>422856</v>
      </c>
      <c r="F8" s="19">
        <f>F9+F10</f>
        <v>315990</v>
      </c>
      <c r="G8" s="19">
        <f t="shared" ref="G8:N8" si="4">G9+G10</f>
        <v>600780</v>
      </c>
      <c r="H8" s="19">
        <f t="shared" si="4"/>
        <v>460030</v>
      </c>
      <c r="I8" s="19">
        <f t="shared" si="4"/>
        <v>374990</v>
      </c>
      <c r="J8" s="19">
        <f t="shared" si="4"/>
        <v>288176</v>
      </c>
      <c r="K8" s="19">
        <f t="shared" si="4"/>
        <v>267200</v>
      </c>
      <c r="L8" s="19">
        <f t="shared" si="4"/>
        <v>197880</v>
      </c>
      <c r="M8" s="19">
        <f t="shared" si="4"/>
        <v>240828</v>
      </c>
      <c r="N8" s="19">
        <f t="shared" si="4"/>
        <v>5280</v>
      </c>
      <c r="O8" s="19">
        <f t="shared" si="1"/>
        <v>3174010</v>
      </c>
      <c r="P8" s="93"/>
    </row>
    <row r="9" spans="1:16">
      <c r="A9" s="90" t="s">
        <v>41</v>
      </c>
      <c r="B9" s="91" t="s">
        <v>42</v>
      </c>
      <c r="C9" s="91" t="s">
        <v>35</v>
      </c>
      <c r="D9" s="92" t="s">
        <v>36</v>
      </c>
      <c r="E9" s="22">
        <v>5736</v>
      </c>
      <c r="F9" s="22">
        <v>4470</v>
      </c>
      <c r="G9" s="22">
        <v>9420</v>
      </c>
      <c r="H9" s="22">
        <v>5950</v>
      </c>
      <c r="I9" s="22">
        <v>5390</v>
      </c>
      <c r="J9" s="22">
        <v>3056</v>
      </c>
      <c r="K9" s="22">
        <v>3200</v>
      </c>
      <c r="L9" s="22">
        <v>2520</v>
      </c>
      <c r="M9" s="22">
        <v>3228</v>
      </c>
      <c r="N9" s="22"/>
      <c r="O9" s="19">
        <f t="shared" si="1"/>
        <v>42970</v>
      </c>
      <c r="P9" s="93"/>
    </row>
    <row r="10" spans="1:16">
      <c r="A10" s="90" t="s">
        <v>43</v>
      </c>
      <c r="B10" s="91" t="s">
        <v>44</v>
      </c>
      <c r="C10" s="91"/>
      <c r="D10" s="92" t="s">
        <v>28</v>
      </c>
      <c r="E10" s="19">
        <f>E11</f>
        <v>417120</v>
      </c>
      <c r="F10" s="19">
        <f>F11</f>
        <v>311520</v>
      </c>
      <c r="G10" s="19">
        <f t="shared" ref="G10:O10" si="5">G11</f>
        <v>591360</v>
      </c>
      <c r="H10" s="19">
        <f t="shared" si="5"/>
        <v>454080</v>
      </c>
      <c r="I10" s="19">
        <f t="shared" si="5"/>
        <v>369600</v>
      </c>
      <c r="J10" s="19">
        <f t="shared" si="5"/>
        <v>285120</v>
      </c>
      <c r="K10" s="19">
        <f t="shared" si="5"/>
        <v>264000</v>
      </c>
      <c r="L10" s="19">
        <f t="shared" si="5"/>
        <v>195360</v>
      </c>
      <c r="M10" s="19">
        <f t="shared" si="5"/>
        <v>237600</v>
      </c>
      <c r="N10" s="19">
        <f t="shared" si="5"/>
        <v>5280</v>
      </c>
      <c r="O10" s="19">
        <f t="shared" si="5"/>
        <v>3131040</v>
      </c>
      <c r="P10" s="93"/>
    </row>
    <row r="11" spans="1:16" s="96" customFormat="1">
      <c r="A11" s="90" t="s">
        <v>45</v>
      </c>
      <c r="B11" s="95" t="s">
        <v>276</v>
      </c>
      <c r="C11" s="95" t="s">
        <v>35</v>
      </c>
      <c r="D11" s="93" t="s">
        <v>28</v>
      </c>
      <c r="E11" s="19">
        <f>440*12*E93</f>
        <v>417120</v>
      </c>
      <c r="F11" s="19">
        <f t="shared" ref="F11:N11" si="6">440*12*F93</f>
        <v>311520</v>
      </c>
      <c r="G11" s="19">
        <f t="shared" si="6"/>
        <v>591360</v>
      </c>
      <c r="H11" s="19">
        <f t="shared" si="6"/>
        <v>454080</v>
      </c>
      <c r="I11" s="19">
        <f t="shared" si="6"/>
        <v>369600</v>
      </c>
      <c r="J11" s="19">
        <f t="shared" si="6"/>
        <v>285120</v>
      </c>
      <c r="K11" s="19">
        <f t="shared" si="6"/>
        <v>264000</v>
      </c>
      <c r="L11" s="19">
        <f t="shared" si="6"/>
        <v>195360</v>
      </c>
      <c r="M11" s="19">
        <f t="shared" si="6"/>
        <v>237600</v>
      </c>
      <c r="N11" s="19">
        <f t="shared" si="6"/>
        <v>5280</v>
      </c>
      <c r="O11" s="19">
        <f t="shared" ref="O11:O26" si="7">SUM(E11:N11)</f>
        <v>3131040</v>
      </c>
      <c r="P11" s="93"/>
    </row>
    <row r="12" spans="1:16">
      <c r="A12" s="90" t="s">
        <v>47</v>
      </c>
      <c r="B12" s="91" t="s">
        <v>48</v>
      </c>
      <c r="C12" s="91"/>
      <c r="D12" s="92" t="s">
        <v>49</v>
      </c>
      <c r="E12" s="19">
        <f>E13+E14</f>
        <v>133116.48000000001</v>
      </c>
      <c r="F12" s="19">
        <f t="shared" ref="F12:N12" si="8">F13+F14</f>
        <v>100578.23999999999</v>
      </c>
      <c r="G12" s="19">
        <f t="shared" si="8"/>
        <v>156721.82</v>
      </c>
      <c r="H12" s="19">
        <f t="shared" si="8"/>
        <v>138063.74</v>
      </c>
      <c r="I12" s="19">
        <f t="shared" si="8"/>
        <v>118385.06</v>
      </c>
      <c r="J12" s="19">
        <f t="shared" si="8"/>
        <v>84797.5</v>
      </c>
      <c r="K12" s="19">
        <f t="shared" si="8"/>
        <v>79156.22</v>
      </c>
      <c r="L12" s="19">
        <f t="shared" si="8"/>
        <v>51392.880000000005</v>
      </c>
      <c r="M12" s="19">
        <f t="shared" si="8"/>
        <v>65428.78</v>
      </c>
      <c r="N12" s="19">
        <f t="shared" si="8"/>
        <v>2086.56</v>
      </c>
      <c r="O12" s="19">
        <f t="shared" si="7"/>
        <v>929727.28000000014</v>
      </c>
      <c r="P12" s="93"/>
    </row>
    <row r="13" spans="1:16" s="96" customFormat="1">
      <c r="A13" s="90" t="s">
        <v>50</v>
      </c>
      <c r="B13" s="132" t="s">
        <v>591</v>
      </c>
      <c r="C13" s="95" t="s">
        <v>35</v>
      </c>
      <c r="D13" s="93" t="s">
        <v>51</v>
      </c>
      <c r="E13" s="19">
        <f>ROUND(E28/0.07*0.00256,2)</f>
        <v>45076.480000000003</v>
      </c>
      <c r="F13" s="19">
        <f>ROUND(F28/0.07*0.00256,2)</f>
        <v>34058.239999999998</v>
      </c>
      <c r="G13" s="19">
        <f t="shared" ref="G13:N13" si="9">ROUND(G28/0.07*0.00256,2)</f>
        <v>53069.82</v>
      </c>
      <c r="H13" s="19">
        <f t="shared" si="9"/>
        <v>46751.74</v>
      </c>
      <c r="I13" s="19">
        <f t="shared" si="9"/>
        <v>40088.06</v>
      </c>
      <c r="J13" s="19">
        <f t="shared" si="9"/>
        <v>28714.5</v>
      </c>
      <c r="K13" s="19">
        <f t="shared" si="9"/>
        <v>26804.22</v>
      </c>
      <c r="L13" s="19">
        <f t="shared" si="9"/>
        <v>17402.88</v>
      </c>
      <c r="M13" s="19">
        <f t="shared" si="9"/>
        <v>22155.78</v>
      </c>
      <c r="N13" s="19">
        <f t="shared" si="9"/>
        <v>706.56</v>
      </c>
      <c r="O13" s="19">
        <f t="shared" si="7"/>
        <v>314828.27999999997</v>
      </c>
      <c r="P13" s="93"/>
    </row>
    <row r="14" spans="1:16" s="96" customFormat="1">
      <c r="A14" s="90" t="s">
        <v>52</v>
      </c>
      <c r="B14" s="132" t="s">
        <v>592</v>
      </c>
      <c r="C14" s="95" t="s">
        <v>35</v>
      </c>
      <c r="D14" s="93" t="s">
        <v>51</v>
      </c>
      <c r="E14" s="19">
        <f>ROUND(E28/0.07*0.005,2)</f>
        <v>88040</v>
      </c>
      <c r="F14" s="19">
        <f>ROUND(F28/0.07*0.005,2)</f>
        <v>66520</v>
      </c>
      <c r="G14" s="19">
        <f t="shared" ref="G14:N14" si="10">ROUND(G28/0.07*0.005,2)</f>
        <v>103652</v>
      </c>
      <c r="H14" s="19">
        <f t="shared" si="10"/>
        <v>91312</v>
      </c>
      <c r="I14" s="19">
        <f t="shared" si="10"/>
        <v>78297</v>
      </c>
      <c r="J14" s="19">
        <f t="shared" si="10"/>
        <v>56083</v>
      </c>
      <c r="K14" s="19">
        <f t="shared" si="10"/>
        <v>52352</v>
      </c>
      <c r="L14" s="19">
        <f t="shared" si="10"/>
        <v>33990</v>
      </c>
      <c r="M14" s="19">
        <f t="shared" si="10"/>
        <v>43273</v>
      </c>
      <c r="N14" s="19">
        <f t="shared" si="10"/>
        <v>1380</v>
      </c>
      <c r="O14" s="19">
        <f t="shared" si="7"/>
        <v>614899</v>
      </c>
      <c r="P14" s="93"/>
    </row>
    <row r="15" spans="1:16">
      <c r="A15" s="90" t="s">
        <v>53</v>
      </c>
      <c r="B15" s="91" t="s">
        <v>55</v>
      </c>
      <c r="C15" s="91"/>
      <c r="D15" s="92" t="s">
        <v>28</v>
      </c>
      <c r="E15" s="19">
        <v>15112700</v>
      </c>
      <c r="F15" s="19">
        <v>11286700</v>
      </c>
      <c r="G15" s="19">
        <v>21425600</v>
      </c>
      <c r="H15" s="19">
        <v>16451800</v>
      </c>
      <c r="I15" s="19">
        <v>13391000</v>
      </c>
      <c r="J15" s="19">
        <v>9428400</v>
      </c>
      <c r="K15" s="19">
        <v>8730000</v>
      </c>
      <c r="L15" s="19">
        <v>6460200</v>
      </c>
      <c r="M15" s="19">
        <v>7857000</v>
      </c>
      <c r="N15" s="19">
        <v>185700</v>
      </c>
      <c r="O15" s="19">
        <f t="shared" si="7"/>
        <v>110329100</v>
      </c>
      <c r="P15" s="93"/>
    </row>
    <row r="16" spans="1:16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14873408</v>
      </c>
      <c r="F16" s="99">
        <f t="shared" ref="F16:M16" si="11">F15-F17</f>
        <v>11091208</v>
      </c>
      <c r="G16" s="99">
        <f t="shared" si="11"/>
        <v>20933352</v>
      </c>
      <c r="H16" s="99">
        <f t="shared" si="11"/>
        <v>16004044</v>
      </c>
      <c r="I16" s="99">
        <f t="shared" si="11"/>
        <v>13243290</v>
      </c>
      <c r="J16" s="99">
        <f t="shared" si="11"/>
        <v>9239635</v>
      </c>
      <c r="K16" s="99">
        <f t="shared" si="11"/>
        <v>8538628</v>
      </c>
      <c r="L16" s="99">
        <f t="shared" si="11"/>
        <v>6260224</v>
      </c>
      <c r="M16" s="99">
        <f t="shared" si="11"/>
        <v>7659424</v>
      </c>
      <c r="N16" s="99">
        <f>N15-N17</f>
        <v>185700</v>
      </c>
      <c r="O16" s="19">
        <f t="shared" si="7"/>
        <v>108028913</v>
      </c>
      <c r="P16" s="98"/>
    </row>
    <row r="17" spans="1:16">
      <c r="A17" s="90" t="s">
        <v>56</v>
      </c>
      <c r="B17" s="97" t="s">
        <v>60</v>
      </c>
      <c r="C17" s="97" t="s">
        <v>35</v>
      </c>
      <c r="D17" s="98" t="s">
        <v>61</v>
      </c>
      <c r="E17" s="99">
        <v>239292</v>
      </c>
      <c r="F17" s="99">
        <v>195492</v>
      </c>
      <c r="G17" s="99">
        <v>492248</v>
      </c>
      <c r="H17" s="99">
        <v>447756</v>
      </c>
      <c r="I17" s="99">
        <v>147710</v>
      </c>
      <c r="J17" s="99">
        <v>188765</v>
      </c>
      <c r="K17" s="99">
        <v>191372</v>
      </c>
      <c r="L17" s="99">
        <v>199976</v>
      </c>
      <c r="M17" s="99">
        <v>197576</v>
      </c>
      <c r="N17" s="99"/>
      <c r="O17" s="19">
        <f t="shared" si="7"/>
        <v>2300187</v>
      </c>
      <c r="P17" s="98"/>
    </row>
    <row r="18" spans="1:16">
      <c r="A18" s="90" t="s">
        <v>59</v>
      </c>
      <c r="B18" s="91" t="s">
        <v>63</v>
      </c>
      <c r="C18" s="91"/>
      <c r="D18" s="98" t="s">
        <v>28</v>
      </c>
      <c r="E18" s="100">
        <f>E19</f>
        <v>1848840</v>
      </c>
      <c r="F18" s="100">
        <f>F19</f>
        <v>1396920</v>
      </c>
      <c r="G18" s="100">
        <f t="shared" ref="G18:N18" si="12">G19</f>
        <v>2176692</v>
      </c>
      <c r="H18" s="100">
        <f t="shared" si="12"/>
        <v>1917552</v>
      </c>
      <c r="I18" s="100">
        <f t="shared" si="12"/>
        <v>1644237</v>
      </c>
      <c r="J18" s="100">
        <f t="shared" si="12"/>
        <v>1177743</v>
      </c>
      <c r="K18" s="100">
        <f t="shared" si="12"/>
        <v>1099392</v>
      </c>
      <c r="L18" s="100">
        <f t="shared" si="12"/>
        <v>713790</v>
      </c>
      <c r="M18" s="100">
        <f t="shared" si="12"/>
        <v>908733</v>
      </c>
      <c r="N18" s="100">
        <f t="shared" si="12"/>
        <v>28980</v>
      </c>
      <c r="O18" s="19">
        <f t="shared" si="7"/>
        <v>12912879</v>
      </c>
      <c r="P18" s="98"/>
    </row>
    <row r="19" spans="1:16">
      <c r="A19" s="90" t="s">
        <v>62</v>
      </c>
      <c r="B19" s="91" t="s">
        <v>277</v>
      </c>
      <c r="C19" s="91" t="s">
        <v>66</v>
      </c>
      <c r="D19" s="98" t="s">
        <v>28</v>
      </c>
      <c r="E19" s="100">
        <f>ROUND(E28/0.07*0.105,2)</f>
        <v>1848840</v>
      </c>
      <c r="F19" s="100">
        <f>ROUND(F28/0.07*0.105,2)</f>
        <v>1396920</v>
      </c>
      <c r="G19" s="100">
        <f t="shared" ref="G19:N19" si="13">ROUND(G28/0.07*0.105,2)</f>
        <v>2176692</v>
      </c>
      <c r="H19" s="100">
        <f t="shared" si="13"/>
        <v>1917552</v>
      </c>
      <c r="I19" s="100">
        <f t="shared" si="13"/>
        <v>1644237</v>
      </c>
      <c r="J19" s="100">
        <f t="shared" si="13"/>
        <v>1177743</v>
      </c>
      <c r="K19" s="100">
        <f t="shared" si="13"/>
        <v>1099392</v>
      </c>
      <c r="L19" s="100">
        <f t="shared" si="13"/>
        <v>713790</v>
      </c>
      <c r="M19" s="100">
        <f t="shared" si="13"/>
        <v>908733</v>
      </c>
      <c r="N19" s="100">
        <f t="shared" si="13"/>
        <v>28980</v>
      </c>
      <c r="O19" s="19">
        <f t="shared" si="7"/>
        <v>12912879</v>
      </c>
      <c r="P19" s="98"/>
    </row>
    <row r="20" spans="1:16">
      <c r="A20" s="90" t="s">
        <v>64</v>
      </c>
      <c r="B20" s="91" t="s">
        <v>68</v>
      </c>
      <c r="C20" s="91"/>
      <c r="D20" s="98" t="s">
        <v>51</v>
      </c>
      <c r="E20" s="100">
        <f>E21+E22</f>
        <v>704320</v>
      </c>
      <c r="F20" s="100">
        <f>F21+F22</f>
        <v>532160</v>
      </c>
      <c r="G20" s="100">
        <f t="shared" ref="G20:N20" si="14">G21+G22</f>
        <v>829216</v>
      </c>
      <c r="H20" s="100">
        <f t="shared" si="14"/>
        <v>730496</v>
      </c>
      <c r="I20" s="100">
        <f t="shared" si="14"/>
        <v>626376</v>
      </c>
      <c r="J20" s="100">
        <f t="shared" si="14"/>
        <v>448664</v>
      </c>
      <c r="K20" s="100">
        <f t="shared" si="14"/>
        <v>418816</v>
      </c>
      <c r="L20" s="100">
        <f t="shared" si="14"/>
        <v>271920</v>
      </c>
      <c r="M20" s="100">
        <f t="shared" si="14"/>
        <v>346184</v>
      </c>
      <c r="N20" s="100">
        <f t="shared" si="14"/>
        <v>11040</v>
      </c>
      <c r="O20" s="19">
        <f t="shared" si="7"/>
        <v>4919192</v>
      </c>
      <c r="P20" s="98"/>
    </row>
    <row r="21" spans="1:16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352160</v>
      </c>
      <c r="F21" s="100">
        <f>ROUND(F28/0.07*0.02,2)</f>
        <v>266080</v>
      </c>
      <c r="G21" s="100">
        <f t="shared" ref="G21:N21" si="15">ROUND(G28/0.07*0.02,2)</f>
        <v>414608</v>
      </c>
      <c r="H21" s="100">
        <f t="shared" si="15"/>
        <v>365248</v>
      </c>
      <c r="I21" s="100">
        <f t="shared" si="15"/>
        <v>313188</v>
      </c>
      <c r="J21" s="100">
        <f t="shared" si="15"/>
        <v>224332</v>
      </c>
      <c r="K21" s="100">
        <f t="shared" si="15"/>
        <v>209408</v>
      </c>
      <c r="L21" s="100">
        <f t="shared" si="15"/>
        <v>135960</v>
      </c>
      <c r="M21" s="100">
        <f t="shared" si="15"/>
        <v>173092</v>
      </c>
      <c r="N21" s="100">
        <f t="shared" si="15"/>
        <v>5520</v>
      </c>
      <c r="O21" s="19">
        <f t="shared" si="7"/>
        <v>2459596</v>
      </c>
      <c r="P21" s="98"/>
    </row>
    <row r="22" spans="1:16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352160</v>
      </c>
      <c r="F22" s="100">
        <f>ROUND(F28/0.07*0.02,2)</f>
        <v>266080</v>
      </c>
      <c r="G22" s="100">
        <f t="shared" ref="G22:N22" si="16">ROUND(G28/0.07*0.02,2)</f>
        <v>414608</v>
      </c>
      <c r="H22" s="100">
        <f t="shared" si="16"/>
        <v>365248</v>
      </c>
      <c r="I22" s="100">
        <f t="shared" si="16"/>
        <v>313188</v>
      </c>
      <c r="J22" s="100">
        <f t="shared" si="16"/>
        <v>224332</v>
      </c>
      <c r="K22" s="100">
        <f t="shared" si="16"/>
        <v>209408</v>
      </c>
      <c r="L22" s="100">
        <f t="shared" si="16"/>
        <v>135960</v>
      </c>
      <c r="M22" s="100">
        <f t="shared" si="16"/>
        <v>173092</v>
      </c>
      <c r="N22" s="100">
        <f t="shared" si="16"/>
        <v>5520</v>
      </c>
      <c r="O22" s="19">
        <f t="shared" si="7"/>
        <v>2459596</v>
      </c>
      <c r="P22" s="98"/>
    </row>
    <row r="23" spans="1:16">
      <c r="A23" s="90" t="s">
        <v>72</v>
      </c>
      <c r="B23" s="91" t="s">
        <v>75</v>
      </c>
      <c r="C23" s="91"/>
      <c r="D23" s="92" t="s">
        <v>28</v>
      </c>
      <c r="E23" s="19">
        <f>E24</f>
        <v>2817280</v>
      </c>
      <c r="F23" s="19">
        <f>F24</f>
        <v>2128640</v>
      </c>
      <c r="G23" s="19">
        <f t="shared" ref="G23:N23" si="17">G24</f>
        <v>3316864</v>
      </c>
      <c r="H23" s="19">
        <f t="shared" si="17"/>
        <v>2921984</v>
      </c>
      <c r="I23" s="19">
        <f t="shared" si="17"/>
        <v>2505504</v>
      </c>
      <c r="J23" s="19">
        <f t="shared" si="17"/>
        <v>1794656</v>
      </c>
      <c r="K23" s="19">
        <f t="shared" si="17"/>
        <v>1675264</v>
      </c>
      <c r="L23" s="19">
        <f t="shared" si="17"/>
        <v>1087680</v>
      </c>
      <c r="M23" s="19">
        <f t="shared" si="17"/>
        <v>1384736</v>
      </c>
      <c r="N23" s="19">
        <f t="shared" si="17"/>
        <v>44160</v>
      </c>
      <c r="O23" s="19">
        <f t="shared" si="7"/>
        <v>19676768</v>
      </c>
      <c r="P23" s="93"/>
    </row>
    <row r="24" spans="1:16" s="96" customFormat="1">
      <c r="A24" s="90" t="s">
        <v>74</v>
      </c>
      <c r="B24" s="95" t="s">
        <v>278</v>
      </c>
      <c r="C24" s="95" t="s">
        <v>78</v>
      </c>
      <c r="D24" s="93" t="s">
        <v>51</v>
      </c>
      <c r="E24" s="19">
        <f>ROUND(E28/0.07*0.16,2)</f>
        <v>2817280</v>
      </c>
      <c r="F24" s="19">
        <f>ROUND(F28/0.07*0.16,2)</f>
        <v>2128640</v>
      </c>
      <c r="G24" s="19">
        <f t="shared" ref="G24:N24" si="18">ROUND(G28/0.07*0.16,2)</f>
        <v>3316864</v>
      </c>
      <c r="H24" s="19">
        <f t="shared" si="18"/>
        <v>2921984</v>
      </c>
      <c r="I24" s="19">
        <f t="shared" si="18"/>
        <v>2505504</v>
      </c>
      <c r="J24" s="19">
        <f t="shared" si="18"/>
        <v>1794656</v>
      </c>
      <c r="K24" s="19">
        <f t="shared" si="18"/>
        <v>1675264</v>
      </c>
      <c r="L24" s="19">
        <f t="shared" si="18"/>
        <v>1087680</v>
      </c>
      <c r="M24" s="19">
        <f t="shared" si="18"/>
        <v>1384736</v>
      </c>
      <c r="N24" s="19">
        <f t="shared" si="18"/>
        <v>44160</v>
      </c>
      <c r="O24" s="19">
        <f t="shared" si="7"/>
        <v>19676768</v>
      </c>
      <c r="P24" s="93"/>
    </row>
    <row r="25" spans="1:16">
      <c r="A25" s="90" t="s">
        <v>76</v>
      </c>
      <c r="B25" s="91" t="s">
        <v>80</v>
      </c>
      <c r="C25" s="91"/>
      <c r="D25" s="92" t="s">
        <v>28</v>
      </c>
      <c r="E25" s="19">
        <f>E26</f>
        <v>1408640</v>
      </c>
      <c r="F25" s="19">
        <f>F26</f>
        <v>1064320</v>
      </c>
      <c r="G25" s="19">
        <f t="shared" ref="G25:N25" si="19">G26</f>
        <v>1658432</v>
      </c>
      <c r="H25" s="19">
        <f t="shared" si="19"/>
        <v>1460992</v>
      </c>
      <c r="I25" s="19">
        <f t="shared" si="19"/>
        <v>1252752</v>
      </c>
      <c r="J25" s="19">
        <f t="shared" si="19"/>
        <v>897328</v>
      </c>
      <c r="K25" s="19">
        <f t="shared" si="19"/>
        <v>837632</v>
      </c>
      <c r="L25" s="19">
        <f t="shared" si="19"/>
        <v>543840</v>
      </c>
      <c r="M25" s="19">
        <f t="shared" si="19"/>
        <v>692368</v>
      </c>
      <c r="N25" s="19">
        <f t="shared" si="19"/>
        <v>22080</v>
      </c>
      <c r="O25" s="19">
        <f t="shared" si="7"/>
        <v>9838384</v>
      </c>
      <c r="P25" s="93"/>
    </row>
    <row r="26" spans="1:16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1408640</v>
      </c>
      <c r="F26" s="19">
        <f>ROUND(F28/0.07*0.08,2)</f>
        <v>1064320</v>
      </c>
      <c r="G26" s="19">
        <f t="shared" ref="G26:N26" si="20">ROUND(G28/0.07*0.08,2)</f>
        <v>1658432</v>
      </c>
      <c r="H26" s="19">
        <f t="shared" si="20"/>
        <v>1460992</v>
      </c>
      <c r="I26" s="19">
        <f t="shared" si="20"/>
        <v>1252752</v>
      </c>
      <c r="J26" s="19">
        <f t="shared" si="20"/>
        <v>897328</v>
      </c>
      <c r="K26" s="19">
        <f t="shared" si="20"/>
        <v>837632</v>
      </c>
      <c r="L26" s="19">
        <f t="shared" si="20"/>
        <v>543840</v>
      </c>
      <c r="M26" s="19">
        <f t="shared" si="20"/>
        <v>692368</v>
      </c>
      <c r="N26" s="19">
        <f t="shared" si="20"/>
        <v>22080</v>
      </c>
      <c r="O26" s="19">
        <f t="shared" si="7"/>
        <v>9838384</v>
      </c>
      <c r="P26" s="93"/>
    </row>
    <row r="27" spans="1:16" ht="22.5">
      <c r="A27" s="90" t="s">
        <v>81</v>
      </c>
      <c r="B27" s="91" t="s">
        <v>85</v>
      </c>
      <c r="C27" s="97" t="s">
        <v>35</v>
      </c>
      <c r="D27" s="93" t="s">
        <v>279</v>
      </c>
      <c r="E27" s="19">
        <f>6000*E93</f>
        <v>474000</v>
      </c>
      <c r="F27" s="19">
        <f>6000*F93</f>
        <v>354000</v>
      </c>
      <c r="G27" s="19">
        <f t="shared" ref="G27:O27" si="21">6000*G93</f>
        <v>672000</v>
      </c>
      <c r="H27" s="19">
        <f t="shared" si="21"/>
        <v>516000</v>
      </c>
      <c r="I27" s="19">
        <f t="shared" si="21"/>
        <v>420000</v>
      </c>
      <c r="J27" s="19">
        <f t="shared" si="21"/>
        <v>324000</v>
      </c>
      <c r="K27" s="19">
        <f t="shared" si="21"/>
        <v>300000</v>
      </c>
      <c r="L27" s="19">
        <f t="shared" si="21"/>
        <v>222000</v>
      </c>
      <c r="M27" s="19">
        <f t="shared" si="21"/>
        <v>270000</v>
      </c>
      <c r="N27" s="19">
        <f t="shared" si="21"/>
        <v>6000</v>
      </c>
      <c r="O27" s="19">
        <f t="shared" si="21"/>
        <v>3558000</v>
      </c>
      <c r="P27" s="93"/>
    </row>
    <row r="28" spans="1:16">
      <c r="A28" s="90" t="s">
        <v>84</v>
      </c>
      <c r="B28" s="91" t="s">
        <v>88</v>
      </c>
      <c r="C28" s="91" t="s">
        <v>88</v>
      </c>
      <c r="D28" s="92" t="s">
        <v>36</v>
      </c>
      <c r="E28" s="99">
        <v>1232560</v>
      </c>
      <c r="F28" s="99">
        <v>931280</v>
      </c>
      <c r="G28" s="99">
        <v>1451128</v>
      </c>
      <c r="H28" s="99">
        <v>1278368</v>
      </c>
      <c r="I28" s="99">
        <v>1096158</v>
      </c>
      <c r="J28" s="99">
        <v>785162</v>
      </c>
      <c r="K28" s="99">
        <v>732928</v>
      </c>
      <c r="L28" s="99">
        <v>475860</v>
      </c>
      <c r="M28" s="99">
        <v>605822</v>
      </c>
      <c r="N28" s="99">
        <v>19320</v>
      </c>
      <c r="O28" s="19">
        <f t="shared" ref="O28:O89" si="22">SUM(E28:N28)</f>
        <v>8608586</v>
      </c>
      <c r="P28" s="98"/>
    </row>
    <row r="29" spans="1:16">
      <c r="A29" s="90" t="s">
        <v>87</v>
      </c>
      <c r="B29" s="91" t="s">
        <v>280</v>
      </c>
      <c r="C29" s="91" t="s">
        <v>281</v>
      </c>
      <c r="D29" s="93" t="s">
        <v>117</v>
      </c>
      <c r="E29" s="99"/>
      <c r="F29" s="99"/>
      <c r="G29" s="99"/>
      <c r="H29" s="99"/>
      <c r="I29" s="99"/>
      <c r="J29" s="99"/>
      <c r="K29" s="99"/>
      <c r="L29" s="99"/>
      <c r="M29" s="99"/>
      <c r="N29" s="99"/>
      <c r="O29" s="19">
        <f t="shared" si="22"/>
        <v>0</v>
      </c>
      <c r="P29" s="98"/>
    </row>
    <row r="30" spans="1:16">
      <c r="A30" s="90" t="s">
        <v>90</v>
      </c>
      <c r="B30" s="91" t="s">
        <v>95</v>
      </c>
      <c r="C30" s="91"/>
      <c r="D30" s="92" t="s">
        <v>28</v>
      </c>
      <c r="E30" s="19">
        <f>E31+E39+E42+E44</f>
        <v>9590</v>
      </c>
      <c r="F30" s="19">
        <f t="shared" ref="F30:N30" si="23">F31+F39+F42+F44</f>
        <v>6600</v>
      </c>
      <c r="G30" s="19">
        <f t="shared" si="23"/>
        <v>13210</v>
      </c>
      <c r="H30" s="19">
        <f t="shared" si="23"/>
        <v>9460</v>
      </c>
      <c r="I30" s="19">
        <f t="shared" si="23"/>
        <v>6540</v>
      </c>
      <c r="J30" s="19">
        <f t="shared" si="23"/>
        <v>6200</v>
      </c>
      <c r="K30" s="19">
        <f t="shared" si="23"/>
        <v>5100</v>
      </c>
      <c r="L30" s="19">
        <f t="shared" si="23"/>
        <v>6600</v>
      </c>
      <c r="M30" s="19">
        <f t="shared" si="23"/>
        <v>6150</v>
      </c>
      <c r="N30" s="19">
        <f t="shared" si="23"/>
        <v>960</v>
      </c>
      <c r="O30" s="19">
        <f t="shared" si="22"/>
        <v>70410</v>
      </c>
      <c r="P30" s="93"/>
    </row>
    <row r="31" spans="1:16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>F32+F33+F34+F35+F36+F37+F38</f>
        <v>0</v>
      </c>
      <c r="G31" s="19">
        <f t="shared" ref="G31:N31" si="24">G32+G33+G34+G35+G36+G37+G38</f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4"/>
        <v>0</v>
      </c>
      <c r="M31" s="19">
        <f t="shared" si="24"/>
        <v>0</v>
      </c>
      <c r="N31" s="19">
        <f t="shared" si="24"/>
        <v>0</v>
      </c>
      <c r="O31" s="19">
        <f t="shared" si="22"/>
        <v>0</v>
      </c>
      <c r="P31" s="93"/>
    </row>
    <row r="32" spans="1:16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19">
        <f t="shared" si="22"/>
        <v>0</v>
      </c>
      <c r="P32" s="98"/>
    </row>
    <row r="33" spans="1:16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19">
        <f t="shared" si="22"/>
        <v>0</v>
      </c>
      <c r="P33" s="98"/>
    </row>
    <row r="34" spans="1:16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19">
        <f t="shared" si="22"/>
        <v>0</v>
      </c>
      <c r="P34" s="98"/>
    </row>
    <row r="35" spans="1:16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19">
        <f t="shared" si="22"/>
        <v>0</v>
      </c>
      <c r="P35" s="98"/>
    </row>
    <row r="36" spans="1:16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19">
        <f t="shared" si="22"/>
        <v>0</v>
      </c>
      <c r="P36" s="98"/>
    </row>
    <row r="37" spans="1:16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19">
        <f t="shared" si="22"/>
        <v>0</v>
      </c>
      <c r="P37" s="98"/>
    </row>
    <row r="38" spans="1:16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19">
        <f t="shared" si="22"/>
        <v>0</v>
      </c>
      <c r="P38" s="98"/>
    </row>
    <row r="39" spans="1:16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>F40+F41</f>
        <v>0</v>
      </c>
      <c r="G39" s="19">
        <f t="shared" ref="G39:N39" si="25">G40+G41</f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5"/>
        <v>0</v>
      </c>
      <c r="M39" s="19">
        <f t="shared" si="25"/>
        <v>0</v>
      </c>
      <c r="N39" s="19">
        <f t="shared" si="25"/>
        <v>0</v>
      </c>
      <c r="O39" s="19">
        <f t="shared" si="22"/>
        <v>0</v>
      </c>
      <c r="P39" s="93"/>
    </row>
    <row r="40" spans="1:16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9">
        <f t="shared" si="22"/>
        <v>0</v>
      </c>
      <c r="P40" s="93"/>
    </row>
    <row r="41" spans="1:16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9">
        <f t="shared" si="22"/>
        <v>0</v>
      </c>
      <c r="P41" s="93"/>
    </row>
    <row r="42" spans="1:16">
      <c r="A42" s="90" t="s">
        <v>118</v>
      </c>
      <c r="B42" s="91" t="s">
        <v>125</v>
      </c>
      <c r="C42" s="91"/>
      <c r="D42" s="92" t="s">
        <v>28</v>
      </c>
      <c r="E42" s="19">
        <f>E43</f>
        <v>4590</v>
      </c>
      <c r="F42" s="19">
        <f>F43</f>
        <v>5100</v>
      </c>
      <c r="G42" s="19">
        <f t="shared" ref="G42:N42" si="26">G43</f>
        <v>6210</v>
      </c>
      <c r="H42" s="19">
        <f t="shared" si="26"/>
        <v>3960</v>
      </c>
      <c r="I42" s="19">
        <f t="shared" si="26"/>
        <v>5040</v>
      </c>
      <c r="J42" s="19">
        <f t="shared" si="26"/>
        <v>1200</v>
      </c>
      <c r="K42" s="19">
        <f t="shared" si="26"/>
        <v>1600</v>
      </c>
      <c r="L42" s="19">
        <f t="shared" si="26"/>
        <v>3600</v>
      </c>
      <c r="M42" s="19">
        <f t="shared" si="26"/>
        <v>2900</v>
      </c>
      <c r="N42" s="19">
        <f t="shared" si="26"/>
        <v>360</v>
      </c>
      <c r="O42" s="19">
        <f t="shared" si="22"/>
        <v>34560</v>
      </c>
      <c r="P42" s="93"/>
    </row>
    <row r="43" spans="1:16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4590</v>
      </c>
      <c r="F43" s="22">
        <v>5100</v>
      </c>
      <c r="G43" s="22">
        <v>6210</v>
      </c>
      <c r="H43" s="22">
        <v>3960</v>
      </c>
      <c r="I43" s="22">
        <v>5040</v>
      </c>
      <c r="J43" s="22">
        <v>1200</v>
      </c>
      <c r="K43" s="22">
        <v>1600</v>
      </c>
      <c r="L43" s="22">
        <v>3600</v>
      </c>
      <c r="M43" s="22">
        <v>2900</v>
      </c>
      <c r="N43" s="22">
        <v>360</v>
      </c>
      <c r="O43" s="19">
        <f t="shared" si="22"/>
        <v>34560</v>
      </c>
      <c r="P43" s="93"/>
    </row>
    <row r="44" spans="1:16">
      <c r="A44" s="90" t="s">
        <v>122</v>
      </c>
      <c r="B44" s="91" t="s">
        <v>129</v>
      </c>
      <c r="C44" s="91"/>
      <c r="D44" s="92" t="s">
        <v>28</v>
      </c>
      <c r="E44" s="19">
        <f>SUM(E45:E48)</f>
        <v>5000</v>
      </c>
      <c r="F44" s="19">
        <f>SUM(F45:F48)</f>
        <v>1500</v>
      </c>
      <c r="G44" s="19">
        <f t="shared" ref="G44:N44" si="27">SUM(G45:G48)</f>
        <v>7000</v>
      </c>
      <c r="H44" s="19">
        <f t="shared" si="27"/>
        <v>5500</v>
      </c>
      <c r="I44" s="19">
        <f t="shared" si="27"/>
        <v>1500</v>
      </c>
      <c r="J44" s="19">
        <f t="shared" si="27"/>
        <v>5000</v>
      </c>
      <c r="K44" s="19">
        <f t="shared" si="27"/>
        <v>3500</v>
      </c>
      <c r="L44" s="19">
        <f t="shared" si="27"/>
        <v>3000</v>
      </c>
      <c r="M44" s="19">
        <f t="shared" si="27"/>
        <v>3250</v>
      </c>
      <c r="N44" s="19">
        <f t="shared" si="27"/>
        <v>600</v>
      </c>
      <c r="O44" s="19">
        <f t="shared" si="22"/>
        <v>35850</v>
      </c>
      <c r="P44" s="93"/>
    </row>
    <row r="45" spans="1:16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5000</v>
      </c>
      <c r="F45" s="22">
        <v>1500</v>
      </c>
      <c r="G45" s="22">
        <v>7000</v>
      </c>
      <c r="H45" s="22">
        <v>5500</v>
      </c>
      <c r="I45" s="22">
        <v>1500</v>
      </c>
      <c r="J45" s="22">
        <v>5000</v>
      </c>
      <c r="K45" s="22">
        <v>3500</v>
      </c>
      <c r="L45" s="22">
        <v>3000</v>
      </c>
      <c r="M45" s="22">
        <v>3250</v>
      </c>
      <c r="N45" s="22">
        <v>600</v>
      </c>
      <c r="O45" s="19">
        <f t="shared" si="22"/>
        <v>35850</v>
      </c>
      <c r="P45" s="93"/>
    </row>
    <row r="46" spans="1:16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9">
        <f t="shared" si="22"/>
        <v>0</v>
      </c>
      <c r="P46" s="93"/>
    </row>
    <row r="47" spans="1:16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9">
        <f t="shared" si="22"/>
        <v>0</v>
      </c>
      <c r="P47" s="93"/>
    </row>
    <row r="48" spans="1:16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19">
        <f t="shared" si="22"/>
        <v>0</v>
      </c>
      <c r="P48" s="98"/>
    </row>
    <row r="49" spans="1:16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3515432.73</v>
      </c>
      <c r="F49" s="19">
        <f>F50+F68+F70+F72+F74+F76+F78+F80+F82+F90</f>
        <v>2991306.35</v>
      </c>
      <c r="G49" s="19">
        <f t="shared" ref="G49:N49" si="28">G50+G68+G70+G72+G74+G76+G78+G80+G82+G90</f>
        <v>5558719.7000000002</v>
      </c>
      <c r="H49" s="19">
        <f t="shared" si="28"/>
        <v>5286180.4000000004</v>
      </c>
      <c r="I49" s="19">
        <f t="shared" si="28"/>
        <v>4360242.1500000004</v>
      </c>
      <c r="J49" s="19">
        <f t="shared" si="28"/>
        <v>2544765.25</v>
      </c>
      <c r="K49" s="19">
        <f t="shared" si="28"/>
        <v>2141676.75</v>
      </c>
      <c r="L49" s="19">
        <f t="shared" si="28"/>
        <v>1733760.7</v>
      </c>
      <c r="M49" s="19">
        <f t="shared" si="28"/>
        <v>1967540.25</v>
      </c>
      <c r="N49" s="19">
        <f t="shared" si="28"/>
        <v>131485</v>
      </c>
      <c r="O49" s="19">
        <f t="shared" si="22"/>
        <v>30231109.279999997</v>
      </c>
      <c r="P49" s="93"/>
    </row>
    <row r="50" spans="1:16">
      <c r="A50" s="90" t="s">
        <v>136</v>
      </c>
      <c r="B50" s="91" t="s">
        <v>144</v>
      </c>
      <c r="C50" s="91"/>
      <c r="D50" s="92" t="s">
        <v>145</v>
      </c>
      <c r="E50" s="19">
        <v>2211000</v>
      </c>
      <c r="F50" s="19">
        <v>2010000</v>
      </c>
      <c r="G50" s="19">
        <v>4067840</v>
      </c>
      <c r="H50" s="19">
        <v>3669030</v>
      </c>
      <c r="I50" s="19">
        <v>3322350</v>
      </c>
      <c r="J50" s="19">
        <v>1716000</v>
      </c>
      <c r="K50" s="19">
        <v>1530000</v>
      </c>
      <c r="L50" s="19">
        <v>1287000</v>
      </c>
      <c r="M50" s="19">
        <v>1381380</v>
      </c>
      <c r="N50" s="19">
        <v>22400</v>
      </c>
      <c r="O50" s="19">
        <f t="shared" si="22"/>
        <v>21217000</v>
      </c>
      <c r="P50" s="93"/>
    </row>
    <row r="51" spans="1:16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19">
        <f t="shared" si="22"/>
        <v>0</v>
      </c>
      <c r="P51" s="93"/>
    </row>
    <row r="52" spans="1:16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19">
        <f t="shared" si="22"/>
        <v>0</v>
      </c>
      <c r="P52" s="93"/>
    </row>
    <row r="53" spans="1:16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19">
        <f t="shared" si="22"/>
        <v>0</v>
      </c>
      <c r="P53" s="93"/>
    </row>
    <row r="54" spans="1:16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19">
        <f t="shared" si="22"/>
        <v>0</v>
      </c>
      <c r="P54" s="93"/>
    </row>
    <row r="55" spans="1:16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19">
        <f t="shared" si="22"/>
        <v>0</v>
      </c>
      <c r="P55" s="93"/>
    </row>
    <row r="56" spans="1:16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19">
        <f t="shared" si="22"/>
        <v>0</v>
      </c>
      <c r="P56" s="93"/>
    </row>
    <row r="57" spans="1:16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19">
        <f t="shared" si="22"/>
        <v>0</v>
      </c>
      <c r="P57" s="93"/>
    </row>
    <row r="58" spans="1:16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19">
        <f t="shared" si="22"/>
        <v>0</v>
      </c>
      <c r="P58" s="93"/>
    </row>
    <row r="59" spans="1:16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19">
        <f t="shared" si="22"/>
        <v>0</v>
      </c>
      <c r="P59" s="93"/>
    </row>
    <row r="60" spans="1:16">
      <c r="A60" s="90" t="s">
        <v>158</v>
      </c>
      <c r="B60" s="91" t="s">
        <v>282</v>
      </c>
      <c r="C60" s="91" t="s">
        <v>35</v>
      </c>
      <c r="D60" s="102" t="s">
        <v>283</v>
      </c>
      <c r="E60" s="22">
        <v>110550</v>
      </c>
      <c r="F60" s="22">
        <v>93967.5</v>
      </c>
      <c r="G60" s="22">
        <v>203392</v>
      </c>
      <c r="H60" s="22">
        <v>183451.5</v>
      </c>
      <c r="I60" s="22">
        <v>166117.5</v>
      </c>
      <c r="J60" s="22">
        <v>78936</v>
      </c>
      <c r="K60" s="22">
        <v>67167</v>
      </c>
      <c r="L60" s="22">
        <v>46332</v>
      </c>
      <c r="M60" s="22">
        <v>58201</v>
      </c>
      <c r="N60" s="22">
        <v>1120</v>
      </c>
      <c r="O60" s="19">
        <f t="shared" si="22"/>
        <v>1009234.5</v>
      </c>
      <c r="P60" s="93"/>
    </row>
    <row r="61" spans="1:16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19">
        <f t="shared" si="22"/>
        <v>0</v>
      </c>
      <c r="P61" s="93"/>
    </row>
    <row r="62" spans="1:16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19">
        <f t="shared" si="22"/>
        <v>0</v>
      </c>
      <c r="P62" s="93"/>
    </row>
    <row r="63" spans="1:16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19">
        <f t="shared" si="22"/>
        <v>0</v>
      </c>
      <c r="P63" s="93"/>
    </row>
    <row r="64" spans="1:16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19">
        <f t="shared" si="22"/>
        <v>0</v>
      </c>
      <c r="P64" s="93"/>
    </row>
    <row r="65" spans="1:16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19">
        <f t="shared" si="22"/>
        <v>0</v>
      </c>
      <c r="P65" s="93"/>
    </row>
    <row r="66" spans="1:16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19">
        <f t="shared" si="22"/>
        <v>0</v>
      </c>
      <c r="P66" s="93"/>
    </row>
    <row r="67" spans="1:16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19">
        <f t="shared" si="22"/>
        <v>0</v>
      </c>
      <c r="P67" s="93"/>
    </row>
    <row r="68" spans="1:16">
      <c r="A68" s="90" t="s">
        <v>176</v>
      </c>
      <c r="B68" s="91" t="s">
        <v>183</v>
      </c>
      <c r="C68" s="91"/>
      <c r="D68" s="92"/>
      <c r="E68" s="19">
        <f>E69</f>
        <v>31600</v>
      </c>
      <c r="F68" s="19">
        <f>F69</f>
        <v>23600</v>
      </c>
      <c r="G68" s="19">
        <f t="shared" ref="G68:N68" si="29">G69</f>
        <v>44800</v>
      </c>
      <c r="H68" s="19">
        <f t="shared" si="29"/>
        <v>34400</v>
      </c>
      <c r="I68" s="19">
        <f t="shared" si="29"/>
        <v>28000</v>
      </c>
      <c r="J68" s="19">
        <f t="shared" si="29"/>
        <v>21600</v>
      </c>
      <c r="K68" s="19">
        <f t="shared" si="29"/>
        <v>20000</v>
      </c>
      <c r="L68" s="19">
        <f t="shared" si="29"/>
        <v>14800</v>
      </c>
      <c r="M68" s="19">
        <f t="shared" si="29"/>
        <v>18000</v>
      </c>
      <c r="N68" s="19">
        <f t="shared" si="29"/>
        <v>400</v>
      </c>
      <c r="O68" s="19">
        <f t="shared" si="22"/>
        <v>237200</v>
      </c>
      <c r="P68" s="93"/>
    </row>
    <row r="69" spans="1:16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31600</v>
      </c>
      <c r="F69" s="19">
        <f>F93*400</f>
        <v>23600</v>
      </c>
      <c r="G69" s="19">
        <f t="shared" ref="G69:N69" si="30">G93*400</f>
        <v>44800</v>
      </c>
      <c r="H69" s="19">
        <f t="shared" si="30"/>
        <v>34400</v>
      </c>
      <c r="I69" s="19">
        <f t="shared" si="30"/>
        <v>28000</v>
      </c>
      <c r="J69" s="19">
        <f t="shared" si="30"/>
        <v>21600</v>
      </c>
      <c r="K69" s="19">
        <f t="shared" si="30"/>
        <v>20000</v>
      </c>
      <c r="L69" s="19">
        <f t="shared" si="30"/>
        <v>14800</v>
      </c>
      <c r="M69" s="19">
        <f t="shared" si="30"/>
        <v>18000</v>
      </c>
      <c r="N69" s="19">
        <f t="shared" si="30"/>
        <v>400</v>
      </c>
      <c r="O69" s="19">
        <f t="shared" si="22"/>
        <v>237200</v>
      </c>
      <c r="P69" s="93"/>
    </row>
    <row r="70" spans="1:16">
      <c r="A70" s="90" t="s">
        <v>180</v>
      </c>
      <c r="B70" s="91" t="s">
        <v>188</v>
      </c>
      <c r="C70" s="91"/>
      <c r="D70" s="92" t="s">
        <v>28</v>
      </c>
      <c r="E70" s="19">
        <f>E71</f>
        <v>173576.25</v>
      </c>
      <c r="F70" s="19">
        <f>F71</f>
        <v>181200.75</v>
      </c>
      <c r="G70" s="19">
        <f t="shared" ref="G70:N70" si="31">G71</f>
        <v>288657.3</v>
      </c>
      <c r="H70" s="19">
        <f t="shared" si="31"/>
        <v>202718.4</v>
      </c>
      <c r="I70" s="19">
        <f t="shared" si="31"/>
        <v>179640.15</v>
      </c>
      <c r="J70" s="19">
        <f t="shared" si="31"/>
        <v>183473.25</v>
      </c>
      <c r="K70" s="19">
        <f t="shared" si="31"/>
        <v>86520.75</v>
      </c>
      <c r="L70" s="19">
        <f t="shared" si="31"/>
        <v>41792.699999999997</v>
      </c>
      <c r="M70" s="19">
        <f t="shared" si="31"/>
        <v>97676.25</v>
      </c>
      <c r="N70" s="19">
        <f t="shared" si="31"/>
        <v>64605</v>
      </c>
      <c r="O70" s="19">
        <f t="shared" si="22"/>
        <v>1499860.8</v>
      </c>
      <c r="P70" s="93"/>
    </row>
    <row r="71" spans="1:16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173576.25</v>
      </c>
      <c r="F71" s="19">
        <f>F105*15</f>
        <v>181200.75</v>
      </c>
      <c r="G71" s="19">
        <f t="shared" ref="G71:N71" si="32">G105*15</f>
        <v>288657.3</v>
      </c>
      <c r="H71" s="19">
        <f t="shared" si="32"/>
        <v>202718.4</v>
      </c>
      <c r="I71" s="19">
        <f t="shared" si="32"/>
        <v>179640.15</v>
      </c>
      <c r="J71" s="19">
        <f t="shared" si="32"/>
        <v>183473.25</v>
      </c>
      <c r="K71" s="19">
        <f t="shared" si="32"/>
        <v>86520.75</v>
      </c>
      <c r="L71" s="19">
        <f t="shared" si="32"/>
        <v>41792.699999999997</v>
      </c>
      <c r="M71" s="19">
        <f t="shared" si="32"/>
        <v>97676.25</v>
      </c>
      <c r="N71" s="19">
        <f t="shared" si="32"/>
        <v>64605</v>
      </c>
      <c r="O71" s="19">
        <f t="shared" si="22"/>
        <v>1499860.8</v>
      </c>
      <c r="P71" s="93"/>
    </row>
    <row r="72" spans="1:16">
      <c r="A72" s="90" t="s">
        <v>184</v>
      </c>
      <c r="B72" s="91" t="s">
        <v>193</v>
      </c>
      <c r="C72" s="91"/>
      <c r="D72" s="92" t="s">
        <v>28</v>
      </c>
      <c r="E72" s="19">
        <f>E73</f>
        <v>29256.48</v>
      </c>
      <c r="F72" s="19">
        <f>F73</f>
        <v>48905.599999999999</v>
      </c>
      <c r="G72" s="19">
        <f t="shared" ref="G72:N72" si="33">G73</f>
        <v>71214.399999999994</v>
      </c>
      <c r="H72" s="19">
        <f t="shared" si="33"/>
        <v>63744</v>
      </c>
      <c r="I72" s="19">
        <f t="shared" si="33"/>
        <v>26904</v>
      </c>
      <c r="J72" s="19">
        <f t="shared" si="33"/>
        <v>30240</v>
      </c>
      <c r="K72" s="19">
        <f t="shared" si="33"/>
        <v>23868</v>
      </c>
      <c r="L72" s="19">
        <f t="shared" si="33"/>
        <v>5728</v>
      </c>
      <c r="M72" s="19">
        <f t="shared" si="33"/>
        <v>28232</v>
      </c>
      <c r="N72" s="19">
        <f t="shared" si="33"/>
        <v>2240</v>
      </c>
      <c r="O72" s="19">
        <f t="shared" si="22"/>
        <v>330332.48</v>
      </c>
      <c r="P72" s="93"/>
    </row>
    <row r="73" spans="1:16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29256.48</v>
      </c>
      <c r="F73" s="19">
        <f>F106*8</f>
        <v>48905.599999999999</v>
      </c>
      <c r="G73" s="19">
        <f t="shared" ref="G73:N73" si="34">G106*8</f>
        <v>71214.399999999994</v>
      </c>
      <c r="H73" s="19">
        <f t="shared" si="34"/>
        <v>63744</v>
      </c>
      <c r="I73" s="19">
        <f t="shared" si="34"/>
        <v>26904</v>
      </c>
      <c r="J73" s="19">
        <f t="shared" si="34"/>
        <v>30240</v>
      </c>
      <c r="K73" s="19">
        <f t="shared" si="34"/>
        <v>23868</v>
      </c>
      <c r="L73" s="19">
        <f t="shared" si="34"/>
        <v>5728</v>
      </c>
      <c r="M73" s="19">
        <f t="shared" si="34"/>
        <v>28232</v>
      </c>
      <c r="N73" s="19">
        <f t="shared" si="34"/>
        <v>2240</v>
      </c>
      <c r="O73" s="19">
        <f t="shared" si="22"/>
        <v>330332.48</v>
      </c>
      <c r="P73" s="93"/>
    </row>
    <row r="74" spans="1:16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>F75</f>
        <v>0</v>
      </c>
      <c r="G74" s="19">
        <f t="shared" ref="G74:N74" si="35">G75</f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35"/>
        <v>0</v>
      </c>
      <c r="M74" s="19">
        <f t="shared" si="35"/>
        <v>0</v>
      </c>
      <c r="N74" s="19">
        <f t="shared" si="35"/>
        <v>0</v>
      </c>
      <c r="O74" s="19">
        <f t="shared" si="22"/>
        <v>0</v>
      </c>
      <c r="P74" s="93"/>
    </row>
    <row r="75" spans="1:16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9">
        <f t="shared" si="22"/>
        <v>0</v>
      </c>
      <c r="P75" s="93"/>
    </row>
    <row r="76" spans="1:16">
      <c r="A76" s="90" t="s">
        <v>194</v>
      </c>
      <c r="B76" s="91" t="s">
        <v>202</v>
      </c>
      <c r="C76" s="91"/>
      <c r="D76" s="92" t="s">
        <v>28</v>
      </c>
      <c r="E76" s="19">
        <f>E77</f>
        <v>341280</v>
      </c>
      <c r="F76" s="19">
        <f>F77</f>
        <v>254880</v>
      </c>
      <c r="G76" s="19">
        <f t="shared" ref="G76:N76" si="36">G77</f>
        <v>483840</v>
      </c>
      <c r="H76" s="19">
        <f t="shared" si="36"/>
        <v>371520</v>
      </c>
      <c r="I76" s="19">
        <f t="shared" si="36"/>
        <v>302400</v>
      </c>
      <c r="J76" s="19">
        <f t="shared" si="36"/>
        <v>233280</v>
      </c>
      <c r="K76" s="19">
        <f t="shared" si="36"/>
        <v>216000</v>
      </c>
      <c r="L76" s="19">
        <f t="shared" si="36"/>
        <v>159840</v>
      </c>
      <c r="M76" s="19">
        <f t="shared" si="36"/>
        <v>194400</v>
      </c>
      <c r="N76" s="19">
        <f t="shared" si="36"/>
        <v>4320</v>
      </c>
      <c r="O76" s="19">
        <f t="shared" si="22"/>
        <v>2561760</v>
      </c>
      <c r="P76" s="93"/>
    </row>
    <row r="77" spans="1:16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341280</v>
      </c>
      <c r="F77" s="19">
        <f>F93*4320</f>
        <v>254880</v>
      </c>
      <c r="G77" s="19">
        <f t="shared" ref="G77:N77" si="37">G93*4320</f>
        <v>483840</v>
      </c>
      <c r="H77" s="19">
        <f t="shared" si="37"/>
        <v>371520</v>
      </c>
      <c r="I77" s="19">
        <f t="shared" si="37"/>
        <v>302400</v>
      </c>
      <c r="J77" s="19">
        <f t="shared" si="37"/>
        <v>233280</v>
      </c>
      <c r="K77" s="19">
        <f t="shared" si="37"/>
        <v>216000</v>
      </c>
      <c r="L77" s="19">
        <f t="shared" si="37"/>
        <v>159840</v>
      </c>
      <c r="M77" s="19">
        <f t="shared" si="37"/>
        <v>194400</v>
      </c>
      <c r="N77" s="19">
        <f t="shared" si="37"/>
        <v>4320</v>
      </c>
      <c r="O77" s="19">
        <f t="shared" si="22"/>
        <v>2561760</v>
      </c>
      <c r="P77" s="93"/>
    </row>
    <row r="78" spans="1:16">
      <c r="A78" s="90" t="s">
        <v>199</v>
      </c>
      <c r="B78" s="91" t="s">
        <v>207</v>
      </c>
      <c r="C78" s="91"/>
      <c r="D78" s="92" t="s">
        <v>28</v>
      </c>
      <c r="E78" s="19">
        <f>E79</f>
        <v>352160</v>
      </c>
      <c r="F78" s="19">
        <f>F79</f>
        <v>266080</v>
      </c>
      <c r="G78" s="19">
        <f t="shared" ref="G78:N78" si="38">G79</f>
        <v>414608</v>
      </c>
      <c r="H78" s="19">
        <f t="shared" si="38"/>
        <v>365248</v>
      </c>
      <c r="I78" s="19">
        <f t="shared" si="38"/>
        <v>313188</v>
      </c>
      <c r="J78" s="19">
        <f t="shared" si="38"/>
        <v>224332</v>
      </c>
      <c r="K78" s="19">
        <f t="shared" si="38"/>
        <v>209408</v>
      </c>
      <c r="L78" s="19">
        <f t="shared" si="38"/>
        <v>135960</v>
      </c>
      <c r="M78" s="19">
        <f t="shared" si="38"/>
        <v>173092</v>
      </c>
      <c r="N78" s="19">
        <f t="shared" si="38"/>
        <v>5520</v>
      </c>
      <c r="O78" s="19">
        <f t="shared" si="22"/>
        <v>2459596</v>
      </c>
      <c r="P78" s="93"/>
    </row>
    <row r="79" spans="1:16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352160</v>
      </c>
      <c r="F79" s="19">
        <f>ROUND(F28/0.07*0.02,2)</f>
        <v>266080</v>
      </c>
      <c r="G79" s="19">
        <f t="shared" ref="G79:N79" si="39">ROUND(G28/0.07*0.02,2)</f>
        <v>414608</v>
      </c>
      <c r="H79" s="19">
        <f t="shared" si="39"/>
        <v>365248</v>
      </c>
      <c r="I79" s="19">
        <f t="shared" si="39"/>
        <v>313188</v>
      </c>
      <c r="J79" s="19">
        <f t="shared" si="39"/>
        <v>224332</v>
      </c>
      <c r="K79" s="19">
        <f t="shared" si="39"/>
        <v>209408</v>
      </c>
      <c r="L79" s="19">
        <f t="shared" si="39"/>
        <v>135960</v>
      </c>
      <c r="M79" s="19">
        <f t="shared" si="39"/>
        <v>173092</v>
      </c>
      <c r="N79" s="19">
        <f t="shared" si="39"/>
        <v>5520</v>
      </c>
      <c r="O79" s="19">
        <f t="shared" si="22"/>
        <v>2459596</v>
      </c>
      <c r="P79" s="93"/>
    </row>
    <row r="80" spans="1:16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>F81</f>
        <v>32000</v>
      </c>
      <c r="G80" s="19">
        <f t="shared" ref="G80:N80" si="40">G81</f>
        <v>32000</v>
      </c>
      <c r="H80" s="19">
        <f t="shared" si="40"/>
        <v>32000</v>
      </c>
      <c r="I80" s="19">
        <f t="shared" si="40"/>
        <v>32000</v>
      </c>
      <c r="J80" s="19">
        <f t="shared" si="40"/>
        <v>0</v>
      </c>
      <c r="K80" s="19">
        <f t="shared" si="40"/>
        <v>32000</v>
      </c>
      <c r="L80" s="19">
        <f t="shared" si="40"/>
        <v>0</v>
      </c>
      <c r="M80" s="19">
        <f t="shared" si="40"/>
        <v>32000</v>
      </c>
      <c r="N80" s="19">
        <f t="shared" si="40"/>
        <v>0</v>
      </c>
      <c r="O80" s="19">
        <f t="shared" si="22"/>
        <v>224000</v>
      </c>
      <c r="P80" s="93"/>
    </row>
    <row r="81" spans="1:16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>
        <v>32000</v>
      </c>
      <c r="H81" s="22">
        <v>32000</v>
      </c>
      <c r="I81" s="22">
        <v>32000</v>
      </c>
      <c r="J81" s="22"/>
      <c r="K81" s="22">
        <v>32000</v>
      </c>
      <c r="L81" s="22"/>
      <c r="M81" s="22">
        <v>32000</v>
      </c>
      <c r="N81" s="22"/>
      <c r="O81" s="19">
        <f t="shared" si="22"/>
        <v>224000</v>
      </c>
      <c r="P81" s="93"/>
    </row>
    <row r="82" spans="1:16">
      <c r="A82" s="90" t="s">
        <v>208</v>
      </c>
      <c r="B82" s="91" t="s">
        <v>216</v>
      </c>
      <c r="C82" s="91"/>
      <c r="D82" s="92" t="s">
        <v>28</v>
      </c>
      <c r="E82" s="19">
        <f>E83+E86+E89</f>
        <v>344560</v>
      </c>
      <c r="F82" s="19">
        <f>F83+F86+F89</f>
        <v>174640</v>
      </c>
      <c r="G82" s="19">
        <f t="shared" ref="G82:N82" si="41">G83+G86+G89</f>
        <v>155760</v>
      </c>
      <c r="H82" s="19">
        <f t="shared" si="41"/>
        <v>547520</v>
      </c>
      <c r="I82" s="19">
        <f t="shared" si="41"/>
        <v>155760</v>
      </c>
      <c r="J82" s="19">
        <f t="shared" si="41"/>
        <v>103840</v>
      </c>
      <c r="K82" s="19">
        <f t="shared" si="41"/>
        <v>18880</v>
      </c>
      <c r="L82" s="19">
        <f t="shared" si="41"/>
        <v>56640</v>
      </c>
      <c r="M82" s="19">
        <f t="shared" si="41"/>
        <v>37760</v>
      </c>
      <c r="N82" s="19">
        <f t="shared" si="41"/>
        <v>0</v>
      </c>
      <c r="O82" s="19">
        <f t="shared" si="22"/>
        <v>1595360</v>
      </c>
      <c r="P82" s="93"/>
    </row>
    <row r="83" spans="1:1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>F84+F85</f>
        <v>0</v>
      </c>
      <c r="G83" s="19">
        <f t="shared" ref="G83:N83" si="42">G84+G85</f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42"/>
        <v>0</v>
      </c>
      <c r="M83" s="19">
        <f t="shared" si="42"/>
        <v>0</v>
      </c>
      <c r="N83" s="19">
        <f t="shared" si="42"/>
        <v>0</v>
      </c>
      <c r="O83" s="19">
        <f t="shared" si="22"/>
        <v>0</v>
      </c>
      <c r="P83" s="93"/>
    </row>
    <row r="84" spans="1:1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19">
        <f t="shared" si="22"/>
        <v>0</v>
      </c>
      <c r="P84" s="98"/>
    </row>
    <row r="85" spans="1:16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19">
        <f t="shared" si="22"/>
        <v>0</v>
      </c>
      <c r="P85" s="98"/>
    </row>
    <row r="86" spans="1:16">
      <c r="A86" s="90" t="s">
        <v>217</v>
      </c>
      <c r="B86" s="91" t="s">
        <v>225</v>
      </c>
      <c r="C86" s="91"/>
      <c r="D86" s="92" t="s">
        <v>28</v>
      </c>
      <c r="E86" s="19">
        <f>E87+E88</f>
        <v>344560</v>
      </c>
      <c r="F86" s="19">
        <f>F87+F88</f>
        <v>174640</v>
      </c>
      <c r="G86" s="19">
        <f t="shared" ref="G86:N86" si="43">G87+G88</f>
        <v>155760</v>
      </c>
      <c r="H86" s="19">
        <f t="shared" si="43"/>
        <v>547520</v>
      </c>
      <c r="I86" s="19">
        <f t="shared" si="43"/>
        <v>155760</v>
      </c>
      <c r="J86" s="19">
        <f t="shared" si="43"/>
        <v>103840</v>
      </c>
      <c r="K86" s="19">
        <f t="shared" si="43"/>
        <v>18880</v>
      </c>
      <c r="L86" s="19">
        <f t="shared" si="43"/>
        <v>56640</v>
      </c>
      <c r="M86" s="19">
        <f t="shared" si="43"/>
        <v>37760</v>
      </c>
      <c r="N86" s="19">
        <f t="shared" si="43"/>
        <v>0</v>
      </c>
      <c r="O86" s="19">
        <f t="shared" si="22"/>
        <v>1595360</v>
      </c>
      <c r="P86" s="93"/>
    </row>
    <row r="87" spans="1:16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29200</v>
      </c>
      <c r="F87" s="19">
        <f>F104*400</f>
        <v>14800</v>
      </c>
      <c r="G87" s="19">
        <f t="shared" ref="G87:N87" si="44">G104*400</f>
        <v>13200</v>
      </c>
      <c r="H87" s="19">
        <f t="shared" si="44"/>
        <v>46400</v>
      </c>
      <c r="I87" s="19">
        <f t="shared" si="44"/>
        <v>13200</v>
      </c>
      <c r="J87" s="19">
        <f t="shared" si="44"/>
        <v>8800</v>
      </c>
      <c r="K87" s="19">
        <f t="shared" si="44"/>
        <v>1600</v>
      </c>
      <c r="L87" s="19">
        <f t="shared" si="44"/>
        <v>4800</v>
      </c>
      <c r="M87" s="19">
        <f t="shared" si="44"/>
        <v>3200</v>
      </c>
      <c r="N87" s="19">
        <f t="shared" si="44"/>
        <v>0</v>
      </c>
      <c r="O87" s="19">
        <f t="shared" si="22"/>
        <v>135200</v>
      </c>
      <c r="P87" s="93"/>
    </row>
    <row r="88" spans="1:16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315360</v>
      </c>
      <c r="F88" s="19">
        <f>F104*4320</f>
        <v>159840</v>
      </c>
      <c r="G88" s="19">
        <f t="shared" ref="G88:N88" si="45">G104*4320</f>
        <v>142560</v>
      </c>
      <c r="H88" s="19">
        <f t="shared" si="45"/>
        <v>501120</v>
      </c>
      <c r="I88" s="19">
        <f t="shared" si="45"/>
        <v>142560</v>
      </c>
      <c r="J88" s="19">
        <f t="shared" si="45"/>
        <v>95040</v>
      </c>
      <c r="K88" s="19">
        <f t="shared" si="45"/>
        <v>17280</v>
      </c>
      <c r="L88" s="19">
        <f t="shared" si="45"/>
        <v>51840</v>
      </c>
      <c r="M88" s="19">
        <f t="shared" si="45"/>
        <v>34560</v>
      </c>
      <c r="N88" s="19">
        <f t="shared" si="45"/>
        <v>0</v>
      </c>
      <c r="O88" s="19">
        <f t="shared" si="22"/>
        <v>1460160</v>
      </c>
      <c r="P88" s="93"/>
    </row>
    <row r="89" spans="1:1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9">
        <f t="shared" si="22"/>
        <v>0</v>
      </c>
      <c r="P89" s="98"/>
    </row>
    <row r="90" spans="1:1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>F91</f>
        <v>0</v>
      </c>
      <c r="G90" s="19">
        <f t="shared" ref="G90:N90" si="46">G91</f>
        <v>0</v>
      </c>
      <c r="H90" s="19">
        <f t="shared" si="46"/>
        <v>0</v>
      </c>
      <c r="I90" s="19">
        <f t="shared" si="46"/>
        <v>0</v>
      </c>
      <c r="J90" s="19">
        <f t="shared" si="46"/>
        <v>32000</v>
      </c>
      <c r="K90" s="19">
        <f t="shared" si="46"/>
        <v>5000</v>
      </c>
      <c r="L90" s="19">
        <f t="shared" si="46"/>
        <v>32000</v>
      </c>
      <c r="M90" s="19">
        <f t="shared" si="46"/>
        <v>5000</v>
      </c>
      <c r="N90" s="19">
        <f t="shared" si="46"/>
        <v>32000</v>
      </c>
      <c r="O90" s="19">
        <f t="shared" ref="O90:O106" si="47">SUM(E90:N90)</f>
        <v>106000</v>
      </c>
      <c r="P90" s="93"/>
    </row>
    <row r="91" spans="1:16" ht="68.25" thickBot="1">
      <c r="A91" s="90" t="s">
        <v>229</v>
      </c>
      <c r="B91" s="105" t="s">
        <v>237</v>
      </c>
      <c r="C91" s="91" t="s">
        <v>35</v>
      </c>
      <c r="D91" s="106" t="s">
        <v>284</v>
      </c>
      <c r="E91" s="107"/>
      <c r="F91" s="107"/>
      <c r="G91" s="107"/>
      <c r="H91" s="107"/>
      <c r="I91" s="107"/>
      <c r="J91" s="107">
        <v>32000</v>
      </c>
      <c r="K91" s="107">
        <v>5000</v>
      </c>
      <c r="L91" s="107">
        <v>32000</v>
      </c>
      <c r="M91" s="107">
        <v>5000</v>
      </c>
      <c r="N91" s="107">
        <v>32000</v>
      </c>
      <c r="O91" s="19">
        <f t="shared" si="47"/>
        <v>106000</v>
      </c>
      <c r="P91" s="108"/>
    </row>
    <row r="92" spans="1:1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9">
        <f t="shared" si="47"/>
        <v>0</v>
      </c>
      <c r="P92" s="112"/>
    </row>
    <row r="93" spans="1:16" ht="22.5">
      <c r="A93" s="90" t="s">
        <v>234</v>
      </c>
      <c r="B93" s="91" t="s">
        <v>242</v>
      </c>
      <c r="C93" s="91"/>
      <c r="D93" s="92" t="s">
        <v>285</v>
      </c>
      <c r="E93" s="19">
        <f>E94+E95+E96+E97</f>
        <v>79</v>
      </c>
      <c r="F93" s="19">
        <f>F94+F95+F96+F97</f>
        <v>59</v>
      </c>
      <c r="G93" s="19">
        <f t="shared" ref="G93:N93" si="48">G94+G95+G96+G97</f>
        <v>112</v>
      </c>
      <c r="H93" s="19">
        <f t="shared" si="48"/>
        <v>86</v>
      </c>
      <c r="I93" s="19">
        <f t="shared" si="48"/>
        <v>70</v>
      </c>
      <c r="J93" s="19">
        <f t="shared" si="48"/>
        <v>54</v>
      </c>
      <c r="K93" s="19">
        <f t="shared" si="48"/>
        <v>50</v>
      </c>
      <c r="L93" s="19">
        <f t="shared" si="48"/>
        <v>37</v>
      </c>
      <c r="M93" s="19">
        <f t="shared" si="48"/>
        <v>45</v>
      </c>
      <c r="N93" s="19">
        <f t="shared" si="48"/>
        <v>1</v>
      </c>
      <c r="O93" s="19">
        <f t="shared" si="47"/>
        <v>593</v>
      </c>
      <c r="P93" s="93"/>
    </row>
    <row r="94" spans="1:16">
      <c r="A94" s="90" t="s">
        <v>236</v>
      </c>
      <c r="B94" s="113" t="s">
        <v>245</v>
      </c>
      <c r="C94" s="113"/>
      <c r="D94" s="98"/>
      <c r="E94" s="99">
        <v>79</v>
      </c>
      <c r="F94" s="99">
        <v>59</v>
      </c>
      <c r="G94" s="99">
        <v>58</v>
      </c>
      <c r="H94" s="99"/>
      <c r="I94" s="99"/>
      <c r="J94" s="99"/>
      <c r="K94" s="99"/>
      <c r="L94" s="99"/>
      <c r="M94" s="99"/>
      <c r="N94" s="99"/>
      <c r="O94" s="19">
        <f t="shared" si="47"/>
        <v>196</v>
      </c>
      <c r="P94" s="93"/>
    </row>
    <row r="95" spans="1:16">
      <c r="A95" s="90" t="s">
        <v>239</v>
      </c>
      <c r="B95" s="113" t="s">
        <v>247</v>
      </c>
      <c r="C95" s="113"/>
      <c r="D95" s="92"/>
      <c r="E95" s="22"/>
      <c r="F95" s="22"/>
      <c r="G95" s="22">
        <v>54</v>
      </c>
      <c r="H95" s="22">
        <v>86</v>
      </c>
      <c r="I95" s="22">
        <v>70</v>
      </c>
      <c r="J95" s="22"/>
      <c r="K95" s="22"/>
      <c r="L95" s="22"/>
      <c r="M95" s="22"/>
      <c r="N95" s="22"/>
      <c r="O95" s="19">
        <f t="shared" si="47"/>
        <v>210</v>
      </c>
      <c r="P95" s="93"/>
    </row>
    <row r="96" spans="1:1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>
        <v>54</v>
      </c>
      <c r="K96" s="99">
        <v>50</v>
      </c>
      <c r="L96" s="99">
        <v>37</v>
      </c>
      <c r="M96" s="99">
        <v>45</v>
      </c>
      <c r="N96" s="99"/>
      <c r="O96" s="19">
        <f t="shared" si="47"/>
        <v>186</v>
      </c>
      <c r="P96" s="93"/>
    </row>
    <row r="97" spans="1:1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>
        <v>1</v>
      </c>
      <c r="O97" s="19">
        <f t="shared" si="47"/>
        <v>1</v>
      </c>
      <c r="P97" s="93"/>
    </row>
    <row r="98" spans="1:16" ht="22.5">
      <c r="A98" s="90" t="s">
        <v>246</v>
      </c>
      <c r="B98" s="91" t="s">
        <v>253</v>
      </c>
      <c r="C98" s="91"/>
      <c r="D98" s="92" t="s">
        <v>286</v>
      </c>
      <c r="E98" s="19">
        <f>E99+E100+E101+E102</f>
        <v>660</v>
      </c>
      <c r="F98" s="19">
        <f>F99+F100+F101+F102</f>
        <v>561</v>
      </c>
      <c r="G98" s="19">
        <f t="shared" ref="G98:N98" si="49">G99+G100+G101+G102</f>
        <v>1246</v>
      </c>
      <c r="H98" s="19">
        <f t="shared" si="49"/>
        <v>1143</v>
      </c>
      <c r="I98" s="19">
        <f t="shared" si="49"/>
        <v>1035</v>
      </c>
      <c r="J98" s="19">
        <f t="shared" si="49"/>
        <v>552</v>
      </c>
      <c r="K98" s="19">
        <f t="shared" si="49"/>
        <v>439</v>
      </c>
      <c r="L98" s="19">
        <f t="shared" si="49"/>
        <v>324</v>
      </c>
      <c r="M98" s="19">
        <f t="shared" si="49"/>
        <v>407</v>
      </c>
      <c r="N98" s="19">
        <f t="shared" si="49"/>
        <v>0</v>
      </c>
      <c r="O98" s="19">
        <f t="shared" si="47"/>
        <v>6367</v>
      </c>
      <c r="P98" s="93"/>
    </row>
    <row r="99" spans="1:16">
      <c r="A99" s="90" t="s">
        <v>248</v>
      </c>
      <c r="B99" s="113" t="s">
        <v>245</v>
      </c>
      <c r="C99" s="113"/>
      <c r="D99" s="98"/>
      <c r="E99" s="99">
        <v>660</v>
      </c>
      <c r="F99" s="99">
        <v>561</v>
      </c>
      <c r="G99" s="99">
        <v>487</v>
      </c>
      <c r="H99" s="99"/>
      <c r="I99" s="99"/>
      <c r="J99" s="99"/>
      <c r="K99" s="99"/>
      <c r="L99" s="99"/>
      <c r="M99" s="99"/>
      <c r="N99" s="99"/>
      <c r="O99" s="19">
        <f t="shared" si="47"/>
        <v>1708</v>
      </c>
      <c r="P99" s="93"/>
    </row>
    <row r="100" spans="1:16">
      <c r="A100" s="90" t="s">
        <v>250</v>
      </c>
      <c r="B100" s="113" t="s">
        <v>247</v>
      </c>
      <c r="C100" s="113"/>
      <c r="D100" s="92"/>
      <c r="E100" s="22"/>
      <c r="F100" s="22"/>
      <c r="G100" s="22">
        <v>759</v>
      </c>
      <c r="H100" s="22">
        <v>1143</v>
      </c>
      <c r="I100" s="22">
        <v>1035</v>
      </c>
      <c r="J100" s="22"/>
      <c r="K100" s="22"/>
      <c r="L100" s="22"/>
      <c r="M100" s="22"/>
      <c r="N100" s="22"/>
      <c r="O100" s="19">
        <f t="shared" si="47"/>
        <v>2937</v>
      </c>
      <c r="P100" s="93"/>
    </row>
    <row r="101" spans="1:1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>
        <v>552</v>
      </c>
      <c r="K101" s="99">
        <v>439</v>
      </c>
      <c r="L101" s="99">
        <v>324</v>
      </c>
      <c r="M101" s="99">
        <v>407</v>
      </c>
      <c r="N101" s="99"/>
      <c r="O101" s="19">
        <f t="shared" si="47"/>
        <v>1722</v>
      </c>
      <c r="P101" s="93"/>
    </row>
    <row r="102" spans="1:1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19">
        <f t="shared" si="47"/>
        <v>0</v>
      </c>
      <c r="P102" s="93"/>
    </row>
    <row r="103" spans="1:1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9">
        <f t="shared" si="47"/>
        <v>0</v>
      </c>
      <c r="P103" s="93"/>
    </row>
    <row r="104" spans="1:16">
      <c r="A104" s="90" t="s">
        <v>257</v>
      </c>
      <c r="B104" s="91" t="s">
        <v>261</v>
      </c>
      <c r="C104" s="91"/>
      <c r="D104" s="92"/>
      <c r="E104" s="22">
        <v>73</v>
      </c>
      <c r="F104" s="22">
        <v>37</v>
      </c>
      <c r="G104" s="22">
        <v>33</v>
      </c>
      <c r="H104" s="22">
        <v>116</v>
      </c>
      <c r="I104" s="22">
        <v>33</v>
      </c>
      <c r="J104" s="22">
        <v>22</v>
      </c>
      <c r="K104" s="22">
        <v>4</v>
      </c>
      <c r="L104" s="22">
        <v>12</v>
      </c>
      <c r="M104" s="22">
        <v>8</v>
      </c>
      <c r="N104" s="22"/>
      <c r="O104" s="19">
        <f t="shared" si="47"/>
        <v>338</v>
      </c>
      <c r="P104" s="93"/>
    </row>
    <row r="105" spans="1:16">
      <c r="A105" s="90" t="s">
        <v>258</v>
      </c>
      <c r="B105" s="113" t="s">
        <v>262</v>
      </c>
      <c r="C105" s="113"/>
      <c r="D105" s="102"/>
      <c r="E105" s="22">
        <v>11571.75</v>
      </c>
      <c r="F105" s="22">
        <v>12080.05</v>
      </c>
      <c r="G105" s="22">
        <v>19243.82</v>
      </c>
      <c r="H105" s="22">
        <v>13514.56</v>
      </c>
      <c r="I105" s="22">
        <v>11976.01</v>
      </c>
      <c r="J105" s="22">
        <v>12231.55</v>
      </c>
      <c r="K105" s="22">
        <v>5768.05</v>
      </c>
      <c r="L105" s="22">
        <v>2786.18</v>
      </c>
      <c r="M105" s="22">
        <v>6511.75</v>
      </c>
      <c r="N105" s="22">
        <v>4307</v>
      </c>
      <c r="O105" s="19">
        <f t="shared" si="47"/>
        <v>99990.719999999987</v>
      </c>
      <c r="P105" s="93"/>
    </row>
    <row r="106" spans="1:16">
      <c r="A106" s="90" t="s">
        <v>259</v>
      </c>
      <c r="B106" s="113" t="s">
        <v>263</v>
      </c>
      <c r="C106" s="113"/>
      <c r="D106" s="102"/>
      <c r="E106" s="22">
        <v>3657.06</v>
      </c>
      <c r="F106" s="22">
        <v>6113.2</v>
      </c>
      <c r="G106" s="22">
        <v>8901.7999999999993</v>
      </c>
      <c r="H106" s="22">
        <v>7968</v>
      </c>
      <c r="I106" s="22">
        <v>3363</v>
      </c>
      <c r="J106" s="22">
        <v>3780</v>
      </c>
      <c r="K106" s="22">
        <v>2983.5</v>
      </c>
      <c r="L106" s="22">
        <v>716</v>
      </c>
      <c r="M106" s="22">
        <v>3529</v>
      </c>
      <c r="N106" s="22">
        <v>280</v>
      </c>
      <c r="O106" s="19">
        <f t="shared" si="47"/>
        <v>41291.56</v>
      </c>
      <c r="P106" s="93"/>
    </row>
    <row r="107" spans="1:16">
      <c r="E107" s="86">
        <f t="shared" ref="E107:O107" si="50">E4/E93</f>
        <v>356238.51240506332</v>
      </c>
      <c r="F107" s="86">
        <f t="shared" si="50"/>
        <v>358015.0549152543</v>
      </c>
      <c r="G107" s="86">
        <f t="shared" si="50"/>
        <v>342113.69482142857</v>
      </c>
      <c r="H107" s="86">
        <f t="shared" si="50"/>
        <v>346936.57837209303</v>
      </c>
      <c r="I107" s="86">
        <f t="shared" si="50"/>
        <v>353772.42942857143</v>
      </c>
      <c r="J107" s="86">
        <f t="shared" si="50"/>
        <v>324154.00925925927</v>
      </c>
      <c r="K107" s="86">
        <f t="shared" si="50"/>
        <v>326694.9644</v>
      </c>
      <c r="L107" s="86">
        <f t="shared" si="50"/>
        <v>311565.48324324319</v>
      </c>
      <c r="M107" s="86">
        <f t="shared" si="50"/>
        <v>319377.10622222221</v>
      </c>
      <c r="N107" s="86">
        <f t="shared" si="50"/>
        <v>388090.56</v>
      </c>
      <c r="O107" s="86">
        <f t="shared" si="50"/>
        <v>341163.79136593593</v>
      </c>
    </row>
  </sheetData>
  <protectedRanges>
    <protectedRange password="E9C1" sqref="D28 O21:P26 P20 O4:P9 P10 P27 A2:P3 A4:D5 O11:P19 O28:P106 B30:D106 B6:D26 A6:A106" name="区域1_1_2"/>
    <protectedRange password="E9C1" sqref="B27:C29" name="区域1_1_1_1"/>
    <protectedRange password="E9C1" sqref="D27" name="区域1_3"/>
    <protectedRange password="E9C1" sqref="D29" name="区域1_2_1"/>
  </protectedRanges>
  <mergeCells count="1">
    <mergeCell ref="A1:P1"/>
  </mergeCells>
  <phoneticPr fontId="3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G126"/>
  <sheetViews>
    <sheetView workbookViewId="0">
      <selection activeCell="G12" sqref="G12"/>
    </sheetView>
  </sheetViews>
  <sheetFormatPr defaultRowHeight="13.5"/>
  <cols>
    <col min="1" max="1" width="5.375" style="79" customWidth="1"/>
    <col min="2" max="2" width="21.375" customWidth="1"/>
    <col min="4" max="4" width="9" customWidth="1"/>
    <col min="5" max="5" width="7.5" style="80" customWidth="1"/>
    <col min="6" max="6" width="10" customWidth="1"/>
    <col min="7" max="7" width="14" customWidth="1"/>
  </cols>
  <sheetData>
    <row r="1" spans="1:7" ht="20.25">
      <c r="A1" s="380" t="s">
        <v>488</v>
      </c>
      <c r="B1" s="380"/>
      <c r="C1" s="380"/>
      <c r="D1" s="380"/>
      <c r="E1" s="380"/>
      <c r="F1" s="380"/>
      <c r="G1" s="380"/>
    </row>
    <row r="2" spans="1:7">
      <c r="A2" s="71" t="s">
        <v>1</v>
      </c>
      <c r="B2" s="81" t="s">
        <v>366</v>
      </c>
      <c r="C2" s="72" t="s">
        <v>367</v>
      </c>
      <c r="D2" s="73" t="s">
        <v>368</v>
      </c>
      <c r="E2" s="82" t="s">
        <v>369</v>
      </c>
      <c r="F2" s="74" t="s">
        <v>370</v>
      </c>
      <c r="G2" s="73" t="s">
        <v>371</v>
      </c>
    </row>
    <row r="3" spans="1:7">
      <c r="A3" s="71">
        <v>1</v>
      </c>
      <c r="B3" s="75" t="s">
        <v>372</v>
      </c>
      <c r="C3" s="76" t="s">
        <v>373</v>
      </c>
      <c r="D3" s="75" t="s">
        <v>374</v>
      </c>
      <c r="E3" s="83">
        <v>79</v>
      </c>
      <c r="F3" s="76">
        <v>191300</v>
      </c>
      <c r="G3" s="76">
        <f>E3*F3</f>
        <v>15112700</v>
      </c>
    </row>
    <row r="4" spans="1:7">
      <c r="A4" s="71">
        <v>2</v>
      </c>
      <c r="B4" s="75" t="s">
        <v>375</v>
      </c>
      <c r="C4" s="76" t="s">
        <v>373</v>
      </c>
      <c r="D4" s="75" t="s">
        <v>374</v>
      </c>
      <c r="E4" s="83">
        <v>59</v>
      </c>
      <c r="F4" s="76">
        <v>191300</v>
      </c>
      <c r="G4" s="76">
        <f t="shared" ref="G4:G67" si="0">E4*F4</f>
        <v>11286700</v>
      </c>
    </row>
    <row r="5" spans="1:7">
      <c r="A5" s="71">
        <v>3</v>
      </c>
      <c r="B5" s="75" t="s">
        <v>376</v>
      </c>
      <c r="C5" s="76" t="s">
        <v>373</v>
      </c>
      <c r="D5" s="75" t="s">
        <v>377</v>
      </c>
      <c r="E5" s="84">
        <v>112</v>
      </c>
      <c r="F5" s="76">
        <v>191300</v>
      </c>
      <c r="G5" s="76">
        <f t="shared" si="0"/>
        <v>21425600</v>
      </c>
    </row>
    <row r="6" spans="1:7">
      <c r="A6" s="71">
        <v>4</v>
      </c>
      <c r="B6" s="75" t="s">
        <v>378</v>
      </c>
      <c r="C6" s="76" t="s">
        <v>373</v>
      </c>
      <c r="D6" s="75" t="s">
        <v>379</v>
      </c>
      <c r="E6" s="84">
        <v>86</v>
      </c>
      <c r="F6" s="76">
        <v>191300</v>
      </c>
      <c r="G6" s="76">
        <f t="shared" si="0"/>
        <v>16451800</v>
      </c>
    </row>
    <row r="7" spans="1:7">
      <c r="A7" s="71">
        <v>5</v>
      </c>
      <c r="B7" s="75" t="s">
        <v>380</v>
      </c>
      <c r="C7" s="76" t="s">
        <v>373</v>
      </c>
      <c r="D7" s="75" t="s">
        <v>379</v>
      </c>
      <c r="E7" s="84">
        <v>70</v>
      </c>
      <c r="F7" s="76">
        <v>191300</v>
      </c>
      <c r="G7" s="76">
        <f t="shared" si="0"/>
        <v>13391000</v>
      </c>
    </row>
    <row r="8" spans="1:7">
      <c r="A8" s="71">
        <v>6</v>
      </c>
      <c r="B8" s="75" t="s">
        <v>381</v>
      </c>
      <c r="C8" s="76" t="s">
        <v>373</v>
      </c>
      <c r="D8" s="75" t="s">
        <v>382</v>
      </c>
      <c r="E8" s="84">
        <v>54</v>
      </c>
      <c r="F8" s="76">
        <v>174600</v>
      </c>
      <c r="G8" s="76">
        <f t="shared" si="0"/>
        <v>9428400</v>
      </c>
    </row>
    <row r="9" spans="1:7">
      <c r="A9" s="71">
        <v>7</v>
      </c>
      <c r="B9" s="75" t="s">
        <v>383</v>
      </c>
      <c r="C9" s="76" t="s">
        <v>373</v>
      </c>
      <c r="D9" s="75" t="s">
        <v>382</v>
      </c>
      <c r="E9" s="84">
        <v>50</v>
      </c>
      <c r="F9" s="76">
        <v>174600</v>
      </c>
      <c r="G9" s="76">
        <f t="shared" si="0"/>
        <v>8730000</v>
      </c>
    </row>
    <row r="10" spans="1:7">
      <c r="A10" s="71">
        <v>8</v>
      </c>
      <c r="B10" s="75" t="s">
        <v>384</v>
      </c>
      <c r="C10" s="76" t="s">
        <v>373</v>
      </c>
      <c r="D10" s="75" t="s">
        <v>382</v>
      </c>
      <c r="E10" s="84">
        <v>37</v>
      </c>
      <c r="F10" s="76">
        <v>174600</v>
      </c>
      <c r="G10" s="76">
        <f t="shared" si="0"/>
        <v>6460200</v>
      </c>
    </row>
    <row r="11" spans="1:7">
      <c r="A11" s="71">
        <v>9</v>
      </c>
      <c r="B11" s="75" t="s">
        <v>385</v>
      </c>
      <c r="C11" s="76" t="s">
        <v>373</v>
      </c>
      <c r="D11" s="75" t="s">
        <v>382</v>
      </c>
      <c r="E11" s="84">
        <v>45</v>
      </c>
      <c r="F11" s="76">
        <v>174600</v>
      </c>
      <c r="G11" s="76">
        <f t="shared" si="0"/>
        <v>7857000</v>
      </c>
    </row>
    <row r="12" spans="1:7">
      <c r="A12" s="71">
        <v>10</v>
      </c>
      <c r="B12" s="75" t="s">
        <v>386</v>
      </c>
      <c r="C12" s="76" t="s">
        <v>373</v>
      </c>
      <c r="D12" s="75" t="s">
        <v>275</v>
      </c>
      <c r="E12" s="84">
        <v>1</v>
      </c>
      <c r="F12" s="76">
        <v>185700</v>
      </c>
      <c r="G12" s="76">
        <f t="shared" si="0"/>
        <v>185700</v>
      </c>
    </row>
    <row r="13" spans="1:7">
      <c r="A13" s="71"/>
      <c r="B13" s="75"/>
      <c r="C13" s="77" t="s">
        <v>387</v>
      </c>
      <c r="D13" s="75"/>
      <c r="E13" s="85">
        <f>SUM(E3:E12)</f>
        <v>593</v>
      </c>
      <c r="F13" s="85"/>
      <c r="G13" s="85">
        <f t="shared" ref="G13" si="1">SUM(G3:G12)</f>
        <v>110329100</v>
      </c>
    </row>
    <row r="14" spans="1:7">
      <c r="A14" s="71">
        <v>1</v>
      </c>
      <c r="B14" s="75" t="s">
        <v>388</v>
      </c>
      <c r="C14" s="76" t="s">
        <v>389</v>
      </c>
      <c r="D14" s="75" t="s">
        <v>377</v>
      </c>
      <c r="E14" s="84">
        <v>118</v>
      </c>
      <c r="F14" s="76">
        <v>191300</v>
      </c>
      <c r="G14" s="76">
        <f t="shared" si="0"/>
        <v>22573400</v>
      </c>
    </row>
    <row r="15" spans="1:7">
      <c r="A15" s="71">
        <v>2</v>
      </c>
      <c r="B15" s="75" t="s">
        <v>390</v>
      </c>
      <c r="C15" s="76" t="s">
        <v>389</v>
      </c>
      <c r="D15" s="75" t="s">
        <v>377</v>
      </c>
      <c r="E15" s="84">
        <v>151</v>
      </c>
      <c r="F15" s="76">
        <v>191300</v>
      </c>
      <c r="G15" s="76">
        <f t="shared" si="0"/>
        <v>28886300</v>
      </c>
    </row>
    <row r="16" spans="1:7">
      <c r="A16" s="71">
        <v>3</v>
      </c>
      <c r="B16" s="75" t="s">
        <v>391</v>
      </c>
      <c r="C16" s="76" t="s">
        <v>389</v>
      </c>
      <c r="D16" s="75" t="s">
        <v>377</v>
      </c>
      <c r="E16" s="84">
        <v>143</v>
      </c>
      <c r="F16" s="76">
        <v>191300</v>
      </c>
      <c r="G16" s="76">
        <f t="shared" si="0"/>
        <v>27355900</v>
      </c>
    </row>
    <row r="17" spans="1:7">
      <c r="A17" s="71">
        <v>4</v>
      </c>
      <c r="B17" s="75" t="s">
        <v>392</v>
      </c>
      <c r="C17" s="76" t="s">
        <v>389</v>
      </c>
      <c r="D17" s="75" t="s">
        <v>382</v>
      </c>
      <c r="E17" s="84">
        <v>36</v>
      </c>
      <c r="F17" s="76">
        <v>174600</v>
      </c>
      <c r="G17" s="76">
        <f t="shared" si="0"/>
        <v>6285600</v>
      </c>
    </row>
    <row r="18" spans="1:7">
      <c r="A18" s="71">
        <v>5</v>
      </c>
      <c r="B18" s="75" t="s">
        <v>393</v>
      </c>
      <c r="C18" s="76" t="s">
        <v>389</v>
      </c>
      <c r="D18" s="75" t="s">
        <v>382</v>
      </c>
      <c r="E18" s="84">
        <v>59</v>
      </c>
      <c r="F18" s="76">
        <v>174600</v>
      </c>
      <c r="G18" s="76">
        <f t="shared" si="0"/>
        <v>10301400</v>
      </c>
    </row>
    <row r="19" spans="1:7">
      <c r="A19" s="71">
        <v>6</v>
      </c>
      <c r="B19" s="75" t="s">
        <v>394</v>
      </c>
      <c r="C19" s="76" t="s">
        <v>389</v>
      </c>
      <c r="D19" s="75" t="s">
        <v>382</v>
      </c>
      <c r="E19" s="84">
        <v>30</v>
      </c>
      <c r="F19" s="76">
        <v>174600</v>
      </c>
      <c r="G19" s="76">
        <f t="shared" si="0"/>
        <v>5238000</v>
      </c>
    </row>
    <row r="20" spans="1:7">
      <c r="A20" s="71">
        <v>7</v>
      </c>
      <c r="B20" s="75" t="s">
        <v>395</v>
      </c>
      <c r="C20" s="76" t="s">
        <v>389</v>
      </c>
      <c r="D20" s="75" t="s">
        <v>382</v>
      </c>
      <c r="E20" s="84">
        <v>43</v>
      </c>
      <c r="F20" s="76">
        <v>174600</v>
      </c>
      <c r="G20" s="76">
        <f t="shared" si="0"/>
        <v>7507800</v>
      </c>
    </row>
    <row r="21" spans="1:7">
      <c r="A21" s="71">
        <v>8</v>
      </c>
      <c r="B21" s="75" t="s">
        <v>396</v>
      </c>
      <c r="C21" s="76" t="s">
        <v>389</v>
      </c>
      <c r="D21" s="75" t="s">
        <v>275</v>
      </c>
      <c r="E21" s="84">
        <v>7</v>
      </c>
      <c r="F21" s="76">
        <v>185700</v>
      </c>
      <c r="G21" s="76">
        <f t="shared" si="0"/>
        <v>1299900</v>
      </c>
    </row>
    <row r="22" spans="1:7">
      <c r="A22" s="71"/>
      <c r="B22" s="75"/>
      <c r="C22" s="78" t="s">
        <v>397</v>
      </c>
      <c r="D22" s="75"/>
      <c r="E22" s="84">
        <f>SUM(E14:E21)</f>
        <v>587</v>
      </c>
      <c r="F22" s="84"/>
      <c r="G22" s="84">
        <f t="shared" ref="G22" si="2">SUM(G14:G21)</f>
        <v>109448300</v>
      </c>
    </row>
    <row r="23" spans="1:7">
      <c r="A23" s="71">
        <v>1</v>
      </c>
      <c r="B23" s="75" t="s">
        <v>398</v>
      </c>
      <c r="C23" s="76" t="s">
        <v>399</v>
      </c>
      <c r="D23" s="75" t="s">
        <v>374</v>
      </c>
      <c r="E23" s="84">
        <v>73</v>
      </c>
      <c r="F23" s="76">
        <v>191300</v>
      </c>
      <c r="G23" s="76">
        <f t="shared" si="0"/>
        <v>13964900</v>
      </c>
    </row>
    <row r="24" spans="1:7">
      <c r="A24" s="71">
        <v>2</v>
      </c>
      <c r="B24" s="75" t="s">
        <v>400</v>
      </c>
      <c r="C24" s="76" t="s">
        <v>399</v>
      </c>
      <c r="D24" s="75" t="s">
        <v>377</v>
      </c>
      <c r="E24" s="84">
        <v>169</v>
      </c>
      <c r="F24" s="76">
        <v>191300</v>
      </c>
      <c r="G24" s="76">
        <f t="shared" si="0"/>
        <v>32329700</v>
      </c>
    </row>
    <row r="25" spans="1:7">
      <c r="A25" s="71">
        <v>3</v>
      </c>
      <c r="B25" s="75" t="s">
        <v>401</v>
      </c>
      <c r="C25" s="76" t="s">
        <v>399</v>
      </c>
      <c r="D25" s="75" t="s">
        <v>377</v>
      </c>
      <c r="E25" s="84">
        <v>95</v>
      </c>
      <c r="F25" s="76">
        <v>191300</v>
      </c>
      <c r="G25" s="76">
        <f t="shared" si="0"/>
        <v>18173500</v>
      </c>
    </row>
    <row r="26" spans="1:7">
      <c r="A26" s="71">
        <v>4</v>
      </c>
      <c r="B26" s="75" t="s">
        <v>402</v>
      </c>
      <c r="C26" s="76" t="s">
        <v>399</v>
      </c>
      <c r="D26" s="75" t="s">
        <v>379</v>
      </c>
      <c r="E26" s="84">
        <v>122</v>
      </c>
      <c r="F26" s="76">
        <v>191300</v>
      </c>
      <c r="G26" s="76">
        <f t="shared" si="0"/>
        <v>23338600</v>
      </c>
    </row>
    <row r="27" spans="1:7">
      <c r="A27" s="71">
        <v>5</v>
      </c>
      <c r="B27" s="75" t="s">
        <v>403</v>
      </c>
      <c r="C27" s="76" t="s">
        <v>399</v>
      </c>
      <c r="D27" s="75" t="s">
        <v>382</v>
      </c>
      <c r="E27" s="84">
        <v>29</v>
      </c>
      <c r="F27" s="76">
        <v>174600</v>
      </c>
      <c r="G27" s="76">
        <f t="shared" si="0"/>
        <v>5063400</v>
      </c>
    </row>
    <row r="28" spans="1:7">
      <c r="A28" s="71">
        <v>6</v>
      </c>
      <c r="B28" s="75" t="s">
        <v>404</v>
      </c>
      <c r="C28" s="76" t="s">
        <v>399</v>
      </c>
      <c r="D28" s="75" t="s">
        <v>382</v>
      </c>
      <c r="E28" s="84">
        <v>20</v>
      </c>
      <c r="F28" s="76">
        <v>174600</v>
      </c>
      <c r="G28" s="76">
        <f t="shared" si="0"/>
        <v>3492000</v>
      </c>
    </row>
    <row r="29" spans="1:7">
      <c r="A29" s="71">
        <v>7</v>
      </c>
      <c r="B29" s="75" t="s">
        <v>405</v>
      </c>
      <c r="C29" s="76" t="s">
        <v>399</v>
      </c>
      <c r="D29" s="75" t="s">
        <v>382</v>
      </c>
      <c r="E29" s="84">
        <v>22</v>
      </c>
      <c r="F29" s="76">
        <v>174600</v>
      </c>
      <c r="G29" s="76">
        <f t="shared" si="0"/>
        <v>3841200</v>
      </c>
    </row>
    <row r="30" spans="1:7">
      <c r="A30" s="71">
        <v>8</v>
      </c>
      <c r="B30" s="75" t="s">
        <v>406</v>
      </c>
      <c r="C30" s="76" t="s">
        <v>399</v>
      </c>
      <c r="D30" s="75" t="s">
        <v>382</v>
      </c>
      <c r="E30" s="84">
        <v>27</v>
      </c>
      <c r="F30" s="76">
        <v>174600</v>
      </c>
      <c r="G30" s="76">
        <f t="shared" si="0"/>
        <v>4714200</v>
      </c>
    </row>
    <row r="31" spans="1:7">
      <c r="A31" s="71">
        <v>9</v>
      </c>
      <c r="B31" s="75" t="s">
        <v>407</v>
      </c>
      <c r="C31" s="76" t="s">
        <v>399</v>
      </c>
      <c r="D31" s="75" t="s">
        <v>382</v>
      </c>
      <c r="E31" s="84">
        <v>51</v>
      </c>
      <c r="F31" s="76">
        <v>174600</v>
      </c>
      <c r="G31" s="76">
        <f t="shared" si="0"/>
        <v>8904600</v>
      </c>
    </row>
    <row r="32" spans="1:7">
      <c r="A32" s="71">
        <v>10</v>
      </c>
      <c r="B32" s="75" t="s">
        <v>408</v>
      </c>
      <c r="C32" s="76" t="s">
        <v>399</v>
      </c>
      <c r="D32" s="75" t="s">
        <v>382</v>
      </c>
      <c r="E32" s="84">
        <v>25</v>
      </c>
      <c r="F32" s="76">
        <v>174600</v>
      </c>
      <c r="G32" s="76">
        <f t="shared" si="0"/>
        <v>4365000</v>
      </c>
    </row>
    <row r="33" spans="1:7">
      <c r="A33" s="71">
        <v>11</v>
      </c>
      <c r="B33" s="75" t="s">
        <v>409</v>
      </c>
      <c r="C33" s="76" t="s">
        <v>399</v>
      </c>
      <c r="D33" s="75" t="s">
        <v>382</v>
      </c>
      <c r="E33" s="84">
        <v>21</v>
      </c>
      <c r="F33" s="76">
        <v>174600</v>
      </c>
      <c r="G33" s="76">
        <f t="shared" si="0"/>
        <v>3666600</v>
      </c>
    </row>
    <row r="34" spans="1:7">
      <c r="A34" s="71">
        <v>12</v>
      </c>
      <c r="B34" s="75" t="s">
        <v>410</v>
      </c>
      <c r="C34" s="76" t="s">
        <v>399</v>
      </c>
      <c r="D34" s="75" t="s">
        <v>275</v>
      </c>
      <c r="E34" s="84">
        <v>8</v>
      </c>
      <c r="F34" s="76">
        <v>185700</v>
      </c>
      <c r="G34" s="76">
        <f t="shared" si="0"/>
        <v>1485600</v>
      </c>
    </row>
    <row r="35" spans="1:7">
      <c r="A35" s="71"/>
      <c r="B35" s="75"/>
      <c r="C35" s="78" t="s">
        <v>411</v>
      </c>
      <c r="D35" s="75"/>
      <c r="E35" s="84">
        <f>SUM(E23:E34)</f>
        <v>662</v>
      </c>
      <c r="F35" s="84"/>
      <c r="G35" s="84">
        <f t="shared" ref="G35" si="3">SUM(G23:G34)</f>
        <v>123339300</v>
      </c>
    </row>
    <row r="36" spans="1:7">
      <c r="A36" s="71">
        <v>1</v>
      </c>
      <c r="B36" s="75" t="s">
        <v>306</v>
      </c>
      <c r="C36" s="76" t="s">
        <v>412</v>
      </c>
      <c r="D36" s="75" t="s">
        <v>374</v>
      </c>
      <c r="E36" s="84">
        <v>62</v>
      </c>
      <c r="F36" s="76">
        <v>191300</v>
      </c>
      <c r="G36" s="76">
        <f t="shared" si="0"/>
        <v>11860600</v>
      </c>
    </row>
    <row r="37" spans="1:7">
      <c r="A37" s="71">
        <v>2</v>
      </c>
      <c r="B37" s="75" t="s">
        <v>413</v>
      </c>
      <c r="C37" s="76" t="s">
        <v>412</v>
      </c>
      <c r="D37" s="75" t="s">
        <v>374</v>
      </c>
      <c r="E37" s="84">
        <v>65</v>
      </c>
      <c r="F37" s="76">
        <v>191300</v>
      </c>
      <c r="G37" s="76">
        <f t="shared" si="0"/>
        <v>12434500</v>
      </c>
    </row>
    <row r="38" spans="1:7">
      <c r="A38" s="71">
        <v>3</v>
      </c>
      <c r="B38" s="75" t="s">
        <v>414</v>
      </c>
      <c r="C38" s="76" t="s">
        <v>412</v>
      </c>
      <c r="D38" s="75" t="s">
        <v>374</v>
      </c>
      <c r="E38" s="84">
        <v>72</v>
      </c>
      <c r="F38" s="76">
        <v>191300</v>
      </c>
      <c r="G38" s="76">
        <f t="shared" si="0"/>
        <v>13773600</v>
      </c>
    </row>
    <row r="39" spans="1:7">
      <c r="A39" s="71">
        <v>4</v>
      </c>
      <c r="B39" s="75" t="s">
        <v>308</v>
      </c>
      <c r="C39" s="76" t="s">
        <v>412</v>
      </c>
      <c r="D39" s="75" t="s">
        <v>374</v>
      </c>
      <c r="E39" s="84">
        <v>80</v>
      </c>
      <c r="F39" s="76">
        <v>191300</v>
      </c>
      <c r="G39" s="76">
        <f t="shared" si="0"/>
        <v>15304000</v>
      </c>
    </row>
    <row r="40" spans="1:7">
      <c r="A40" s="71">
        <v>5</v>
      </c>
      <c r="B40" s="75" t="s">
        <v>309</v>
      </c>
      <c r="C40" s="76" t="s">
        <v>412</v>
      </c>
      <c r="D40" s="75" t="s">
        <v>379</v>
      </c>
      <c r="E40" s="84">
        <v>75</v>
      </c>
      <c r="F40" s="76">
        <v>191300</v>
      </c>
      <c r="G40" s="76">
        <f t="shared" si="0"/>
        <v>14347500</v>
      </c>
    </row>
    <row r="41" spans="1:7">
      <c r="A41" s="71">
        <v>6</v>
      </c>
      <c r="B41" s="75" t="s">
        <v>311</v>
      </c>
      <c r="C41" s="76" t="s">
        <v>412</v>
      </c>
      <c r="D41" s="75" t="s">
        <v>379</v>
      </c>
      <c r="E41" s="84">
        <v>64</v>
      </c>
      <c r="F41" s="76">
        <v>191300</v>
      </c>
      <c r="G41" s="76">
        <f t="shared" si="0"/>
        <v>12243200</v>
      </c>
    </row>
    <row r="42" spans="1:7">
      <c r="A42" s="71">
        <v>7</v>
      </c>
      <c r="B42" s="75" t="s">
        <v>312</v>
      </c>
      <c r="C42" s="76" t="s">
        <v>412</v>
      </c>
      <c r="D42" s="75" t="s">
        <v>379</v>
      </c>
      <c r="E42" s="84">
        <v>116</v>
      </c>
      <c r="F42" s="76">
        <v>191300</v>
      </c>
      <c r="G42" s="76">
        <f t="shared" si="0"/>
        <v>22190800</v>
      </c>
    </row>
    <row r="43" spans="1:7">
      <c r="A43" s="71">
        <v>8</v>
      </c>
      <c r="B43" s="75" t="s">
        <v>310</v>
      </c>
      <c r="C43" s="76" t="s">
        <v>412</v>
      </c>
      <c r="D43" s="75" t="s">
        <v>379</v>
      </c>
      <c r="E43" s="84">
        <v>81</v>
      </c>
      <c r="F43" s="76">
        <v>191300</v>
      </c>
      <c r="G43" s="76">
        <f t="shared" si="0"/>
        <v>15495300</v>
      </c>
    </row>
    <row r="44" spans="1:7">
      <c r="A44" s="71">
        <v>9</v>
      </c>
      <c r="B44" s="75" t="s">
        <v>313</v>
      </c>
      <c r="C44" s="76" t="s">
        <v>412</v>
      </c>
      <c r="D44" s="75" t="s">
        <v>382</v>
      </c>
      <c r="E44" s="84">
        <v>59</v>
      </c>
      <c r="F44" s="76">
        <v>174600</v>
      </c>
      <c r="G44" s="76">
        <f t="shared" si="0"/>
        <v>10301400</v>
      </c>
    </row>
    <row r="45" spans="1:7">
      <c r="A45" s="71">
        <v>10</v>
      </c>
      <c r="B45" s="75" t="s">
        <v>314</v>
      </c>
      <c r="C45" s="76" t="s">
        <v>412</v>
      </c>
      <c r="D45" s="75" t="s">
        <v>382</v>
      </c>
      <c r="E45" s="84">
        <v>45</v>
      </c>
      <c r="F45" s="76">
        <v>174600</v>
      </c>
      <c r="G45" s="76">
        <f t="shared" si="0"/>
        <v>7857000</v>
      </c>
    </row>
    <row r="46" spans="1:7">
      <c r="A46" s="71">
        <v>11</v>
      </c>
      <c r="B46" s="75" t="s">
        <v>315</v>
      </c>
      <c r="C46" s="76" t="s">
        <v>412</v>
      </c>
      <c r="D46" s="75" t="s">
        <v>382</v>
      </c>
      <c r="E46" s="84">
        <v>69</v>
      </c>
      <c r="F46" s="76">
        <v>174600</v>
      </c>
      <c r="G46" s="76">
        <f t="shared" si="0"/>
        <v>12047400</v>
      </c>
    </row>
    <row r="47" spans="1:7">
      <c r="A47" s="71">
        <v>12</v>
      </c>
      <c r="B47" s="75" t="s">
        <v>320</v>
      </c>
      <c r="C47" s="76" t="s">
        <v>412</v>
      </c>
      <c r="D47" s="75" t="s">
        <v>382</v>
      </c>
      <c r="E47" s="84">
        <v>16</v>
      </c>
      <c r="F47" s="76">
        <v>174600</v>
      </c>
      <c r="G47" s="76">
        <f t="shared" si="0"/>
        <v>2793600</v>
      </c>
    </row>
    <row r="48" spans="1:7">
      <c r="A48" s="71">
        <v>13</v>
      </c>
      <c r="B48" s="75" t="s">
        <v>317</v>
      </c>
      <c r="C48" s="76" t="s">
        <v>412</v>
      </c>
      <c r="D48" s="75" t="s">
        <v>382</v>
      </c>
      <c r="E48" s="84">
        <v>50</v>
      </c>
      <c r="F48" s="76">
        <v>174600</v>
      </c>
      <c r="G48" s="76">
        <f t="shared" si="0"/>
        <v>8730000</v>
      </c>
    </row>
    <row r="49" spans="1:7">
      <c r="A49" s="71">
        <v>14</v>
      </c>
      <c r="B49" s="75" t="s">
        <v>316</v>
      </c>
      <c r="C49" s="76" t="s">
        <v>412</v>
      </c>
      <c r="D49" s="75" t="s">
        <v>382</v>
      </c>
      <c r="E49" s="84">
        <v>21</v>
      </c>
      <c r="F49" s="76">
        <v>174600</v>
      </c>
      <c r="G49" s="76">
        <f t="shared" si="0"/>
        <v>3666600</v>
      </c>
    </row>
    <row r="50" spans="1:7">
      <c r="A50" s="71">
        <v>15</v>
      </c>
      <c r="B50" s="75" t="s">
        <v>318</v>
      </c>
      <c r="C50" s="76" t="s">
        <v>412</v>
      </c>
      <c r="D50" s="75" t="s">
        <v>382</v>
      </c>
      <c r="E50" s="84">
        <v>25</v>
      </c>
      <c r="F50" s="76">
        <v>174600</v>
      </c>
      <c r="G50" s="76">
        <f t="shared" si="0"/>
        <v>4365000</v>
      </c>
    </row>
    <row r="51" spans="1:7">
      <c r="A51" s="71">
        <v>16</v>
      </c>
      <c r="B51" s="75" t="s">
        <v>319</v>
      </c>
      <c r="C51" s="76" t="s">
        <v>412</v>
      </c>
      <c r="D51" s="75" t="s">
        <v>382</v>
      </c>
      <c r="E51" s="84">
        <v>40</v>
      </c>
      <c r="F51" s="76">
        <v>174600</v>
      </c>
      <c r="G51" s="76">
        <f t="shared" si="0"/>
        <v>6984000</v>
      </c>
    </row>
    <row r="52" spans="1:7">
      <c r="A52" s="71">
        <v>17</v>
      </c>
      <c r="B52" s="75" t="s">
        <v>415</v>
      </c>
      <c r="C52" s="76" t="s">
        <v>412</v>
      </c>
      <c r="D52" s="75" t="s">
        <v>382</v>
      </c>
      <c r="E52" s="84">
        <v>5</v>
      </c>
      <c r="F52" s="76">
        <v>174600</v>
      </c>
      <c r="G52" s="76">
        <f t="shared" si="0"/>
        <v>873000</v>
      </c>
    </row>
    <row r="53" spans="1:7">
      <c r="A53" s="71">
        <v>18</v>
      </c>
      <c r="B53" s="75" t="s">
        <v>322</v>
      </c>
      <c r="C53" s="76" t="s">
        <v>412</v>
      </c>
      <c r="D53" s="75" t="s">
        <v>275</v>
      </c>
      <c r="E53" s="84">
        <v>4</v>
      </c>
      <c r="F53" s="76">
        <v>185700</v>
      </c>
      <c r="G53" s="76">
        <f t="shared" si="0"/>
        <v>742800</v>
      </c>
    </row>
    <row r="54" spans="1:7">
      <c r="A54" s="71"/>
      <c r="B54" s="75"/>
      <c r="C54" s="78" t="s">
        <v>416</v>
      </c>
      <c r="D54" s="75"/>
      <c r="E54" s="84">
        <f>SUM(E36:E53)</f>
        <v>949</v>
      </c>
      <c r="F54" s="84"/>
      <c r="G54" s="84">
        <f t="shared" ref="G54" si="4">SUM(G36:G53)</f>
        <v>176010300</v>
      </c>
    </row>
    <row r="55" spans="1:7">
      <c r="A55" s="71">
        <v>1</v>
      </c>
      <c r="B55" s="75" t="s">
        <v>417</v>
      </c>
      <c r="C55" s="76" t="s">
        <v>418</v>
      </c>
      <c r="D55" s="75" t="s">
        <v>374</v>
      </c>
      <c r="E55" s="84">
        <v>85</v>
      </c>
      <c r="F55" s="76">
        <v>191300</v>
      </c>
      <c r="G55" s="76">
        <f t="shared" si="0"/>
        <v>16260500</v>
      </c>
    </row>
    <row r="56" spans="1:7">
      <c r="A56" s="71">
        <v>2</v>
      </c>
      <c r="B56" s="75" t="s">
        <v>419</v>
      </c>
      <c r="C56" s="76" t="s">
        <v>418</v>
      </c>
      <c r="D56" s="75" t="s">
        <v>374</v>
      </c>
      <c r="E56" s="84">
        <v>84</v>
      </c>
      <c r="F56" s="76">
        <v>191300</v>
      </c>
      <c r="G56" s="76">
        <f t="shared" si="0"/>
        <v>16069200</v>
      </c>
    </row>
    <row r="57" spans="1:7">
      <c r="A57" s="71">
        <v>3</v>
      </c>
      <c r="B57" s="75" t="s">
        <v>420</v>
      </c>
      <c r="C57" s="76" t="s">
        <v>418</v>
      </c>
      <c r="D57" s="75" t="s">
        <v>374</v>
      </c>
      <c r="E57" s="84">
        <v>74</v>
      </c>
      <c r="F57" s="76">
        <v>191300</v>
      </c>
      <c r="G57" s="76">
        <f t="shared" si="0"/>
        <v>14156200</v>
      </c>
    </row>
    <row r="58" spans="1:7">
      <c r="A58" s="71">
        <v>4</v>
      </c>
      <c r="B58" s="75" t="s">
        <v>421</v>
      </c>
      <c r="C58" s="76" t="s">
        <v>418</v>
      </c>
      <c r="D58" s="75" t="s">
        <v>377</v>
      </c>
      <c r="E58" s="84">
        <v>60</v>
      </c>
      <c r="F58" s="76">
        <v>191300</v>
      </c>
      <c r="G58" s="76">
        <f t="shared" si="0"/>
        <v>11478000</v>
      </c>
    </row>
    <row r="59" spans="1:7">
      <c r="A59" s="71">
        <v>5</v>
      </c>
      <c r="B59" s="75" t="s">
        <v>422</v>
      </c>
      <c r="C59" s="76" t="s">
        <v>418</v>
      </c>
      <c r="D59" s="75" t="s">
        <v>379</v>
      </c>
      <c r="E59" s="84">
        <v>99</v>
      </c>
      <c r="F59" s="76">
        <v>191300</v>
      </c>
      <c r="G59" s="76">
        <f t="shared" si="0"/>
        <v>18938700</v>
      </c>
    </row>
    <row r="60" spans="1:7">
      <c r="A60" s="71">
        <v>6</v>
      </c>
      <c r="B60" s="75" t="s">
        <v>423</v>
      </c>
      <c r="C60" s="76" t="s">
        <v>418</v>
      </c>
      <c r="D60" s="75" t="s">
        <v>379</v>
      </c>
      <c r="E60" s="84">
        <v>81</v>
      </c>
      <c r="F60" s="76">
        <v>191300</v>
      </c>
      <c r="G60" s="76">
        <f t="shared" si="0"/>
        <v>15495300</v>
      </c>
    </row>
    <row r="61" spans="1:7">
      <c r="A61" s="71">
        <v>7</v>
      </c>
      <c r="B61" s="75" t="s">
        <v>424</v>
      </c>
      <c r="C61" s="76" t="s">
        <v>418</v>
      </c>
      <c r="D61" s="75" t="s">
        <v>379</v>
      </c>
      <c r="E61" s="84">
        <v>92</v>
      </c>
      <c r="F61" s="76">
        <v>191300</v>
      </c>
      <c r="G61" s="76">
        <f t="shared" si="0"/>
        <v>17599600</v>
      </c>
    </row>
    <row r="62" spans="1:7">
      <c r="A62" s="71">
        <v>8</v>
      </c>
      <c r="B62" s="75" t="s">
        <v>425</v>
      </c>
      <c r="C62" s="76" t="s">
        <v>418</v>
      </c>
      <c r="D62" s="75" t="s">
        <v>379</v>
      </c>
      <c r="E62" s="84">
        <v>48</v>
      </c>
      <c r="F62" s="76">
        <v>191300</v>
      </c>
      <c r="G62" s="76">
        <f t="shared" si="0"/>
        <v>9182400</v>
      </c>
    </row>
    <row r="63" spans="1:7">
      <c r="A63" s="71">
        <v>9</v>
      </c>
      <c r="B63" s="75" t="s">
        <v>426</v>
      </c>
      <c r="C63" s="76" t="s">
        <v>418</v>
      </c>
      <c r="D63" s="75" t="s">
        <v>379</v>
      </c>
      <c r="E63" s="84">
        <v>61</v>
      </c>
      <c r="F63" s="76">
        <v>191300</v>
      </c>
      <c r="G63" s="76">
        <f t="shared" si="0"/>
        <v>11669300</v>
      </c>
    </row>
    <row r="64" spans="1:7">
      <c r="A64" s="71">
        <v>10</v>
      </c>
      <c r="B64" s="75" t="s">
        <v>427</v>
      </c>
      <c r="C64" s="76" t="s">
        <v>418</v>
      </c>
      <c r="D64" s="75" t="s">
        <v>382</v>
      </c>
      <c r="E64" s="84">
        <v>58</v>
      </c>
      <c r="F64" s="76">
        <v>174600</v>
      </c>
      <c r="G64" s="76">
        <f t="shared" si="0"/>
        <v>10126800</v>
      </c>
    </row>
    <row r="65" spans="1:7">
      <c r="A65" s="71">
        <v>11</v>
      </c>
      <c r="B65" s="75" t="s">
        <v>428</v>
      </c>
      <c r="C65" s="76" t="s">
        <v>418</v>
      </c>
      <c r="D65" s="75" t="s">
        <v>382</v>
      </c>
      <c r="E65" s="84">
        <v>61</v>
      </c>
      <c r="F65" s="76">
        <v>174600</v>
      </c>
      <c r="G65" s="76">
        <f t="shared" si="0"/>
        <v>10650600</v>
      </c>
    </row>
    <row r="66" spans="1:7">
      <c r="A66" s="71">
        <v>12</v>
      </c>
      <c r="B66" s="75" t="s">
        <v>429</v>
      </c>
      <c r="C66" s="76" t="s">
        <v>418</v>
      </c>
      <c r="D66" s="75" t="s">
        <v>382</v>
      </c>
      <c r="E66" s="84">
        <v>17</v>
      </c>
      <c r="F66" s="76">
        <v>174600</v>
      </c>
      <c r="G66" s="76">
        <f t="shared" si="0"/>
        <v>2968200</v>
      </c>
    </row>
    <row r="67" spans="1:7">
      <c r="A67" s="71">
        <v>13</v>
      </c>
      <c r="B67" s="75" t="s">
        <v>430</v>
      </c>
      <c r="C67" s="76" t="s">
        <v>418</v>
      </c>
      <c r="D67" s="75" t="s">
        <v>382</v>
      </c>
      <c r="E67" s="84">
        <v>55</v>
      </c>
      <c r="F67" s="76">
        <v>174600</v>
      </c>
      <c r="G67" s="76">
        <f t="shared" si="0"/>
        <v>9603000</v>
      </c>
    </row>
    <row r="68" spans="1:7">
      <c r="A68" s="71">
        <v>14</v>
      </c>
      <c r="B68" s="75" t="s">
        <v>431</v>
      </c>
      <c r="C68" s="76" t="s">
        <v>418</v>
      </c>
      <c r="D68" s="75" t="s">
        <v>382</v>
      </c>
      <c r="E68" s="84">
        <v>36</v>
      </c>
      <c r="F68" s="76">
        <v>174600</v>
      </c>
      <c r="G68" s="76">
        <f t="shared" ref="G68:G124" si="5">E68*F68</f>
        <v>6285600</v>
      </c>
    </row>
    <row r="69" spans="1:7">
      <c r="A69" s="71">
        <v>15</v>
      </c>
      <c r="B69" s="75" t="s">
        <v>432</v>
      </c>
      <c r="C69" s="76" t="s">
        <v>418</v>
      </c>
      <c r="D69" s="75" t="s">
        <v>382</v>
      </c>
      <c r="E69" s="84">
        <v>23</v>
      </c>
      <c r="F69" s="76">
        <v>174600</v>
      </c>
      <c r="G69" s="76">
        <f t="shared" si="5"/>
        <v>4015800</v>
      </c>
    </row>
    <row r="70" spans="1:7">
      <c r="A70" s="71">
        <v>16</v>
      </c>
      <c r="B70" s="75" t="s">
        <v>433</v>
      </c>
      <c r="C70" s="76" t="s">
        <v>418</v>
      </c>
      <c r="D70" s="75" t="s">
        <v>382</v>
      </c>
      <c r="E70" s="84">
        <v>38</v>
      </c>
      <c r="F70" s="76">
        <v>174600</v>
      </c>
      <c r="G70" s="76">
        <f t="shared" si="5"/>
        <v>6634800</v>
      </c>
    </row>
    <row r="71" spans="1:7">
      <c r="A71" s="71">
        <v>17</v>
      </c>
      <c r="B71" s="75" t="s">
        <v>434</v>
      </c>
      <c r="C71" s="76" t="s">
        <v>418</v>
      </c>
      <c r="D71" s="75" t="s">
        <v>382</v>
      </c>
      <c r="E71" s="84">
        <v>23</v>
      </c>
      <c r="F71" s="76">
        <v>174600</v>
      </c>
      <c r="G71" s="76">
        <f t="shared" si="5"/>
        <v>4015800</v>
      </c>
    </row>
    <row r="72" spans="1:7">
      <c r="A72" s="71">
        <v>18</v>
      </c>
      <c r="B72" s="75" t="s">
        <v>435</v>
      </c>
      <c r="C72" s="76" t="s">
        <v>418</v>
      </c>
      <c r="D72" s="75" t="s">
        <v>377</v>
      </c>
      <c r="E72" s="84">
        <v>11</v>
      </c>
      <c r="F72" s="76">
        <v>191300</v>
      </c>
      <c r="G72" s="76">
        <f t="shared" si="5"/>
        <v>2104300</v>
      </c>
    </row>
    <row r="73" spans="1:7">
      <c r="A73" s="71">
        <v>19</v>
      </c>
      <c r="B73" s="75" t="s">
        <v>436</v>
      </c>
      <c r="C73" s="76" t="s">
        <v>418</v>
      </c>
      <c r="D73" s="75" t="s">
        <v>275</v>
      </c>
      <c r="E73" s="84">
        <v>6</v>
      </c>
      <c r="F73" s="76">
        <v>185700</v>
      </c>
      <c r="G73" s="76">
        <f t="shared" si="5"/>
        <v>1114200</v>
      </c>
    </row>
    <row r="74" spans="1:7">
      <c r="A74" s="71"/>
      <c r="B74" s="75"/>
      <c r="C74" s="78" t="s">
        <v>437</v>
      </c>
      <c r="D74" s="75"/>
      <c r="E74" s="84">
        <f>SUM(E55:E73)</f>
        <v>1012</v>
      </c>
      <c r="F74" s="84"/>
      <c r="G74" s="84">
        <f t="shared" ref="G74" si="6">SUM(G55:G73)</f>
        <v>188368300</v>
      </c>
    </row>
    <row r="75" spans="1:7">
      <c r="A75" s="71">
        <v>1</v>
      </c>
      <c r="B75" s="75" t="s">
        <v>438</v>
      </c>
      <c r="C75" s="76" t="s">
        <v>439</v>
      </c>
      <c r="D75" s="75" t="s">
        <v>374</v>
      </c>
      <c r="E75" s="83">
        <v>78</v>
      </c>
      <c r="F75" s="76">
        <v>191300</v>
      </c>
      <c r="G75" s="76">
        <f t="shared" si="5"/>
        <v>14921400</v>
      </c>
    </row>
    <row r="76" spans="1:7">
      <c r="A76" s="71">
        <v>2</v>
      </c>
      <c r="B76" s="75" t="s">
        <v>440</v>
      </c>
      <c r="C76" s="76" t="s">
        <v>439</v>
      </c>
      <c r="D76" s="75" t="s">
        <v>377</v>
      </c>
      <c r="E76" s="83">
        <v>44</v>
      </c>
      <c r="F76" s="76">
        <v>191300</v>
      </c>
      <c r="G76" s="76">
        <f t="shared" si="5"/>
        <v>8417200</v>
      </c>
    </row>
    <row r="77" spans="1:7">
      <c r="A77" s="71">
        <v>3</v>
      </c>
      <c r="B77" s="75" t="s">
        <v>441</v>
      </c>
      <c r="C77" s="76" t="s">
        <v>439</v>
      </c>
      <c r="D77" s="75" t="s">
        <v>374</v>
      </c>
      <c r="E77" s="83">
        <v>279</v>
      </c>
      <c r="F77" s="76">
        <v>191300</v>
      </c>
      <c r="G77" s="76">
        <f t="shared" si="5"/>
        <v>53372700</v>
      </c>
    </row>
    <row r="78" spans="1:7">
      <c r="A78" s="71">
        <v>4</v>
      </c>
      <c r="B78" s="75" t="s">
        <v>442</v>
      </c>
      <c r="C78" s="76" t="s">
        <v>439</v>
      </c>
      <c r="D78" s="75" t="s">
        <v>374</v>
      </c>
      <c r="E78" s="83">
        <v>96</v>
      </c>
      <c r="F78" s="76">
        <v>191300</v>
      </c>
      <c r="G78" s="76">
        <f t="shared" si="5"/>
        <v>18364800</v>
      </c>
    </row>
    <row r="79" spans="1:7">
      <c r="A79" s="71">
        <v>5</v>
      </c>
      <c r="B79" s="75" t="s">
        <v>443</v>
      </c>
      <c r="C79" s="76" t="s">
        <v>439</v>
      </c>
      <c r="D79" s="75" t="s">
        <v>374</v>
      </c>
      <c r="E79" s="83">
        <v>99</v>
      </c>
      <c r="F79" s="76">
        <v>191300</v>
      </c>
      <c r="G79" s="76">
        <f t="shared" si="5"/>
        <v>18938700</v>
      </c>
    </row>
    <row r="80" spans="1:7">
      <c r="A80" s="71">
        <v>6</v>
      </c>
      <c r="B80" s="75" t="s">
        <v>444</v>
      </c>
      <c r="C80" s="76" t="s">
        <v>439</v>
      </c>
      <c r="D80" s="75" t="s">
        <v>379</v>
      </c>
      <c r="E80" s="83">
        <v>60</v>
      </c>
      <c r="F80" s="76">
        <v>191300</v>
      </c>
      <c r="G80" s="76">
        <f t="shared" si="5"/>
        <v>11478000</v>
      </c>
    </row>
    <row r="81" spans="1:7">
      <c r="A81" s="71">
        <v>7</v>
      </c>
      <c r="B81" s="75" t="s">
        <v>445</v>
      </c>
      <c r="C81" s="76" t="s">
        <v>439</v>
      </c>
      <c r="D81" s="75" t="s">
        <v>379</v>
      </c>
      <c r="E81" s="83">
        <v>343</v>
      </c>
      <c r="F81" s="76">
        <v>191300</v>
      </c>
      <c r="G81" s="76">
        <f t="shared" si="5"/>
        <v>65615900</v>
      </c>
    </row>
    <row r="82" spans="1:7">
      <c r="A82" s="71">
        <v>8</v>
      </c>
      <c r="B82" s="75" t="s">
        <v>446</v>
      </c>
      <c r="C82" s="76" t="s">
        <v>439</v>
      </c>
      <c r="D82" s="75" t="s">
        <v>379</v>
      </c>
      <c r="E82" s="83">
        <v>62</v>
      </c>
      <c r="F82" s="76">
        <v>191300</v>
      </c>
      <c r="G82" s="76">
        <f t="shared" si="5"/>
        <v>11860600</v>
      </c>
    </row>
    <row r="83" spans="1:7">
      <c r="A83" s="71">
        <v>9</v>
      </c>
      <c r="B83" s="75" t="s">
        <v>447</v>
      </c>
      <c r="C83" s="76" t="s">
        <v>439</v>
      </c>
      <c r="D83" s="75" t="s">
        <v>379</v>
      </c>
      <c r="E83" s="83">
        <v>138</v>
      </c>
      <c r="F83" s="76">
        <v>191300</v>
      </c>
      <c r="G83" s="76">
        <f t="shared" si="5"/>
        <v>26399400</v>
      </c>
    </row>
    <row r="84" spans="1:7">
      <c r="A84" s="71">
        <v>10</v>
      </c>
      <c r="B84" s="75" t="s">
        <v>448</v>
      </c>
      <c r="C84" s="76" t="s">
        <v>439</v>
      </c>
      <c r="D84" s="75" t="s">
        <v>379</v>
      </c>
      <c r="E84" s="83">
        <v>124</v>
      </c>
      <c r="F84" s="76">
        <v>191300</v>
      </c>
      <c r="G84" s="76">
        <f t="shared" si="5"/>
        <v>23721200</v>
      </c>
    </row>
    <row r="85" spans="1:7">
      <c r="A85" s="71">
        <v>11</v>
      </c>
      <c r="B85" s="75" t="s">
        <v>449</v>
      </c>
      <c r="C85" s="76" t="s">
        <v>439</v>
      </c>
      <c r="D85" s="75" t="s">
        <v>382</v>
      </c>
      <c r="E85" s="83">
        <v>43</v>
      </c>
      <c r="F85" s="76">
        <v>174600</v>
      </c>
      <c r="G85" s="76">
        <f t="shared" si="5"/>
        <v>7507800</v>
      </c>
    </row>
    <row r="86" spans="1:7">
      <c r="A86" s="71">
        <v>12</v>
      </c>
      <c r="B86" s="75" t="s">
        <v>450</v>
      </c>
      <c r="C86" s="76" t="s">
        <v>439</v>
      </c>
      <c r="D86" s="75" t="s">
        <v>382</v>
      </c>
      <c r="E86" s="83">
        <v>98</v>
      </c>
      <c r="F86" s="76">
        <v>174600</v>
      </c>
      <c r="G86" s="76">
        <f t="shared" si="5"/>
        <v>17110800</v>
      </c>
    </row>
    <row r="87" spans="1:7">
      <c r="A87" s="71">
        <v>13</v>
      </c>
      <c r="B87" s="75" t="s">
        <v>451</v>
      </c>
      <c r="C87" s="76" t="s">
        <v>439</v>
      </c>
      <c r="D87" s="75" t="s">
        <v>382</v>
      </c>
      <c r="E87" s="83">
        <v>45</v>
      </c>
      <c r="F87" s="76">
        <v>174600</v>
      </c>
      <c r="G87" s="76">
        <f t="shared" si="5"/>
        <v>7857000</v>
      </c>
    </row>
    <row r="88" spans="1:7">
      <c r="A88" s="71">
        <v>14</v>
      </c>
      <c r="B88" s="75" t="s">
        <v>452</v>
      </c>
      <c r="C88" s="76" t="s">
        <v>439</v>
      </c>
      <c r="D88" s="75" t="s">
        <v>382</v>
      </c>
      <c r="E88" s="83">
        <v>48</v>
      </c>
      <c r="F88" s="76">
        <v>174600</v>
      </c>
      <c r="G88" s="76">
        <f t="shared" si="5"/>
        <v>8380800</v>
      </c>
    </row>
    <row r="89" spans="1:7">
      <c r="A89" s="71">
        <v>15</v>
      </c>
      <c r="B89" s="75" t="s">
        <v>453</v>
      </c>
      <c r="C89" s="76" t="s">
        <v>439</v>
      </c>
      <c r="D89" s="75" t="s">
        <v>382</v>
      </c>
      <c r="E89" s="83">
        <v>21</v>
      </c>
      <c r="F89" s="76">
        <v>174600</v>
      </c>
      <c r="G89" s="76">
        <f t="shared" si="5"/>
        <v>3666600</v>
      </c>
    </row>
    <row r="90" spans="1:7">
      <c r="A90" s="71">
        <v>16</v>
      </c>
      <c r="B90" s="75" t="s">
        <v>454</v>
      </c>
      <c r="C90" s="76" t="s">
        <v>439</v>
      </c>
      <c r="D90" s="75" t="s">
        <v>382</v>
      </c>
      <c r="E90" s="83">
        <v>29</v>
      </c>
      <c r="F90" s="76">
        <v>174600</v>
      </c>
      <c r="G90" s="76">
        <f t="shared" si="5"/>
        <v>5063400</v>
      </c>
    </row>
    <row r="91" spans="1:7">
      <c r="A91" s="71">
        <v>17</v>
      </c>
      <c r="B91" s="75" t="s">
        <v>455</v>
      </c>
      <c r="C91" s="76" t="s">
        <v>439</v>
      </c>
      <c r="D91" s="75" t="s">
        <v>382</v>
      </c>
      <c r="E91" s="83">
        <v>16</v>
      </c>
      <c r="F91" s="76">
        <v>174600</v>
      </c>
      <c r="G91" s="76">
        <f t="shared" si="5"/>
        <v>2793600</v>
      </c>
    </row>
    <row r="92" spans="1:7">
      <c r="A92" s="71">
        <v>18</v>
      </c>
      <c r="B92" s="75" t="s">
        <v>456</v>
      </c>
      <c r="C92" s="76" t="s">
        <v>439</v>
      </c>
      <c r="D92" s="75" t="s">
        <v>382</v>
      </c>
      <c r="E92" s="83">
        <v>79</v>
      </c>
      <c r="F92" s="76">
        <v>174600</v>
      </c>
      <c r="G92" s="76">
        <f t="shared" si="5"/>
        <v>13793400</v>
      </c>
    </row>
    <row r="93" spans="1:7">
      <c r="A93" s="71">
        <v>19</v>
      </c>
      <c r="B93" s="75" t="s">
        <v>457</v>
      </c>
      <c r="C93" s="76" t="s">
        <v>439</v>
      </c>
      <c r="D93" s="75" t="s">
        <v>382</v>
      </c>
      <c r="E93" s="83">
        <v>6</v>
      </c>
      <c r="F93" s="76">
        <v>174600</v>
      </c>
      <c r="G93" s="76">
        <f t="shared" si="5"/>
        <v>1047600</v>
      </c>
    </row>
    <row r="94" spans="1:7">
      <c r="A94" s="71">
        <v>20</v>
      </c>
      <c r="B94" s="75" t="s">
        <v>458</v>
      </c>
      <c r="C94" s="76" t="s">
        <v>439</v>
      </c>
      <c r="D94" s="75" t="s">
        <v>275</v>
      </c>
      <c r="E94" s="83">
        <v>7</v>
      </c>
      <c r="F94" s="76">
        <v>185700</v>
      </c>
      <c r="G94" s="76">
        <f t="shared" si="5"/>
        <v>1299900</v>
      </c>
    </row>
    <row r="95" spans="1:7">
      <c r="A95" s="71"/>
      <c r="B95" s="75"/>
      <c r="C95" s="78" t="s">
        <v>459</v>
      </c>
      <c r="D95" s="75"/>
      <c r="E95" s="84">
        <f>SUM(E75:E94)</f>
        <v>1715</v>
      </c>
      <c r="F95" s="84"/>
      <c r="G95" s="84">
        <f t="shared" ref="G95" si="7">SUM(G75:G94)</f>
        <v>321610800</v>
      </c>
    </row>
    <row r="96" spans="1:7">
      <c r="A96" s="71">
        <v>1</v>
      </c>
      <c r="B96" s="75" t="s">
        <v>460</v>
      </c>
      <c r="C96" s="76" t="s">
        <v>461</v>
      </c>
      <c r="D96" s="75" t="s">
        <v>377</v>
      </c>
      <c r="E96" s="83">
        <v>121</v>
      </c>
      <c r="F96" s="76">
        <v>191300</v>
      </c>
      <c r="G96" s="76">
        <f t="shared" si="5"/>
        <v>23147300</v>
      </c>
    </row>
    <row r="97" spans="1:7">
      <c r="A97" s="71">
        <v>2</v>
      </c>
      <c r="B97" s="75" t="s">
        <v>462</v>
      </c>
      <c r="C97" s="76" t="s">
        <v>461</v>
      </c>
      <c r="D97" s="75" t="s">
        <v>382</v>
      </c>
      <c r="E97" s="83">
        <v>69</v>
      </c>
      <c r="F97" s="76">
        <v>174600</v>
      </c>
      <c r="G97" s="76">
        <f t="shared" si="5"/>
        <v>12047400</v>
      </c>
    </row>
    <row r="98" spans="1:7">
      <c r="A98" s="71">
        <v>3</v>
      </c>
      <c r="B98" s="75" t="s">
        <v>463</v>
      </c>
      <c r="C98" s="76" t="s">
        <v>461</v>
      </c>
      <c r="D98" s="75" t="s">
        <v>382</v>
      </c>
      <c r="E98" s="83">
        <v>47</v>
      </c>
      <c r="F98" s="76">
        <v>174600</v>
      </c>
      <c r="G98" s="76">
        <f t="shared" si="5"/>
        <v>8206200</v>
      </c>
    </row>
    <row r="99" spans="1:7">
      <c r="A99" s="71">
        <v>4</v>
      </c>
      <c r="B99" s="75" t="s">
        <v>464</v>
      </c>
      <c r="C99" s="76" t="s">
        <v>461</v>
      </c>
      <c r="D99" s="75" t="s">
        <v>382</v>
      </c>
      <c r="E99" s="83">
        <v>28</v>
      </c>
      <c r="F99" s="76">
        <v>174600</v>
      </c>
      <c r="G99" s="76">
        <f t="shared" si="5"/>
        <v>4888800</v>
      </c>
    </row>
    <row r="100" spans="1:7">
      <c r="A100" s="71">
        <v>5</v>
      </c>
      <c r="B100" s="75" t="s">
        <v>465</v>
      </c>
      <c r="C100" s="76" t="s">
        <v>461</v>
      </c>
      <c r="D100" s="75" t="s">
        <v>275</v>
      </c>
      <c r="E100" s="83">
        <v>6</v>
      </c>
      <c r="F100" s="76">
        <v>185700</v>
      </c>
      <c r="G100" s="76">
        <f t="shared" si="5"/>
        <v>1114200</v>
      </c>
    </row>
    <row r="101" spans="1:7">
      <c r="A101" s="71"/>
      <c r="B101" s="75"/>
      <c r="C101" s="78" t="s">
        <v>466</v>
      </c>
      <c r="D101" s="75"/>
      <c r="E101" s="84">
        <f>SUM(E96:E100)</f>
        <v>271</v>
      </c>
      <c r="F101" s="84"/>
      <c r="G101" s="84">
        <f t="shared" ref="G101" si="8">SUM(G96:G100)</f>
        <v>49403900</v>
      </c>
    </row>
    <row r="102" spans="1:7">
      <c r="A102" s="71">
        <v>1</v>
      </c>
      <c r="B102" s="75" t="s">
        <v>467</v>
      </c>
      <c r="C102" s="76" t="s">
        <v>468</v>
      </c>
      <c r="D102" s="75" t="s">
        <v>374</v>
      </c>
      <c r="E102" s="83">
        <v>80</v>
      </c>
      <c r="F102" s="76">
        <v>191300</v>
      </c>
      <c r="G102" s="76">
        <f t="shared" si="5"/>
        <v>15304000</v>
      </c>
    </row>
    <row r="103" spans="1:7">
      <c r="A103" s="71">
        <v>2</v>
      </c>
      <c r="B103" s="75" t="s">
        <v>329</v>
      </c>
      <c r="C103" s="76" t="s">
        <v>468</v>
      </c>
      <c r="D103" s="75" t="s">
        <v>379</v>
      </c>
      <c r="E103" s="83">
        <v>68</v>
      </c>
      <c r="F103" s="76">
        <v>191300</v>
      </c>
      <c r="G103" s="76">
        <f t="shared" si="5"/>
        <v>13008400</v>
      </c>
    </row>
    <row r="104" spans="1:7">
      <c r="A104" s="71">
        <v>3</v>
      </c>
      <c r="B104" s="75" t="s">
        <v>330</v>
      </c>
      <c r="C104" s="76" t="s">
        <v>468</v>
      </c>
      <c r="D104" s="75" t="s">
        <v>379</v>
      </c>
      <c r="E104" s="83">
        <v>32</v>
      </c>
      <c r="F104" s="76">
        <v>191300</v>
      </c>
      <c r="G104" s="76">
        <f t="shared" si="5"/>
        <v>6121600</v>
      </c>
    </row>
    <row r="105" spans="1:7">
      <c r="A105" s="71">
        <v>4</v>
      </c>
      <c r="B105" s="75" t="s">
        <v>331</v>
      </c>
      <c r="C105" s="76" t="s">
        <v>468</v>
      </c>
      <c r="D105" s="75" t="s">
        <v>382</v>
      </c>
      <c r="E105" s="83">
        <v>16</v>
      </c>
      <c r="F105" s="76">
        <v>174600</v>
      </c>
      <c r="G105" s="76">
        <f t="shared" si="5"/>
        <v>2793600</v>
      </c>
    </row>
    <row r="106" spans="1:7">
      <c r="A106" s="71">
        <v>5</v>
      </c>
      <c r="B106" s="75" t="s">
        <v>332</v>
      </c>
      <c r="C106" s="76" t="s">
        <v>468</v>
      </c>
      <c r="D106" s="75" t="s">
        <v>382</v>
      </c>
      <c r="E106" s="83">
        <v>33</v>
      </c>
      <c r="F106" s="76">
        <v>174600</v>
      </c>
      <c r="G106" s="76">
        <f t="shared" si="5"/>
        <v>5761800</v>
      </c>
    </row>
    <row r="107" spans="1:7">
      <c r="A107" s="71">
        <v>6</v>
      </c>
      <c r="B107" s="75" t="s">
        <v>333</v>
      </c>
      <c r="C107" s="76" t="s">
        <v>468</v>
      </c>
      <c r="D107" s="75" t="s">
        <v>382</v>
      </c>
      <c r="E107" s="83">
        <v>50</v>
      </c>
      <c r="F107" s="76">
        <v>174600</v>
      </c>
      <c r="G107" s="76">
        <f t="shared" si="5"/>
        <v>8730000</v>
      </c>
    </row>
    <row r="108" spans="1:7">
      <c r="A108" s="71">
        <v>7</v>
      </c>
      <c r="B108" s="75" t="s">
        <v>334</v>
      </c>
      <c r="C108" s="76" t="s">
        <v>468</v>
      </c>
      <c r="D108" s="75" t="s">
        <v>275</v>
      </c>
      <c r="E108" s="83">
        <v>5</v>
      </c>
      <c r="F108" s="76">
        <v>185700</v>
      </c>
      <c r="G108" s="76">
        <f t="shared" si="5"/>
        <v>928500</v>
      </c>
    </row>
    <row r="109" spans="1:7">
      <c r="A109" s="71"/>
      <c r="B109" s="75"/>
      <c r="C109" s="78" t="s">
        <v>469</v>
      </c>
      <c r="D109" s="75"/>
      <c r="E109" s="84">
        <f>SUM(E102:E108)</f>
        <v>284</v>
      </c>
      <c r="F109" s="84"/>
      <c r="G109" s="84">
        <f t="shared" ref="G109" si="9">SUM(G102:G108)</f>
        <v>52647900</v>
      </c>
    </row>
    <row r="110" spans="1:7">
      <c r="A110" s="71">
        <v>1</v>
      </c>
      <c r="B110" s="75" t="s">
        <v>470</v>
      </c>
      <c r="C110" s="76" t="s">
        <v>471</v>
      </c>
      <c r="D110" s="75" t="s">
        <v>374</v>
      </c>
      <c r="E110" s="83">
        <v>117</v>
      </c>
      <c r="F110" s="76">
        <v>191300</v>
      </c>
      <c r="G110" s="76">
        <f t="shared" si="5"/>
        <v>22382100</v>
      </c>
    </row>
    <row r="111" spans="1:7">
      <c r="A111" s="71">
        <v>2</v>
      </c>
      <c r="B111" s="75" t="s">
        <v>472</v>
      </c>
      <c r="C111" s="76" t="s">
        <v>471</v>
      </c>
      <c r="D111" s="75" t="s">
        <v>374</v>
      </c>
      <c r="E111" s="83">
        <v>76</v>
      </c>
      <c r="F111" s="76">
        <v>191300</v>
      </c>
      <c r="G111" s="76">
        <f t="shared" si="5"/>
        <v>14538800</v>
      </c>
    </row>
    <row r="112" spans="1:7">
      <c r="A112" s="71">
        <v>3</v>
      </c>
      <c r="B112" s="75" t="s">
        <v>473</v>
      </c>
      <c r="C112" s="76" t="s">
        <v>471</v>
      </c>
      <c r="D112" s="75" t="s">
        <v>374</v>
      </c>
      <c r="E112" s="83">
        <v>70</v>
      </c>
      <c r="F112" s="76">
        <v>191300</v>
      </c>
      <c r="G112" s="76">
        <f t="shared" si="5"/>
        <v>13391000</v>
      </c>
    </row>
    <row r="113" spans="1:7">
      <c r="A113" s="71">
        <v>4</v>
      </c>
      <c r="B113" s="75" t="s">
        <v>474</v>
      </c>
      <c r="C113" s="76" t="s">
        <v>471</v>
      </c>
      <c r="D113" s="75" t="s">
        <v>377</v>
      </c>
      <c r="E113" s="83">
        <v>140</v>
      </c>
      <c r="F113" s="76">
        <v>191300</v>
      </c>
      <c r="G113" s="76">
        <f t="shared" si="5"/>
        <v>26782000</v>
      </c>
    </row>
    <row r="114" spans="1:7">
      <c r="A114" s="71">
        <v>5</v>
      </c>
      <c r="B114" s="75" t="s">
        <v>475</v>
      </c>
      <c r="C114" s="76" t="s">
        <v>471</v>
      </c>
      <c r="D114" s="75" t="s">
        <v>379</v>
      </c>
      <c r="E114" s="83">
        <v>80</v>
      </c>
      <c r="F114" s="76">
        <v>191300</v>
      </c>
      <c r="G114" s="76">
        <f t="shared" si="5"/>
        <v>15304000</v>
      </c>
    </row>
    <row r="115" spans="1:7">
      <c r="A115" s="71">
        <v>6</v>
      </c>
      <c r="B115" s="75" t="s">
        <v>476</v>
      </c>
      <c r="C115" s="76" t="s">
        <v>471</v>
      </c>
      <c r="D115" s="75" t="s">
        <v>379</v>
      </c>
      <c r="E115" s="83">
        <v>200</v>
      </c>
      <c r="F115" s="76">
        <v>191300</v>
      </c>
      <c r="G115" s="76">
        <f t="shared" si="5"/>
        <v>38260000</v>
      </c>
    </row>
    <row r="116" spans="1:7">
      <c r="A116" s="71">
        <v>7</v>
      </c>
      <c r="B116" s="75" t="s">
        <v>477</v>
      </c>
      <c r="C116" s="76" t="s">
        <v>471</v>
      </c>
      <c r="D116" s="75" t="s">
        <v>379</v>
      </c>
      <c r="E116" s="83">
        <v>94</v>
      </c>
      <c r="F116" s="76">
        <v>191300</v>
      </c>
      <c r="G116" s="76">
        <f t="shared" si="5"/>
        <v>17982200</v>
      </c>
    </row>
    <row r="117" spans="1:7">
      <c r="A117" s="71">
        <v>8</v>
      </c>
      <c r="B117" s="75" t="s">
        <v>478</v>
      </c>
      <c r="C117" s="76" t="s">
        <v>471</v>
      </c>
      <c r="D117" s="75" t="s">
        <v>379</v>
      </c>
      <c r="E117" s="83">
        <v>53</v>
      </c>
      <c r="F117" s="76">
        <v>191300</v>
      </c>
      <c r="G117" s="76">
        <f t="shared" si="5"/>
        <v>10138900</v>
      </c>
    </row>
    <row r="118" spans="1:7">
      <c r="A118" s="71">
        <v>9</v>
      </c>
      <c r="B118" s="75" t="s">
        <v>479</v>
      </c>
      <c r="C118" s="76" t="s">
        <v>471</v>
      </c>
      <c r="D118" s="75" t="s">
        <v>382</v>
      </c>
      <c r="E118" s="83">
        <v>48</v>
      </c>
      <c r="F118" s="76">
        <v>174600</v>
      </c>
      <c r="G118" s="76">
        <f t="shared" si="5"/>
        <v>8380800</v>
      </c>
    </row>
    <row r="119" spans="1:7">
      <c r="A119" s="71">
        <v>10</v>
      </c>
      <c r="B119" s="75" t="s">
        <v>480</v>
      </c>
      <c r="C119" s="76" t="s">
        <v>471</v>
      </c>
      <c r="D119" s="75" t="s">
        <v>382</v>
      </c>
      <c r="E119" s="83">
        <v>57</v>
      </c>
      <c r="F119" s="76">
        <v>174600</v>
      </c>
      <c r="G119" s="76">
        <f t="shared" si="5"/>
        <v>9952200</v>
      </c>
    </row>
    <row r="120" spans="1:7">
      <c r="A120" s="71">
        <v>11</v>
      </c>
      <c r="B120" s="75" t="s">
        <v>481</v>
      </c>
      <c r="C120" s="76" t="s">
        <v>471</v>
      </c>
      <c r="D120" s="75" t="s">
        <v>382</v>
      </c>
      <c r="E120" s="83">
        <v>43</v>
      </c>
      <c r="F120" s="76">
        <v>174600</v>
      </c>
      <c r="G120" s="76">
        <f t="shared" si="5"/>
        <v>7507800</v>
      </c>
    </row>
    <row r="121" spans="1:7">
      <c r="A121" s="71">
        <v>12</v>
      </c>
      <c r="B121" s="75" t="s">
        <v>482</v>
      </c>
      <c r="C121" s="76" t="s">
        <v>471</v>
      </c>
      <c r="D121" s="75" t="s">
        <v>382</v>
      </c>
      <c r="E121" s="83">
        <v>45</v>
      </c>
      <c r="F121" s="76">
        <v>174600</v>
      </c>
      <c r="G121" s="76">
        <f t="shared" si="5"/>
        <v>7857000</v>
      </c>
    </row>
    <row r="122" spans="1:7">
      <c r="A122" s="71">
        <v>13</v>
      </c>
      <c r="B122" s="75" t="s">
        <v>483</v>
      </c>
      <c r="C122" s="76" t="s">
        <v>471</v>
      </c>
      <c r="D122" s="75" t="s">
        <v>382</v>
      </c>
      <c r="E122" s="83">
        <v>30</v>
      </c>
      <c r="F122" s="76">
        <v>174600</v>
      </c>
      <c r="G122" s="76">
        <f t="shared" si="5"/>
        <v>5238000</v>
      </c>
    </row>
    <row r="123" spans="1:7">
      <c r="A123" s="71">
        <v>14</v>
      </c>
      <c r="B123" s="75" t="s">
        <v>484</v>
      </c>
      <c r="C123" s="76" t="s">
        <v>471</v>
      </c>
      <c r="D123" s="75" t="s">
        <v>382</v>
      </c>
      <c r="E123" s="83">
        <v>13</v>
      </c>
      <c r="F123" s="76">
        <v>174600</v>
      </c>
      <c r="G123" s="76">
        <f t="shared" si="5"/>
        <v>2269800</v>
      </c>
    </row>
    <row r="124" spans="1:7">
      <c r="A124" s="71">
        <v>15</v>
      </c>
      <c r="B124" s="75" t="s">
        <v>485</v>
      </c>
      <c r="C124" s="76" t="s">
        <v>471</v>
      </c>
      <c r="D124" s="75" t="s">
        <v>275</v>
      </c>
      <c r="E124" s="83">
        <v>5</v>
      </c>
      <c r="F124" s="76">
        <v>185700</v>
      </c>
      <c r="G124" s="76">
        <f t="shared" si="5"/>
        <v>928500</v>
      </c>
    </row>
    <row r="125" spans="1:7">
      <c r="A125" s="71"/>
      <c r="B125" s="75"/>
      <c r="C125" s="78" t="s">
        <v>486</v>
      </c>
      <c r="D125" s="75"/>
      <c r="E125" s="84">
        <f>SUM(E110:E124)</f>
        <v>1071</v>
      </c>
      <c r="F125" s="84"/>
      <c r="G125" s="84">
        <f t="shared" ref="G125" si="10">SUM(G110:G124)</f>
        <v>200913100</v>
      </c>
    </row>
    <row r="126" spans="1:7">
      <c r="A126" s="71"/>
      <c r="B126" s="75"/>
      <c r="C126" s="78" t="s">
        <v>487</v>
      </c>
      <c r="D126" s="75"/>
      <c r="E126" s="84">
        <f>SUM(E125,E109,E101,E95,E74,E54,E35,E22,E13)</f>
        <v>7144</v>
      </c>
      <c r="F126" s="84"/>
      <c r="G126" s="84">
        <f t="shared" ref="G126" si="11">SUM(G125,G109,G101,G95,G74,G54,G35,G22,G13)</f>
        <v>1332071000</v>
      </c>
    </row>
  </sheetData>
  <autoFilter ref="A2:H126"/>
  <mergeCells count="1">
    <mergeCell ref="A1:G1"/>
  </mergeCells>
  <phoneticPr fontId="3" type="noConversion"/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7"/>
  <sheetViews>
    <sheetView workbookViewId="0">
      <selection activeCell="B6" sqref="B6:D6"/>
    </sheetView>
  </sheetViews>
  <sheetFormatPr defaultRowHeight="13.5"/>
  <cols>
    <col min="8" max="8" width="15.5" customWidth="1"/>
    <col min="9" max="9" width="20" customWidth="1"/>
  </cols>
  <sheetData>
    <row r="1" spans="1:9" ht="27">
      <c r="A1" s="383" t="s">
        <v>543</v>
      </c>
      <c r="B1" s="384"/>
      <c r="C1" s="384"/>
      <c r="D1" s="384"/>
      <c r="E1" s="384"/>
      <c r="F1" s="384"/>
      <c r="G1" s="384"/>
      <c r="H1" s="384"/>
      <c r="I1" s="384"/>
    </row>
    <row r="2" spans="1:9" ht="22.5">
      <c r="A2" s="147" t="s">
        <v>620</v>
      </c>
      <c r="B2" s="382" t="s">
        <v>621</v>
      </c>
      <c r="C2" s="382"/>
      <c r="D2" s="382"/>
      <c r="E2" s="148" t="s">
        <v>622</v>
      </c>
      <c r="F2" s="149" t="s">
        <v>623</v>
      </c>
      <c r="G2" s="149" t="s">
        <v>624</v>
      </c>
      <c r="H2" s="150" t="s">
        <v>625</v>
      </c>
      <c r="I2" s="151" t="s">
        <v>626</v>
      </c>
    </row>
    <row r="3" spans="1:9">
      <c r="A3" s="152">
        <v>1</v>
      </c>
      <c r="B3" s="381" t="s">
        <v>633</v>
      </c>
      <c r="C3" s="381"/>
      <c r="D3" s="381"/>
      <c r="E3" s="149" t="s">
        <v>627</v>
      </c>
      <c r="F3" s="147">
        <v>1</v>
      </c>
      <c r="G3" s="149">
        <v>5</v>
      </c>
      <c r="H3" s="153">
        <v>95250</v>
      </c>
      <c r="I3" s="153">
        <f t="shared" ref="I3" si="0">H3*G3</f>
        <v>476250</v>
      </c>
    </row>
    <row r="4" spans="1:9">
      <c r="A4" s="152"/>
      <c r="B4" s="381" t="s">
        <v>628</v>
      </c>
      <c r="C4" s="381"/>
      <c r="D4" s="381"/>
      <c r="E4" s="152"/>
      <c r="F4" s="152"/>
      <c r="G4" s="152"/>
      <c r="H4" s="154"/>
      <c r="I4" s="154">
        <f>I3</f>
        <v>476250</v>
      </c>
    </row>
    <row r="5" spans="1:9">
      <c r="A5" s="152">
        <v>1</v>
      </c>
      <c r="B5" s="381" t="s">
        <v>629</v>
      </c>
      <c r="C5" s="381"/>
      <c r="D5" s="381"/>
      <c r="E5" s="152" t="s">
        <v>630</v>
      </c>
      <c r="F5" s="152">
        <v>1</v>
      </c>
      <c r="G5" s="152">
        <v>5</v>
      </c>
      <c r="H5" s="154">
        <v>95250</v>
      </c>
      <c r="I5" s="154">
        <v>476250</v>
      </c>
    </row>
    <row r="6" spans="1:9">
      <c r="A6" s="152"/>
      <c r="B6" s="381" t="s">
        <v>631</v>
      </c>
      <c r="C6" s="381"/>
      <c r="D6" s="381"/>
      <c r="E6" s="152"/>
      <c r="F6" s="152"/>
      <c r="G6" s="152"/>
      <c r="H6" s="154"/>
      <c r="I6" s="154">
        <f>I5</f>
        <v>476250</v>
      </c>
    </row>
    <row r="7" spans="1:9">
      <c r="A7" s="152"/>
      <c r="B7" s="381" t="s">
        <v>632</v>
      </c>
      <c r="C7" s="381"/>
      <c r="D7" s="381"/>
      <c r="E7" s="152"/>
      <c r="F7" s="152"/>
      <c r="G7" s="152"/>
      <c r="H7" s="154"/>
      <c r="I7" s="154">
        <f>I4+I6</f>
        <v>952500</v>
      </c>
    </row>
  </sheetData>
  <mergeCells count="7">
    <mergeCell ref="B6:D6"/>
    <mergeCell ref="B7:D7"/>
    <mergeCell ref="B2:D2"/>
    <mergeCell ref="B3:D3"/>
    <mergeCell ref="A1:I1"/>
    <mergeCell ref="B4:D4"/>
    <mergeCell ref="B5:D5"/>
  </mergeCells>
  <phoneticPr fontId="3" type="noConversion"/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C127"/>
  <sheetViews>
    <sheetView workbookViewId="0">
      <selection activeCell="D9" sqref="D9"/>
    </sheetView>
  </sheetViews>
  <sheetFormatPr defaultRowHeight="13.5" outlineLevelRow="2"/>
  <cols>
    <col min="1" max="1" width="13.875" style="124" customWidth="1"/>
    <col min="2" max="2" width="23.875" style="124" customWidth="1"/>
    <col min="3" max="3" width="18.5" style="124" customWidth="1"/>
    <col min="4" max="16384" width="9" style="124"/>
  </cols>
  <sheetData>
    <row r="1" spans="1:3" ht="20.25">
      <c r="A1" s="385" t="s">
        <v>619</v>
      </c>
      <c r="B1" s="385"/>
      <c r="C1" s="385"/>
    </row>
    <row r="2" spans="1:3" ht="14.25">
      <c r="A2" s="125" t="s">
        <v>556</v>
      </c>
      <c r="B2" s="125" t="s">
        <v>557</v>
      </c>
      <c r="C2" s="125" t="s">
        <v>558</v>
      </c>
    </row>
    <row r="3" spans="1:3" outlineLevel="2">
      <c r="A3" s="126" t="s">
        <v>547</v>
      </c>
      <c r="B3" s="127" t="s">
        <v>568</v>
      </c>
      <c r="C3" s="126">
        <v>22361.14</v>
      </c>
    </row>
    <row r="4" spans="1:3" outlineLevel="2">
      <c r="A4" s="126" t="s">
        <v>547</v>
      </c>
      <c r="B4" s="127" t="s">
        <v>324</v>
      </c>
      <c r="C4" s="126">
        <v>203320.07</v>
      </c>
    </row>
    <row r="5" spans="1:3" outlineLevel="2">
      <c r="A5" s="126" t="s">
        <v>547</v>
      </c>
      <c r="B5" s="127" t="s">
        <v>325</v>
      </c>
      <c r="C5" s="126">
        <v>143502.85999999999</v>
      </c>
    </row>
    <row r="6" spans="1:3" outlineLevel="2">
      <c r="A6" s="126" t="s">
        <v>547</v>
      </c>
      <c r="B6" s="127" t="s">
        <v>326</v>
      </c>
      <c r="C6" s="126">
        <v>411655.71</v>
      </c>
    </row>
    <row r="7" spans="1:3" outlineLevel="2">
      <c r="A7" s="126" t="s">
        <v>547</v>
      </c>
      <c r="B7" s="127" t="s">
        <v>545</v>
      </c>
      <c r="C7" s="126">
        <v>76137.86</v>
      </c>
    </row>
    <row r="8" spans="1:3" outlineLevel="1">
      <c r="A8" s="128" t="s">
        <v>559</v>
      </c>
      <c r="B8" s="127"/>
      <c r="C8" s="126">
        <f>SUBTOTAL(9,C3:C7)</f>
        <v>856977.64</v>
      </c>
    </row>
    <row r="9" spans="1:3" ht="22.5" outlineLevel="2">
      <c r="A9" s="126" t="s">
        <v>548</v>
      </c>
      <c r="B9" s="129" t="s">
        <v>328</v>
      </c>
      <c r="C9" s="126">
        <v>299031.43</v>
      </c>
    </row>
    <row r="10" spans="1:3" outlineLevel="2">
      <c r="A10" s="126" t="s">
        <v>548</v>
      </c>
      <c r="B10" s="129" t="s">
        <v>329</v>
      </c>
      <c r="C10" s="126">
        <v>217494.34</v>
      </c>
    </row>
    <row r="11" spans="1:3" outlineLevel="2">
      <c r="A11" s="126" t="s">
        <v>548</v>
      </c>
      <c r="B11" s="129" t="s">
        <v>330</v>
      </c>
      <c r="C11" s="126">
        <v>99171.43</v>
      </c>
    </row>
    <row r="12" spans="1:3" outlineLevel="2">
      <c r="A12" s="126" t="s">
        <v>548</v>
      </c>
      <c r="B12" s="129" t="s">
        <v>331</v>
      </c>
      <c r="C12" s="126">
        <v>45528</v>
      </c>
    </row>
    <row r="13" spans="1:3" outlineLevel="2">
      <c r="A13" s="126" t="s">
        <v>548</v>
      </c>
      <c r="B13" s="129" t="s">
        <v>332</v>
      </c>
      <c r="C13" s="126">
        <v>92836.29</v>
      </c>
    </row>
    <row r="14" spans="1:3" outlineLevel="2">
      <c r="A14" s="126" t="s">
        <v>548</v>
      </c>
      <c r="B14" s="129" t="s">
        <v>333</v>
      </c>
      <c r="C14" s="126">
        <v>127794.86</v>
      </c>
    </row>
    <row r="15" spans="1:3" outlineLevel="2">
      <c r="A15" s="126" t="s">
        <v>548</v>
      </c>
      <c r="B15" s="129" t="s">
        <v>334</v>
      </c>
      <c r="C15" s="126">
        <v>19272.599999999999</v>
      </c>
    </row>
    <row r="16" spans="1:3" outlineLevel="1">
      <c r="A16" s="126" t="s">
        <v>560</v>
      </c>
      <c r="B16" s="129"/>
      <c r="C16" s="126">
        <f>SUBTOTAL(9,C9:C15)</f>
        <v>901128.95</v>
      </c>
    </row>
    <row r="17" spans="1:3" outlineLevel="2">
      <c r="A17" s="126" t="s">
        <v>549</v>
      </c>
      <c r="B17" s="127" t="s">
        <v>546</v>
      </c>
      <c r="C17" s="126">
        <v>313457.14</v>
      </c>
    </row>
    <row r="18" spans="1:3" outlineLevel="2">
      <c r="A18" s="126" t="s">
        <v>549</v>
      </c>
      <c r="B18" s="127" t="s">
        <v>569</v>
      </c>
      <c r="C18" s="126">
        <v>456364.29</v>
      </c>
    </row>
    <row r="19" spans="1:3" outlineLevel="2">
      <c r="A19" s="126" t="s">
        <v>549</v>
      </c>
      <c r="B19" s="127" t="s">
        <v>570</v>
      </c>
      <c r="C19" s="126">
        <v>875679.43</v>
      </c>
    </row>
    <row r="20" spans="1:3" outlineLevel="2">
      <c r="A20" s="126" t="s">
        <v>549</v>
      </c>
      <c r="B20" s="127" t="s">
        <v>571</v>
      </c>
      <c r="C20" s="126">
        <v>193523.14</v>
      </c>
    </row>
    <row r="21" spans="1:3" outlineLevel="2">
      <c r="A21" s="126" t="s">
        <v>549</v>
      </c>
      <c r="B21" s="127" t="s">
        <v>572</v>
      </c>
      <c r="C21" s="126">
        <v>45311.14</v>
      </c>
    </row>
    <row r="22" spans="1:3" outlineLevel="2">
      <c r="A22" s="126" t="s">
        <v>549</v>
      </c>
      <c r="B22" s="127" t="s">
        <v>573</v>
      </c>
      <c r="C22" s="126">
        <v>57561.43</v>
      </c>
    </row>
    <row r="23" spans="1:3" outlineLevel="2">
      <c r="A23" s="126" t="s">
        <v>549</v>
      </c>
      <c r="B23" s="127" t="s">
        <v>574</v>
      </c>
      <c r="C23" s="126">
        <v>237880.29</v>
      </c>
    </row>
    <row r="24" spans="1:3" outlineLevel="2">
      <c r="A24" s="126" t="s">
        <v>549</v>
      </c>
      <c r="B24" s="127" t="s">
        <v>575</v>
      </c>
      <c r="C24" s="126">
        <v>279506.57</v>
      </c>
    </row>
    <row r="25" spans="1:3" outlineLevel="2">
      <c r="A25" s="126" t="s">
        <v>549</v>
      </c>
      <c r="B25" s="127" t="s">
        <v>12</v>
      </c>
      <c r="C25" s="126">
        <v>1129024.29</v>
      </c>
    </row>
    <row r="26" spans="1:3" outlineLevel="2">
      <c r="A26" s="126" t="s">
        <v>549</v>
      </c>
      <c r="B26" s="127" t="s">
        <v>576</v>
      </c>
      <c r="C26" s="126">
        <v>89107.71</v>
      </c>
    </row>
    <row r="27" spans="1:3" outlineLevel="2">
      <c r="A27" s="126" t="s">
        <v>549</v>
      </c>
      <c r="B27" s="127" t="s">
        <v>577</v>
      </c>
      <c r="C27" s="126">
        <v>121374</v>
      </c>
    </row>
    <row r="28" spans="1:3" outlineLevel="2">
      <c r="A28" s="126" t="s">
        <v>549</v>
      </c>
      <c r="B28" s="127" t="s">
        <v>15</v>
      </c>
      <c r="C28" s="126">
        <v>337808.57</v>
      </c>
    </row>
    <row r="29" spans="1:3" outlineLevel="2">
      <c r="A29" s="126" t="s">
        <v>549</v>
      </c>
      <c r="B29" s="127" t="s">
        <v>578</v>
      </c>
      <c r="C29" s="126">
        <v>16714.29</v>
      </c>
    </row>
    <row r="30" spans="1:3" outlineLevel="2">
      <c r="A30" s="126" t="s">
        <v>549</v>
      </c>
      <c r="B30" s="127" t="s">
        <v>579</v>
      </c>
      <c r="C30" s="126">
        <v>402351.43</v>
      </c>
    </row>
    <row r="31" spans="1:3" outlineLevel="2">
      <c r="A31" s="126" t="s">
        <v>549</v>
      </c>
      <c r="B31" s="127" t="s">
        <v>580</v>
      </c>
      <c r="C31" s="126">
        <v>136085.14000000001</v>
      </c>
    </row>
    <row r="32" spans="1:3" outlineLevel="2">
      <c r="A32" s="126" t="s">
        <v>549</v>
      </c>
      <c r="B32" s="127" t="s">
        <v>581</v>
      </c>
      <c r="C32" s="126">
        <v>135365.14000000001</v>
      </c>
    </row>
    <row r="33" spans="1:3" outlineLevel="2">
      <c r="A33" s="126" t="s">
        <v>549</v>
      </c>
      <c r="B33" s="127" t="s">
        <v>20</v>
      </c>
      <c r="C33" s="126">
        <v>204467.14</v>
      </c>
    </row>
    <row r="34" spans="1:3" outlineLevel="2">
      <c r="A34" s="126" t="s">
        <v>549</v>
      </c>
      <c r="B34" s="127" t="s">
        <v>582</v>
      </c>
      <c r="C34" s="126">
        <v>271041.43</v>
      </c>
    </row>
    <row r="35" spans="1:3" outlineLevel="2">
      <c r="A35" s="126" t="s">
        <v>549</v>
      </c>
      <c r="B35" s="127" t="s">
        <v>618</v>
      </c>
      <c r="C35" s="126">
        <v>25711.71</v>
      </c>
    </row>
    <row r="36" spans="1:3" outlineLevel="2">
      <c r="A36" s="126" t="s">
        <v>549</v>
      </c>
      <c r="B36" s="127" t="s">
        <v>583</v>
      </c>
      <c r="C36" s="126">
        <v>129944.57</v>
      </c>
    </row>
    <row r="37" spans="1:3" outlineLevel="1">
      <c r="A37" s="126" t="s">
        <v>561</v>
      </c>
      <c r="B37" s="127"/>
      <c r="C37" s="126">
        <f>SUBTOTAL(9,C17:C36)</f>
        <v>5458278.8499999987</v>
      </c>
    </row>
    <row r="38" spans="1:3" outlineLevel="2">
      <c r="A38" s="126" t="s">
        <v>550</v>
      </c>
      <c r="B38" s="129" t="s">
        <v>495</v>
      </c>
      <c r="C38" s="126">
        <v>278536.5</v>
      </c>
    </row>
    <row r="39" spans="1:3" outlineLevel="2">
      <c r="A39" s="126" t="s">
        <v>550</v>
      </c>
      <c r="B39" s="129" t="s">
        <v>496</v>
      </c>
      <c r="C39" s="126">
        <v>285762.86</v>
      </c>
    </row>
    <row r="40" spans="1:3" outlineLevel="2">
      <c r="A40" s="126" t="s">
        <v>550</v>
      </c>
      <c r="B40" s="129" t="s">
        <v>489</v>
      </c>
      <c r="C40" s="126">
        <v>154512</v>
      </c>
    </row>
    <row r="41" spans="1:3" outlineLevel="2">
      <c r="A41" s="126" t="s">
        <v>550</v>
      </c>
      <c r="B41" s="129" t="s">
        <v>497</v>
      </c>
      <c r="C41" s="126">
        <v>227692.29</v>
      </c>
    </row>
    <row r="42" spans="1:3" outlineLevel="2">
      <c r="A42" s="126" t="s">
        <v>550</v>
      </c>
      <c r="B42" s="129" t="s">
        <v>498</v>
      </c>
      <c r="C42" s="126">
        <v>22268.57</v>
      </c>
    </row>
    <row r="43" spans="1:3" outlineLevel="2">
      <c r="A43" s="126" t="s">
        <v>550</v>
      </c>
      <c r="B43" s="129" t="s">
        <v>490</v>
      </c>
      <c r="C43" s="126">
        <v>278398.28999999998</v>
      </c>
    </row>
    <row r="44" spans="1:3" outlineLevel="2">
      <c r="A44" s="126" t="s">
        <v>550</v>
      </c>
      <c r="B44" s="129" t="s">
        <v>491</v>
      </c>
      <c r="C44" s="126">
        <v>236936.57</v>
      </c>
    </row>
    <row r="45" spans="1:3" outlineLevel="2">
      <c r="A45" s="126" t="s">
        <v>550</v>
      </c>
      <c r="B45" s="129" t="s">
        <v>499</v>
      </c>
      <c r="C45" s="126">
        <v>146795.14000000001</v>
      </c>
    </row>
    <row r="46" spans="1:3" outlineLevel="2">
      <c r="A46" s="126" t="s">
        <v>550</v>
      </c>
      <c r="B46" s="129" t="s">
        <v>492</v>
      </c>
      <c r="C46" s="126">
        <v>288401.14</v>
      </c>
    </row>
    <row r="47" spans="1:3" outlineLevel="2">
      <c r="A47" s="126" t="s">
        <v>550</v>
      </c>
      <c r="B47" s="129" t="s">
        <v>500</v>
      </c>
      <c r="C47" s="126">
        <v>179781.43</v>
      </c>
    </row>
    <row r="48" spans="1:3" outlineLevel="2">
      <c r="A48" s="126" t="s">
        <v>550</v>
      </c>
      <c r="B48" s="129" t="s">
        <v>501</v>
      </c>
      <c r="C48" s="126">
        <v>168225.43</v>
      </c>
    </row>
    <row r="49" spans="1:3" outlineLevel="2">
      <c r="A49" s="126" t="s">
        <v>550</v>
      </c>
      <c r="B49" s="129" t="s">
        <v>493</v>
      </c>
      <c r="C49" s="126">
        <v>175836.86</v>
      </c>
    </row>
    <row r="50" spans="1:3" outlineLevel="2">
      <c r="A50" s="126" t="s">
        <v>550</v>
      </c>
      <c r="B50" s="129" t="s">
        <v>502</v>
      </c>
      <c r="C50" s="126">
        <v>147974.79</v>
      </c>
    </row>
    <row r="51" spans="1:3" outlineLevel="2">
      <c r="A51" s="126" t="s">
        <v>550</v>
      </c>
      <c r="B51" s="129" t="s">
        <v>503</v>
      </c>
      <c r="C51" s="126">
        <v>55607.14</v>
      </c>
    </row>
    <row r="52" spans="1:3" outlineLevel="2">
      <c r="A52" s="126" t="s">
        <v>550</v>
      </c>
      <c r="B52" s="129" t="s">
        <v>504</v>
      </c>
      <c r="C52" s="126">
        <v>66965.14</v>
      </c>
    </row>
    <row r="53" spans="1:3" outlineLevel="2">
      <c r="A53" s="126" t="s">
        <v>550</v>
      </c>
      <c r="B53" s="129" t="s">
        <v>505</v>
      </c>
      <c r="C53" s="126">
        <v>59222.57</v>
      </c>
    </row>
    <row r="54" spans="1:3" outlineLevel="2">
      <c r="A54" s="126" t="s">
        <v>550</v>
      </c>
      <c r="B54" s="129" t="s">
        <v>506</v>
      </c>
      <c r="C54" s="126">
        <v>101690.57</v>
      </c>
    </row>
    <row r="55" spans="1:3" outlineLevel="2">
      <c r="A55" s="126" t="s">
        <v>550</v>
      </c>
      <c r="B55" s="129" t="s">
        <v>494</v>
      </c>
      <c r="C55" s="126">
        <v>104482.29</v>
      </c>
    </row>
    <row r="56" spans="1:3" outlineLevel="2">
      <c r="A56" s="126" t="s">
        <v>550</v>
      </c>
      <c r="B56" s="129" t="s">
        <v>507</v>
      </c>
      <c r="C56" s="126">
        <v>19694.57</v>
      </c>
    </row>
    <row r="57" spans="1:3" outlineLevel="1">
      <c r="A57" s="126" t="s">
        <v>562</v>
      </c>
      <c r="B57" s="129"/>
      <c r="C57" s="126">
        <f>SUBTOTAL(9,C38:C56)</f>
        <v>2998784.1500000004</v>
      </c>
    </row>
    <row r="58" spans="1:3" outlineLevel="2">
      <c r="A58" s="126" t="s">
        <v>551</v>
      </c>
      <c r="B58" s="130" t="s">
        <v>306</v>
      </c>
      <c r="C58" s="126">
        <v>218748.86</v>
      </c>
    </row>
    <row r="59" spans="1:3" outlineLevel="2">
      <c r="A59" s="126" t="s">
        <v>551</v>
      </c>
      <c r="B59" s="130" t="s">
        <v>307</v>
      </c>
      <c r="C59" s="126">
        <v>227869.71</v>
      </c>
    </row>
    <row r="60" spans="1:3" outlineLevel="2">
      <c r="A60" s="126" t="s">
        <v>551</v>
      </c>
      <c r="B60" s="130" t="s">
        <v>308</v>
      </c>
      <c r="C60" s="126">
        <v>245008.29</v>
      </c>
    </row>
    <row r="61" spans="1:3" outlineLevel="2">
      <c r="A61" s="126" t="s">
        <v>551</v>
      </c>
      <c r="B61" s="130" t="s">
        <v>309</v>
      </c>
      <c r="C61" s="126">
        <v>236887.71</v>
      </c>
    </row>
    <row r="62" spans="1:3" outlineLevel="2">
      <c r="A62" s="126" t="s">
        <v>551</v>
      </c>
      <c r="B62" s="130" t="s">
        <v>310</v>
      </c>
      <c r="C62" s="126">
        <v>260516.57</v>
      </c>
    </row>
    <row r="63" spans="1:3" outlineLevel="2">
      <c r="A63" s="126" t="s">
        <v>551</v>
      </c>
      <c r="B63" s="130" t="s">
        <v>311</v>
      </c>
      <c r="C63" s="126">
        <v>198853.71</v>
      </c>
    </row>
    <row r="64" spans="1:3" outlineLevel="2">
      <c r="A64" s="126" t="s">
        <v>551</v>
      </c>
      <c r="B64" s="130" t="s">
        <v>312</v>
      </c>
      <c r="C64" s="126">
        <v>368066.57</v>
      </c>
    </row>
    <row r="65" spans="1:3" outlineLevel="2">
      <c r="A65" s="126" t="s">
        <v>551</v>
      </c>
      <c r="B65" s="130" t="s">
        <v>313</v>
      </c>
      <c r="C65" s="126">
        <v>180005.14</v>
      </c>
    </row>
    <row r="66" spans="1:3" outlineLevel="2">
      <c r="A66" s="126" t="s">
        <v>551</v>
      </c>
      <c r="B66" s="130" t="s">
        <v>314</v>
      </c>
      <c r="C66" s="126">
        <v>134130.85999999999</v>
      </c>
    </row>
    <row r="67" spans="1:3" outlineLevel="2">
      <c r="A67" s="126" t="s">
        <v>551</v>
      </c>
      <c r="B67" s="130" t="s">
        <v>315</v>
      </c>
      <c r="C67" s="126">
        <v>192168</v>
      </c>
    </row>
    <row r="68" spans="1:3" outlineLevel="2">
      <c r="A68" s="126" t="s">
        <v>551</v>
      </c>
      <c r="B68" s="130" t="s">
        <v>316</v>
      </c>
      <c r="C68" s="126">
        <v>60176.57</v>
      </c>
    </row>
    <row r="69" spans="1:3" outlineLevel="2">
      <c r="A69" s="126" t="s">
        <v>551</v>
      </c>
      <c r="B69" s="130" t="s">
        <v>317</v>
      </c>
      <c r="C69" s="126">
        <v>137352.85999999999</v>
      </c>
    </row>
    <row r="70" spans="1:3" outlineLevel="2">
      <c r="A70" s="126" t="s">
        <v>551</v>
      </c>
      <c r="B70" s="130" t="s">
        <v>318</v>
      </c>
      <c r="C70" s="126">
        <v>71506.289999999994</v>
      </c>
    </row>
    <row r="71" spans="1:3" outlineLevel="2">
      <c r="A71" s="126" t="s">
        <v>551</v>
      </c>
      <c r="B71" s="130" t="s">
        <v>319</v>
      </c>
      <c r="C71" s="126">
        <v>98907.43</v>
      </c>
    </row>
    <row r="72" spans="1:3" outlineLevel="2">
      <c r="A72" s="126" t="s">
        <v>551</v>
      </c>
      <c r="B72" s="130" t="s">
        <v>320</v>
      </c>
      <c r="C72" s="126">
        <v>44940.86</v>
      </c>
    </row>
    <row r="73" spans="1:3" outlineLevel="2">
      <c r="A73" s="126" t="s">
        <v>551</v>
      </c>
      <c r="B73" s="130" t="s">
        <v>321</v>
      </c>
      <c r="C73" s="126">
        <v>15742.29</v>
      </c>
    </row>
    <row r="74" spans="1:3" outlineLevel="2">
      <c r="A74" s="126" t="s">
        <v>551</v>
      </c>
      <c r="B74" s="130" t="s">
        <v>322</v>
      </c>
      <c r="C74" s="126">
        <v>14168.57</v>
      </c>
    </row>
    <row r="75" spans="1:3" outlineLevel="2">
      <c r="A75" s="126" t="s">
        <v>551</v>
      </c>
      <c r="B75" s="127" t="s">
        <v>323</v>
      </c>
      <c r="C75" s="126">
        <v>229520.57</v>
      </c>
    </row>
    <row r="76" spans="1:3" outlineLevel="1">
      <c r="A76" s="126" t="s">
        <v>563</v>
      </c>
      <c r="B76" s="127"/>
      <c r="C76" s="126">
        <f>SUBTOTAL(9,C58:C75)</f>
        <v>2934570.8599999994</v>
      </c>
    </row>
    <row r="77" spans="1:3" outlineLevel="2">
      <c r="A77" s="126" t="s">
        <v>552</v>
      </c>
      <c r="B77" s="127" t="s">
        <v>294</v>
      </c>
      <c r="C77" s="126">
        <v>28936.29</v>
      </c>
    </row>
    <row r="78" spans="1:3" outlineLevel="2">
      <c r="A78" s="126" t="s">
        <v>552</v>
      </c>
      <c r="B78" s="127" t="s">
        <v>295</v>
      </c>
      <c r="C78" s="126">
        <v>597643.71</v>
      </c>
    </row>
    <row r="79" spans="1:3" outlineLevel="2">
      <c r="A79" s="126" t="s">
        <v>552</v>
      </c>
      <c r="B79" s="127" t="s">
        <v>296</v>
      </c>
      <c r="C79" s="126">
        <v>302893.71000000002</v>
      </c>
    </row>
    <row r="80" spans="1:3" outlineLevel="2">
      <c r="A80" s="126" t="s">
        <v>552</v>
      </c>
      <c r="B80" s="127" t="s">
        <v>297</v>
      </c>
      <c r="C80" s="126">
        <v>235272.86</v>
      </c>
    </row>
    <row r="81" spans="1:3" outlineLevel="2">
      <c r="A81" s="126" t="s">
        <v>552</v>
      </c>
      <c r="B81" s="127" t="s">
        <v>298</v>
      </c>
      <c r="C81" s="126">
        <v>378501.43</v>
      </c>
    </row>
    <row r="82" spans="1:3" outlineLevel="2">
      <c r="A82" s="126" t="s">
        <v>552</v>
      </c>
      <c r="B82" s="127" t="s">
        <v>299</v>
      </c>
      <c r="C82" s="126">
        <v>89159.14</v>
      </c>
    </row>
    <row r="83" spans="1:3" outlineLevel="2">
      <c r="A83" s="126" t="s">
        <v>552</v>
      </c>
      <c r="B83" s="127" t="s">
        <v>300</v>
      </c>
      <c r="C83" s="126">
        <v>65021.14</v>
      </c>
    </row>
    <row r="84" spans="1:3" outlineLevel="2">
      <c r="A84" s="126" t="s">
        <v>552</v>
      </c>
      <c r="B84" s="127" t="s">
        <v>301</v>
      </c>
      <c r="C84" s="126">
        <v>81756</v>
      </c>
    </row>
    <row r="85" spans="1:3" outlineLevel="2">
      <c r="A85" s="126" t="s">
        <v>552</v>
      </c>
      <c r="B85" s="127" t="s">
        <v>302</v>
      </c>
      <c r="C85" s="126">
        <v>72797.14</v>
      </c>
    </row>
    <row r="86" spans="1:3" outlineLevel="2">
      <c r="A86" s="126" t="s">
        <v>552</v>
      </c>
      <c r="B86" s="127" t="s">
        <v>303</v>
      </c>
      <c r="C86" s="126">
        <v>128535.43</v>
      </c>
    </row>
    <row r="87" spans="1:3" outlineLevel="2">
      <c r="A87" s="126" t="s">
        <v>552</v>
      </c>
      <c r="B87" s="127" t="s">
        <v>304</v>
      </c>
      <c r="C87" s="126">
        <v>57404.57</v>
      </c>
    </row>
    <row r="88" spans="1:3" outlineLevel="2">
      <c r="A88" s="126" t="s">
        <v>552</v>
      </c>
      <c r="B88" s="127" t="s">
        <v>305</v>
      </c>
      <c r="C88" s="126">
        <v>52976.57</v>
      </c>
    </row>
    <row r="89" spans="1:3" outlineLevel="1">
      <c r="A89" s="126" t="s">
        <v>564</v>
      </c>
      <c r="B89" s="127"/>
      <c r="C89" s="126">
        <f>SUBTOTAL(9,C77:C88)</f>
        <v>2090897.9899999995</v>
      </c>
    </row>
    <row r="90" spans="1:3" outlineLevel="2">
      <c r="A90" s="126" t="s">
        <v>553</v>
      </c>
      <c r="B90" s="127" t="s">
        <v>287</v>
      </c>
      <c r="C90" s="126">
        <v>89066.57</v>
      </c>
    </row>
    <row r="91" spans="1:3" outlineLevel="2">
      <c r="A91" s="126" t="s">
        <v>553</v>
      </c>
      <c r="B91" s="127" t="s">
        <v>288</v>
      </c>
      <c r="C91" s="126">
        <v>495753.43</v>
      </c>
    </row>
    <row r="92" spans="1:3" outlineLevel="2">
      <c r="A92" s="126" t="s">
        <v>553</v>
      </c>
      <c r="B92" s="127" t="s">
        <v>289</v>
      </c>
      <c r="C92" s="126">
        <v>501901.71</v>
      </c>
    </row>
    <row r="93" spans="1:3" outlineLevel="2">
      <c r="A93" s="126" t="s">
        <v>553</v>
      </c>
      <c r="B93" s="127" t="s">
        <v>290</v>
      </c>
      <c r="C93" s="126">
        <v>115094.57</v>
      </c>
    </row>
    <row r="94" spans="1:3" outlineLevel="2">
      <c r="A94" s="126" t="s">
        <v>553</v>
      </c>
      <c r="B94" s="127" t="s">
        <v>291</v>
      </c>
      <c r="C94" s="126">
        <v>105541.71</v>
      </c>
    </row>
    <row r="95" spans="1:3" outlineLevel="2">
      <c r="A95" s="126" t="s">
        <v>553</v>
      </c>
      <c r="B95" s="127" t="s">
        <v>617</v>
      </c>
      <c r="C95" s="126">
        <v>23574.86</v>
      </c>
    </row>
    <row r="96" spans="1:3" outlineLevel="2">
      <c r="A96" s="126" t="s">
        <v>553</v>
      </c>
      <c r="B96" s="127" t="s">
        <v>292</v>
      </c>
      <c r="C96" s="126">
        <v>403233.43</v>
      </c>
    </row>
    <row r="97" spans="1:3" outlineLevel="2">
      <c r="A97" s="126" t="s">
        <v>553</v>
      </c>
      <c r="B97" s="127" t="s">
        <v>293</v>
      </c>
      <c r="C97" s="126">
        <v>179709.43</v>
      </c>
    </row>
    <row r="98" spans="1:3" outlineLevel="1">
      <c r="A98" s="126" t="s">
        <v>565</v>
      </c>
      <c r="B98" s="127"/>
      <c r="C98" s="126">
        <f>SUBTOTAL(9,C90:C97)</f>
        <v>1913875.71</v>
      </c>
    </row>
    <row r="99" spans="1:3" outlineLevel="2">
      <c r="A99" s="126" t="s">
        <v>554</v>
      </c>
      <c r="B99" s="127" t="s">
        <v>336</v>
      </c>
      <c r="C99" s="126">
        <v>400309.71</v>
      </c>
    </row>
    <row r="100" spans="1:3" outlineLevel="2">
      <c r="A100" s="126" t="s">
        <v>554</v>
      </c>
      <c r="B100" s="127" t="s">
        <v>337</v>
      </c>
      <c r="C100" s="126">
        <v>262468.28999999998</v>
      </c>
    </row>
    <row r="101" spans="1:3" outlineLevel="2">
      <c r="A101" s="126" t="s">
        <v>554</v>
      </c>
      <c r="B101" s="127" t="s">
        <v>338</v>
      </c>
      <c r="C101" s="126">
        <v>268660.28999999998</v>
      </c>
    </row>
    <row r="102" spans="1:3" outlineLevel="2">
      <c r="A102" s="126" t="s">
        <v>554</v>
      </c>
      <c r="B102" s="127" t="s">
        <v>339</v>
      </c>
      <c r="C102" s="126">
        <v>298581.43</v>
      </c>
    </row>
    <row r="103" spans="1:3" outlineLevel="2">
      <c r="A103" s="126" t="s">
        <v>554</v>
      </c>
      <c r="B103" s="127" t="s">
        <v>340</v>
      </c>
      <c r="C103" s="126">
        <v>597913.71</v>
      </c>
    </row>
    <row r="104" spans="1:3" outlineLevel="2">
      <c r="A104" s="126" t="s">
        <v>554</v>
      </c>
      <c r="B104" s="127" t="s">
        <v>341</v>
      </c>
      <c r="C104" s="126">
        <v>140605.71</v>
      </c>
    </row>
    <row r="105" spans="1:3" outlineLevel="2">
      <c r="A105" s="126" t="s">
        <v>554</v>
      </c>
      <c r="B105" s="127" t="s">
        <v>342</v>
      </c>
      <c r="C105" s="126">
        <v>177168.86</v>
      </c>
    </row>
    <row r="106" spans="1:3" outlineLevel="2">
      <c r="A106" s="126" t="s">
        <v>554</v>
      </c>
      <c r="B106" s="127" t="s">
        <v>343</v>
      </c>
      <c r="C106" s="126">
        <v>141125.14000000001</v>
      </c>
    </row>
    <row r="107" spans="1:3" outlineLevel="2">
      <c r="A107" s="126" t="s">
        <v>554</v>
      </c>
      <c r="B107" s="127" t="s">
        <v>344</v>
      </c>
      <c r="C107" s="126">
        <v>124464.86</v>
      </c>
    </row>
    <row r="108" spans="1:3" outlineLevel="2">
      <c r="A108" s="126" t="s">
        <v>554</v>
      </c>
      <c r="B108" s="127" t="s">
        <v>345</v>
      </c>
      <c r="C108" s="126">
        <v>130695.43</v>
      </c>
    </row>
    <row r="109" spans="1:3" outlineLevel="2">
      <c r="A109" s="126" t="s">
        <v>554</v>
      </c>
      <c r="B109" s="127" t="s">
        <v>346</v>
      </c>
      <c r="C109" s="126">
        <v>468797.14</v>
      </c>
    </row>
    <row r="110" spans="1:3" outlineLevel="2">
      <c r="A110" s="126" t="s">
        <v>554</v>
      </c>
      <c r="B110" s="127" t="s">
        <v>616</v>
      </c>
      <c r="C110" s="126">
        <v>18018</v>
      </c>
    </row>
    <row r="111" spans="1:3" outlineLevel="2">
      <c r="A111" s="126" t="s">
        <v>554</v>
      </c>
      <c r="B111" s="127" t="s">
        <v>347</v>
      </c>
      <c r="C111" s="126">
        <v>45174.86</v>
      </c>
    </row>
    <row r="112" spans="1:3" outlineLevel="2">
      <c r="A112" s="126" t="s">
        <v>554</v>
      </c>
      <c r="B112" s="127" t="s">
        <v>348</v>
      </c>
      <c r="C112" s="126">
        <v>222534</v>
      </c>
    </row>
    <row r="113" spans="1:3" outlineLevel="2">
      <c r="A113" s="126" t="s">
        <v>554</v>
      </c>
      <c r="B113" s="127" t="s">
        <v>349</v>
      </c>
      <c r="C113" s="126">
        <v>77207.14</v>
      </c>
    </row>
    <row r="114" spans="1:3" outlineLevel="1">
      <c r="A114" s="126" t="s">
        <v>566</v>
      </c>
      <c r="B114" s="127"/>
      <c r="C114" s="126">
        <f>SUBTOTAL(9,C99:C113)</f>
        <v>3373724.5700000003</v>
      </c>
    </row>
    <row r="115" spans="1:3" outlineLevel="2">
      <c r="A115" s="126" t="s">
        <v>555</v>
      </c>
      <c r="B115" s="129" t="s">
        <v>266</v>
      </c>
      <c r="C115" s="126">
        <v>264120</v>
      </c>
    </row>
    <row r="116" spans="1:3" outlineLevel="2">
      <c r="A116" s="126" t="s">
        <v>555</v>
      </c>
      <c r="B116" s="129" t="s">
        <v>267</v>
      </c>
      <c r="C116" s="126">
        <v>199560</v>
      </c>
    </row>
    <row r="117" spans="1:3" outlineLevel="2">
      <c r="A117" s="126" t="s">
        <v>555</v>
      </c>
      <c r="B117" s="129" t="s">
        <v>268</v>
      </c>
      <c r="C117" s="126">
        <v>310956</v>
      </c>
    </row>
    <row r="118" spans="1:3" outlineLevel="2">
      <c r="A118" s="126" t="s">
        <v>555</v>
      </c>
      <c r="B118" s="129" t="s">
        <v>269</v>
      </c>
      <c r="C118" s="126">
        <v>273936</v>
      </c>
    </row>
    <row r="119" spans="1:3" outlineLevel="2">
      <c r="A119" s="126" t="s">
        <v>555</v>
      </c>
      <c r="B119" s="129" t="s">
        <v>270</v>
      </c>
      <c r="C119" s="126">
        <v>234891</v>
      </c>
    </row>
    <row r="120" spans="1:3" outlineLevel="2">
      <c r="A120" s="126" t="s">
        <v>555</v>
      </c>
      <c r="B120" s="129" t="s">
        <v>271</v>
      </c>
      <c r="C120" s="126">
        <v>168249</v>
      </c>
    </row>
    <row r="121" spans="1:3" outlineLevel="2">
      <c r="A121" s="126" t="s">
        <v>555</v>
      </c>
      <c r="B121" s="129" t="s">
        <v>272</v>
      </c>
      <c r="C121" s="126">
        <v>157056</v>
      </c>
    </row>
    <row r="122" spans="1:3" outlineLevel="2">
      <c r="A122" s="126" t="s">
        <v>555</v>
      </c>
      <c r="B122" s="129" t="s">
        <v>273</v>
      </c>
      <c r="C122" s="126">
        <v>101970</v>
      </c>
    </row>
    <row r="123" spans="1:3" outlineLevel="2">
      <c r="A123" s="126" t="s">
        <v>555</v>
      </c>
      <c r="B123" s="129" t="s">
        <v>274</v>
      </c>
      <c r="C123" s="126">
        <v>129819</v>
      </c>
    </row>
    <row r="124" spans="1:3" outlineLevel="2">
      <c r="A124" s="126" t="s">
        <v>555</v>
      </c>
      <c r="B124" s="129" t="s">
        <v>615</v>
      </c>
      <c r="C124" s="126">
        <v>4140</v>
      </c>
    </row>
    <row r="125" spans="1:3" outlineLevel="1">
      <c r="A125" s="126" t="s">
        <v>567</v>
      </c>
      <c r="B125" s="129"/>
      <c r="C125" s="126">
        <f>SUBTOTAL(9,C115:C124)</f>
        <v>1844697</v>
      </c>
    </row>
    <row r="126" spans="1:3">
      <c r="A126" s="126" t="s">
        <v>487</v>
      </c>
      <c r="B126" s="129"/>
      <c r="C126" s="126">
        <f>SUBTOTAL(9,C3:C124)</f>
        <v>22372935.720000003</v>
      </c>
    </row>
    <row r="127" spans="1:3">
      <c r="B127" s="131"/>
    </row>
  </sheetData>
  <mergeCells count="1">
    <mergeCell ref="A1:C1"/>
  </mergeCells>
  <phoneticPr fontId="3" type="noConversion"/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AB5"/>
  <sheetViews>
    <sheetView topLeftCell="G1" workbookViewId="0">
      <selection activeCell="S4" sqref="S4:Z4"/>
    </sheetView>
  </sheetViews>
  <sheetFormatPr defaultColWidth="9" defaultRowHeight="11.25"/>
  <cols>
    <col min="1" max="1" width="4" style="137" hidden="1" customWidth="1"/>
    <col min="2" max="2" width="27.625" style="137" bestFit="1" customWidth="1"/>
    <col min="3" max="3" width="12.625" style="137" customWidth="1"/>
    <col min="4" max="13" width="9" style="137" customWidth="1"/>
    <col min="14" max="14" width="8.375" style="137" customWidth="1"/>
    <col min="15" max="15" width="9.625" style="137" customWidth="1"/>
    <col min="16" max="16" width="9.375" style="137" customWidth="1"/>
    <col min="17" max="17" width="12.5" style="137" customWidth="1"/>
    <col min="18" max="18" width="9.875" style="137" customWidth="1"/>
    <col min="19" max="19" width="14.75" style="137" customWidth="1"/>
    <col min="20" max="20" width="10.5" style="137" customWidth="1"/>
    <col min="21" max="21" width="9.75" style="137" bestFit="1" customWidth="1"/>
    <col min="22" max="22" width="9.125" style="137" bestFit="1" customWidth="1"/>
    <col min="23" max="23" width="9.75" style="137" bestFit="1" customWidth="1"/>
    <col min="24" max="24" width="9.125" style="137" bestFit="1" customWidth="1"/>
    <col min="25" max="25" width="12.375" style="137" customWidth="1"/>
    <col min="26" max="26" width="14.75" style="137" customWidth="1"/>
    <col min="27" max="27" width="14" style="137" customWidth="1"/>
    <col min="28" max="28" width="11.625" style="137" customWidth="1"/>
    <col min="29" max="16384" width="9" style="137"/>
  </cols>
  <sheetData>
    <row r="1" spans="1:28" ht="19.5" customHeight="1">
      <c r="A1" s="387"/>
      <c r="B1" s="388"/>
      <c r="C1" s="388"/>
      <c r="D1" s="388"/>
      <c r="E1" s="388"/>
      <c r="F1" s="388"/>
      <c r="G1" s="388"/>
      <c r="H1" s="388"/>
      <c r="I1" s="388"/>
      <c r="J1" s="388"/>
      <c r="K1" s="388"/>
      <c r="L1" s="388"/>
      <c r="M1" s="388"/>
      <c r="N1" s="388"/>
      <c r="O1" s="388"/>
      <c r="P1" s="388"/>
      <c r="Q1" s="388"/>
      <c r="R1" s="388"/>
      <c r="S1" s="388"/>
      <c r="T1" s="388"/>
      <c r="U1" s="388"/>
      <c r="V1" s="388"/>
      <c r="W1" s="388"/>
      <c r="X1" s="388"/>
      <c r="Y1" s="388"/>
      <c r="Z1" s="388"/>
      <c r="AA1" s="388"/>
    </row>
    <row r="2" spans="1:28" ht="39.950000000000003" customHeight="1">
      <c r="A2" s="389" t="s">
        <v>593</v>
      </c>
      <c r="B2" s="386" t="s">
        <v>594</v>
      </c>
      <c r="C2" s="386" t="s">
        <v>595</v>
      </c>
      <c r="D2" s="386" t="s">
        <v>596</v>
      </c>
      <c r="E2" s="386"/>
      <c r="F2" s="386"/>
      <c r="G2" s="386"/>
      <c r="H2" s="386"/>
      <c r="I2" s="391" t="s">
        <v>597</v>
      </c>
      <c r="J2" s="391"/>
      <c r="K2" s="391"/>
      <c r="L2" s="391"/>
      <c r="M2" s="391"/>
      <c r="N2" s="391" t="s">
        <v>598</v>
      </c>
      <c r="O2" s="391"/>
      <c r="P2" s="391"/>
      <c r="Q2" s="391"/>
      <c r="R2" s="391"/>
      <c r="S2" s="386" t="s">
        <v>614</v>
      </c>
      <c r="T2" s="386"/>
      <c r="U2" s="386"/>
      <c r="V2" s="386"/>
      <c r="W2" s="386"/>
      <c r="X2" s="386"/>
      <c r="Y2" s="386"/>
      <c r="Z2" s="386"/>
      <c r="AA2" s="386"/>
    </row>
    <row r="3" spans="1:28" ht="39.950000000000003" customHeight="1">
      <c r="A3" s="390"/>
      <c r="B3" s="386"/>
      <c r="C3" s="386"/>
      <c r="D3" s="138" t="s">
        <v>599</v>
      </c>
      <c r="E3" s="138" t="s">
        <v>600</v>
      </c>
      <c r="F3" s="138" t="s">
        <v>601</v>
      </c>
      <c r="G3" s="138" t="s">
        <v>602</v>
      </c>
      <c r="H3" s="139" t="s">
        <v>24</v>
      </c>
      <c r="I3" s="138" t="s">
        <v>599</v>
      </c>
      <c r="J3" s="138" t="s">
        <v>600</v>
      </c>
      <c r="K3" s="138" t="s">
        <v>601</v>
      </c>
      <c r="L3" s="138" t="s">
        <v>602</v>
      </c>
      <c r="M3" s="138" t="s">
        <v>24</v>
      </c>
      <c r="N3" s="138" t="s">
        <v>599</v>
      </c>
      <c r="O3" s="138" t="s">
        <v>600</v>
      </c>
      <c r="P3" s="138" t="s">
        <v>601</v>
      </c>
      <c r="Q3" s="138" t="s">
        <v>602</v>
      </c>
      <c r="R3" s="138" t="s">
        <v>24</v>
      </c>
      <c r="S3" s="138" t="s">
        <v>603</v>
      </c>
      <c r="T3" s="138" t="s">
        <v>604</v>
      </c>
      <c r="U3" s="138" t="s">
        <v>605</v>
      </c>
      <c r="V3" s="138" t="s">
        <v>606</v>
      </c>
      <c r="W3" s="138" t="s">
        <v>607</v>
      </c>
      <c r="X3" s="138" t="s">
        <v>608</v>
      </c>
      <c r="Y3" s="138" t="s">
        <v>613</v>
      </c>
      <c r="Z3" s="140" t="s">
        <v>609</v>
      </c>
      <c r="AA3" s="139" t="s">
        <v>531</v>
      </c>
    </row>
    <row r="4" spans="1:28" ht="39.950000000000003" customHeight="1">
      <c r="A4" s="141" t="s">
        <v>535</v>
      </c>
      <c r="B4" s="142" t="s">
        <v>610</v>
      </c>
      <c r="C4" s="142" t="s">
        <v>611</v>
      </c>
      <c r="D4" s="143">
        <v>0</v>
      </c>
      <c r="E4" s="143">
        <v>0</v>
      </c>
      <c r="F4" s="143">
        <v>0</v>
      </c>
      <c r="G4" s="143">
        <v>1</v>
      </c>
      <c r="H4" s="144">
        <f t="shared" ref="H4" si="0">SUM(D4:G4)</f>
        <v>1</v>
      </c>
      <c r="I4" s="143">
        <v>0</v>
      </c>
      <c r="J4" s="143">
        <v>0</v>
      </c>
      <c r="K4" s="143">
        <v>0</v>
      </c>
      <c r="L4" s="143">
        <v>1</v>
      </c>
      <c r="M4" s="144">
        <f t="shared" ref="M4" si="1">SUM(I4:L4)</f>
        <v>1</v>
      </c>
      <c r="N4" s="143">
        <v>0</v>
      </c>
      <c r="O4" s="143">
        <v>0</v>
      </c>
      <c r="P4" s="143">
        <v>0</v>
      </c>
      <c r="Q4" s="143">
        <v>1</v>
      </c>
      <c r="R4" s="144">
        <f t="shared" ref="R4" si="2">SUM(N4:Q4)</f>
        <v>1</v>
      </c>
      <c r="S4" s="144">
        <f>3950*12</f>
        <v>47400</v>
      </c>
      <c r="T4" s="144">
        <f t="shared" ref="T4" si="3">R4*4320</f>
        <v>4320</v>
      </c>
      <c r="U4" s="144">
        <f t="shared" ref="U4" si="4">R4*6000</f>
        <v>6000</v>
      </c>
      <c r="V4" s="144">
        <f t="shared" ref="V4" si="5">R4*2400</f>
        <v>2400</v>
      </c>
      <c r="W4" s="144">
        <f t="shared" ref="W4" si="6">R4*8800</f>
        <v>8800</v>
      </c>
      <c r="X4" s="144">
        <f t="shared" ref="X4" si="7">R4*800</f>
        <v>800</v>
      </c>
      <c r="Y4" s="144">
        <f t="shared" ref="Y4" si="8">R4*960</f>
        <v>960</v>
      </c>
      <c r="Z4" s="144">
        <f>ROUND((S4+W4+X4)*0.35756,2)</f>
        <v>20380.919999999998</v>
      </c>
      <c r="AA4" s="144">
        <f t="shared" ref="AA4" si="9">SUM(S4:Z4)</f>
        <v>91060.92</v>
      </c>
      <c r="AB4" s="145"/>
    </row>
    <row r="5" spans="1:28" ht="39.950000000000003" customHeight="1">
      <c r="A5" s="139"/>
      <c r="B5" s="140" t="s">
        <v>612</v>
      </c>
      <c r="C5" s="140"/>
      <c r="D5" s="146">
        <f t="shared" ref="D5:AA5" si="10">SUM(D4:D4)</f>
        <v>0</v>
      </c>
      <c r="E5" s="146">
        <f t="shared" si="10"/>
        <v>0</v>
      </c>
      <c r="F5" s="146">
        <f t="shared" si="10"/>
        <v>0</v>
      </c>
      <c r="G5" s="146">
        <f t="shared" si="10"/>
        <v>1</v>
      </c>
      <c r="H5" s="146">
        <f t="shared" si="10"/>
        <v>1</v>
      </c>
      <c r="I5" s="146">
        <f t="shared" si="10"/>
        <v>0</v>
      </c>
      <c r="J5" s="146">
        <f t="shared" si="10"/>
        <v>0</v>
      </c>
      <c r="K5" s="146">
        <f t="shared" si="10"/>
        <v>0</v>
      </c>
      <c r="L5" s="146">
        <f t="shared" si="10"/>
        <v>1</v>
      </c>
      <c r="M5" s="146">
        <f t="shared" si="10"/>
        <v>1</v>
      </c>
      <c r="N5" s="146">
        <f t="shared" si="10"/>
        <v>0</v>
      </c>
      <c r="O5" s="146">
        <f t="shared" si="10"/>
        <v>0</v>
      </c>
      <c r="P5" s="146">
        <f t="shared" si="10"/>
        <v>0</v>
      </c>
      <c r="Q5" s="146">
        <f t="shared" si="10"/>
        <v>1</v>
      </c>
      <c r="R5" s="146">
        <f t="shared" si="10"/>
        <v>1</v>
      </c>
      <c r="S5" s="146">
        <f t="shared" si="10"/>
        <v>47400</v>
      </c>
      <c r="T5" s="146">
        <f t="shared" si="10"/>
        <v>4320</v>
      </c>
      <c r="U5" s="146">
        <f t="shared" si="10"/>
        <v>6000</v>
      </c>
      <c r="V5" s="146">
        <f t="shared" si="10"/>
        <v>2400</v>
      </c>
      <c r="W5" s="146">
        <f t="shared" si="10"/>
        <v>8800</v>
      </c>
      <c r="X5" s="146">
        <f t="shared" si="10"/>
        <v>800</v>
      </c>
      <c r="Y5" s="146">
        <f t="shared" si="10"/>
        <v>960</v>
      </c>
      <c r="Z5" s="146">
        <f t="shared" si="10"/>
        <v>20380.919999999998</v>
      </c>
      <c r="AA5" s="146">
        <f t="shared" si="10"/>
        <v>91060.92</v>
      </c>
      <c r="AB5" s="145"/>
    </row>
  </sheetData>
  <mergeCells count="8">
    <mergeCell ref="S2:AA2"/>
    <mergeCell ref="A1:AA1"/>
    <mergeCell ref="A2:A3"/>
    <mergeCell ref="B2:B3"/>
    <mergeCell ref="C2:C3"/>
    <mergeCell ref="D2:H2"/>
    <mergeCell ref="I2:M2"/>
    <mergeCell ref="N2:R2"/>
  </mergeCells>
  <phoneticPr fontId="3" type="noConversion"/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H15"/>
  <sheetViews>
    <sheetView tabSelected="1" workbookViewId="0">
      <selection activeCell="C4" sqref="C4"/>
    </sheetView>
  </sheetViews>
  <sheetFormatPr defaultColWidth="9" defaultRowHeight="13.5"/>
  <cols>
    <col min="1" max="1" width="10.625" style="239" customWidth="1"/>
    <col min="2" max="2" width="30.625" style="357" customWidth="1"/>
    <col min="3" max="3" width="30.625" style="239" customWidth="1"/>
    <col min="4" max="4" width="20.5" style="239" bestFit="1" customWidth="1"/>
    <col min="5" max="5" width="18.625" style="239" hidden="1" customWidth="1"/>
    <col min="6" max="6" width="18.375" style="239" bestFit="1" customWidth="1"/>
    <col min="7" max="7" width="14.375" style="239" hidden="1" customWidth="1"/>
    <col min="8" max="8" width="14.25" style="239" hidden="1" customWidth="1"/>
    <col min="9" max="252" width="9" style="239"/>
    <col min="253" max="253" width="6.625" style="239" customWidth="1"/>
    <col min="254" max="255" width="21.625" style="239" customWidth="1"/>
    <col min="256" max="256" width="16.125" style="239" bestFit="1" customWidth="1"/>
    <col min="257" max="257" width="13.875" style="239" bestFit="1" customWidth="1"/>
    <col min="258" max="258" width="17.25" style="239" bestFit="1" customWidth="1"/>
    <col min="259" max="260" width="20.5" style="239" bestFit="1" customWidth="1"/>
    <col min="261" max="261" width="0" style="239" hidden="1" customWidth="1"/>
    <col min="262" max="262" width="18.375" style="239" bestFit="1" customWidth="1"/>
    <col min="263" max="264" width="0" style="239" hidden="1" customWidth="1"/>
    <col min="265" max="508" width="9" style="239"/>
    <col min="509" max="509" width="6.625" style="239" customWidth="1"/>
    <col min="510" max="511" width="21.625" style="239" customWidth="1"/>
    <col min="512" max="512" width="16.125" style="239" bestFit="1" customWidth="1"/>
    <col min="513" max="513" width="13.875" style="239" bestFit="1" customWidth="1"/>
    <col min="514" max="514" width="17.25" style="239" bestFit="1" customWidth="1"/>
    <col min="515" max="516" width="20.5" style="239" bestFit="1" customWidth="1"/>
    <col min="517" max="517" width="0" style="239" hidden="1" customWidth="1"/>
    <col min="518" max="518" width="18.375" style="239" bestFit="1" customWidth="1"/>
    <col min="519" max="520" width="0" style="239" hidden="1" customWidth="1"/>
    <col min="521" max="764" width="9" style="239"/>
    <col min="765" max="765" width="6.625" style="239" customWidth="1"/>
    <col min="766" max="767" width="21.625" style="239" customWidth="1"/>
    <col min="768" max="768" width="16.125" style="239" bestFit="1" customWidth="1"/>
    <col min="769" max="769" width="13.875" style="239" bestFit="1" customWidth="1"/>
    <col min="770" max="770" width="17.25" style="239" bestFit="1" customWidth="1"/>
    <col min="771" max="772" width="20.5" style="239" bestFit="1" customWidth="1"/>
    <col min="773" max="773" width="0" style="239" hidden="1" customWidth="1"/>
    <col min="774" max="774" width="18.375" style="239" bestFit="1" customWidth="1"/>
    <col min="775" max="776" width="0" style="239" hidden="1" customWidth="1"/>
    <col min="777" max="1020" width="9" style="239"/>
    <col min="1021" max="1021" width="6.625" style="239" customWidth="1"/>
    <col min="1022" max="1023" width="21.625" style="239" customWidth="1"/>
    <col min="1024" max="1024" width="16.125" style="239" bestFit="1" customWidth="1"/>
    <col min="1025" max="1025" width="13.875" style="239" bestFit="1" customWidth="1"/>
    <col min="1026" max="1026" width="17.25" style="239" bestFit="1" customWidth="1"/>
    <col min="1027" max="1028" width="20.5" style="239" bestFit="1" customWidth="1"/>
    <col min="1029" max="1029" width="0" style="239" hidden="1" customWidth="1"/>
    <col min="1030" max="1030" width="18.375" style="239" bestFit="1" customWidth="1"/>
    <col min="1031" max="1032" width="0" style="239" hidden="1" customWidth="1"/>
    <col min="1033" max="1276" width="9" style="239"/>
    <col min="1277" max="1277" width="6.625" style="239" customWidth="1"/>
    <col min="1278" max="1279" width="21.625" style="239" customWidth="1"/>
    <col min="1280" max="1280" width="16.125" style="239" bestFit="1" customWidth="1"/>
    <col min="1281" max="1281" width="13.875" style="239" bestFit="1" customWidth="1"/>
    <col min="1282" max="1282" width="17.25" style="239" bestFit="1" customWidth="1"/>
    <col min="1283" max="1284" width="20.5" style="239" bestFit="1" customWidth="1"/>
    <col min="1285" max="1285" width="0" style="239" hidden="1" customWidth="1"/>
    <col min="1286" max="1286" width="18.375" style="239" bestFit="1" customWidth="1"/>
    <col min="1287" max="1288" width="0" style="239" hidden="1" customWidth="1"/>
    <col min="1289" max="1532" width="9" style="239"/>
    <col min="1533" max="1533" width="6.625" style="239" customWidth="1"/>
    <col min="1534" max="1535" width="21.625" style="239" customWidth="1"/>
    <col min="1536" max="1536" width="16.125" style="239" bestFit="1" customWidth="1"/>
    <col min="1537" max="1537" width="13.875" style="239" bestFit="1" customWidth="1"/>
    <col min="1538" max="1538" width="17.25" style="239" bestFit="1" customWidth="1"/>
    <col min="1539" max="1540" width="20.5" style="239" bestFit="1" customWidth="1"/>
    <col min="1541" max="1541" width="0" style="239" hidden="1" customWidth="1"/>
    <col min="1542" max="1542" width="18.375" style="239" bestFit="1" customWidth="1"/>
    <col min="1543" max="1544" width="0" style="239" hidden="1" customWidth="1"/>
    <col min="1545" max="1788" width="9" style="239"/>
    <col min="1789" max="1789" width="6.625" style="239" customWidth="1"/>
    <col min="1790" max="1791" width="21.625" style="239" customWidth="1"/>
    <col min="1792" max="1792" width="16.125" style="239" bestFit="1" customWidth="1"/>
    <col min="1793" max="1793" width="13.875" style="239" bestFit="1" customWidth="1"/>
    <col min="1794" max="1794" width="17.25" style="239" bestFit="1" customWidth="1"/>
    <col min="1795" max="1796" width="20.5" style="239" bestFit="1" customWidth="1"/>
    <col min="1797" max="1797" width="0" style="239" hidden="1" customWidth="1"/>
    <col min="1798" max="1798" width="18.375" style="239" bestFit="1" customWidth="1"/>
    <col min="1799" max="1800" width="0" style="239" hidden="1" customWidth="1"/>
    <col min="1801" max="2044" width="9" style="239"/>
    <col min="2045" max="2045" width="6.625" style="239" customWidth="1"/>
    <col min="2046" max="2047" width="21.625" style="239" customWidth="1"/>
    <col min="2048" max="2048" width="16.125" style="239" bestFit="1" customWidth="1"/>
    <col min="2049" max="2049" width="13.875" style="239" bestFit="1" customWidth="1"/>
    <col min="2050" max="2050" width="17.25" style="239" bestFit="1" customWidth="1"/>
    <col min="2051" max="2052" width="20.5" style="239" bestFit="1" customWidth="1"/>
    <col min="2053" max="2053" width="0" style="239" hidden="1" customWidth="1"/>
    <col min="2054" max="2054" width="18.375" style="239" bestFit="1" customWidth="1"/>
    <col min="2055" max="2056" width="0" style="239" hidden="1" customWidth="1"/>
    <col min="2057" max="2300" width="9" style="239"/>
    <col min="2301" max="2301" width="6.625" style="239" customWidth="1"/>
    <col min="2302" max="2303" width="21.625" style="239" customWidth="1"/>
    <col min="2304" max="2304" width="16.125" style="239" bestFit="1" customWidth="1"/>
    <col min="2305" max="2305" width="13.875" style="239" bestFit="1" customWidth="1"/>
    <col min="2306" max="2306" width="17.25" style="239" bestFit="1" customWidth="1"/>
    <col min="2307" max="2308" width="20.5" style="239" bestFit="1" customWidth="1"/>
    <col min="2309" max="2309" width="0" style="239" hidden="1" customWidth="1"/>
    <col min="2310" max="2310" width="18.375" style="239" bestFit="1" customWidth="1"/>
    <col min="2311" max="2312" width="0" style="239" hidden="1" customWidth="1"/>
    <col min="2313" max="2556" width="9" style="239"/>
    <col min="2557" max="2557" width="6.625" style="239" customWidth="1"/>
    <col min="2558" max="2559" width="21.625" style="239" customWidth="1"/>
    <col min="2560" max="2560" width="16.125" style="239" bestFit="1" customWidth="1"/>
    <col min="2561" max="2561" width="13.875" style="239" bestFit="1" customWidth="1"/>
    <col min="2562" max="2562" width="17.25" style="239" bestFit="1" customWidth="1"/>
    <col min="2563" max="2564" width="20.5" style="239" bestFit="1" customWidth="1"/>
    <col min="2565" max="2565" width="0" style="239" hidden="1" customWidth="1"/>
    <col min="2566" max="2566" width="18.375" style="239" bestFit="1" customWidth="1"/>
    <col min="2567" max="2568" width="0" style="239" hidden="1" customWidth="1"/>
    <col min="2569" max="2812" width="9" style="239"/>
    <col min="2813" max="2813" width="6.625" style="239" customWidth="1"/>
    <col min="2814" max="2815" width="21.625" style="239" customWidth="1"/>
    <col min="2816" max="2816" width="16.125" style="239" bestFit="1" customWidth="1"/>
    <col min="2817" max="2817" width="13.875" style="239" bestFit="1" customWidth="1"/>
    <col min="2818" max="2818" width="17.25" style="239" bestFit="1" customWidth="1"/>
    <col min="2819" max="2820" width="20.5" style="239" bestFit="1" customWidth="1"/>
    <col min="2821" max="2821" width="0" style="239" hidden="1" customWidth="1"/>
    <col min="2822" max="2822" width="18.375" style="239" bestFit="1" customWidth="1"/>
    <col min="2823" max="2824" width="0" style="239" hidden="1" customWidth="1"/>
    <col min="2825" max="3068" width="9" style="239"/>
    <col min="3069" max="3069" width="6.625" style="239" customWidth="1"/>
    <col min="3070" max="3071" width="21.625" style="239" customWidth="1"/>
    <col min="3072" max="3072" width="16.125" style="239" bestFit="1" customWidth="1"/>
    <col min="3073" max="3073" width="13.875" style="239" bestFit="1" customWidth="1"/>
    <col min="3074" max="3074" width="17.25" style="239" bestFit="1" customWidth="1"/>
    <col min="3075" max="3076" width="20.5" style="239" bestFit="1" customWidth="1"/>
    <col min="3077" max="3077" width="0" style="239" hidden="1" customWidth="1"/>
    <col min="3078" max="3078" width="18.375" style="239" bestFit="1" customWidth="1"/>
    <col min="3079" max="3080" width="0" style="239" hidden="1" customWidth="1"/>
    <col min="3081" max="3324" width="9" style="239"/>
    <col min="3325" max="3325" width="6.625" style="239" customWidth="1"/>
    <col min="3326" max="3327" width="21.625" style="239" customWidth="1"/>
    <col min="3328" max="3328" width="16.125" style="239" bestFit="1" customWidth="1"/>
    <col min="3329" max="3329" width="13.875" style="239" bestFit="1" customWidth="1"/>
    <col min="3330" max="3330" width="17.25" style="239" bestFit="1" customWidth="1"/>
    <col min="3331" max="3332" width="20.5" style="239" bestFit="1" customWidth="1"/>
    <col min="3333" max="3333" width="0" style="239" hidden="1" customWidth="1"/>
    <col min="3334" max="3334" width="18.375" style="239" bestFit="1" customWidth="1"/>
    <col min="3335" max="3336" width="0" style="239" hidden="1" customWidth="1"/>
    <col min="3337" max="3580" width="9" style="239"/>
    <col min="3581" max="3581" width="6.625" style="239" customWidth="1"/>
    <col min="3582" max="3583" width="21.625" style="239" customWidth="1"/>
    <col min="3584" max="3584" width="16.125" style="239" bestFit="1" customWidth="1"/>
    <col min="3585" max="3585" width="13.875" style="239" bestFit="1" customWidth="1"/>
    <col min="3586" max="3586" width="17.25" style="239" bestFit="1" customWidth="1"/>
    <col min="3587" max="3588" width="20.5" style="239" bestFit="1" customWidth="1"/>
    <col min="3589" max="3589" width="0" style="239" hidden="1" customWidth="1"/>
    <col min="3590" max="3590" width="18.375" style="239" bestFit="1" customWidth="1"/>
    <col min="3591" max="3592" width="0" style="239" hidden="1" customWidth="1"/>
    <col min="3593" max="3836" width="9" style="239"/>
    <col min="3837" max="3837" width="6.625" style="239" customWidth="1"/>
    <col min="3838" max="3839" width="21.625" style="239" customWidth="1"/>
    <col min="3840" max="3840" width="16.125" style="239" bestFit="1" customWidth="1"/>
    <col min="3841" max="3841" width="13.875" style="239" bestFit="1" customWidth="1"/>
    <col min="3842" max="3842" width="17.25" style="239" bestFit="1" customWidth="1"/>
    <col min="3843" max="3844" width="20.5" style="239" bestFit="1" customWidth="1"/>
    <col min="3845" max="3845" width="0" style="239" hidden="1" customWidth="1"/>
    <col min="3846" max="3846" width="18.375" style="239" bestFit="1" customWidth="1"/>
    <col min="3847" max="3848" width="0" style="239" hidden="1" customWidth="1"/>
    <col min="3849" max="4092" width="9" style="239"/>
    <col min="4093" max="4093" width="6.625" style="239" customWidth="1"/>
    <col min="4094" max="4095" width="21.625" style="239" customWidth="1"/>
    <col min="4096" max="4096" width="16.125" style="239" bestFit="1" customWidth="1"/>
    <col min="4097" max="4097" width="13.875" style="239" bestFit="1" customWidth="1"/>
    <col min="4098" max="4098" width="17.25" style="239" bestFit="1" customWidth="1"/>
    <col min="4099" max="4100" width="20.5" style="239" bestFit="1" customWidth="1"/>
    <col min="4101" max="4101" width="0" style="239" hidden="1" customWidth="1"/>
    <col min="4102" max="4102" width="18.375" style="239" bestFit="1" customWidth="1"/>
    <col min="4103" max="4104" width="0" style="239" hidden="1" customWidth="1"/>
    <col min="4105" max="4348" width="9" style="239"/>
    <col min="4349" max="4349" width="6.625" style="239" customWidth="1"/>
    <col min="4350" max="4351" width="21.625" style="239" customWidth="1"/>
    <col min="4352" max="4352" width="16.125" style="239" bestFit="1" customWidth="1"/>
    <col min="4353" max="4353" width="13.875" style="239" bestFit="1" customWidth="1"/>
    <col min="4354" max="4354" width="17.25" style="239" bestFit="1" customWidth="1"/>
    <col min="4355" max="4356" width="20.5" style="239" bestFit="1" customWidth="1"/>
    <col min="4357" max="4357" width="0" style="239" hidden="1" customWidth="1"/>
    <col min="4358" max="4358" width="18.375" style="239" bestFit="1" customWidth="1"/>
    <col min="4359" max="4360" width="0" style="239" hidden="1" customWidth="1"/>
    <col min="4361" max="4604" width="9" style="239"/>
    <col min="4605" max="4605" width="6.625" style="239" customWidth="1"/>
    <col min="4606" max="4607" width="21.625" style="239" customWidth="1"/>
    <col min="4608" max="4608" width="16.125" style="239" bestFit="1" customWidth="1"/>
    <col min="4609" max="4609" width="13.875" style="239" bestFit="1" customWidth="1"/>
    <col min="4610" max="4610" width="17.25" style="239" bestFit="1" customWidth="1"/>
    <col min="4611" max="4612" width="20.5" style="239" bestFit="1" customWidth="1"/>
    <col min="4613" max="4613" width="0" style="239" hidden="1" customWidth="1"/>
    <col min="4614" max="4614" width="18.375" style="239" bestFit="1" customWidth="1"/>
    <col min="4615" max="4616" width="0" style="239" hidden="1" customWidth="1"/>
    <col min="4617" max="4860" width="9" style="239"/>
    <col min="4861" max="4861" width="6.625" style="239" customWidth="1"/>
    <col min="4862" max="4863" width="21.625" style="239" customWidth="1"/>
    <col min="4864" max="4864" width="16.125" style="239" bestFit="1" customWidth="1"/>
    <col min="4865" max="4865" width="13.875" style="239" bestFit="1" customWidth="1"/>
    <col min="4866" max="4866" width="17.25" style="239" bestFit="1" customWidth="1"/>
    <col min="4867" max="4868" width="20.5" style="239" bestFit="1" customWidth="1"/>
    <col min="4869" max="4869" width="0" style="239" hidden="1" customWidth="1"/>
    <col min="4870" max="4870" width="18.375" style="239" bestFit="1" customWidth="1"/>
    <col min="4871" max="4872" width="0" style="239" hidden="1" customWidth="1"/>
    <col min="4873" max="5116" width="9" style="239"/>
    <col min="5117" max="5117" width="6.625" style="239" customWidth="1"/>
    <col min="5118" max="5119" width="21.625" style="239" customWidth="1"/>
    <col min="5120" max="5120" width="16.125" style="239" bestFit="1" customWidth="1"/>
    <col min="5121" max="5121" width="13.875" style="239" bestFit="1" customWidth="1"/>
    <col min="5122" max="5122" width="17.25" style="239" bestFit="1" customWidth="1"/>
    <col min="5123" max="5124" width="20.5" style="239" bestFit="1" customWidth="1"/>
    <col min="5125" max="5125" width="0" style="239" hidden="1" customWidth="1"/>
    <col min="5126" max="5126" width="18.375" style="239" bestFit="1" customWidth="1"/>
    <col min="5127" max="5128" width="0" style="239" hidden="1" customWidth="1"/>
    <col min="5129" max="5372" width="9" style="239"/>
    <col min="5373" max="5373" width="6.625" style="239" customWidth="1"/>
    <col min="5374" max="5375" width="21.625" style="239" customWidth="1"/>
    <col min="5376" max="5376" width="16.125" style="239" bestFit="1" customWidth="1"/>
    <col min="5377" max="5377" width="13.875" style="239" bestFit="1" customWidth="1"/>
    <col min="5378" max="5378" width="17.25" style="239" bestFit="1" customWidth="1"/>
    <col min="5379" max="5380" width="20.5" style="239" bestFit="1" customWidth="1"/>
    <col min="5381" max="5381" width="0" style="239" hidden="1" customWidth="1"/>
    <col min="5382" max="5382" width="18.375" style="239" bestFit="1" customWidth="1"/>
    <col min="5383" max="5384" width="0" style="239" hidden="1" customWidth="1"/>
    <col min="5385" max="5628" width="9" style="239"/>
    <col min="5629" max="5629" width="6.625" style="239" customWidth="1"/>
    <col min="5630" max="5631" width="21.625" style="239" customWidth="1"/>
    <col min="5632" max="5632" width="16.125" style="239" bestFit="1" customWidth="1"/>
    <col min="5633" max="5633" width="13.875" style="239" bestFit="1" customWidth="1"/>
    <col min="5634" max="5634" width="17.25" style="239" bestFit="1" customWidth="1"/>
    <col min="5635" max="5636" width="20.5" style="239" bestFit="1" customWidth="1"/>
    <col min="5637" max="5637" width="0" style="239" hidden="1" customWidth="1"/>
    <col min="5638" max="5638" width="18.375" style="239" bestFit="1" customWidth="1"/>
    <col min="5639" max="5640" width="0" style="239" hidden="1" customWidth="1"/>
    <col min="5641" max="5884" width="9" style="239"/>
    <col min="5885" max="5885" width="6.625" style="239" customWidth="1"/>
    <col min="5886" max="5887" width="21.625" style="239" customWidth="1"/>
    <col min="5888" max="5888" width="16.125" style="239" bestFit="1" customWidth="1"/>
    <col min="5889" max="5889" width="13.875" style="239" bestFit="1" customWidth="1"/>
    <col min="5890" max="5890" width="17.25" style="239" bestFit="1" customWidth="1"/>
    <col min="5891" max="5892" width="20.5" style="239" bestFit="1" customWidth="1"/>
    <col min="5893" max="5893" width="0" style="239" hidden="1" customWidth="1"/>
    <col min="5894" max="5894" width="18.375" style="239" bestFit="1" customWidth="1"/>
    <col min="5895" max="5896" width="0" style="239" hidden="1" customWidth="1"/>
    <col min="5897" max="6140" width="9" style="239"/>
    <col min="6141" max="6141" width="6.625" style="239" customWidth="1"/>
    <col min="6142" max="6143" width="21.625" style="239" customWidth="1"/>
    <col min="6144" max="6144" width="16.125" style="239" bestFit="1" customWidth="1"/>
    <col min="6145" max="6145" width="13.875" style="239" bestFit="1" customWidth="1"/>
    <col min="6146" max="6146" width="17.25" style="239" bestFit="1" customWidth="1"/>
    <col min="6147" max="6148" width="20.5" style="239" bestFit="1" customWidth="1"/>
    <col min="6149" max="6149" width="0" style="239" hidden="1" customWidth="1"/>
    <col min="6150" max="6150" width="18.375" style="239" bestFit="1" customWidth="1"/>
    <col min="6151" max="6152" width="0" style="239" hidden="1" customWidth="1"/>
    <col min="6153" max="6396" width="9" style="239"/>
    <col min="6397" max="6397" width="6.625" style="239" customWidth="1"/>
    <col min="6398" max="6399" width="21.625" style="239" customWidth="1"/>
    <col min="6400" max="6400" width="16.125" style="239" bestFit="1" customWidth="1"/>
    <col min="6401" max="6401" width="13.875" style="239" bestFit="1" customWidth="1"/>
    <col min="6402" max="6402" width="17.25" style="239" bestFit="1" customWidth="1"/>
    <col min="6403" max="6404" width="20.5" style="239" bestFit="1" customWidth="1"/>
    <col min="6405" max="6405" width="0" style="239" hidden="1" customWidth="1"/>
    <col min="6406" max="6406" width="18.375" style="239" bestFit="1" customWidth="1"/>
    <col min="6407" max="6408" width="0" style="239" hidden="1" customWidth="1"/>
    <col min="6409" max="6652" width="9" style="239"/>
    <col min="6653" max="6653" width="6.625" style="239" customWidth="1"/>
    <col min="6654" max="6655" width="21.625" style="239" customWidth="1"/>
    <col min="6656" max="6656" width="16.125" style="239" bestFit="1" customWidth="1"/>
    <col min="6657" max="6657" width="13.875" style="239" bestFit="1" customWidth="1"/>
    <col min="6658" max="6658" width="17.25" style="239" bestFit="1" customWidth="1"/>
    <col min="6659" max="6660" width="20.5" style="239" bestFit="1" customWidth="1"/>
    <col min="6661" max="6661" width="0" style="239" hidden="1" customWidth="1"/>
    <col min="6662" max="6662" width="18.375" style="239" bestFit="1" customWidth="1"/>
    <col min="6663" max="6664" width="0" style="239" hidden="1" customWidth="1"/>
    <col min="6665" max="6908" width="9" style="239"/>
    <col min="6909" max="6909" width="6.625" style="239" customWidth="1"/>
    <col min="6910" max="6911" width="21.625" style="239" customWidth="1"/>
    <col min="6912" max="6912" width="16.125" style="239" bestFit="1" customWidth="1"/>
    <col min="6913" max="6913" width="13.875" style="239" bestFit="1" customWidth="1"/>
    <col min="6914" max="6914" width="17.25" style="239" bestFit="1" customWidth="1"/>
    <col min="6915" max="6916" width="20.5" style="239" bestFit="1" customWidth="1"/>
    <col min="6917" max="6917" width="0" style="239" hidden="1" customWidth="1"/>
    <col min="6918" max="6918" width="18.375" style="239" bestFit="1" customWidth="1"/>
    <col min="6919" max="6920" width="0" style="239" hidden="1" customWidth="1"/>
    <col min="6921" max="7164" width="9" style="239"/>
    <col min="7165" max="7165" width="6.625" style="239" customWidth="1"/>
    <col min="7166" max="7167" width="21.625" style="239" customWidth="1"/>
    <col min="7168" max="7168" width="16.125" style="239" bestFit="1" customWidth="1"/>
    <col min="7169" max="7169" width="13.875" style="239" bestFit="1" customWidth="1"/>
    <col min="7170" max="7170" width="17.25" style="239" bestFit="1" customWidth="1"/>
    <col min="7171" max="7172" width="20.5" style="239" bestFit="1" customWidth="1"/>
    <col min="7173" max="7173" width="0" style="239" hidden="1" customWidth="1"/>
    <col min="7174" max="7174" width="18.375" style="239" bestFit="1" customWidth="1"/>
    <col min="7175" max="7176" width="0" style="239" hidden="1" customWidth="1"/>
    <col min="7177" max="7420" width="9" style="239"/>
    <col min="7421" max="7421" width="6.625" style="239" customWidth="1"/>
    <col min="7422" max="7423" width="21.625" style="239" customWidth="1"/>
    <col min="7424" max="7424" width="16.125" style="239" bestFit="1" customWidth="1"/>
    <col min="7425" max="7425" width="13.875" style="239" bestFit="1" customWidth="1"/>
    <col min="7426" max="7426" width="17.25" style="239" bestFit="1" customWidth="1"/>
    <col min="7427" max="7428" width="20.5" style="239" bestFit="1" customWidth="1"/>
    <col min="7429" max="7429" width="0" style="239" hidden="1" customWidth="1"/>
    <col min="7430" max="7430" width="18.375" style="239" bestFit="1" customWidth="1"/>
    <col min="7431" max="7432" width="0" style="239" hidden="1" customWidth="1"/>
    <col min="7433" max="7676" width="9" style="239"/>
    <col min="7677" max="7677" width="6.625" style="239" customWidth="1"/>
    <col min="7678" max="7679" width="21.625" style="239" customWidth="1"/>
    <col min="7680" max="7680" width="16.125" style="239" bestFit="1" customWidth="1"/>
    <col min="7681" max="7681" width="13.875" style="239" bestFit="1" customWidth="1"/>
    <col min="7682" max="7682" width="17.25" style="239" bestFit="1" customWidth="1"/>
    <col min="7683" max="7684" width="20.5" style="239" bestFit="1" customWidth="1"/>
    <col min="7685" max="7685" width="0" style="239" hidden="1" customWidth="1"/>
    <col min="7686" max="7686" width="18.375" style="239" bestFit="1" customWidth="1"/>
    <col min="7687" max="7688" width="0" style="239" hidden="1" customWidth="1"/>
    <col min="7689" max="7932" width="9" style="239"/>
    <col min="7933" max="7933" width="6.625" style="239" customWidth="1"/>
    <col min="7934" max="7935" width="21.625" style="239" customWidth="1"/>
    <col min="7936" max="7936" width="16.125" style="239" bestFit="1" customWidth="1"/>
    <col min="7937" max="7937" width="13.875" style="239" bestFit="1" customWidth="1"/>
    <col min="7938" max="7938" width="17.25" style="239" bestFit="1" customWidth="1"/>
    <col min="7939" max="7940" width="20.5" style="239" bestFit="1" customWidth="1"/>
    <col min="7941" max="7941" width="0" style="239" hidden="1" customWidth="1"/>
    <col min="7942" max="7942" width="18.375" style="239" bestFit="1" customWidth="1"/>
    <col min="7943" max="7944" width="0" style="239" hidden="1" customWidth="1"/>
    <col min="7945" max="8188" width="9" style="239"/>
    <col min="8189" max="8189" width="6.625" style="239" customWidth="1"/>
    <col min="8190" max="8191" width="21.625" style="239" customWidth="1"/>
    <col min="8192" max="8192" width="16.125" style="239" bestFit="1" customWidth="1"/>
    <col min="8193" max="8193" width="13.875" style="239" bestFit="1" customWidth="1"/>
    <col min="8194" max="8194" width="17.25" style="239" bestFit="1" customWidth="1"/>
    <col min="8195" max="8196" width="20.5" style="239" bestFit="1" customWidth="1"/>
    <col min="8197" max="8197" width="0" style="239" hidden="1" customWidth="1"/>
    <col min="8198" max="8198" width="18.375" style="239" bestFit="1" customWidth="1"/>
    <col min="8199" max="8200" width="0" style="239" hidden="1" customWidth="1"/>
    <col min="8201" max="8444" width="9" style="239"/>
    <col min="8445" max="8445" width="6.625" style="239" customWidth="1"/>
    <col min="8446" max="8447" width="21.625" style="239" customWidth="1"/>
    <col min="8448" max="8448" width="16.125" style="239" bestFit="1" customWidth="1"/>
    <col min="8449" max="8449" width="13.875" style="239" bestFit="1" customWidth="1"/>
    <col min="8450" max="8450" width="17.25" style="239" bestFit="1" customWidth="1"/>
    <col min="8451" max="8452" width="20.5" style="239" bestFit="1" customWidth="1"/>
    <col min="8453" max="8453" width="0" style="239" hidden="1" customWidth="1"/>
    <col min="8454" max="8454" width="18.375" style="239" bestFit="1" customWidth="1"/>
    <col min="8455" max="8456" width="0" style="239" hidden="1" customWidth="1"/>
    <col min="8457" max="8700" width="9" style="239"/>
    <col min="8701" max="8701" width="6.625" style="239" customWidth="1"/>
    <col min="8702" max="8703" width="21.625" style="239" customWidth="1"/>
    <col min="8704" max="8704" width="16.125" style="239" bestFit="1" customWidth="1"/>
    <col min="8705" max="8705" width="13.875" style="239" bestFit="1" customWidth="1"/>
    <col min="8706" max="8706" width="17.25" style="239" bestFit="1" customWidth="1"/>
    <col min="8707" max="8708" width="20.5" style="239" bestFit="1" customWidth="1"/>
    <col min="8709" max="8709" width="0" style="239" hidden="1" customWidth="1"/>
    <col min="8710" max="8710" width="18.375" style="239" bestFit="1" customWidth="1"/>
    <col min="8711" max="8712" width="0" style="239" hidden="1" customWidth="1"/>
    <col min="8713" max="8956" width="9" style="239"/>
    <col min="8957" max="8957" width="6.625" style="239" customWidth="1"/>
    <col min="8958" max="8959" width="21.625" style="239" customWidth="1"/>
    <col min="8960" max="8960" width="16.125" style="239" bestFit="1" customWidth="1"/>
    <col min="8961" max="8961" width="13.875" style="239" bestFit="1" customWidth="1"/>
    <col min="8962" max="8962" width="17.25" style="239" bestFit="1" customWidth="1"/>
    <col min="8963" max="8964" width="20.5" style="239" bestFit="1" customWidth="1"/>
    <col min="8965" max="8965" width="0" style="239" hidden="1" customWidth="1"/>
    <col min="8966" max="8966" width="18.375" style="239" bestFit="1" customWidth="1"/>
    <col min="8967" max="8968" width="0" style="239" hidden="1" customWidth="1"/>
    <col min="8969" max="9212" width="9" style="239"/>
    <col min="9213" max="9213" width="6.625" style="239" customWidth="1"/>
    <col min="9214" max="9215" width="21.625" style="239" customWidth="1"/>
    <col min="9216" max="9216" width="16.125" style="239" bestFit="1" customWidth="1"/>
    <col min="9217" max="9217" width="13.875" style="239" bestFit="1" customWidth="1"/>
    <col min="9218" max="9218" width="17.25" style="239" bestFit="1" customWidth="1"/>
    <col min="9219" max="9220" width="20.5" style="239" bestFit="1" customWidth="1"/>
    <col min="9221" max="9221" width="0" style="239" hidden="1" customWidth="1"/>
    <col min="9222" max="9222" width="18.375" style="239" bestFit="1" customWidth="1"/>
    <col min="9223" max="9224" width="0" style="239" hidden="1" customWidth="1"/>
    <col min="9225" max="9468" width="9" style="239"/>
    <col min="9469" max="9469" width="6.625" style="239" customWidth="1"/>
    <col min="9470" max="9471" width="21.625" style="239" customWidth="1"/>
    <col min="9472" max="9472" width="16.125" style="239" bestFit="1" customWidth="1"/>
    <col min="9473" max="9473" width="13.875" style="239" bestFit="1" customWidth="1"/>
    <col min="9474" max="9474" width="17.25" style="239" bestFit="1" customWidth="1"/>
    <col min="9475" max="9476" width="20.5" style="239" bestFit="1" customWidth="1"/>
    <col min="9477" max="9477" width="0" style="239" hidden="1" customWidth="1"/>
    <col min="9478" max="9478" width="18.375" style="239" bestFit="1" customWidth="1"/>
    <col min="9479" max="9480" width="0" style="239" hidden="1" customWidth="1"/>
    <col min="9481" max="9724" width="9" style="239"/>
    <col min="9725" max="9725" width="6.625" style="239" customWidth="1"/>
    <col min="9726" max="9727" width="21.625" style="239" customWidth="1"/>
    <col min="9728" max="9728" width="16.125" style="239" bestFit="1" customWidth="1"/>
    <col min="9729" max="9729" width="13.875" style="239" bestFit="1" customWidth="1"/>
    <col min="9730" max="9730" width="17.25" style="239" bestFit="1" customWidth="1"/>
    <col min="9731" max="9732" width="20.5" style="239" bestFit="1" customWidth="1"/>
    <col min="9733" max="9733" width="0" style="239" hidden="1" customWidth="1"/>
    <col min="9734" max="9734" width="18.375" style="239" bestFit="1" customWidth="1"/>
    <col min="9735" max="9736" width="0" style="239" hidden="1" customWidth="1"/>
    <col min="9737" max="9980" width="9" style="239"/>
    <col min="9981" max="9981" width="6.625" style="239" customWidth="1"/>
    <col min="9982" max="9983" width="21.625" style="239" customWidth="1"/>
    <col min="9984" max="9984" width="16.125" style="239" bestFit="1" customWidth="1"/>
    <col min="9985" max="9985" width="13.875" style="239" bestFit="1" customWidth="1"/>
    <col min="9986" max="9986" width="17.25" style="239" bestFit="1" customWidth="1"/>
    <col min="9987" max="9988" width="20.5" style="239" bestFit="1" customWidth="1"/>
    <col min="9989" max="9989" width="0" style="239" hidden="1" customWidth="1"/>
    <col min="9990" max="9990" width="18.375" style="239" bestFit="1" customWidth="1"/>
    <col min="9991" max="9992" width="0" style="239" hidden="1" customWidth="1"/>
    <col min="9993" max="10236" width="9" style="239"/>
    <col min="10237" max="10237" width="6.625" style="239" customWidth="1"/>
    <col min="10238" max="10239" width="21.625" style="239" customWidth="1"/>
    <col min="10240" max="10240" width="16.125" style="239" bestFit="1" customWidth="1"/>
    <col min="10241" max="10241" width="13.875" style="239" bestFit="1" customWidth="1"/>
    <col min="10242" max="10242" width="17.25" style="239" bestFit="1" customWidth="1"/>
    <col min="10243" max="10244" width="20.5" style="239" bestFit="1" customWidth="1"/>
    <col min="10245" max="10245" width="0" style="239" hidden="1" customWidth="1"/>
    <col min="10246" max="10246" width="18.375" style="239" bestFit="1" customWidth="1"/>
    <col min="10247" max="10248" width="0" style="239" hidden="1" customWidth="1"/>
    <col min="10249" max="10492" width="9" style="239"/>
    <col min="10493" max="10493" width="6.625" style="239" customWidth="1"/>
    <col min="10494" max="10495" width="21.625" style="239" customWidth="1"/>
    <col min="10496" max="10496" width="16.125" style="239" bestFit="1" customWidth="1"/>
    <col min="10497" max="10497" width="13.875" style="239" bestFit="1" customWidth="1"/>
    <col min="10498" max="10498" width="17.25" style="239" bestFit="1" customWidth="1"/>
    <col min="10499" max="10500" width="20.5" style="239" bestFit="1" customWidth="1"/>
    <col min="10501" max="10501" width="0" style="239" hidden="1" customWidth="1"/>
    <col min="10502" max="10502" width="18.375" style="239" bestFit="1" customWidth="1"/>
    <col min="10503" max="10504" width="0" style="239" hidden="1" customWidth="1"/>
    <col min="10505" max="10748" width="9" style="239"/>
    <col min="10749" max="10749" width="6.625" style="239" customWidth="1"/>
    <col min="10750" max="10751" width="21.625" style="239" customWidth="1"/>
    <col min="10752" max="10752" width="16.125" style="239" bestFit="1" customWidth="1"/>
    <col min="10753" max="10753" width="13.875" style="239" bestFit="1" customWidth="1"/>
    <col min="10754" max="10754" width="17.25" style="239" bestFit="1" customWidth="1"/>
    <col min="10755" max="10756" width="20.5" style="239" bestFit="1" customWidth="1"/>
    <col min="10757" max="10757" width="0" style="239" hidden="1" customWidth="1"/>
    <col min="10758" max="10758" width="18.375" style="239" bestFit="1" customWidth="1"/>
    <col min="10759" max="10760" width="0" style="239" hidden="1" customWidth="1"/>
    <col min="10761" max="11004" width="9" style="239"/>
    <col min="11005" max="11005" width="6.625" style="239" customWidth="1"/>
    <col min="11006" max="11007" width="21.625" style="239" customWidth="1"/>
    <col min="11008" max="11008" width="16.125" style="239" bestFit="1" customWidth="1"/>
    <col min="11009" max="11009" width="13.875" style="239" bestFit="1" customWidth="1"/>
    <col min="11010" max="11010" width="17.25" style="239" bestFit="1" customWidth="1"/>
    <col min="11011" max="11012" width="20.5" style="239" bestFit="1" customWidth="1"/>
    <col min="11013" max="11013" width="0" style="239" hidden="1" customWidth="1"/>
    <col min="11014" max="11014" width="18.375" style="239" bestFit="1" customWidth="1"/>
    <col min="11015" max="11016" width="0" style="239" hidden="1" customWidth="1"/>
    <col min="11017" max="11260" width="9" style="239"/>
    <col min="11261" max="11261" width="6.625" style="239" customWidth="1"/>
    <col min="11262" max="11263" width="21.625" style="239" customWidth="1"/>
    <col min="11264" max="11264" width="16.125" style="239" bestFit="1" customWidth="1"/>
    <col min="11265" max="11265" width="13.875" style="239" bestFit="1" customWidth="1"/>
    <col min="11266" max="11266" width="17.25" style="239" bestFit="1" customWidth="1"/>
    <col min="11267" max="11268" width="20.5" style="239" bestFit="1" customWidth="1"/>
    <col min="11269" max="11269" width="0" style="239" hidden="1" customWidth="1"/>
    <col min="11270" max="11270" width="18.375" style="239" bestFit="1" customWidth="1"/>
    <col min="11271" max="11272" width="0" style="239" hidden="1" customWidth="1"/>
    <col min="11273" max="11516" width="9" style="239"/>
    <col min="11517" max="11517" width="6.625" style="239" customWidth="1"/>
    <col min="11518" max="11519" width="21.625" style="239" customWidth="1"/>
    <col min="11520" max="11520" width="16.125" style="239" bestFit="1" customWidth="1"/>
    <col min="11521" max="11521" width="13.875" style="239" bestFit="1" customWidth="1"/>
    <col min="11522" max="11522" width="17.25" style="239" bestFit="1" customWidth="1"/>
    <col min="11523" max="11524" width="20.5" style="239" bestFit="1" customWidth="1"/>
    <col min="11525" max="11525" width="0" style="239" hidden="1" customWidth="1"/>
    <col min="11526" max="11526" width="18.375" style="239" bestFit="1" customWidth="1"/>
    <col min="11527" max="11528" width="0" style="239" hidden="1" customWidth="1"/>
    <col min="11529" max="11772" width="9" style="239"/>
    <col min="11773" max="11773" width="6.625" style="239" customWidth="1"/>
    <col min="11774" max="11775" width="21.625" style="239" customWidth="1"/>
    <col min="11776" max="11776" width="16.125" style="239" bestFit="1" customWidth="1"/>
    <col min="11777" max="11777" width="13.875" style="239" bestFit="1" customWidth="1"/>
    <col min="11778" max="11778" width="17.25" style="239" bestFit="1" customWidth="1"/>
    <col min="11779" max="11780" width="20.5" style="239" bestFit="1" customWidth="1"/>
    <col min="11781" max="11781" width="0" style="239" hidden="1" customWidth="1"/>
    <col min="11782" max="11782" width="18.375" style="239" bestFit="1" customWidth="1"/>
    <col min="11783" max="11784" width="0" style="239" hidden="1" customWidth="1"/>
    <col min="11785" max="12028" width="9" style="239"/>
    <col min="12029" max="12029" width="6.625" style="239" customWidth="1"/>
    <col min="12030" max="12031" width="21.625" style="239" customWidth="1"/>
    <col min="12032" max="12032" width="16.125" style="239" bestFit="1" customWidth="1"/>
    <col min="12033" max="12033" width="13.875" style="239" bestFit="1" customWidth="1"/>
    <col min="12034" max="12034" width="17.25" style="239" bestFit="1" customWidth="1"/>
    <col min="12035" max="12036" width="20.5" style="239" bestFit="1" customWidth="1"/>
    <col min="12037" max="12037" width="0" style="239" hidden="1" customWidth="1"/>
    <col min="12038" max="12038" width="18.375" style="239" bestFit="1" customWidth="1"/>
    <col min="12039" max="12040" width="0" style="239" hidden="1" customWidth="1"/>
    <col min="12041" max="12284" width="9" style="239"/>
    <col min="12285" max="12285" width="6.625" style="239" customWidth="1"/>
    <col min="12286" max="12287" width="21.625" style="239" customWidth="1"/>
    <col min="12288" max="12288" width="16.125" style="239" bestFit="1" customWidth="1"/>
    <col min="12289" max="12289" width="13.875" style="239" bestFit="1" customWidth="1"/>
    <col min="12290" max="12290" width="17.25" style="239" bestFit="1" customWidth="1"/>
    <col min="12291" max="12292" width="20.5" style="239" bestFit="1" customWidth="1"/>
    <col min="12293" max="12293" width="0" style="239" hidden="1" customWidth="1"/>
    <col min="12294" max="12294" width="18.375" style="239" bestFit="1" customWidth="1"/>
    <col min="12295" max="12296" width="0" style="239" hidden="1" customWidth="1"/>
    <col min="12297" max="12540" width="9" style="239"/>
    <col min="12541" max="12541" width="6.625" style="239" customWidth="1"/>
    <col min="12542" max="12543" width="21.625" style="239" customWidth="1"/>
    <col min="12544" max="12544" width="16.125" style="239" bestFit="1" customWidth="1"/>
    <col min="12545" max="12545" width="13.875" style="239" bestFit="1" customWidth="1"/>
    <col min="12546" max="12546" width="17.25" style="239" bestFit="1" customWidth="1"/>
    <col min="12547" max="12548" width="20.5" style="239" bestFit="1" customWidth="1"/>
    <col min="12549" max="12549" width="0" style="239" hidden="1" customWidth="1"/>
    <col min="12550" max="12550" width="18.375" style="239" bestFit="1" customWidth="1"/>
    <col min="12551" max="12552" width="0" style="239" hidden="1" customWidth="1"/>
    <col min="12553" max="12796" width="9" style="239"/>
    <col min="12797" max="12797" width="6.625" style="239" customWidth="1"/>
    <col min="12798" max="12799" width="21.625" style="239" customWidth="1"/>
    <col min="12800" max="12800" width="16.125" style="239" bestFit="1" customWidth="1"/>
    <col min="12801" max="12801" width="13.875" style="239" bestFit="1" customWidth="1"/>
    <col min="12802" max="12802" width="17.25" style="239" bestFit="1" customWidth="1"/>
    <col min="12803" max="12804" width="20.5" style="239" bestFit="1" customWidth="1"/>
    <col min="12805" max="12805" width="0" style="239" hidden="1" customWidth="1"/>
    <col min="12806" max="12806" width="18.375" style="239" bestFit="1" customWidth="1"/>
    <col min="12807" max="12808" width="0" style="239" hidden="1" customWidth="1"/>
    <col min="12809" max="13052" width="9" style="239"/>
    <col min="13053" max="13053" width="6.625" style="239" customWidth="1"/>
    <col min="13054" max="13055" width="21.625" style="239" customWidth="1"/>
    <col min="13056" max="13056" width="16.125" style="239" bestFit="1" customWidth="1"/>
    <col min="13057" max="13057" width="13.875" style="239" bestFit="1" customWidth="1"/>
    <col min="13058" max="13058" width="17.25" style="239" bestFit="1" customWidth="1"/>
    <col min="13059" max="13060" width="20.5" style="239" bestFit="1" customWidth="1"/>
    <col min="13061" max="13061" width="0" style="239" hidden="1" customWidth="1"/>
    <col min="13062" max="13062" width="18.375" style="239" bestFit="1" customWidth="1"/>
    <col min="13063" max="13064" width="0" style="239" hidden="1" customWidth="1"/>
    <col min="13065" max="13308" width="9" style="239"/>
    <col min="13309" max="13309" width="6.625" style="239" customWidth="1"/>
    <col min="13310" max="13311" width="21.625" style="239" customWidth="1"/>
    <col min="13312" max="13312" width="16.125" style="239" bestFit="1" customWidth="1"/>
    <col min="13313" max="13313" width="13.875" style="239" bestFit="1" customWidth="1"/>
    <col min="13314" max="13314" width="17.25" style="239" bestFit="1" customWidth="1"/>
    <col min="13315" max="13316" width="20.5" style="239" bestFit="1" customWidth="1"/>
    <col min="13317" max="13317" width="0" style="239" hidden="1" customWidth="1"/>
    <col min="13318" max="13318" width="18.375" style="239" bestFit="1" customWidth="1"/>
    <col min="13319" max="13320" width="0" style="239" hidden="1" customWidth="1"/>
    <col min="13321" max="13564" width="9" style="239"/>
    <col min="13565" max="13565" width="6.625" style="239" customWidth="1"/>
    <col min="13566" max="13567" width="21.625" style="239" customWidth="1"/>
    <col min="13568" max="13568" width="16.125" style="239" bestFit="1" customWidth="1"/>
    <col min="13569" max="13569" width="13.875" style="239" bestFit="1" customWidth="1"/>
    <col min="13570" max="13570" width="17.25" style="239" bestFit="1" customWidth="1"/>
    <col min="13571" max="13572" width="20.5" style="239" bestFit="1" customWidth="1"/>
    <col min="13573" max="13573" width="0" style="239" hidden="1" customWidth="1"/>
    <col min="13574" max="13574" width="18.375" style="239" bestFit="1" customWidth="1"/>
    <col min="13575" max="13576" width="0" style="239" hidden="1" customWidth="1"/>
    <col min="13577" max="13820" width="9" style="239"/>
    <col min="13821" max="13821" width="6.625" style="239" customWidth="1"/>
    <col min="13822" max="13823" width="21.625" style="239" customWidth="1"/>
    <col min="13824" max="13824" width="16.125" style="239" bestFit="1" customWidth="1"/>
    <col min="13825" max="13825" width="13.875" style="239" bestFit="1" customWidth="1"/>
    <col min="13826" max="13826" width="17.25" style="239" bestFit="1" customWidth="1"/>
    <col min="13827" max="13828" width="20.5" style="239" bestFit="1" customWidth="1"/>
    <col min="13829" max="13829" width="0" style="239" hidden="1" customWidth="1"/>
    <col min="13830" max="13830" width="18.375" style="239" bestFit="1" customWidth="1"/>
    <col min="13831" max="13832" width="0" style="239" hidden="1" customWidth="1"/>
    <col min="13833" max="14076" width="9" style="239"/>
    <col min="14077" max="14077" width="6.625" style="239" customWidth="1"/>
    <col min="14078" max="14079" width="21.625" style="239" customWidth="1"/>
    <col min="14080" max="14080" width="16.125" style="239" bestFit="1" customWidth="1"/>
    <col min="14081" max="14081" width="13.875" style="239" bestFit="1" customWidth="1"/>
    <col min="14082" max="14082" width="17.25" style="239" bestFit="1" customWidth="1"/>
    <col min="14083" max="14084" width="20.5" style="239" bestFit="1" customWidth="1"/>
    <col min="14085" max="14085" width="0" style="239" hidden="1" customWidth="1"/>
    <col min="14086" max="14086" width="18.375" style="239" bestFit="1" customWidth="1"/>
    <col min="14087" max="14088" width="0" style="239" hidden="1" customWidth="1"/>
    <col min="14089" max="14332" width="9" style="239"/>
    <col min="14333" max="14333" width="6.625" style="239" customWidth="1"/>
    <col min="14334" max="14335" width="21.625" style="239" customWidth="1"/>
    <col min="14336" max="14336" width="16.125" style="239" bestFit="1" customWidth="1"/>
    <col min="14337" max="14337" width="13.875" style="239" bestFit="1" customWidth="1"/>
    <col min="14338" max="14338" width="17.25" style="239" bestFit="1" customWidth="1"/>
    <col min="14339" max="14340" width="20.5" style="239" bestFit="1" customWidth="1"/>
    <col min="14341" max="14341" width="0" style="239" hidden="1" customWidth="1"/>
    <col min="14342" max="14342" width="18.375" style="239" bestFit="1" customWidth="1"/>
    <col min="14343" max="14344" width="0" style="239" hidden="1" customWidth="1"/>
    <col min="14345" max="14588" width="9" style="239"/>
    <col min="14589" max="14589" width="6.625" style="239" customWidth="1"/>
    <col min="14590" max="14591" width="21.625" style="239" customWidth="1"/>
    <col min="14592" max="14592" width="16.125" style="239" bestFit="1" customWidth="1"/>
    <col min="14593" max="14593" width="13.875" style="239" bestFit="1" customWidth="1"/>
    <col min="14594" max="14594" width="17.25" style="239" bestFit="1" customWidth="1"/>
    <col min="14595" max="14596" width="20.5" style="239" bestFit="1" customWidth="1"/>
    <col min="14597" max="14597" width="0" style="239" hidden="1" customWidth="1"/>
    <col min="14598" max="14598" width="18.375" style="239" bestFit="1" customWidth="1"/>
    <col min="14599" max="14600" width="0" style="239" hidden="1" customWidth="1"/>
    <col min="14601" max="14844" width="9" style="239"/>
    <col min="14845" max="14845" width="6.625" style="239" customWidth="1"/>
    <col min="14846" max="14847" width="21.625" style="239" customWidth="1"/>
    <col min="14848" max="14848" width="16.125" style="239" bestFit="1" customWidth="1"/>
    <col min="14849" max="14849" width="13.875" style="239" bestFit="1" customWidth="1"/>
    <col min="14850" max="14850" width="17.25" style="239" bestFit="1" customWidth="1"/>
    <col min="14851" max="14852" width="20.5" style="239" bestFit="1" customWidth="1"/>
    <col min="14853" max="14853" width="0" style="239" hidden="1" customWidth="1"/>
    <col min="14854" max="14854" width="18.375" style="239" bestFit="1" customWidth="1"/>
    <col min="14855" max="14856" width="0" style="239" hidden="1" customWidth="1"/>
    <col min="14857" max="15100" width="9" style="239"/>
    <col min="15101" max="15101" width="6.625" style="239" customWidth="1"/>
    <col min="15102" max="15103" width="21.625" style="239" customWidth="1"/>
    <col min="15104" max="15104" width="16.125" style="239" bestFit="1" customWidth="1"/>
    <col min="15105" max="15105" width="13.875" style="239" bestFit="1" customWidth="1"/>
    <col min="15106" max="15106" width="17.25" style="239" bestFit="1" customWidth="1"/>
    <col min="15107" max="15108" width="20.5" style="239" bestFit="1" customWidth="1"/>
    <col min="15109" max="15109" width="0" style="239" hidden="1" customWidth="1"/>
    <col min="15110" max="15110" width="18.375" style="239" bestFit="1" customWidth="1"/>
    <col min="15111" max="15112" width="0" style="239" hidden="1" customWidth="1"/>
    <col min="15113" max="15356" width="9" style="239"/>
    <col min="15357" max="15357" width="6.625" style="239" customWidth="1"/>
    <col min="15358" max="15359" width="21.625" style="239" customWidth="1"/>
    <col min="15360" max="15360" width="16.125" style="239" bestFit="1" customWidth="1"/>
    <col min="15361" max="15361" width="13.875" style="239" bestFit="1" customWidth="1"/>
    <col min="15362" max="15362" width="17.25" style="239" bestFit="1" customWidth="1"/>
    <col min="15363" max="15364" width="20.5" style="239" bestFit="1" customWidth="1"/>
    <col min="15365" max="15365" width="0" style="239" hidden="1" customWidth="1"/>
    <col min="15366" max="15366" width="18.375" style="239" bestFit="1" customWidth="1"/>
    <col min="15367" max="15368" width="0" style="239" hidden="1" customWidth="1"/>
    <col min="15369" max="15612" width="9" style="239"/>
    <col min="15613" max="15613" width="6.625" style="239" customWidth="1"/>
    <col min="15614" max="15615" width="21.625" style="239" customWidth="1"/>
    <col min="15616" max="15616" width="16.125" style="239" bestFit="1" customWidth="1"/>
    <col min="15617" max="15617" width="13.875" style="239" bestFit="1" customWidth="1"/>
    <col min="15618" max="15618" width="17.25" style="239" bestFit="1" customWidth="1"/>
    <col min="15619" max="15620" width="20.5" style="239" bestFit="1" customWidth="1"/>
    <col min="15621" max="15621" width="0" style="239" hidden="1" customWidth="1"/>
    <col min="15622" max="15622" width="18.375" style="239" bestFit="1" customWidth="1"/>
    <col min="15623" max="15624" width="0" style="239" hidden="1" customWidth="1"/>
    <col min="15625" max="15868" width="9" style="239"/>
    <col min="15869" max="15869" width="6.625" style="239" customWidth="1"/>
    <col min="15870" max="15871" width="21.625" style="239" customWidth="1"/>
    <col min="15872" max="15872" width="16.125" style="239" bestFit="1" customWidth="1"/>
    <col min="15873" max="15873" width="13.875" style="239" bestFit="1" customWidth="1"/>
    <col min="15874" max="15874" width="17.25" style="239" bestFit="1" customWidth="1"/>
    <col min="15875" max="15876" width="20.5" style="239" bestFit="1" customWidth="1"/>
    <col min="15877" max="15877" width="0" style="239" hidden="1" customWidth="1"/>
    <col min="15878" max="15878" width="18.375" style="239" bestFit="1" customWidth="1"/>
    <col min="15879" max="15880" width="0" style="239" hidden="1" customWidth="1"/>
    <col min="15881" max="16124" width="9" style="239"/>
    <col min="16125" max="16125" width="6.625" style="239" customWidth="1"/>
    <col min="16126" max="16127" width="21.625" style="239" customWidth="1"/>
    <col min="16128" max="16128" width="16.125" style="239" bestFit="1" customWidth="1"/>
    <col min="16129" max="16129" width="13.875" style="239" bestFit="1" customWidth="1"/>
    <col min="16130" max="16130" width="17.25" style="239" bestFit="1" customWidth="1"/>
    <col min="16131" max="16132" width="20.5" style="239" bestFit="1" customWidth="1"/>
    <col min="16133" max="16133" width="0" style="239" hidden="1" customWidth="1"/>
    <col min="16134" max="16134" width="18.375" style="239" bestFit="1" customWidth="1"/>
    <col min="16135" max="16136" width="0" style="239" hidden="1" customWidth="1"/>
    <col min="16137" max="16384" width="9" style="239"/>
  </cols>
  <sheetData>
    <row r="1" spans="1:3" ht="20.25">
      <c r="A1" s="392" t="s">
        <v>1058</v>
      </c>
      <c r="B1" s="393"/>
      <c r="C1" s="393"/>
    </row>
    <row r="2" spans="1:3" ht="35.1" customHeight="1">
      <c r="A2" s="394" t="s">
        <v>1061</v>
      </c>
      <c r="B2" s="395"/>
      <c r="C2" s="358" t="s">
        <v>1060</v>
      </c>
    </row>
    <row r="3" spans="1:3" ht="30" customHeight="1">
      <c r="A3" s="353" t="s">
        <v>929</v>
      </c>
      <c r="B3" s="353" t="s">
        <v>1048</v>
      </c>
      <c r="C3" s="354" t="s">
        <v>1059</v>
      </c>
    </row>
    <row r="4" spans="1:3" ht="30" customHeight="1">
      <c r="A4" s="353">
        <v>1</v>
      </c>
      <c r="B4" s="353" t="s">
        <v>1050</v>
      </c>
      <c r="C4" s="355">
        <f>设备购置与更新!K10+理化实验室!H69</f>
        <v>2299166</v>
      </c>
    </row>
    <row r="5" spans="1:3" ht="30" customHeight="1">
      <c r="A5" s="353">
        <v>2</v>
      </c>
      <c r="B5" s="353" t="s">
        <v>1051</v>
      </c>
      <c r="C5" s="355">
        <f>浦江维修2023!J89+'2022年校舍维修尾款'!J10</f>
        <v>2603324.87</v>
      </c>
    </row>
    <row r="6" spans="1:3" ht="30" customHeight="1">
      <c r="A6" s="353">
        <v>3</v>
      </c>
      <c r="B6" s="353" t="s">
        <v>1052</v>
      </c>
      <c r="C6" s="355">
        <f>学前科!I14</f>
        <v>894708.6</v>
      </c>
    </row>
    <row r="7" spans="1:3" ht="30" customHeight="1">
      <c r="A7" s="353">
        <v>4</v>
      </c>
      <c r="B7" s="353" t="s">
        <v>1053</v>
      </c>
      <c r="C7" s="355">
        <f>普教一科!G18</f>
        <v>648192</v>
      </c>
    </row>
    <row r="8" spans="1:3" ht="30" customHeight="1">
      <c r="A8" s="353">
        <v>5</v>
      </c>
      <c r="B8" s="353" t="s">
        <v>1054</v>
      </c>
      <c r="C8" s="355">
        <f>普教二科!H11</f>
        <v>3096800</v>
      </c>
    </row>
    <row r="9" spans="1:3" ht="30" customHeight="1">
      <c r="A9" s="353">
        <v>6</v>
      </c>
      <c r="B9" s="359" t="s">
        <v>1091</v>
      </c>
      <c r="C9" s="360">
        <f>信息化项目!I4</f>
        <v>254000</v>
      </c>
    </row>
    <row r="10" spans="1:3" ht="30" customHeight="1">
      <c r="A10" s="353">
        <v>7</v>
      </c>
      <c r="B10" s="353" t="s">
        <v>1055</v>
      </c>
      <c r="C10" s="355">
        <f>考试中心!I5</f>
        <v>30000</v>
      </c>
    </row>
    <row r="11" spans="1:3" ht="30" customHeight="1">
      <c r="A11" s="353">
        <v>8</v>
      </c>
      <c r="B11" s="353" t="s">
        <v>1056</v>
      </c>
      <c r="C11" s="355">
        <f>教育学院!G5</f>
        <v>40000</v>
      </c>
    </row>
    <row r="12" spans="1:3" ht="30" customHeight="1">
      <c r="A12" s="353">
        <v>9</v>
      </c>
      <c r="B12" s="353" t="s">
        <v>1057</v>
      </c>
      <c r="C12" s="355">
        <f>抚恤金!AJ9</f>
        <v>1157768</v>
      </c>
    </row>
    <row r="13" spans="1:3" ht="30" customHeight="1">
      <c r="A13" s="353"/>
      <c r="B13" s="353" t="s">
        <v>1049</v>
      </c>
      <c r="C13" s="356">
        <f>SUM(C4:C12)</f>
        <v>11023959.469999999</v>
      </c>
    </row>
    <row r="14" spans="1:3" ht="30" customHeight="1"/>
    <row r="15" spans="1:3" ht="30" customHeight="1"/>
  </sheetData>
  <mergeCells count="2">
    <mergeCell ref="A1:C1"/>
    <mergeCell ref="A2:B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L10"/>
  <sheetViews>
    <sheetView workbookViewId="0">
      <selection activeCell="A10" sqref="A10:L19"/>
    </sheetView>
  </sheetViews>
  <sheetFormatPr defaultRowHeight="13.5" outlineLevelRow="2"/>
  <cols>
    <col min="1" max="1" width="5.25" style="155" customWidth="1"/>
    <col min="2" max="2" width="12.125" style="155" customWidth="1"/>
    <col min="3" max="3" width="9.75" style="155" customWidth="1"/>
    <col min="4" max="4" width="30.125" style="155" customWidth="1"/>
    <col min="5" max="5" width="14.125" style="155" customWidth="1"/>
    <col min="6" max="6" width="20.25" style="155" customWidth="1"/>
    <col min="7" max="7" width="25.75" style="155" customWidth="1"/>
    <col min="8" max="8" width="6.25" style="155" customWidth="1"/>
    <col min="9" max="9" width="10.5" style="155" customWidth="1"/>
    <col min="10" max="10" width="6" style="155" customWidth="1"/>
    <col min="11" max="11" width="11.375" style="155" customWidth="1"/>
    <col min="12" max="12" width="14.75" style="155" customWidth="1"/>
    <col min="13" max="16384" width="9" style="155"/>
  </cols>
  <sheetData>
    <row r="1" spans="1:12" ht="15.75">
      <c r="A1" s="396" t="s">
        <v>784</v>
      </c>
      <c r="B1" s="396"/>
      <c r="C1" s="396"/>
      <c r="D1" s="396"/>
      <c r="E1" s="396"/>
      <c r="F1" s="396"/>
      <c r="G1" s="396"/>
      <c r="H1" s="396"/>
      <c r="I1" s="396"/>
      <c r="J1" s="396"/>
      <c r="K1" s="396"/>
      <c r="L1" s="396"/>
    </row>
    <row r="2" spans="1:12" ht="24.75" customHeight="1">
      <c r="A2" s="250" t="s">
        <v>785</v>
      </c>
      <c r="B2" s="251" t="s">
        <v>786</v>
      </c>
      <c r="C2" s="252" t="s">
        <v>787</v>
      </c>
      <c r="D2" s="251" t="s">
        <v>788</v>
      </c>
      <c r="E2" s="253" t="s">
        <v>789</v>
      </c>
      <c r="F2" s="253" t="s">
        <v>790</v>
      </c>
      <c r="G2" s="253" t="s">
        <v>791</v>
      </c>
      <c r="H2" s="254" t="s">
        <v>792</v>
      </c>
      <c r="I2" s="255" t="s">
        <v>793</v>
      </c>
      <c r="J2" s="252" t="s">
        <v>794</v>
      </c>
      <c r="K2" s="255" t="s">
        <v>795</v>
      </c>
      <c r="L2" s="256" t="s">
        <v>796</v>
      </c>
    </row>
    <row r="3" spans="1:12" s="262" customFormat="1" ht="18" customHeight="1" outlineLevel="2">
      <c r="A3" s="257">
        <v>1</v>
      </c>
      <c r="B3" s="258" t="s">
        <v>807</v>
      </c>
      <c r="C3" s="257" t="s">
        <v>805</v>
      </c>
      <c r="D3" s="259" t="s">
        <v>808</v>
      </c>
      <c r="E3" s="259" t="s">
        <v>799</v>
      </c>
      <c r="F3" s="259" t="s">
        <v>800</v>
      </c>
      <c r="G3" s="259" t="s">
        <v>806</v>
      </c>
      <c r="H3" s="258"/>
      <c r="I3" s="260">
        <v>20000</v>
      </c>
      <c r="J3" s="257">
        <v>4</v>
      </c>
      <c r="K3" s="261">
        <f t="shared" ref="K3:K9" si="0">I3*J3</f>
        <v>80000</v>
      </c>
      <c r="L3" s="259"/>
    </row>
    <row r="4" spans="1:12" s="262" customFormat="1" ht="18" customHeight="1" outlineLevel="2">
      <c r="A4" s="257">
        <v>2</v>
      </c>
      <c r="B4" s="258" t="s">
        <v>807</v>
      </c>
      <c r="C4" s="257" t="s">
        <v>797</v>
      </c>
      <c r="D4" s="265" t="s">
        <v>809</v>
      </c>
      <c r="E4" s="259" t="s">
        <v>799</v>
      </c>
      <c r="F4" s="259" t="s">
        <v>800</v>
      </c>
      <c r="G4" s="265" t="s">
        <v>810</v>
      </c>
      <c r="H4" s="266"/>
      <c r="I4" s="267">
        <v>12000</v>
      </c>
      <c r="J4" s="268">
        <v>5</v>
      </c>
      <c r="K4" s="261">
        <f t="shared" si="0"/>
        <v>60000</v>
      </c>
      <c r="L4" s="265"/>
    </row>
    <row r="5" spans="1:12" s="262" customFormat="1" ht="18" customHeight="1" outlineLevel="2">
      <c r="A5" s="257">
        <v>3</v>
      </c>
      <c r="B5" s="258" t="s">
        <v>807</v>
      </c>
      <c r="C5" s="257" t="s">
        <v>804</v>
      </c>
      <c r="D5" s="265" t="s">
        <v>811</v>
      </c>
      <c r="E5" s="259" t="s">
        <v>799</v>
      </c>
      <c r="F5" s="263" t="s">
        <v>812</v>
      </c>
      <c r="G5" s="263" t="s">
        <v>812</v>
      </c>
      <c r="H5" s="258" t="s">
        <v>803</v>
      </c>
      <c r="I5" s="260">
        <v>70700</v>
      </c>
      <c r="J5" s="257">
        <v>1</v>
      </c>
      <c r="K5" s="261">
        <f t="shared" si="0"/>
        <v>70700</v>
      </c>
      <c r="L5" s="265"/>
    </row>
    <row r="6" spans="1:12" s="262" customFormat="1" ht="18" customHeight="1" outlineLevel="2">
      <c r="A6" s="257">
        <v>3</v>
      </c>
      <c r="B6" s="258" t="s">
        <v>807</v>
      </c>
      <c r="C6" s="257" t="s">
        <v>804</v>
      </c>
      <c r="D6" s="265" t="s">
        <v>811</v>
      </c>
      <c r="E6" s="259" t="s">
        <v>799</v>
      </c>
      <c r="F6" s="259" t="s">
        <v>813</v>
      </c>
      <c r="G6" s="259" t="s">
        <v>813</v>
      </c>
      <c r="H6" s="258" t="s">
        <v>803</v>
      </c>
      <c r="I6" s="260">
        <v>22000</v>
      </c>
      <c r="J6" s="257">
        <v>1</v>
      </c>
      <c r="K6" s="261">
        <f t="shared" si="0"/>
        <v>22000</v>
      </c>
      <c r="L6" s="265"/>
    </row>
    <row r="7" spans="1:12" s="262" customFormat="1" ht="18" customHeight="1" outlineLevel="2">
      <c r="A7" s="257">
        <v>3</v>
      </c>
      <c r="B7" s="258" t="s">
        <v>807</v>
      </c>
      <c r="C7" s="257" t="s">
        <v>804</v>
      </c>
      <c r="D7" s="265" t="s">
        <v>811</v>
      </c>
      <c r="E7" s="259" t="s">
        <v>799</v>
      </c>
      <c r="F7" s="263" t="s">
        <v>814</v>
      </c>
      <c r="G7" s="264" t="s">
        <v>815</v>
      </c>
      <c r="H7" s="258" t="s">
        <v>803</v>
      </c>
      <c r="I7" s="260">
        <v>383700</v>
      </c>
      <c r="J7" s="257">
        <v>1</v>
      </c>
      <c r="K7" s="261">
        <f t="shared" si="0"/>
        <v>383700</v>
      </c>
      <c r="L7" s="265"/>
    </row>
    <row r="8" spans="1:12" s="262" customFormat="1" ht="18" customHeight="1" outlineLevel="2">
      <c r="A8" s="257">
        <v>3</v>
      </c>
      <c r="B8" s="258" t="s">
        <v>807</v>
      </c>
      <c r="C8" s="257" t="s">
        <v>804</v>
      </c>
      <c r="D8" s="265" t="s">
        <v>811</v>
      </c>
      <c r="E8" s="259" t="s">
        <v>799</v>
      </c>
      <c r="F8" s="259" t="s">
        <v>816</v>
      </c>
      <c r="G8" s="259" t="s">
        <v>816</v>
      </c>
      <c r="H8" s="258" t="s">
        <v>803</v>
      </c>
      <c r="I8" s="260">
        <v>80000</v>
      </c>
      <c r="J8" s="257">
        <v>1</v>
      </c>
      <c r="K8" s="261">
        <f t="shared" si="0"/>
        <v>80000</v>
      </c>
      <c r="L8" s="265"/>
    </row>
    <row r="9" spans="1:12" s="262" customFormat="1" ht="18" customHeight="1" outlineLevel="2">
      <c r="A9" s="257">
        <v>4</v>
      </c>
      <c r="B9" s="258" t="s">
        <v>817</v>
      </c>
      <c r="C9" s="257" t="s">
        <v>798</v>
      </c>
      <c r="D9" s="259" t="s">
        <v>818</v>
      </c>
      <c r="E9" s="259" t="s">
        <v>799</v>
      </c>
      <c r="F9" s="259" t="s">
        <v>800</v>
      </c>
      <c r="G9" s="259" t="s">
        <v>801</v>
      </c>
      <c r="H9" s="258"/>
      <c r="I9" s="260">
        <v>9000</v>
      </c>
      <c r="J9" s="257">
        <v>6</v>
      </c>
      <c r="K9" s="261">
        <f t="shared" si="0"/>
        <v>54000</v>
      </c>
      <c r="L9" s="259"/>
    </row>
    <row r="10" spans="1:12" s="288" customFormat="1" ht="18" customHeight="1" outlineLevel="1">
      <c r="A10" s="280"/>
      <c r="B10" s="281" t="s">
        <v>704</v>
      </c>
      <c r="C10" s="282"/>
      <c r="D10" s="283"/>
      <c r="E10" s="284"/>
      <c r="F10" s="283"/>
      <c r="G10" s="283"/>
      <c r="H10" s="159"/>
      <c r="I10" s="285"/>
      <c r="J10" s="280">
        <f>SUBTOTAL(9,J3:J9)</f>
        <v>19</v>
      </c>
      <c r="K10" s="286">
        <f>SUBTOTAL(9,K3:K9)</f>
        <v>750400</v>
      </c>
      <c r="L10" s="287"/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dimension ref="A1:U69"/>
  <sheetViews>
    <sheetView topLeftCell="A43" workbookViewId="0">
      <selection activeCell="A70" sqref="A70:XFD70"/>
    </sheetView>
  </sheetViews>
  <sheetFormatPr defaultRowHeight="15.75"/>
  <cols>
    <col min="1" max="1" width="9" style="269"/>
    <col min="2" max="2" width="34.75" style="269" customWidth="1"/>
    <col min="3" max="3" width="26.25" style="269" customWidth="1"/>
    <col min="4" max="4" width="41" style="277" customWidth="1"/>
    <col min="5" max="5" width="17.125" style="277" customWidth="1"/>
    <col min="6" max="6" width="9" style="278"/>
    <col min="7" max="7" width="9" style="269"/>
    <col min="8" max="8" width="12.75" style="278" bestFit="1" customWidth="1"/>
    <col min="9" max="9" width="54.625" style="279" hidden="1" customWidth="1"/>
    <col min="10" max="21" width="9" style="269"/>
    <col min="22" max="16384" width="9" style="273"/>
  </cols>
  <sheetData>
    <row r="1" spans="1:9" s="269" customFormat="1" ht="18.75">
      <c r="A1" s="397" t="s">
        <v>819</v>
      </c>
      <c r="B1" s="397"/>
      <c r="C1" s="397"/>
      <c r="D1" s="397"/>
      <c r="E1" s="397"/>
      <c r="F1" s="397"/>
      <c r="G1" s="397"/>
      <c r="H1" s="397"/>
      <c r="I1" s="397"/>
    </row>
    <row r="2" spans="1:9" s="270" customFormat="1">
      <c r="A2" s="398" t="s">
        <v>820</v>
      </c>
      <c r="B2" s="398" t="s">
        <v>821</v>
      </c>
      <c r="C2" s="398" t="s">
        <v>822</v>
      </c>
      <c r="D2" s="398" t="s">
        <v>823</v>
      </c>
      <c r="E2" s="398" t="s">
        <v>824</v>
      </c>
      <c r="F2" s="399" t="s">
        <v>825</v>
      </c>
      <c r="G2" s="398" t="s">
        <v>826</v>
      </c>
      <c r="H2" s="399" t="s">
        <v>827</v>
      </c>
      <c r="I2" s="400" t="s">
        <v>828</v>
      </c>
    </row>
    <row r="3" spans="1:9" s="270" customFormat="1">
      <c r="A3" s="398"/>
      <c r="B3" s="398"/>
      <c r="C3" s="398"/>
      <c r="D3" s="398"/>
      <c r="E3" s="398"/>
      <c r="F3" s="399"/>
      <c r="G3" s="398"/>
      <c r="H3" s="399"/>
      <c r="I3" s="400"/>
    </row>
    <row r="4" spans="1:9" s="269" customFormat="1">
      <c r="A4" s="187" t="s">
        <v>925</v>
      </c>
      <c r="B4" s="187" t="s">
        <v>829</v>
      </c>
      <c r="C4" s="187" t="s">
        <v>908</v>
      </c>
      <c r="D4" s="187" t="s">
        <v>909</v>
      </c>
      <c r="E4" s="271" t="s">
        <v>910</v>
      </c>
      <c r="F4" s="272">
        <v>350</v>
      </c>
      <c r="G4" s="271">
        <v>24</v>
      </c>
      <c r="H4" s="272">
        <f t="shared" ref="H4:H16" si="0">F4*G4</f>
        <v>8400</v>
      </c>
      <c r="I4" s="187" t="s">
        <v>911</v>
      </c>
    </row>
    <row r="5" spans="1:9" s="269" customFormat="1">
      <c r="A5" s="187" t="s">
        <v>925</v>
      </c>
      <c r="B5" s="187" t="s">
        <v>834</v>
      </c>
      <c r="C5" s="187" t="s">
        <v>908</v>
      </c>
      <c r="D5" s="271" t="s">
        <v>912</v>
      </c>
      <c r="E5" s="271" t="s">
        <v>913</v>
      </c>
      <c r="F5" s="272">
        <v>7050</v>
      </c>
      <c r="G5" s="271">
        <v>1</v>
      </c>
      <c r="H5" s="272">
        <f t="shared" si="0"/>
        <v>7050</v>
      </c>
      <c r="I5" s="187" t="s">
        <v>911</v>
      </c>
    </row>
    <row r="6" spans="1:9" s="269" customFormat="1">
      <c r="A6" s="187" t="s">
        <v>925</v>
      </c>
      <c r="B6" s="187" t="s">
        <v>834</v>
      </c>
      <c r="C6" s="187" t="s">
        <v>908</v>
      </c>
      <c r="D6" s="271" t="s">
        <v>914</v>
      </c>
      <c r="E6" s="271" t="s">
        <v>915</v>
      </c>
      <c r="F6" s="272">
        <v>2500</v>
      </c>
      <c r="G6" s="271">
        <v>24</v>
      </c>
      <c r="H6" s="272">
        <f t="shared" si="0"/>
        <v>60000</v>
      </c>
      <c r="I6" s="187" t="s">
        <v>911</v>
      </c>
    </row>
    <row r="7" spans="1:9" s="269" customFormat="1">
      <c r="A7" s="187" t="s">
        <v>925</v>
      </c>
      <c r="B7" s="187" t="s">
        <v>834</v>
      </c>
      <c r="C7" s="187" t="s">
        <v>908</v>
      </c>
      <c r="D7" s="271" t="s">
        <v>916</v>
      </c>
      <c r="E7" s="271" t="s">
        <v>917</v>
      </c>
      <c r="F7" s="272">
        <v>200</v>
      </c>
      <c r="G7" s="271">
        <v>48</v>
      </c>
      <c r="H7" s="272">
        <f t="shared" si="0"/>
        <v>9600</v>
      </c>
      <c r="I7" s="187" t="s">
        <v>911</v>
      </c>
    </row>
    <row r="8" spans="1:9" s="269" customFormat="1">
      <c r="A8" s="187" t="s">
        <v>925</v>
      </c>
      <c r="B8" s="187" t="s">
        <v>834</v>
      </c>
      <c r="C8" s="187" t="s">
        <v>908</v>
      </c>
      <c r="D8" s="271" t="s">
        <v>918</v>
      </c>
      <c r="E8" s="271" t="s">
        <v>919</v>
      </c>
      <c r="F8" s="272">
        <v>2500</v>
      </c>
      <c r="G8" s="271">
        <v>13</v>
      </c>
      <c r="H8" s="272">
        <f t="shared" si="0"/>
        <v>32500</v>
      </c>
      <c r="I8" s="187" t="s">
        <v>911</v>
      </c>
    </row>
    <row r="9" spans="1:9" s="269" customFormat="1">
      <c r="A9" s="187" t="s">
        <v>925</v>
      </c>
      <c r="B9" s="187" t="s">
        <v>834</v>
      </c>
      <c r="C9" s="187" t="s">
        <v>908</v>
      </c>
      <c r="D9" s="271" t="s">
        <v>920</v>
      </c>
      <c r="E9" s="271" t="s">
        <v>921</v>
      </c>
      <c r="F9" s="272">
        <v>5500</v>
      </c>
      <c r="G9" s="271">
        <v>1</v>
      </c>
      <c r="H9" s="272">
        <f t="shared" si="0"/>
        <v>5500</v>
      </c>
      <c r="I9" s="187" t="s">
        <v>911</v>
      </c>
    </row>
    <row r="10" spans="1:9" s="269" customFormat="1">
      <c r="A10" s="187" t="s">
        <v>925</v>
      </c>
      <c r="B10" s="187" t="s">
        <v>834</v>
      </c>
      <c r="C10" s="187" t="s">
        <v>908</v>
      </c>
      <c r="D10" s="271" t="s">
        <v>922</v>
      </c>
      <c r="E10" s="271" t="s">
        <v>923</v>
      </c>
      <c r="F10" s="272">
        <v>500</v>
      </c>
      <c r="G10" s="271">
        <v>24</v>
      </c>
      <c r="H10" s="272">
        <f t="shared" si="0"/>
        <v>12000</v>
      </c>
      <c r="I10" s="187" t="s">
        <v>911</v>
      </c>
    </row>
    <row r="11" spans="1:9" s="269" customFormat="1">
      <c r="A11" s="187" t="s">
        <v>925</v>
      </c>
      <c r="B11" s="187" t="s">
        <v>834</v>
      </c>
      <c r="C11" s="187" t="s">
        <v>924</v>
      </c>
      <c r="D11" s="187" t="s">
        <v>909</v>
      </c>
      <c r="E11" s="271" t="s">
        <v>910</v>
      </c>
      <c r="F11" s="272">
        <v>350</v>
      </c>
      <c r="G11" s="271">
        <v>24</v>
      </c>
      <c r="H11" s="272">
        <f t="shared" si="0"/>
        <v>8400</v>
      </c>
      <c r="I11" s="187" t="s">
        <v>911</v>
      </c>
    </row>
    <row r="12" spans="1:9" s="269" customFormat="1">
      <c r="A12" s="187" t="s">
        <v>925</v>
      </c>
      <c r="B12" s="187" t="s">
        <v>834</v>
      </c>
      <c r="C12" s="187" t="s">
        <v>924</v>
      </c>
      <c r="D12" s="271" t="s">
        <v>912</v>
      </c>
      <c r="E12" s="271" t="s">
        <v>913</v>
      </c>
      <c r="F12" s="272">
        <v>7050</v>
      </c>
      <c r="G12" s="271">
        <v>1</v>
      </c>
      <c r="H12" s="272">
        <f t="shared" si="0"/>
        <v>7050</v>
      </c>
      <c r="I12" s="187" t="s">
        <v>911</v>
      </c>
    </row>
    <row r="13" spans="1:9" s="269" customFormat="1">
      <c r="A13" s="187" t="s">
        <v>925</v>
      </c>
      <c r="B13" s="187" t="s">
        <v>834</v>
      </c>
      <c r="C13" s="187" t="s">
        <v>924</v>
      </c>
      <c r="D13" s="271" t="s">
        <v>914</v>
      </c>
      <c r="E13" s="271" t="s">
        <v>915</v>
      </c>
      <c r="F13" s="272">
        <v>2500</v>
      </c>
      <c r="G13" s="271">
        <v>24</v>
      </c>
      <c r="H13" s="272">
        <f t="shared" si="0"/>
        <v>60000</v>
      </c>
      <c r="I13" s="187" t="s">
        <v>911</v>
      </c>
    </row>
    <row r="14" spans="1:9" s="269" customFormat="1">
      <c r="A14" s="187" t="s">
        <v>925</v>
      </c>
      <c r="B14" s="187" t="s">
        <v>834</v>
      </c>
      <c r="C14" s="187" t="s">
        <v>924</v>
      </c>
      <c r="D14" s="271" t="s">
        <v>916</v>
      </c>
      <c r="E14" s="271" t="s">
        <v>917</v>
      </c>
      <c r="F14" s="272">
        <v>200</v>
      </c>
      <c r="G14" s="271">
        <v>48</v>
      </c>
      <c r="H14" s="272">
        <f t="shared" si="0"/>
        <v>9600</v>
      </c>
      <c r="I14" s="187" t="s">
        <v>911</v>
      </c>
    </row>
    <row r="15" spans="1:9" s="269" customFormat="1">
      <c r="A15" s="187" t="s">
        <v>925</v>
      </c>
      <c r="B15" s="187" t="s">
        <v>834</v>
      </c>
      <c r="C15" s="187" t="s">
        <v>924</v>
      </c>
      <c r="D15" s="271" t="s">
        <v>920</v>
      </c>
      <c r="E15" s="271" t="s">
        <v>921</v>
      </c>
      <c r="F15" s="272">
        <v>5500</v>
      </c>
      <c r="G15" s="271">
        <v>1</v>
      </c>
      <c r="H15" s="272">
        <f t="shared" si="0"/>
        <v>5500</v>
      </c>
      <c r="I15" s="187" t="s">
        <v>911</v>
      </c>
    </row>
    <row r="16" spans="1:9" s="269" customFormat="1">
      <c r="A16" s="187" t="s">
        <v>925</v>
      </c>
      <c r="B16" s="187" t="s">
        <v>834</v>
      </c>
      <c r="C16" s="187" t="s">
        <v>924</v>
      </c>
      <c r="D16" s="271" t="s">
        <v>922</v>
      </c>
      <c r="E16" s="271" t="s">
        <v>923</v>
      </c>
      <c r="F16" s="272">
        <v>500</v>
      </c>
      <c r="G16" s="271">
        <v>24</v>
      </c>
      <c r="H16" s="272">
        <f t="shared" si="0"/>
        <v>12000</v>
      </c>
      <c r="I16" s="187" t="s">
        <v>911</v>
      </c>
    </row>
    <row r="17" spans="1:9" s="269" customFormat="1">
      <c r="A17" s="187" t="s">
        <v>925</v>
      </c>
      <c r="B17" s="187" t="s">
        <v>829</v>
      </c>
      <c r="C17" s="187" t="s">
        <v>830</v>
      </c>
      <c r="D17" s="187" t="s">
        <v>831</v>
      </c>
      <c r="E17" s="271" t="s">
        <v>832</v>
      </c>
      <c r="F17" s="272">
        <v>8100</v>
      </c>
      <c r="G17" s="271">
        <v>48</v>
      </c>
      <c r="H17" s="272">
        <f>F17*G17</f>
        <v>388800</v>
      </c>
      <c r="I17" s="187" t="s">
        <v>833</v>
      </c>
    </row>
    <row r="18" spans="1:9" s="269" customFormat="1">
      <c r="A18" s="187" t="s">
        <v>925</v>
      </c>
      <c r="B18" s="187" t="s">
        <v>834</v>
      </c>
      <c r="C18" s="187" t="s">
        <v>835</v>
      </c>
      <c r="D18" s="271" t="s">
        <v>836</v>
      </c>
      <c r="E18" s="271" t="s">
        <v>832</v>
      </c>
      <c r="F18" s="272">
        <v>1100</v>
      </c>
      <c r="G18" s="271">
        <v>96</v>
      </c>
      <c r="H18" s="272">
        <f t="shared" ref="H18:H58" si="1">F18*G18</f>
        <v>105600</v>
      </c>
      <c r="I18" s="187" t="s">
        <v>833</v>
      </c>
    </row>
    <row r="19" spans="1:9" s="269" customFormat="1">
      <c r="A19" s="187" t="s">
        <v>925</v>
      </c>
      <c r="B19" s="187" t="s">
        <v>834</v>
      </c>
      <c r="C19" s="187" t="s">
        <v>835</v>
      </c>
      <c r="D19" s="271" t="s">
        <v>837</v>
      </c>
      <c r="E19" s="271" t="s">
        <v>832</v>
      </c>
      <c r="F19" s="272">
        <v>1100</v>
      </c>
      <c r="G19" s="271">
        <v>48</v>
      </c>
      <c r="H19" s="272">
        <f t="shared" si="1"/>
        <v>52800</v>
      </c>
      <c r="I19" s="187" t="s">
        <v>833</v>
      </c>
    </row>
    <row r="20" spans="1:9" s="269" customFormat="1">
      <c r="A20" s="187" t="s">
        <v>925</v>
      </c>
      <c r="B20" s="187" t="s">
        <v>834</v>
      </c>
      <c r="C20" s="187" t="s">
        <v>835</v>
      </c>
      <c r="D20" s="271" t="s">
        <v>838</v>
      </c>
      <c r="E20" s="187" t="s">
        <v>839</v>
      </c>
      <c r="F20" s="272">
        <v>500</v>
      </c>
      <c r="G20" s="271">
        <v>48</v>
      </c>
      <c r="H20" s="272">
        <f t="shared" si="1"/>
        <v>24000</v>
      </c>
      <c r="I20" s="187" t="s">
        <v>833</v>
      </c>
    </row>
    <row r="21" spans="1:9" s="269" customFormat="1">
      <c r="A21" s="187" t="s">
        <v>925</v>
      </c>
      <c r="B21" s="187" t="s">
        <v>834</v>
      </c>
      <c r="C21" s="187" t="s">
        <v>835</v>
      </c>
      <c r="D21" s="271" t="s">
        <v>840</v>
      </c>
      <c r="E21" s="187" t="s">
        <v>839</v>
      </c>
      <c r="F21" s="272">
        <v>2700</v>
      </c>
      <c r="G21" s="271">
        <v>48</v>
      </c>
      <c r="H21" s="272">
        <f t="shared" si="1"/>
        <v>129600</v>
      </c>
      <c r="I21" s="187" t="s">
        <v>833</v>
      </c>
    </row>
    <row r="22" spans="1:9" s="269" customFormat="1">
      <c r="A22" s="187" t="s">
        <v>925</v>
      </c>
      <c r="B22" s="187" t="s">
        <v>834</v>
      </c>
      <c r="C22" s="187" t="s">
        <v>835</v>
      </c>
      <c r="D22" s="271" t="s">
        <v>841</v>
      </c>
      <c r="E22" s="271" t="s">
        <v>842</v>
      </c>
      <c r="F22" s="272">
        <v>600</v>
      </c>
      <c r="G22" s="271">
        <v>48</v>
      </c>
      <c r="H22" s="272">
        <f t="shared" si="1"/>
        <v>28800</v>
      </c>
      <c r="I22" s="187" t="s">
        <v>833</v>
      </c>
    </row>
    <row r="23" spans="1:9" s="269" customFormat="1">
      <c r="A23" s="187" t="s">
        <v>925</v>
      </c>
      <c r="B23" s="187" t="s">
        <v>834</v>
      </c>
      <c r="C23" s="187" t="s">
        <v>835</v>
      </c>
      <c r="D23" s="271" t="s">
        <v>843</v>
      </c>
      <c r="E23" s="271" t="s">
        <v>844</v>
      </c>
      <c r="F23" s="272">
        <v>15200</v>
      </c>
      <c r="G23" s="271">
        <v>2</v>
      </c>
      <c r="H23" s="272">
        <f t="shared" si="1"/>
        <v>30400</v>
      </c>
      <c r="I23" s="187" t="s">
        <v>833</v>
      </c>
    </row>
    <row r="24" spans="1:9" s="269" customFormat="1">
      <c r="A24" s="187" t="s">
        <v>925</v>
      </c>
      <c r="B24" s="187" t="s">
        <v>834</v>
      </c>
      <c r="C24" s="187" t="s">
        <v>845</v>
      </c>
      <c r="D24" s="271" t="s">
        <v>846</v>
      </c>
      <c r="E24" s="271" t="s">
        <v>832</v>
      </c>
      <c r="F24" s="272">
        <v>1720</v>
      </c>
      <c r="G24" s="271">
        <v>15</v>
      </c>
      <c r="H24" s="272">
        <f t="shared" si="1"/>
        <v>25800</v>
      </c>
      <c r="I24" s="271" t="s">
        <v>847</v>
      </c>
    </row>
    <row r="25" spans="1:9" s="269" customFormat="1">
      <c r="A25" s="187" t="s">
        <v>925</v>
      </c>
      <c r="B25" s="187" t="s">
        <v>834</v>
      </c>
      <c r="C25" s="187" t="s">
        <v>845</v>
      </c>
      <c r="D25" s="271" t="s">
        <v>848</v>
      </c>
      <c r="E25" s="271" t="s">
        <v>832</v>
      </c>
      <c r="F25" s="272">
        <v>1720</v>
      </c>
      <c r="G25" s="271">
        <v>4</v>
      </c>
      <c r="H25" s="272">
        <f t="shared" si="1"/>
        <v>6880</v>
      </c>
      <c r="I25" s="271" t="s">
        <v>847</v>
      </c>
    </row>
    <row r="26" spans="1:9" s="269" customFormat="1">
      <c r="A26" s="187" t="s">
        <v>925</v>
      </c>
      <c r="B26" s="187" t="s">
        <v>834</v>
      </c>
      <c r="C26" s="187" t="s">
        <v>845</v>
      </c>
      <c r="D26" s="271" t="s">
        <v>849</v>
      </c>
      <c r="E26" s="271" t="s">
        <v>832</v>
      </c>
      <c r="F26" s="272">
        <v>1720</v>
      </c>
      <c r="G26" s="271">
        <v>12</v>
      </c>
      <c r="H26" s="272">
        <f t="shared" si="1"/>
        <v>20640</v>
      </c>
      <c r="I26" s="271" t="s">
        <v>847</v>
      </c>
    </row>
    <row r="27" spans="1:9" s="269" customFormat="1">
      <c r="A27" s="187" t="s">
        <v>925</v>
      </c>
      <c r="B27" s="187" t="s">
        <v>834</v>
      </c>
      <c r="C27" s="187" t="s">
        <v>845</v>
      </c>
      <c r="D27" s="271" t="s">
        <v>850</v>
      </c>
      <c r="E27" s="271" t="s">
        <v>832</v>
      </c>
      <c r="F27" s="272">
        <v>6220</v>
      </c>
      <c r="G27" s="271">
        <v>1</v>
      </c>
      <c r="H27" s="272">
        <f t="shared" si="1"/>
        <v>6220</v>
      </c>
      <c r="I27" s="271" t="s">
        <v>847</v>
      </c>
    </row>
    <row r="28" spans="1:9" s="269" customFormat="1">
      <c r="A28" s="187" t="s">
        <v>925</v>
      </c>
      <c r="B28" s="187" t="s">
        <v>834</v>
      </c>
      <c r="C28" s="187" t="s">
        <v>845</v>
      </c>
      <c r="D28" s="271" t="s">
        <v>851</v>
      </c>
      <c r="E28" s="271" t="s">
        <v>832</v>
      </c>
      <c r="F28" s="272">
        <v>200</v>
      </c>
      <c r="G28" s="271">
        <v>11</v>
      </c>
      <c r="H28" s="272">
        <f t="shared" si="1"/>
        <v>2200</v>
      </c>
      <c r="I28" s="271" t="s">
        <v>847</v>
      </c>
    </row>
    <row r="29" spans="1:9" s="269" customFormat="1">
      <c r="A29" s="187" t="s">
        <v>925</v>
      </c>
      <c r="B29" s="187" t="s">
        <v>834</v>
      </c>
      <c r="C29" s="187" t="s">
        <v>845</v>
      </c>
      <c r="D29" s="271" t="s">
        <v>852</v>
      </c>
      <c r="E29" s="271" t="s">
        <v>832</v>
      </c>
      <c r="F29" s="272">
        <v>38000</v>
      </c>
      <c r="G29" s="271">
        <v>1</v>
      </c>
      <c r="H29" s="272">
        <f t="shared" si="1"/>
        <v>38000</v>
      </c>
      <c r="I29" s="271" t="s">
        <v>847</v>
      </c>
    </row>
    <row r="30" spans="1:9" s="269" customFormat="1">
      <c r="A30" s="187" t="s">
        <v>925</v>
      </c>
      <c r="B30" s="187" t="s">
        <v>834</v>
      </c>
      <c r="C30" s="187" t="s">
        <v>845</v>
      </c>
      <c r="D30" s="271" t="s">
        <v>853</v>
      </c>
      <c r="E30" s="271" t="s">
        <v>832</v>
      </c>
      <c r="F30" s="272">
        <v>4500</v>
      </c>
      <c r="G30" s="271">
        <v>2</v>
      </c>
      <c r="H30" s="272">
        <f t="shared" si="1"/>
        <v>9000</v>
      </c>
      <c r="I30" s="271" t="s">
        <v>847</v>
      </c>
    </row>
    <row r="31" spans="1:9" s="269" customFormat="1">
      <c r="A31" s="187" t="s">
        <v>925</v>
      </c>
      <c r="B31" s="187" t="s">
        <v>834</v>
      </c>
      <c r="C31" s="187" t="s">
        <v>845</v>
      </c>
      <c r="D31" s="271" t="s">
        <v>854</v>
      </c>
      <c r="E31" s="271" t="s">
        <v>832</v>
      </c>
      <c r="F31" s="272">
        <v>28000</v>
      </c>
      <c r="G31" s="271">
        <v>1</v>
      </c>
      <c r="H31" s="272">
        <f t="shared" si="1"/>
        <v>28000</v>
      </c>
      <c r="I31" s="271" t="s">
        <v>847</v>
      </c>
    </row>
    <row r="32" spans="1:9" s="269" customFormat="1">
      <c r="A32" s="187" t="s">
        <v>925</v>
      </c>
      <c r="B32" s="187" t="s">
        <v>834</v>
      </c>
      <c r="C32" s="187" t="s">
        <v>845</v>
      </c>
      <c r="D32" s="271" t="s">
        <v>855</v>
      </c>
      <c r="E32" s="271" t="s">
        <v>832</v>
      </c>
      <c r="F32" s="272">
        <v>18000</v>
      </c>
      <c r="G32" s="271">
        <v>1</v>
      </c>
      <c r="H32" s="272">
        <f t="shared" si="1"/>
        <v>18000</v>
      </c>
      <c r="I32" s="271" t="s">
        <v>847</v>
      </c>
    </row>
    <row r="33" spans="1:9" s="269" customFormat="1">
      <c r="A33" s="187" t="s">
        <v>925</v>
      </c>
      <c r="B33" s="187" t="s">
        <v>834</v>
      </c>
      <c r="C33" s="187" t="s">
        <v>845</v>
      </c>
      <c r="D33" s="271" t="s">
        <v>856</v>
      </c>
      <c r="E33" s="271" t="s">
        <v>857</v>
      </c>
      <c r="F33" s="272">
        <v>960</v>
      </c>
      <c r="G33" s="271">
        <v>8</v>
      </c>
      <c r="H33" s="272">
        <f t="shared" si="1"/>
        <v>7680</v>
      </c>
      <c r="I33" s="271" t="s">
        <v>847</v>
      </c>
    </row>
    <row r="34" spans="1:9" s="269" customFormat="1">
      <c r="A34" s="187" t="s">
        <v>925</v>
      </c>
      <c r="B34" s="187" t="s">
        <v>834</v>
      </c>
      <c r="C34" s="187" t="s">
        <v>845</v>
      </c>
      <c r="D34" s="271" t="s">
        <v>858</v>
      </c>
      <c r="E34" s="271" t="s">
        <v>832</v>
      </c>
      <c r="F34" s="272">
        <v>10000</v>
      </c>
      <c r="G34" s="271">
        <v>1</v>
      </c>
      <c r="H34" s="272">
        <f t="shared" si="1"/>
        <v>10000</v>
      </c>
      <c r="I34" s="271" t="s">
        <v>847</v>
      </c>
    </row>
    <row r="35" spans="1:9" s="269" customFormat="1">
      <c r="A35" s="187" t="s">
        <v>925</v>
      </c>
      <c r="B35" s="187" t="s">
        <v>834</v>
      </c>
      <c r="C35" s="187" t="s">
        <v>845</v>
      </c>
      <c r="D35" s="271" t="s">
        <v>859</v>
      </c>
      <c r="E35" s="271" t="s">
        <v>860</v>
      </c>
      <c r="F35" s="272">
        <v>5000</v>
      </c>
      <c r="G35" s="271">
        <v>1</v>
      </c>
      <c r="H35" s="272">
        <f t="shared" si="1"/>
        <v>5000</v>
      </c>
      <c r="I35" s="271" t="s">
        <v>847</v>
      </c>
    </row>
    <row r="36" spans="1:9" s="269" customFormat="1">
      <c r="A36" s="187" t="s">
        <v>925</v>
      </c>
      <c r="B36" s="187" t="s">
        <v>834</v>
      </c>
      <c r="C36" s="187" t="s">
        <v>845</v>
      </c>
      <c r="D36" s="271" t="s">
        <v>861</v>
      </c>
      <c r="E36" s="271" t="s">
        <v>862</v>
      </c>
      <c r="F36" s="272">
        <v>5000</v>
      </c>
      <c r="G36" s="271">
        <v>1</v>
      </c>
      <c r="H36" s="272">
        <f t="shared" si="1"/>
        <v>5000</v>
      </c>
      <c r="I36" s="271" t="s">
        <v>847</v>
      </c>
    </row>
    <row r="37" spans="1:9" s="269" customFormat="1">
      <c r="A37" s="187" t="s">
        <v>925</v>
      </c>
      <c r="B37" s="187" t="s">
        <v>834</v>
      </c>
      <c r="C37" s="187" t="s">
        <v>845</v>
      </c>
      <c r="D37" s="271" t="s">
        <v>863</v>
      </c>
      <c r="E37" s="271" t="s">
        <v>864</v>
      </c>
      <c r="F37" s="272">
        <v>2500</v>
      </c>
      <c r="G37" s="271">
        <v>3</v>
      </c>
      <c r="H37" s="272">
        <f t="shared" si="1"/>
        <v>7500</v>
      </c>
      <c r="I37" s="271" t="s">
        <v>847</v>
      </c>
    </row>
    <row r="38" spans="1:9" s="269" customFormat="1">
      <c r="A38" s="187" t="s">
        <v>925</v>
      </c>
      <c r="B38" s="187" t="s">
        <v>834</v>
      </c>
      <c r="C38" s="187" t="s">
        <v>845</v>
      </c>
      <c r="D38" s="271" t="s">
        <v>865</v>
      </c>
      <c r="E38" s="271" t="s">
        <v>866</v>
      </c>
      <c r="F38" s="272">
        <v>300</v>
      </c>
      <c r="G38" s="271">
        <v>6</v>
      </c>
      <c r="H38" s="272">
        <f t="shared" si="1"/>
        <v>1800</v>
      </c>
      <c r="I38" s="271" t="s">
        <v>847</v>
      </c>
    </row>
    <row r="39" spans="1:9" s="269" customFormat="1">
      <c r="A39" s="187" t="s">
        <v>925</v>
      </c>
      <c r="B39" s="187" t="s">
        <v>834</v>
      </c>
      <c r="C39" s="187" t="s">
        <v>845</v>
      </c>
      <c r="D39" s="271" t="s">
        <v>867</v>
      </c>
      <c r="E39" s="271" t="s">
        <v>868</v>
      </c>
      <c r="F39" s="272">
        <v>360</v>
      </c>
      <c r="G39" s="271">
        <v>2</v>
      </c>
      <c r="H39" s="272">
        <f t="shared" si="1"/>
        <v>720</v>
      </c>
      <c r="I39" s="271" t="s">
        <v>847</v>
      </c>
    </row>
    <row r="40" spans="1:9" s="269" customFormat="1">
      <c r="A40" s="187" t="s">
        <v>925</v>
      </c>
      <c r="B40" s="187" t="s">
        <v>834</v>
      </c>
      <c r="C40" s="187" t="s">
        <v>845</v>
      </c>
      <c r="D40" s="271" t="s">
        <v>869</v>
      </c>
      <c r="E40" s="271" t="s">
        <v>832</v>
      </c>
      <c r="F40" s="272">
        <v>10860</v>
      </c>
      <c r="G40" s="271">
        <v>1</v>
      </c>
      <c r="H40" s="272">
        <f t="shared" si="1"/>
        <v>10860</v>
      </c>
      <c r="I40" s="271" t="s">
        <v>847</v>
      </c>
    </row>
    <row r="41" spans="1:9" s="269" customFormat="1">
      <c r="A41" s="187" t="s">
        <v>925</v>
      </c>
      <c r="B41" s="187" t="s">
        <v>834</v>
      </c>
      <c r="C41" s="187" t="s">
        <v>845</v>
      </c>
      <c r="D41" s="271" t="s">
        <v>870</v>
      </c>
      <c r="E41" s="271" t="s">
        <v>832</v>
      </c>
      <c r="F41" s="272">
        <v>2800</v>
      </c>
      <c r="G41" s="271">
        <v>1</v>
      </c>
      <c r="H41" s="272">
        <f t="shared" si="1"/>
        <v>2800</v>
      </c>
      <c r="I41" s="271" t="s">
        <v>847</v>
      </c>
    </row>
    <row r="42" spans="1:9" s="269" customFormat="1">
      <c r="A42" s="187" t="s">
        <v>925</v>
      </c>
      <c r="B42" s="187" t="s">
        <v>834</v>
      </c>
      <c r="C42" s="187" t="s">
        <v>845</v>
      </c>
      <c r="D42" s="271" t="s">
        <v>871</v>
      </c>
      <c r="E42" s="271" t="s">
        <v>832</v>
      </c>
      <c r="F42" s="272">
        <v>10000</v>
      </c>
      <c r="G42" s="271">
        <v>1</v>
      </c>
      <c r="H42" s="272">
        <f t="shared" si="1"/>
        <v>10000</v>
      </c>
      <c r="I42" s="271" t="s">
        <v>847</v>
      </c>
    </row>
    <row r="43" spans="1:9" s="269" customFormat="1">
      <c r="A43" s="187" t="s">
        <v>925</v>
      </c>
      <c r="B43" s="187" t="s">
        <v>834</v>
      </c>
      <c r="C43" s="187" t="s">
        <v>845</v>
      </c>
      <c r="D43" s="271" t="s">
        <v>872</v>
      </c>
      <c r="E43" s="271" t="s">
        <v>832</v>
      </c>
      <c r="F43" s="272">
        <v>240</v>
      </c>
      <c r="G43" s="271">
        <v>32</v>
      </c>
      <c r="H43" s="272">
        <f t="shared" si="1"/>
        <v>7680</v>
      </c>
      <c r="I43" s="271" t="s">
        <v>847</v>
      </c>
    </row>
    <row r="44" spans="1:9" s="269" customFormat="1">
      <c r="A44" s="187" t="s">
        <v>925</v>
      </c>
      <c r="B44" s="187" t="s">
        <v>834</v>
      </c>
      <c r="C44" s="187" t="s">
        <v>845</v>
      </c>
      <c r="D44" s="271" t="s">
        <v>873</v>
      </c>
      <c r="E44" s="271" t="s">
        <v>832</v>
      </c>
      <c r="F44" s="272">
        <v>160</v>
      </c>
      <c r="G44" s="271">
        <v>32</v>
      </c>
      <c r="H44" s="272">
        <f t="shared" si="1"/>
        <v>5120</v>
      </c>
      <c r="I44" s="271" t="s">
        <v>847</v>
      </c>
    </row>
    <row r="45" spans="1:9" s="269" customFormat="1">
      <c r="A45" s="187" t="s">
        <v>925</v>
      </c>
      <c r="B45" s="187" t="s">
        <v>834</v>
      </c>
      <c r="C45" s="187" t="s">
        <v>845</v>
      </c>
      <c r="D45" s="271" t="s">
        <v>874</v>
      </c>
      <c r="E45" s="271" t="s">
        <v>832</v>
      </c>
      <c r="F45" s="272">
        <v>80</v>
      </c>
      <c r="G45" s="271">
        <v>11</v>
      </c>
      <c r="H45" s="272">
        <f t="shared" si="1"/>
        <v>880</v>
      </c>
      <c r="I45" s="271" t="s">
        <v>847</v>
      </c>
    </row>
    <row r="46" spans="1:9" s="269" customFormat="1">
      <c r="A46" s="187" t="s">
        <v>925</v>
      </c>
      <c r="B46" s="187" t="s">
        <v>834</v>
      </c>
      <c r="C46" s="187" t="s">
        <v>845</v>
      </c>
      <c r="D46" s="271" t="s">
        <v>875</v>
      </c>
      <c r="E46" s="271" t="s">
        <v>832</v>
      </c>
      <c r="F46" s="272">
        <v>4</v>
      </c>
      <c r="G46" s="271">
        <v>320</v>
      </c>
      <c r="H46" s="272">
        <f t="shared" si="1"/>
        <v>1280</v>
      </c>
      <c r="I46" s="271" t="s">
        <v>847</v>
      </c>
    </row>
    <row r="47" spans="1:9" s="269" customFormat="1">
      <c r="A47" s="187" t="s">
        <v>925</v>
      </c>
      <c r="B47" s="187" t="s">
        <v>834</v>
      </c>
      <c r="C47" s="187" t="s">
        <v>845</v>
      </c>
      <c r="D47" s="271" t="s">
        <v>876</v>
      </c>
      <c r="E47" s="271" t="s">
        <v>832</v>
      </c>
      <c r="F47" s="272">
        <v>360</v>
      </c>
      <c r="G47" s="271">
        <v>6</v>
      </c>
      <c r="H47" s="272">
        <f t="shared" si="1"/>
        <v>2160</v>
      </c>
      <c r="I47" s="271" t="s">
        <v>847</v>
      </c>
    </row>
    <row r="48" spans="1:9" s="269" customFormat="1">
      <c r="A48" s="187" t="s">
        <v>925</v>
      </c>
      <c r="B48" s="187" t="s">
        <v>834</v>
      </c>
      <c r="C48" s="187" t="s">
        <v>845</v>
      </c>
      <c r="D48" s="271" t="s">
        <v>877</v>
      </c>
      <c r="E48" s="187" t="s">
        <v>839</v>
      </c>
      <c r="F48" s="272">
        <v>480</v>
      </c>
      <c r="G48" s="271">
        <v>1</v>
      </c>
      <c r="H48" s="272">
        <f t="shared" si="1"/>
        <v>480</v>
      </c>
      <c r="I48" s="271" t="s">
        <v>847</v>
      </c>
    </row>
    <row r="49" spans="1:9" s="269" customFormat="1">
      <c r="A49" s="187" t="s">
        <v>925</v>
      </c>
      <c r="B49" s="187" t="s">
        <v>834</v>
      </c>
      <c r="C49" s="187" t="s">
        <v>845</v>
      </c>
      <c r="D49" s="271" t="s">
        <v>878</v>
      </c>
      <c r="E49" s="271" t="s">
        <v>879</v>
      </c>
      <c r="F49" s="272">
        <v>22000</v>
      </c>
      <c r="G49" s="271">
        <v>1</v>
      </c>
      <c r="H49" s="272">
        <f t="shared" si="1"/>
        <v>22000</v>
      </c>
      <c r="I49" s="271" t="s">
        <v>847</v>
      </c>
    </row>
    <row r="50" spans="1:9" s="269" customFormat="1">
      <c r="A50" s="187" t="s">
        <v>925</v>
      </c>
      <c r="B50" s="187" t="s">
        <v>834</v>
      </c>
      <c r="C50" s="187" t="s">
        <v>845</v>
      </c>
      <c r="D50" s="271" t="s">
        <v>880</v>
      </c>
      <c r="E50" s="271" t="s">
        <v>881</v>
      </c>
      <c r="F50" s="272">
        <v>9600</v>
      </c>
      <c r="G50" s="271">
        <v>1</v>
      </c>
      <c r="H50" s="272">
        <f t="shared" si="1"/>
        <v>9600</v>
      </c>
      <c r="I50" s="271" t="s">
        <v>847</v>
      </c>
    </row>
    <row r="51" spans="1:9" s="269" customFormat="1">
      <c r="A51" s="187" t="s">
        <v>925</v>
      </c>
      <c r="B51" s="187" t="s">
        <v>834</v>
      </c>
      <c r="C51" s="187" t="s">
        <v>845</v>
      </c>
      <c r="D51" s="271" t="s">
        <v>882</v>
      </c>
      <c r="E51" s="271" t="s">
        <v>883</v>
      </c>
      <c r="F51" s="272">
        <v>2400</v>
      </c>
      <c r="G51" s="271">
        <v>1</v>
      </c>
      <c r="H51" s="272">
        <f t="shared" si="1"/>
        <v>2400</v>
      </c>
      <c r="I51" s="271" t="s">
        <v>847</v>
      </c>
    </row>
    <row r="52" spans="1:9" s="269" customFormat="1">
      <c r="A52" s="187" t="s">
        <v>925</v>
      </c>
      <c r="B52" s="187" t="s">
        <v>834</v>
      </c>
      <c r="C52" s="187" t="s">
        <v>845</v>
      </c>
      <c r="D52" s="271" t="s">
        <v>884</v>
      </c>
      <c r="E52" s="271" t="s">
        <v>885</v>
      </c>
      <c r="F52" s="272">
        <v>400</v>
      </c>
      <c r="G52" s="271">
        <v>1</v>
      </c>
      <c r="H52" s="272">
        <f t="shared" si="1"/>
        <v>400</v>
      </c>
      <c r="I52" s="271" t="s">
        <v>847</v>
      </c>
    </row>
    <row r="53" spans="1:9" s="269" customFormat="1">
      <c r="A53" s="187" t="s">
        <v>925</v>
      </c>
      <c r="B53" s="187" t="s">
        <v>834</v>
      </c>
      <c r="C53" s="187" t="s">
        <v>845</v>
      </c>
      <c r="D53" s="271" t="s">
        <v>886</v>
      </c>
      <c r="E53" s="271" t="s">
        <v>832</v>
      </c>
      <c r="F53" s="272">
        <v>3100</v>
      </c>
      <c r="G53" s="271">
        <v>10</v>
      </c>
      <c r="H53" s="272">
        <f t="shared" si="1"/>
        <v>31000</v>
      </c>
      <c r="I53" s="271" t="s">
        <v>847</v>
      </c>
    </row>
    <row r="54" spans="1:9" s="269" customFormat="1">
      <c r="A54" s="187" t="s">
        <v>925</v>
      </c>
      <c r="B54" s="187" t="s">
        <v>834</v>
      </c>
      <c r="C54" s="187" t="s">
        <v>845</v>
      </c>
      <c r="D54" s="271" t="s">
        <v>887</v>
      </c>
      <c r="E54" s="271" t="s">
        <v>832</v>
      </c>
      <c r="F54" s="272">
        <v>180</v>
      </c>
      <c r="G54" s="271">
        <v>5</v>
      </c>
      <c r="H54" s="272">
        <f t="shared" si="1"/>
        <v>900</v>
      </c>
      <c r="I54" s="271" t="s">
        <v>847</v>
      </c>
    </row>
    <row r="55" spans="1:9" s="269" customFormat="1">
      <c r="A55" s="187" t="s">
        <v>925</v>
      </c>
      <c r="B55" s="187" t="s">
        <v>834</v>
      </c>
      <c r="C55" s="187" t="s">
        <v>888</v>
      </c>
      <c r="D55" s="271" t="s">
        <v>863</v>
      </c>
      <c r="E55" s="271" t="s">
        <v>862</v>
      </c>
      <c r="F55" s="272">
        <v>5000</v>
      </c>
      <c r="G55" s="271">
        <v>4</v>
      </c>
      <c r="H55" s="272">
        <f>F55*G55</f>
        <v>20000</v>
      </c>
      <c r="I55" s="271" t="s">
        <v>847</v>
      </c>
    </row>
    <row r="56" spans="1:9" s="269" customFormat="1">
      <c r="A56" s="187" t="s">
        <v>925</v>
      </c>
      <c r="B56" s="187" t="s">
        <v>834</v>
      </c>
      <c r="C56" s="187" t="s">
        <v>889</v>
      </c>
      <c r="D56" s="271" t="s">
        <v>861</v>
      </c>
      <c r="E56" s="271" t="s">
        <v>862</v>
      </c>
      <c r="F56" s="272">
        <v>5000</v>
      </c>
      <c r="G56" s="271">
        <v>2</v>
      </c>
      <c r="H56" s="272">
        <f t="shared" si="1"/>
        <v>10000</v>
      </c>
      <c r="I56" s="271" t="s">
        <v>847</v>
      </c>
    </row>
    <row r="57" spans="1:9" s="269" customFormat="1">
      <c r="A57" s="187" t="s">
        <v>925</v>
      </c>
      <c r="B57" s="187" t="s">
        <v>834</v>
      </c>
      <c r="C57" s="187" t="s">
        <v>889</v>
      </c>
      <c r="D57" s="271" t="s">
        <v>870</v>
      </c>
      <c r="E57" s="271" t="s">
        <v>832</v>
      </c>
      <c r="F57" s="272">
        <v>12000</v>
      </c>
      <c r="G57" s="271">
        <v>2</v>
      </c>
      <c r="H57" s="272">
        <f t="shared" si="1"/>
        <v>24000</v>
      </c>
      <c r="I57" s="271" t="s">
        <v>847</v>
      </c>
    </row>
    <row r="58" spans="1:9" s="269" customFormat="1">
      <c r="A58" s="187" t="s">
        <v>925</v>
      </c>
      <c r="B58" s="187" t="s">
        <v>834</v>
      </c>
      <c r="C58" s="187" t="s">
        <v>889</v>
      </c>
      <c r="D58" s="271" t="s">
        <v>890</v>
      </c>
      <c r="E58" s="271" t="s">
        <v>832</v>
      </c>
      <c r="F58" s="272">
        <v>15000</v>
      </c>
      <c r="G58" s="271">
        <v>2</v>
      </c>
      <c r="H58" s="272">
        <f t="shared" si="1"/>
        <v>30000</v>
      </c>
      <c r="I58" s="271" t="s">
        <v>847</v>
      </c>
    </row>
    <row r="59" spans="1:9" s="269" customFormat="1">
      <c r="A59" s="187" t="s">
        <v>925</v>
      </c>
      <c r="B59" s="187" t="s">
        <v>834</v>
      </c>
      <c r="C59" s="187" t="s">
        <v>889</v>
      </c>
      <c r="D59" s="187" t="s">
        <v>891</v>
      </c>
      <c r="E59" s="271" t="s">
        <v>832</v>
      </c>
      <c r="F59" s="272">
        <v>10000</v>
      </c>
      <c r="G59" s="271">
        <v>2</v>
      </c>
      <c r="H59" s="272">
        <f>F59*G59</f>
        <v>20000</v>
      </c>
      <c r="I59" s="271" t="s">
        <v>892</v>
      </c>
    </row>
    <row r="60" spans="1:9" s="269" customFormat="1">
      <c r="A60" s="187" t="s">
        <v>925</v>
      </c>
      <c r="B60" s="187" t="s">
        <v>834</v>
      </c>
      <c r="C60" s="187" t="s">
        <v>889</v>
      </c>
      <c r="D60" s="187" t="s">
        <v>893</v>
      </c>
      <c r="E60" s="187" t="s">
        <v>839</v>
      </c>
      <c r="F60" s="272">
        <f>SUM(H55:H59)*0.1</f>
        <v>10400</v>
      </c>
      <c r="G60" s="271">
        <v>1</v>
      </c>
      <c r="H60" s="272">
        <f t="shared" ref="H60:H67" si="2">F60*G60</f>
        <v>10400</v>
      </c>
      <c r="I60" s="271" t="s">
        <v>894</v>
      </c>
    </row>
    <row r="61" spans="1:9" s="269" customFormat="1">
      <c r="A61" s="187" t="s">
        <v>925</v>
      </c>
      <c r="B61" s="187" t="s">
        <v>834</v>
      </c>
      <c r="C61" s="187" t="s">
        <v>895</v>
      </c>
      <c r="D61" s="271" t="s">
        <v>896</v>
      </c>
      <c r="E61" s="271" t="s">
        <v>832</v>
      </c>
      <c r="F61" s="272">
        <v>35000</v>
      </c>
      <c r="G61" s="271">
        <v>1</v>
      </c>
      <c r="H61" s="272">
        <f t="shared" si="2"/>
        <v>35000</v>
      </c>
      <c r="I61" s="271" t="s">
        <v>847</v>
      </c>
    </row>
    <row r="62" spans="1:9" s="269" customFormat="1">
      <c r="A62" s="187" t="s">
        <v>925</v>
      </c>
      <c r="B62" s="187" t="s">
        <v>834</v>
      </c>
      <c r="C62" s="187" t="s">
        <v>897</v>
      </c>
      <c r="D62" s="271" t="s">
        <v>898</v>
      </c>
      <c r="E62" s="271" t="s">
        <v>832</v>
      </c>
      <c r="F62" s="272">
        <v>5000</v>
      </c>
      <c r="G62" s="271">
        <v>1</v>
      </c>
      <c r="H62" s="272">
        <f t="shared" si="2"/>
        <v>5000</v>
      </c>
      <c r="I62" s="271" t="s">
        <v>847</v>
      </c>
    </row>
    <row r="63" spans="1:9" s="269" customFormat="1">
      <c r="A63" s="187" t="s">
        <v>925</v>
      </c>
      <c r="B63" s="187" t="s">
        <v>834</v>
      </c>
      <c r="C63" s="187" t="s">
        <v>897</v>
      </c>
      <c r="D63" s="271" t="s">
        <v>899</v>
      </c>
      <c r="E63" s="271" t="s">
        <v>832</v>
      </c>
      <c r="F63" s="272">
        <v>10000</v>
      </c>
      <c r="G63" s="271">
        <v>1</v>
      </c>
      <c r="H63" s="272">
        <f t="shared" si="2"/>
        <v>10000</v>
      </c>
      <c r="I63" s="271" t="s">
        <v>847</v>
      </c>
    </row>
    <row r="64" spans="1:9" s="269" customFormat="1">
      <c r="A64" s="187" t="s">
        <v>925</v>
      </c>
      <c r="B64" s="187" t="s">
        <v>834</v>
      </c>
      <c r="C64" s="187" t="s">
        <v>897</v>
      </c>
      <c r="D64" s="271" t="s">
        <v>900</v>
      </c>
      <c r="E64" s="271" t="s">
        <v>832</v>
      </c>
      <c r="F64" s="272">
        <v>1100</v>
      </c>
      <c r="G64" s="271">
        <v>48</v>
      </c>
      <c r="H64" s="272">
        <f t="shared" si="2"/>
        <v>52800</v>
      </c>
      <c r="I64" s="271" t="s">
        <v>847</v>
      </c>
    </row>
    <row r="65" spans="1:9" s="269" customFormat="1">
      <c r="A65" s="187" t="s">
        <v>925</v>
      </c>
      <c r="B65" s="187" t="s">
        <v>834</v>
      </c>
      <c r="C65" s="187" t="s">
        <v>897</v>
      </c>
      <c r="D65" s="187" t="s">
        <v>901</v>
      </c>
      <c r="E65" s="187" t="s">
        <v>839</v>
      </c>
      <c r="F65" s="272">
        <f>SUM(H61:H64)*0.035</f>
        <v>3598.0000000000005</v>
      </c>
      <c r="G65" s="271">
        <v>1</v>
      </c>
      <c r="H65" s="272">
        <f t="shared" si="2"/>
        <v>3598.0000000000005</v>
      </c>
      <c r="I65" s="271" t="s">
        <v>847</v>
      </c>
    </row>
    <row r="66" spans="1:9" s="269" customFormat="1">
      <c r="A66" s="187" t="s">
        <v>925</v>
      </c>
      <c r="B66" s="187" t="s">
        <v>834</v>
      </c>
      <c r="C66" s="187" t="s">
        <v>902</v>
      </c>
      <c r="D66" s="187" t="s">
        <v>903</v>
      </c>
      <c r="E66" s="187" t="s">
        <v>904</v>
      </c>
      <c r="F66" s="272">
        <f>ROUNDUP(SUM(H4:H65)*0.01,0)</f>
        <v>15184</v>
      </c>
      <c r="G66" s="271">
        <v>1</v>
      </c>
      <c r="H66" s="272">
        <f t="shared" si="2"/>
        <v>15184</v>
      </c>
      <c r="I66" s="271"/>
    </row>
    <row r="67" spans="1:9" s="269" customFormat="1">
      <c r="A67" s="187" t="s">
        <v>925</v>
      </c>
      <c r="B67" s="187" t="s">
        <v>834</v>
      </c>
      <c r="C67" s="187" t="s">
        <v>902</v>
      </c>
      <c r="D67" s="187" t="s">
        <v>905</v>
      </c>
      <c r="E67" s="187" t="s">
        <v>906</v>
      </c>
      <c r="F67" s="272">
        <f>F66</f>
        <v>15184</v>
      </c>
      <c r="G67" s="271">
        <v>1</v>
      </c>
      <c r="H67" s="272">
        <f t="shared" si="2"/>
        <v>15184</v>
      </c>
      <c r="I67" s="271"/>
    </row>
    <row r="68" spans="1:9">
      <c r="A68" s="271"/>
      <c r="B68" s="271"/>
      <c r="C68" s="187" t="s">
        <v>907</v>
      </c>
      <c r="D68" s="271"/>
      <c r="E68" s="271"/>
      <c r="F68" s="272"/>
      <c r="G68" s="271"/>
      <c r="H68" s="272">
        <f>SUM(H4:H67)</f>
        <v>1548766</v>
      </c>
      <c r="I68" s="271"/>
    </row>
    <row r="69" spans="1:9">
      <c r="A69" s="274"/>
      <c r="B69" s="274"/>
      <c r="C69" s="275" t="s">
        <v>926</v>
      </c>
      <c r="D69" s="274"/>
      <c r="E69" s="274"/>
      <c r="F69" s="276"/>
      <c r="G69" s="274"/>
      <c r="H69" s="276">
        <f>H68</f>
        <v>1548766</v>
      </c>
      <c r="I69" s="274"/>
    </row>
  </sheetData>
  <mergeCells count="10">
    <mergeCell ref="A1:I1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dimension ref="A1:XEH89"/>
  <sheetViews>
    <sheetView topLeftCell="A70" workbookViewId="0">
      <selection activeCell="J3" sqref="J3:J16"/>
    </sheetView>
  </sheetViews>
  <sheetFormatPr defaultColWidth="8.75" defaultRowHeight="13.5"/>
  <cols>
    <col min="1" max="1" width="5.25" style="311" customWidth="1"/>
    <col min="2" max="2" width="6.875" style="311" customWidth="1"/>
    <col min="3" max="3" width="15" style="311" customWidth="1"/>
    <col min="4" max="4" width="7" style="311" customWidth="1"/>
    <col min="5" max="5" width="24.5" style="311" customWidth="1"/>
    <col min="6" max="6" width="5.625" style="311" customWidth="1"/>
    <col min="7" max="7" width="9.375" style="327" customWidth="1"/>
    <col min="8" max="8" width="11.375" style="327" customWidth="1"/>
    <col min="9" max="9" width="13.25" style="327" customWidth="1"/>
    <col min="10" max="10" width="15.25" style="311" customWidth="1"/>
    <col min="11" max="16361" width="8.75" style="311"/>
    <col min="16362" max="16362" width="8.75" style="312"/>
    <col min="16363" max="16384" width="8.75" style="328"/>
  </cols>
  <sheetData>
    <row r="1" spans="1:16361" ht="23.1" customHeight="1">
      <c r="A1" s="429" t="s">
        <v>1025</v>
      </c>
      <c r="B1" s="429"/>
      <c r="C1" s="429"/>
      <c r="D1" s="429"/>
      <c r="E1" s="429"/>
      <c r="F1" s="429"/>
      <c r="G1" s="429"/>
      <c r="H1" s="429"/>
      <c r="I1" s="429"/>
      <c r="J1" s="430"/>
    </row>
    <row r="2" spans="1:16361" s="316" customFormat="1" ht="24">
      <c r="A2" s="313" t="s">
        <v>1</v>
      </c>
      <c r="B2" s="352" t="s">
        <v>1047</v>
      </c>
      <c r="C2" s="313" t="s">
        <v>968</v>
      </c>
      <c r="D2" s="401" t="s">
        <v>956</v>
      </c>
      <c r="E2" s="401"/>
      <c r="F2" s="313" t="s">
        <v>533</v>
      </c>
      <c r="G2" s="314" t="s">
        <v>957</v>
      </c>
      <c r="H2" s="314" t="s">
        <v>691</v>
      </c>
      <c r="I2" s="329" t="s">
        <v>958</v>
      </c>
      <c r="J2" s="352" t="s">
        <v>1046</v>
      </c>
    </row>
    <row r="3" spans="1:16361" ht="18" customHeight="1">
      <c r="A3" s="402">
        <v>1</v>
      </c>
      <c r="B3" s="402" t="s">
        <v>982</v>
      </c>
      <c r="C3" s="402" t="s">
        <v>983</v>
      </c>
      <c r="D3" s="402" t="s">
        <v>984</v>
      </c>
      <c r="E3" s="402"/>
      <c r="F3" s="330" t="s">
        <v>959</v>
      </c>
      <c r="G3" s="318">
        <v>985</v>
      </c>
      <c r="H3" s="319">
        <f>I3/G3</f>
        <v>79.457868020304574</v>
      </c>
      <c r="I3" s="331">
        <v>78266</v>
      </c>
      <c r="J3" s="401">
        <f>ROUND(I16*0.8,0)</f>
        <v>201511</v>
      </c>
    </row>
    <row r="4" spans="1:16361" ht="18" customHeight="1">
      <c r="A4" s="402"/>
      <c r="B4" s="402"/>
      <c r="C4" s="402"/>
      <c r="D4" s="402" t="s">
        <v>985</v>
      </c>
      <c r="E4" s="402"/>
      <c r="F4" s="330" t="s">
        <v>962</v>
      </c>
      <c r="G4" s="318">
        <v>118</v>
      </c>
      <c r="H4" s="318">
        <v>230</v>
      </c>
      <c r="I4" s="331">
        <f t="shared" ref="I4:I7" si="0">G4*H4</f>
        <v>27140</v>
      </c>
      <c r="J4" s="434"/>
    </row>
    <row r="5" spans="1:16361" ht="18" customHeight="1">
      <c r="A5" s="402"/>
      <c r="B5" s="402"/>
      <c r="C5" s="402"/>
      <c r="D5" s="402" t="s">
        <v>986</v>
      </c>
      <c r="E5" s="402"/>
      <c r="F5" s="330" t="s">
        <v>962</v>
      </c>
      <c r="G5" s="318">
        <v>66</v>
      </c>
      <c r="H5" s="319">
        <v>110</v>
      </c>
      <c r="I5" s="331">
        <f t="shared" si="0"/>
        <v>7260</v>
      </c>
      <c r="J5" s="434"/>
    </row>
    <row r="6" spans="1:16361" ht="18" customHeight="1">
      <c r="A6" s="402"/>
      <c r="B6" s="402"/>
      <c r="C6" s="402"/>
      <c r="D6" s="402" t="s">
        <v>987</v>
      </c>
      <c r="E6" s="402"/>
      <c r="F6" s="330" t="s">
        <v>960</v>
      </c>
      <c r="G6" s="318">
        <v>1</v>
      </c>
      <c r="H6" s="319">
        <f>I6/G6</f>
        <v>2815</v>
      </c>
      <c r="I6" s="331">
        <v>2815</v>
      </c>
      <c r="J6" s="434"/>
    </row>
    <row r="7" spans="1:16361" ht="18" customHeight="1">
      <c r="A7" s="402"/>
      <c r="B7" s="402"/>
      <c r="C7" s="402"/>
      <c r="D7" s="402" t="s">
        <v>988</v>
      </c>
      <c r="E7" s="402"/>
      <c r="F7" s="330" t="s">
        <v>959</v>
      </c>
      <c r="G7" s="318">
        <v>396</v>
      </c>
      <c r="H7" s="319">
        <v>250</v>
      </c>
      <c r="I7" s="331">
        <f t="shared" si="0"/>
        <v>99000</v>
      </c>
      <c r="J7" s="434"/>
    </row>
    <row r="8" spans="1:16361" ht="18" customHeight="1">
      <c r="A8" s="402"/>
      <c r="B8" s="402"/>
      <c r="C8" s="402"/>
      <c r="D8" s="402" t="s">
        <v>989</v>
      </c>
      <c r="E8" s="402"/>
      <c r="F8" s="330" t="s">
        <v>962</v>
      </c>
      <c r="G8" s="318">
        <v>0</v>
      </c>
      <c r="H8" s="318">
        <v>0</v>
      </c>
      <c r="I8" s="331">
        <v>0</v>
      </c>
      <c r="J8" s="434"/>
    </row>
    <row r="9" spans="1:16361" ht="18" customHeight="1">
      <c r="A9" s="402"/>
      <c r="B9" s="402"/>
      <c r="C9" s="402"/>
      <c r="D9" s="402" t="s">
        <v>990</v>
      </c>
      <c r="E9" s="402"/>
      <c r="F9" s="330" t="s">
        <v>802</v>
      </c>
      <c r="G9" s="318">
        <v>6</v>
      </c>
      <c r="H9" s="319">
        <f>I9/G9</f>
        <v>1600</v>
      </c>
      <c r="I9" s="331">
        <v>9600</v>
      </c>
      <c r="J9" s="434"/>
    </row>
    <row r="10" spans="1:16361" s="321" customFormat="1" ht="18" customHeight="1">
      <c r="A10" s="403"/>
      <c r="B10" s="403"/>
      <c r="C10" s="403" t="s">
        <v>971</v>
      </c>
      <c r="D10" s="403"/>
      <c r="E10" s="403"/>
      <c r="F10" s="332"/>
      <c r="G10" s="315"/>
      <c r="H10" s="315"/>
      <c r="I10" s="333">
        <f>SUM(I3:I9)</f>
        <v>224081</v>
      </c>
      <c r="J10" s="434"/>
      <c r="K10" s="316"/>
      <c r="L10" s="316"/>
      <c r="M10" s="316"/>
      <c r="N10" s="316"/>
      <c r="O10" s="316"/>
      <c r="P10" s="316"/>
      <c r="Q10" s="316"/>
      <c r="R10" s="316"/>
      <c r="S10" s="316"/>
      <c r="T10" s="316"/>
      <c r="U10" s="316"/>
      <c r="V10" s="316"/>
      <c r="W10" s="316"/>
      <c r="X10" s="316"/>
      <c r="Y10" s="316"/>
      <c r="Z10" s="316"/>
      <c r="AA10" s="316"/>
      <c r="AB10" s="316"/>
      <c r="AC10" s="316"/>
      <c r="AD10" s="316"/>
      <c r="AE10" s="316"/>
      <c r="AF10" s="316"/>
      <c r="AG10" s="316"/>
      <c r="AH10" s="316"/>
      <c r="AI10" s="316"/>
      <c r="AJ10" s="316"/>
      <c r="AK10" s="316"/>
      <c r="AL10" s="316"/>
      <c r="AM10" s="316"/>
      <c r="AN10" s="316"/>
      <c r="AO10" s="316"/>
      <c r="AP10" s="316"/>
      <c r="AQ10" s="316"/>
      <c r="AR10" s="316"/>
      <c r="AS10" s="316"/>
      <c r="AT10" s="316"/>
      <c r="AU10" s="316"/>
      <c r="AV10" s="316"/>
      <c r="AW10" s="316"/>
      <c r="AX10" s="316"/>
      <c r="AY10" s="316"/>
      <c r="AZ10" s="316"/>
      <c r="BA10" s="316"/>
      <c r="BB10" s="316"/>
      <c r="BC10" s="316"/>
      <c r="BD10" s="316"/>
      <c r="BE10" s="316"/>
      <c r="BF10" s="316"/>
      <c r="BG10" s="316"/>
      <c r="BH10" s="316"/>
      <c r="BI10" s="316"/>
      <c r="BJ10" s="316"/>
      <c r="BK10" s="316"/>
      <c r="BL10" s="316"/>
      <c r="BM10" s="316"/>
      <c r="BN10" s="316"/>
      <c r="BO10" s="316"/>
      <c r="BP10" s="316"/>
      <c r="BQ10" s="316"/>
      <c r="BR10" s="316"/>
      <c r="BS10" s="316"/>
      <c r="BT10" s="316"/>
      <c r="BU10" s="316"/>
      <c r="BV10" s="316"/>
      <c r="BW10" s="316"/>
      <c r="BX10" s="316"/>
      <c r="BY10" s="316"/>
      <c r="BZ10" s="316"/>
      <c r="CA10" s="316"/>
      <c r="CB10" s="316"/>
      <c r="CC10" s="316"/>
      <c r="CD10" s="316"/>
      <c r="CE10" s="316"/>
      <c r="CF10" s="316"/>
      <c r="CG10" s="316"/>
      <c r="CH10" s="316"/>
      <c r="CI10" s="316"/>
      <c r="CJ10" s="316"/>
      <c r="CK10" s="316"/>
      <c r="CL10" s="316"/>
      <c r="CM10" s="316"/>
      <c r="CN10" s="316"/>
      <c r="CO10" s="316"/>
      <c r="CP10" s="316"/>
      <c r="CQ10" s="316"/>
      <c r="CR10" s="316"/>
      <c r="CS10" s="316"/>
      <c r="CT10" s="316"/>
      <c r="CU10" s="316"/>
      <c r="CV10" s="316"/>
      <c r="CW10" s="316"/>
      <c r="CX10" s="316"/>
      <c r="CY10" s="316"/>
      <c r="CZ10" s="316"/>
      <c r="DA10" s="316"/>
      <c r="DB10" s="316"/>
      <c r="DC10" s="316"/>
      <c r="DD10" s="316"/>
      <c r="DE10" s="316"/>
      <c r="DF10" s="316"/>
      <c r="DG10" s="316"/>
      <c r="DH10" s="316"/>
      <c r="DI10" s="316"/>
      <c r="DJ10" s="316"/>
      <c r="DK10" s="316"/>
      <c r="DL10" s="316"/>
      <c r="DM10" s="316"/>
      <c r="DN10" s="316"/>
      <c r="DO10" s="316"/>
      <c r="DP10" s="316"/>
      <c r="DQ10" s="316"/>
      <c r="DR10" s="316"/>
      <c r="DS10" s="316"/>
      <c r="DT10" s="316"/>
      <c r="DU10" s="316"/>
      <c r="DV10" s="316"/>
      <c r="DW10" s="316"/>
      <c r="DX10" s="316"/>
      <c r="DY10" s="316"/>
      <c r="DZ10" s="316"/>
      <c r="EA10" s="316"/>
      <c r="EB10" s="316"/>
      <c r="EC10" s="316"/>
      <c r="ED10" s="316"/>
      <c r="EE10" s="316"/>
      <c r="EF10" s="316"/>
      <c r="EG10" s="316"/>
      <c r="EH10" s="316"/>
      <c r="EI10" s="316"/>
      <c r="EJ10" s="316"/>
      <c r="EK10" s="316"/>
      <c r="EL10" s="316"/>
      <c r="EM10" s="316"/>
      <c r="EN10" s="316"/>
      <c r="EO10" s="316"/>
      <c r="EP10" s="316"/>
      <c r="EQ10" s="316"/>
      <c r="ER10" s="316"/>
      <c r="ES10" s="316"/>
      <c r="ET10" s="316"/>
      <c r="EU10" s="316"/>
      <c r="EV10" s="316"/>
      <c r="EW10" s="316"/>
      <c r="EX10" s="316"/>
      <c r="EY10" s="316"/>
      <c r="EZ10" s="316"/>
      <c r="FA10" s="316"/>
      <c r="FB10" s="316"/>
      <c r="FC10" s="316"/>
      <c r="FD10" s="316"/>
      <c r="FE10" s="316"/>
      <c r="FF10" s="316"/>
      <c r="FG10" s="316"/>
      <c r="FH10" s="316"/>
      <c r="FI10" s="316"/>
      <c r="FJ10" s="316"/>
      <c r="FK10" s="316"/>
      <c r="FL10" s="316"/>
      <c r="FM10" s="316"/>
      <c r="FN10" s="316"/>
      <c r="FO10" s="316"/>
      <c r="FP10" s="316"/>
      <c r="FQ10" s="316"/>
      <c r="FR10" s="316"/>
      <c r="FS10" s="316"/>
      <c r="FT10" s="316"/>
      <c r="FU10" s="316"/>
      <c r="FV10" s="316"/>
      <c r="FW10" s="316"/>
      <c r="FX10" s="316"/>
      <c r="FY10" s="316"/>
      <c r="FZ10" s="316"/>
      <c r="GA10" s="316"/>
      <c r="GB10" s="316"/>
      <c r="GC10" s="316"/>
      <c r="GD10" s="316"/>
      <c r="GE10" s="316"/>
      <c r="GF10" s="316"/>
      <c r="GG10" s="316"/>
      <c r="GH10" s="316"/>
      <c r="GI10" s="316"/>
      <c r="GJ10" s="316"/>
      <c r="GK10" s="316"/>
      <c r="GL10" s="316"/>
      <c r="GM10" s="316"/>
      <c r="GN10" s="316"/>
      <c r="GO10" s="316"/>
      <c r="GP10" s="316"/>
      <c r="GQ10" s="316"/>
      <c r="GR10" s="316"/>
      <c r="GS10" s="316"/>
      <c r="GT10" s="316"/>
      <c r="GU10" s="316"/>
      <c r="GV10" s="316"/>
      <c r="GW10" s="316"/>
      <c r="GX10" s="316"/>
      <c r="GY10" s="316"/>
      <c r="GZ10" s="316"/>
      <c r="HA10" s="316"/>
      <c r="HB10" s="316"/>
      <c r="HC10" s="316"/>
      <c r="HD10" s="316"/>
      <c r="HE10" s="316"/>
      <c r="HF10" s="316"/>
      <c r="HG10" s="316"/>
      <c r="HH10" s="316"/>
      <c r="HI10" s="316"/>
      <c r="HJ10" s="316"/>
      <c r="HK10" s="316"/>
      <c r="HL10" s="316"/>
      <c r="HM10" s="316"/>
      <c r="HN10" s="316"/>
      <c r="HO10" s="316"/>
      <c r="HP10" s="316"/>
      <c r="HQ10" s="316"/>
      <c r="HR10" s="316"/>
      <c r="HS10" s="316"/>
      <c r="HT10" s="316"/>
      <c r="HU10" s="316"/>
      <c r="HV10" s="316"/>
      <c r="HW10" s="316"/>
      <c r="HX10" s="316"/>
      <c r="HY10" s="316"/>
      <c r="HZ10" s="316"/>
      <c r="IA10" s="316"/>
      <c r="IB10" s="316"/>
      <c r="IC10" s="316"/>
      <c r="ID10" s="316"/>
      <c r="IE10" s="316"/>
      <c r="IF10" s="316"/>
      <c r="IG10" s="316"/>
      <c r="IH10" s="316"/>
      <c r="II10" s="316"/>
      <c r="IJ10" s="316"/>
      <c r="IK10" s="316"/>
      <c r="IL10" s="316"/>
      <c r="IM10" s="316"/>
      <c r="IN10" s="316"/>
      <c r="IO10" s="316"/>
      <c r="IP10" s="316"/>
      <c r="IQ10" s="316"/>
      <c r="IR10" s="316"/>
      <c r="IS10" s="316"/>
      <c r="IT10" s="316"/>
      <c r="IU10" s="316"/>
      <c r="IV10" s="316"/>
      <c r="IW10" s="316"/>
      <c r="IX10" s="316"/>
      <c r="IY10" s="316"/>
      <c r="IZ10" s="316"/>
      <c r="JA10" s="316"/>
      <c r="JB10" s="316"/>
      <c r="JC10" s="316"/>
      <c r="JD10" s="316"/>
      <c r="JE10" s="316"/>
      <c r="JF10" s="316"/>
      <c r="JG10" s="316"/>
      <c r="JH10" s="316"/>
      <c r="JI10" s="316"/>
      <c r="JJ10" s="316"/>
      <c r="JK10" s="316"/>
      <c r="JL10" s="316"/>
      <c r="JM10" s="316"/>
      <c r="JN10" s="316"/>
      <c r="JO10" s="316"/>
      <c r="JP10" s="316"/>
      <c r="JQ10" s="316"/>
      <c r="JR10" s="316"/>
      <c r="JS10" s="316"/>
      <c r="JT10" s="316"/>
      <c r="JU10" s="316"/>
      <c r="JV10" s="316"/>
      <c r="JW10" s="316"/>
      <c r="JX10" s="316"/>
      <c r="JY10" s="316"/>
      <c r="JZ10" s="316"/>
      <c r="KA10" s="316"/>
      <c r="KB10" s="316"/>
      <c r="KC10" s="316"/>
      <c r="KD10" s="316"/>
      <c r="KE10" s="316"/>
      <c r="KF10" s="316"/>
      <c r="KG10" s="316"/>
      <c r="KH10" s="316"/>
      <c r="KI10" s="316"/>
      <c r="KJ10" s="316"/>
      <c r="KK10" s="316"/>
      <c r="KL10" s="316"/>
      <c r="KM10" s="316"/>
      <c r="KN10" s="316"/>
      <c r="KO10" s="316"/>
      <c r="KP10" s="316"/>
      <c r="KQ10" s="316"/>
      <c r="KR10" s="316"/>
      <c r="KS10" s="316"/>
      <c r="KT10" s="316"/>
      <c r="KU10" s="316"/>
      <c r="KV10" s="316"/>
      <c r="KW10" s="316"/>
      <c r="KX10" s="316"/>
      <c r="KY10" s="316"/>
      <c r="KZ10" s="316"/>
      <c r="LA10" s="316"/>
      <c r="LB10" s="316"/>
      <c r="LC10" s="316"/>
      <c r="LD10" s="316"/>
      <c r="LE10" s="316"/>
      <c r="LF10" s="316"/>
      <c r="LG10" s="316"/>
      <c r="LH10" s="316"/>
      <c r="LI10" s="316"/>
      <c r="LJ10" s="316"/>
      <c r="LK10" s="316"/>
      <c r="LL10" s="316"/>
      <c r="LM10" s="316"/>
      <c r="LN10" s="316"/>
      <c r="LO10" s="316"/>
      <c r="LP10" s="316"/>
      <c r="LQ10" s="316"/>
      <c r="LR10" s="316"/>
      <c r="LS10" s="316"/>
      <c r="LT10" s="316"/>
      <c r="LU10" s="316"/>
      <c r="LV10" s="316"/>
      <c r="LW10" s="316"/>
      <c r="LX10" s="316"/>
      <c r="LY10" s="316"/>
      <c r="LZ10" s="316"/>
      <c r="MA10" s="316"/>
      <c r="MB10" s="316"/>
      <c r="MC10" s="316"/>
      <c r="MD10" s="316"/>
      <c r="ME10" s="316"/>
      <c r="MF10" s="316"/>
      <c r="MG10" s="316"/>
      <c r="MH10" s="316"/>
      <c r="MI10" s="316"/>
      <c r="MJ10" s="316"/>
      <c r="MK10" s="316"/>
      <c r="ML10" s="316"/>
      <c r="MM10" s="316"/>
      <c r="MN10" s="316"/>
      <c r="MO10" s="316"/>
      <c r="MP10" s="316"/>
      <c r="MQ10" s="316"/>
      <c r="MR10" s="316"/>
      <c r="MS10" s="316"/>
      <c r="MT10" s="316"/>
      <c r="MU10" s="316"/>
      <c r="MV10" s="316"/>
      <c r="MW10" s="316"/>
      <c r="MX10" s="316"/>
      <c r="MY10" s="316"/>
      <c r="MZ10" s="316"/>
      <c r="NA10" s="316"/>
      <c r="NB10" s="316"/>
      <c r="NC10" s="316"/>
      <c r="ND10" s="316"/>
      <c r="NE10" s="316"/>
      <c r="NF10" s="316"/>
      <c r="NG10" s="316"/>
      <c r="NH10" s="316"/>
      <c r="NI10" s="316"/>
      <c r="NJ10" s="316"/>
      <c r="NK10" s="316"/>
      <c r="NL10" s="316"/>
      <c r="NM10" s="316"/>
      <c r="NN10" s="316"/>
      <c r="NO10" s="316"/>
      <c r="NP10" s="316"/>
      <c r="NQ10" s="316"/>
      <c r="NR10" s="316"/>
      <c r="NS10" s="316"/>
      <c r="NT10" s="316"/>
      <c r="NU10" s="316"/>
      <c r="NV10" s="316"/>
      <c r="NW10" s="316"/>
      <c r="NX10" s="316"/>
      <c r="NY10" s="316"/>
      <c r="NZ10" s="316"/>
      <c r="OA10" s="316"/>
      <c r="OB10" s="316"/>
      <c r="OC10" s="316"/>
      <c r="OD10" s="316"/>
      <c r="OE10" s="316"/>
      <c r="OF10" s="316"/>
      <c r="OG10" s="316"/>
      <c r="OH10" s="316"/>
      <c r="OI10" s="316"/>
      <c r="OJ10" s="316"/>
      <c r="OK10" s="316"/>
      <c r="OL10" s="316"/>
      <c r="OM10" s="316"/>
      <c r="ON10" s="316"/>
      <c r="OO10" s="316"/>
      <c r="OP10" s="316"/>
      <c r="OQ10" s="316"/>
      <c r="OR10" s="316"/>
      <c r="OS10" s="316"/>
      <c r="OT10" s="316"/>
      <c r="OU10" s="316"/>
      <c r="OV10" s="316"/>
      <c r="OW10" s="316"/>
      <c r="OX10" s="316"/>
      <c r="OY10" s="316"/>
      <c r="OZ10" s="316"/>
      <c r="PA10" s="316"/>
      <c r="PB10" s="316"/>
      <c r="PC10" s="316"/>
      <c r="PD10" s="316"/>
      <c r="PE10" s="316"/>
      <c r="PF10" s="316"/>
      <c r="PG10" s="316"/>
      <c r="PH10" s="316"/>
      <c r="PI10" s="316"/>
      <c r="PJ10" s="316"/>
      <c r="PK10" s="316"/>
      <c r="PL10" s="316"/>
      <c r="PM10" s="316"/>
      <c r="PN10" s="316"/>
      <c r="PO10" s="316"/>
      <c r="PP10" s="316"/>
      <c r="PQ10" s="316"/>
      <c r="PR10" s="316"/>
      <c r="PS10" s="316"/>
      <c r="PT10" s="316"/>
      <c r="PU10" s="316"/>
      <c r="PV10" s="316"/>
      <c r="PW10" s="316"/>
      <c r="PX10" s="316"/>
      <c r="PY10" s="316"/>
      <c r="PZ10" s="316"/>
      <c r="QA10" s="316"/>
      <c r="QB10" s="316"/>
      <c r="QC10" s="316"/>
      <c r="QD10" s="316"/>
      <c r="QE10" s="316"/>
      <c r="QF10" s="316"/>
      <c r="QG10" s="316"/>
      <c r="QH10" s="316"/>
      <c r="QI10" s="316"/>
      <c r="QJ10" s="316"/>
      <c r="QK10" s="316"/>
      <c r="QL10" s="316"/>
      <c r="QM10" s="316"/>
      <c r="QN10" s="316"/>
      <c r="QO10" s="316"/>
      <c r="QP10" s="316"/>
      <c r="QQ10" s="316"/>
      <c r="QR10" s="316"/>
      <c r="QS10" s="316"/>
      <c r="QT10" s="316"/>
      <c r="QU10" s="316"/>
      <c r="QV10" s="316"/>
      <c r="QW10" s="316"/>
      <c r="QX10" s="316"/>
      <c r="QY10" s="316"/>
      <c r="QZ10" s="316"/>
      <c r="RA10" s="316"/>
      <c r="RB10" s="316"/>
      <c r="RC10" s="316"/>
      <c r="RD10" s="316"/>
      <c r="RE10" s="316"/>
      <c r="RF10" s="316"/>
      <c r="RG10" s="316"/>
      <c r="RH10" s="316"/>
      <c r="RI10" s="316"/>
      <c r="RJ10" s="316"/>
      <c r="RK10" s="316"/>
      <c r="RL10" s="316"/>
      <c r="RM10" s="316"/>
      <c r="RN10" s="316"/>
      <c r="RO10" s="316"/>
      <c r="RP10" s="316"/>
      <c r="RQ10" s="316"/>
      <c r="RR10" s="316"/>
      <c r="RS10" s="316"/>
      <c r="RT10" s="316"/>
      <c r="RU10" s="316"/>
      <c r="RV10" s="316"/>
      <c r="RW10" s="316"/>
      <c r="RX10" s="316"/>
      <c r="RY10" s="316"/>
      <c r="RZ10" s="316"/>
      <c r="SA10" s="316"/>
      <c r="SB10" s="316"/>
      <c r="SC10" s="316"/>
      <c r="SD10" s="316"/>
      <c r="SE10" s="316"/>
      <c r="SF10" s="316"/>
      <c r="SG10" s="316"/>
      <c r="SH10" s="316"/>
      <c r="SI10" s="316"/>
      <c r="SJ10" s="316"/>
      <c r="SK10" s="316"/>
      <c r="SL10" s="316"/>
      <c r="SM10" s="316"/>
      <c r="SN10" s="316"/>
      <c r="SO10" s="316"/>
      <c r="SP10" s="316"/>
      <c r="SQ10" s="316"/>
      <c r="SR10" s="316"/>
      <c r="SS10" s="316"/>
      <c r="ST10" s="316"/>
      <c r="SU10" s="316"/>
      <c r="SV10" s="316"/>
      <c r="SW10" s="316"/>
      <c r="SX10" s="316"/>
      <c r="SY10" s="316"/>
      <c r="SZ10" s="316"/>
      <c r="TA10" s="316"/>
      <c r="TB10" s="316"/>
      <c r="TC10" s="316"/>
      <c r="TD10" s="316"/>
      <c r="TE10" s="316"/>
      <c r="TF10" s="316"/>
      <c r="TG10" s="316"/>
      <c r="TH10" s="316"/>
      <c r="TI10" s="316"/>
      <c r="TJ10" s="316"/>
      <c r="TK10" s="316"/>
      <c r="TL10" s="316"/>
      <c r="TM10" s="316"/>
      <c r="TN10" s="316"/>
      <c r="TO10" s="316"/>
      <c r="TP10" s="316"/>
      <c r="TQ10" s="316"/>
      <c r="TR10" s="316"/>
      <c r="TS10" s="316"/>
      <c r="TT10" s="316"/>
      <c r="TU10" s="316"/>
      <c r="TV10" s="316"/>
      <c r="TW10" s="316"/>
      <c r="TX10" s="316"/>
      <c r="TY10" s="316"/>
      <c r="TZ10" s="316"/>
      <c r="UA10" s="316"/>
      <c r="UB10" s="316"/>
      <c r="UC10" s="316"/>
      <c r="UD10" s="316"/>
      <c r="UE10" s="316"/>
      <c r="UF10" s="316"/>
      <c r="UG10" s="316"/>
      <c r="UH10" s="316"/>
      <c r="UI10" s="316"/>
      <c r="UJ10" s="316"/>
      <c r="UK10" s="316"/>
      <c r="UL10" s="316"/>
      <c r="UM10" s="316"/>
      <c r="UN10" s="316"/>
      <c r="UO10" s="316"/>
      <c r="UP10" s="316"/>
      <c r="UQ10" s="316"/>
      <c r="UR10" s="316"/>
      <c r="US10" s="316"/>
      <c r="UT10" s="316"/>
      <c r="UU10" s="316"/>
      <c r="UV10" s="316"/>
      <c r="UW10" s="316"/>
      <c r="UX10" s="316"/>
      <c r="UY10" s="316"/>
      <c r="UZ10" s="316"/>
      <c r="VA10" s="316"/>
      <c r="VB10" s="316"/>
      <c r="VC10" s="316"/>
      <c r="VD10" s="316"/>
      <c r="VE10" s="316"/>
      <c r="VF10" s="316"/>
      <c r="VG10" s="316"/>
      <c r="VH10" s="316"/>
      <c r="VI10" s="316"/>
      <c r="VJ10" s="316"/>
      <c r="VK10" s="316"/>
      <c r="VL10" s="316"/>
      <c r="VM10" s="316"/>
      <c r="VN10" s="316"/>
      <c r="VO10" s="316"/>
      <c r="VP10" s="316"/>
      <c r="VQ10" s="316"/>
      <c r="VR10" s="316"/>
      <c r="VS10" s="316"/>
      <c r="VT10" s="316"/>
      <c r="VU10" s="316"/>
      <c r="VV10" s="316"/>
      <c r="VW10" s="316"/>
      <c r="VX10" s="316"/>
      <c r="VY10" s="316"/>
      <c r="VZ10" s="316"/>
      <c r="WA10" s="316"/>
      <c r="WB10" s="316"/>
      <c r="WC10" s="316"/>
      <c r="WD10" s="316"/>
      <c r="WE10" s="316"/>
      <c r="WF10" s="316"/>
      <c r="WG10" s="316"/>
      <c r="WH10" s="316"/>
      <c r="WI10" s="316"/>
      <c r="WJ10" s="316"/>
      <c r="WK10" s="316"/>
      <c r="WL10" s="316"/>
      <c r="WM10" s="316"/>
      <c r="WN10" s="316"/>
      <c r="WO10" s="316"/>
      <c r="WP10" s="316"/>
      <c r="WQ10" s="316"/>
      <c r="WR10" s="316"/>
      <c r="WS10" s="316"/>
      <c r="WT10" s="316"/>
      <c r="WU10" s="316"/>
      <c r="WV10" s="316"/>
      <c r="WW10" s="316"/>
      <c r="WX10" s="316"/>
      <c r="WY10" s="316"/>
      <c r="WZ10" s="316"/>
      <c r="XA10" s="316"/>
      <c r="XB10" s="316"/>
      <c r="XC10" s="316"/>
      <c r="XD10" s="316"/>
      <c r="XE10" s="316"/>
      <c r="XF10" s="316"/>
      <c r="XG10" s="316"/>
      <c r="XH10" s="316"/>
      <c r="XI10" s="316"/>
      <c r="XJ10" s="316"/>
      <c r="XK10" s="316"/>
      <c r="XL10" s="316"/>
      <c r="XM10" s="316"/>
      <c r="XN10" s="316"/>
      <c r="XO10" s="316"/>
      <c r="XP10" s="316"/>
      <c r="XQ10" s="316"/>
      <c r="XR10" s="316"/>
      <c r="XS10" s="316"/>
      <c r="XT10" s="316"/>
      <c r="XU10" s="316"/>
      <c r="XV10" s="316"/>
      <c r="XW10" s="316"/>
      <c r="XX10" s="316"/>
      <c r="XY10" s="316"/>
      <c r="XZ10" s="316"/>
      <c r="YA10" s="316"/>
      <c r="YB10" s="316"/>
      <c r="YC10" s="316"/>
      <c r="YD10" s="316"/>
      <c r="YE10" s="316"/>
      <c r="YF10" s="316"/>
      <c r="YG10" s="316"/>
      <c r="YH10" s="316"/>
      <c r="YI10" s="316"/>
      <c r="YJ10" s="316"/>
      <c r="YK10" s="316"/>
      <c r="YL10" s="316"/>
      <c r="YM10" s="316"/>
      <c r="YN10" s="316"/>
      <c r="YO10" s="316"/>
      <c r="YP10" s="316"/>
      <c r="YQ10" s="316"/>
      <c r="YR10" s="316"/>
      <c r="YS10" s="316"/>
      <c r="YT10" s="316"/>
      <c r="YU10" s="316"/>
      <c r="YV10" s="316"/>
      <c r="YW10" s="316"/>
      <c r="YX10" s="316"/>
      <c r="YY10" s="316"/>
      <c r="YZ10" s="316"/>
      <c r="ZA10" s="316"/>
      <c r="ZB10" s="316"/>
      <c r="ZC10" s="316"/>
      <c r="ZD10" s="316"/>
      <c r="ZE10" s="316"/>
      <c r="ZF10" s="316"/>
      <c r="ZG10" s="316"/>
      <c r="ZH10" s="316"/>
      <c r="ZI10" s="316"/>
      <c r="ZJ10" s="316"/>
      <c r="ZK10" s="316"/>
      <c r="ZL10" s="316"/>
      <c r="ZM10" s="316"/>
      <c r="ZN10" s="316"/>
      <c r="ZO10" s="316"/>
      <c r="ZP10" s="316"/>
      <c r="ZQ10" s="316"/>
      <c r="ZR10" s="316"/>
      <c r="ZS10" s="316"/>
      <c r="ZT10" s="316"/>
      <c r="ZU10" s="316"/>
      <c r="ZV10" s="316"/>
      <c r="ZW10" s="316"/>
      <c r="ZX10" s="316"/>
      <c r="ZY10" s="316"/>
      <c r="ZZ10" s="316"/>
      <c r="AAA10" s="316"/>
      <c r="AAB10" s="316"/>
      <c r="AAC10" s="316"/>
      <c r="AAD10" s="316"/>
      <c r="AAE10" s="316"/>
      <c r="AAF10" s="316"/>
      <c r="AAG10" s="316"/>
      <c r="AAH10" s="316"/>
      <c r="AAI10" s="316"/>
      <c r="AAJ10" s="316"/>
      <c r="AAK10" s="316"/>
      <c r="AAL10" s="316"/>
      <c r="AAM10" s="316"/>
      <c r="AAN10" s="316"/>
      <c r="AAO10" s="316"/>
      <c r="AAP10" s="316"/>
      <c r="AAQ10" s="316"/>
      <c r="AAR10" s="316"/>
      <c r="AAS10" s="316"/>
      <c r="AAT10" s="316"/>
      <c r="AAU10" s="316"/>
      <c r="AAV10" s="316"/>
      <c r="AAW10" s="316"/>
      <c r="AAX10" s="316"/>
      <c r="AAY10" s="316"/>
      <c r="AAZ10" s="316"/>
      <c r="ABA10" s="316"/>
      <c r="ABB10" s="316"/>
      <c r="ABC10" s="316"/>
      <c r="ABD10" s="316"/>
      <c r="ABE10" s="316"/>
      <c r="ABF10" s="316"/>
      <c r="ABG10" s="316"/>
      <c r="ABH10" s="316"/>
      <c r="ABI10" s="316"/>
      <c r="ABJ10" s="316"/>
      <c r="ABK10" s="316"/>
      <c r="ABL10" s="316"/>
      <c r="ABM10" s="316"/>
      <c r="ABN10" s="316"/>
      <c r="ABO10" s="316"/>
      <c r="ABP10" s="316"/>
      <c r="ABQ10" s="316"/>
      <c r="ABR10" s="316"/>
      <c r="ABS10" s="316"/>
      <c r="ABT10" s="316"/>
      <c r="ABU10" s="316"/>
      <c r="ABV10" s="316"/>
      <c r="ABW10" s="316"/>
      <c r="ABX10" s="316"/>
      <c r="ABY10" s="316"/>
      <c r="ABZ10" s="316"/>
      <c r="ACA10" s="316"/>
      <c r="ACB10" s="316"/>
      <c r="ACC10" s="316"/>
      <c r="ACD10" s="316"/>
      <c r="ACE10" s="316"/>
      <c r="ACF10" s="316"/>
      <c r="ACG10" s="316"/>
      <c r="ACH10" s="316"/>
      <c r="ACI10" s="316"/>
      <c r="ACJ10" s="316"/>
      <c r="ACK10" s="316"/>
      <c r="ACL10" s="316"/>
      <c r="ACM10" s="316"/>
      <c r="ACN10" s="316"/>
      <c r="ACO10" s="316"/>
      <c r="ACP10" s="316"/>
      <c r="ACQ10" s="316"/>
      <c r="ACR10" s="316"/>
      <c r="ACS10" s="316"/>
      <c r="ACT10" s="316"/>
      <c r="ACU10" s="316"/>
      <c r="ACV10" s="316"/>
      <c r="ACW10" s="316"/>
      <c r="ACX10" s="316"/>
      <c r="ACY10" s="316"/>
      <c r="ACZ10" s="316"/>
      <c r="ADA10" s="316"/>
      <c r="ADB10" s="316"/>
      <c r="ADC10" s="316"/>
      <c r="ADD10" s="316"/>
      <c r="ADE10" s="316"/>
      <c r="ADF10" s="316"/>
      <c r="ADG10" s="316"/>
      <c r="ADH10" s="316"/>
      <c r="ADI10" s="316"/>
      <c r="ADJ10" s="316"/>
      <c r="ADK10" s="316"/>
      <c r="ADL10" s="316"/>
      <c r="ADM10" s="316"/>
      <c r="ADN10" s="316"/>
      <c r="ADO10" s="316"/>
      <c r="ADP10" s="316"/>
      <c r="ADQ10" s="316"/>
      <c r="ADR10" s="316"/>
      <c r="ADS10" s="316"/>
      <c r="ADT10" s="316"/>
      <c r="ADU10" s="316"/>
      <c r="ADV10" s="316"/>
      <c r="ADW10" s="316"/>
      <c r="ADX10" s="316"/>
      <c r="ADY10" s="316"/>
      <c r="ADZ10" s="316"/>
      <c r="AEA10" s="316"/>
      <c r="AEB10" s="316"/>
      <c r="AEC10" s="316"/>
      <c r="AED10" s="316"/>
      <c r="AEE10" s="316"/>
      <c r="AEF10" s="316"/>
      <c r="AEG10" s="316"/>
      <c r="AEH10" s="316"/>
      <c r="AEI10" s="316"/>
      <c r="AEJ10" s="316"/>
      <c r="AEK10" s="316"/>
      <c r="AEL10" s="316"/>
      <c r="AEM10" s="316"/>
      <c r="AEN10" s="316"/>
      <c r="AEO10" s="316"/>
      <c r="AEP10" s="316"/>
      <c r="AEQ10" s="316"/>
      <c r="AER10" s="316"/>
      <c r="AES10" s="316"/>
      <c r="AET10" s="316"/>
      <c r="AEU10" s="316"/>
      <c r="AEV10" s="316"/>
      <c r="AEW10" s="316"/>
      <c r="AEX10" s="316"/>
      <c r="AEY10" s="316"/>
      <c r="AEZ10" s="316"/>
      <c r="AFA10" s="316"/>
      <c r="AFB10" s="316"/>
      <c r="AFC10" s="316"/>
      <c r="AFD10" s="316"/>
      <c r="AFE10" s="316"/>
      <c r="AFF10" s="316"/>
      <c r="AFG10" s="316"/>
      <c r="AFH10" s="316"/>
      <c r="AFI10" s="316"/>
      <c r="AFJ10" s="316"/>
      <c r="AFK10" s="316"/>
      <c r="AFL10" s="316"/>
      <c r="AFM10" s="316"/>
      <c r="AFN10" s="316"/>
      <c r="AFO10" s="316"/>
      <c r="AFP10" s="316"/>
      <c r="AFQ10" s="316"/>
      <c r="AFR10" s="316"/>
      <c r="AFS10" s="316"/>
      <c r="AFT10" s="316"/>
      <c r="AFU10" s="316"/>
      <c r="AFV10" s="316"/>
      <c r="AFW10" s="316"/>
      <c r="AFX10" s="316"/>
      <c r="AFY10" s="316"/>
      <c r="AFZ10" s="316"/>
      <c r="AGA10" s="316"/>
      <c r="AGB10" s="316"/>
      <c r="AGC10" s="316"/>
      <c r="AGD10" s="316"/>
      <c r="AGE10" s="316"/>
      <c r="AGF10" s="316"/>
      <c r="AGG10" s="316"/>
      <c r="AGH10" s="316"/>
      <c r="AGI10" s="316"/>
      <c r="AGJ10" s="316"/>
      <c r="AGK10" s="316"/>
      <c r="AGL10" s="316"/>
      <c r="AGM10" s="316"/>
      <c r="AGN10" s="316"/>
      <c r="AGO10" s="316"/>
      <c r="AGP10" s="316"/>
      <c r="AGQ10" s="316"/>
      <c r="AGR10" s="316"/>
      <c r="AGS10" s="316"/>
      <c r="AGT10" s="316"/>
      <c r="AGU10" s="316"/>
      <c r="AGV10" s="316"/>
      <c r="AGW10" s="316"/>
      <c r="AGX10" s="316"/>
      <c r="AGY10" s="316"/>
      <c r="AGZ10" s="316"/>
      <c r="AHA10" s="316"/>
      <c r="AHB10" s="316"/>
      <c r="AHC10" s="316"/>
      <c r="AHD10" s="316"/>
      <c r="AHE10" s="316"/>
      <c r="AHF10" s="316"/>
      <c r="AHG10" s="316"/>
      <c r="AHH10" s="316"/>
      <c r="AHI10" s="316"/>
      <c r="AHJ10" s="316"/>
      <c r="AHK10" s="316"/>
      <c r="AHL10" s="316"/>
      <c r="AHM10" s="316"/>
      <c r="AHN10" s="316"/>
      <c r="AHO10" s="316"/>
      <c r="AHP10" s="316"/>
      <c r="AHQ10" s="316"/>
      <c r="AHR10" s="316"/>
      <c r="AHS10" s="316"/>
      <c r="AHT10" s="316"/>
      <c r="AHU10" s="316"/>
      <c r="AHV10" s="316"/>
      <c r="AHW10" s="316"/>
      <c r="AHX10" s="316"/>
      <c r="AHY10" s="316"/>
      <c r="AHZ10" s="316"/>
      <c r="AIA10" s="316"/>
      <c r="AIB10" s="316"/>
      <c r="AIC10" s="316"/>
      <c r="AID10" s="316"/>
      <c r="AIE10" s="316"/>
      <c r="AIF10" s="316"/>
      <c r="AIG10" s="316"/>
      <c r="AIH10" s="316"/>
      <c r="AII10" s="316"/>
      <c r="AIJ10" s="316"/>
      <c r="AIK10" s="316"/>
      <c r="AIL10" s="316"/>
      <c r="AIM10" s="316"/>
      <c r="AIN10" s="316"/>
      <c r="AIO10" s="316"/>
      <c r="AIP10" s="316"/>
      <c r="AIQ10" s="316"/>
      <c r="AIR10" s="316"/>
      <c r="AIS10" s="316"/>
      <c r="AIT10" s="316"/>
      <c r="AIU10" s="316"/>
      <c r="AIV10" s="316"/>
      <c r="AIW10" s="316"/>
      <c r="AIX10" s="316"/>
      <c r="AIY10" s="316"/>
      <c r="AIZ10" s="316"/>
      <c r="AJA10" s="316"/>
      <c r="AJB10" s="316"/>
      <c r="AJC10" s="316"/>
      <c r="AJD10" s="316"/>
      <c r="AJE10" s="316"/>
      <c r="AJF10" s="316"/>
      <c r="AJG10" s="316"/>
      <c r="AJH10" s="316"/>
      <c r="AJI10" s="316"/>
      <c r="AJJ10" s="316"/>
      <c r="AJK10" s="316"/>
      <c r="AJL10" s="316"/>
      <c r="AJM10" s="316"/>
      <c r="AJN10" s="316"/>
      <c r="AJO10" s="316"/>
      <c r="AJP10" s="316"/>
      <c r="AJQ10" s="316"/>
      <c r="AJR10" s="316"/>
      <c r="AJS10" s="316"/>
      <c r="AJT10" s="316"/>
      <c r="AJU10" s="316"/>
      <c r="AJV10" s="316"/>
      <c r="AJW10" s="316"/>
      <c r="AJX10" s="316"/>
      <c r="AJY10" s="316"/>
      <c r="AJZ10" s="316"/>
      <c r="AKA10" s="316"/>
      <c r="AKB10" s="316"/>
      <c r="AKC10" s="316"/>
      <c r="AKD10" s="316"/>
      <c r="AKE10" s="316"/>
      <c r="AKF10" s="316"/>
      <c r="AKG10" s="316"/>
      <c r="AKH10" s="316"/>
      <c r="AKI10" s="316"/>
      <c r="AKJ10" s="316"/>
      <c r="AKK10" s="316"/>
      <c r="AKL10" s="316"/>
      <c r="AKM10" s="316"/>
      <c r="AKN10" s="316"/>
      <c r="AKO10" s="316"/>
      <c r="AKP10" s="316"/>
      <c r="AKQ10" s="316"/>
      <c r="AKR10" s="316"/>
      <c r="AKS10" s="316"/>
      <c r="AKT10" s="316"/>
      <c r="AKU10" s="316"/>
      <c r="AKV10" s="316"/>
      <c r="AKW10" s="316"/>
      <c r="AKX10" s="316"/>
      <c r="AKY10" s="316"/>
      <c r="AKZ10" s="316"/>
      <c r="ALA10" s="316"/>
      <c r="ALB10" s="316"/>
      <c r="ALC10" s="316"/>
      <c r="ALD10" s="316"/>
      <c r="ALE10" s="316"/>
      <c r="ALF10" s="316"/>
      <c r="ALG10" s="316"/>
      <c r="ALH10" s="316"/>
      <c r="ALI10" s="316"/>
      <c r="ALJ10" s="316"/>
      <c r="ALK10" s="316"/>
      <c r="ALL10" s="316"/>
      <c r="ALM10" s="316"/>
      <c r="ALN10" s="316"/>
      <c r="ALO10" s="316"/>
      <c r="ALP10" s="316"/>
      <c r="ALQ10" s="316"/>
      <c r="ALR10" s="316"/>
      <c r="ALS10" s="316"/>
      <c r="ALT10" s="316"/>
      <c r="ALU10" s="316"/>
      <c r="ALV10" s="316"/>
      <c r="ALW10" s="316"/>
      <c r="ALX10" s="316"/>
      <c r="ALY10" s="316"/>
      <c r="ALZ10" s="316"/>
      <c r="AMA10" s="316"/>
      <c r="AMB10" s="316"/>
      <c r="AMC10" s="316"/>
      <c r="AMD10" s="316"/>
      <c r="AME10" s="316"/>
      <c r="AMF10" s="316"/>
      <c r="AMG10" s="316"/>
      <c r="AMH10" s="316"/>
      <c r="AMI10" s="316"/>
      <c r="AMJ10" s="316"/>
      <c r="AMK10" s="316"/>
      <c r="AML10" s="316"/>
      <c r="AMM10" s="316"/>
      <c r="AMN10" s="316"/>
      <c r="AMO10" s="316"/>
      <c r="AMP10" s="316"/>
      <c r="AMQ10" s="316"/>
      <c r="AMR10" s="316"/>
      <c r="AMS10" s="316"/>
      <c r="AMT10" s="316"/>
      <c r="AMU10" s="316"/>
      <c r="AMV10" s="316"/>
      <c r="AMW10" s="316"/>
      <c r="AMX10" s="316"/>
      <c r="AMY10" s="316"/>
      <c r="AMZ10" s="316"/>
      <c r="ANA10" s="316"/>
      <c r="ANB10" s="316"/>
      <c r="ANC10" s="316"/>
      <c r="AND10" s="316"/>
      <c r="ANE10" s="316"/>
      <c r="ANF10" s="316"/>
      <c r="ANG10" s="316"/>
      <c r="ANH10" s="316"/>
      <c r="ANI10" s="316"/>
      <c r="ANJ10" s="316"/>
      <c r="ANK10" s="316"/>
      <c r="ANL10" s="316"/>
      <c r="ANM10" s="316"/>
      <c r="ANN10" s="316"/>
      <c r="ANO10" s="316"/>
      <c r="ANP10" s="316"/>
      <c r="ANQ10" s="316"/>
      <c r="ANR10" s="316"/>
      <c r="ANS10" s="316"/>
      <c r="ANT10" s="316"/>
      <c r="ANU10" s="316"/>
      <c r="ANV10" s="316"/>
      <c r="ANW10" s="316"/>
      <c r="ANX10" s="316"/>
      <c r="ANY10" s="316"/>
      <c r="ANZ10" s="316"/>
      <c r="AOA10" s="316"/>
      <c r="AOB10" s="316"/>
      <c r="AOC10" s="316"/>
      <c r="AOD10" s="316"/>
      <c r="AOE10" s="316"/>
      <c r="AOF10" s="316"/>
      <c r="AOG10" s="316"/>
      <c r="AOH10" s="316"/>
      <c r="AOI10" s="316"/>
      <c r="AOJ10" s="316"/>
      <c r="AOK10" s="316"/>
      <c r="AOL10" s="316"/>
      <c r="AOM10" s="316"/>
      <c r="AON10" s="316"/>
      <c r="AOO10" s="316"/>
      <c r="AOP10" s="316"/>
      <c r="AOQ10" s="316"/>
      <c r="AOR10" s="316"/>
      <c r="AOS10" s="316"/>
      <c r="AOT10" s="316"/>
      <c r="AOU10" s="316"/>
      <c r="AOV10" s="316"/>
      <c r="AOW10" s="316"/>
      <c r="AOX10" s="316"/>
      <c r="AOY10" s="316"/>
      <c r="AOZ10" s="316"/>
      <c r="APA10" s="316"/>
      <c r="APB10" s="316"/>
      <c r="APC10" s="316"/>
      <c r="APD10" s="316"/>
      <c r="APE10" s="316"/>
      <c r="APF10" s="316"/>
      <c r="APG10" s="316"/>
      <c r="APH10" s="316"/>
      <c r="API10" s="316"/>
      <c r="APJ10" s="316"/>
      <c r="APK10" s="316"/>
      <c r="APL10" s="316"/>
      <c r="APM10" s="316"/>
      <c r="APN10" s="316"/>
      <c r="APO10" s="316"/>
      <c r="APP10" s="316"/>
      <c r="APQ10" s="316"/>
      <c r="APR10" s="316"/>
      <c r="APS10" s="316"/>
      <c r="APT10" s="316"/>
      <c r="APU10" s="316"/>
      <c r="APV10" s="316"/>
      <c r="APW10" s="316"/>
      <c r="APX10" s="316"/>
      <c r="APY10" s="316"/>
      <c r="APZ10" s="316"/>
      <c r="AQA10" s="316"/>
      <c r="AQB10" s="316"/>
      <c r="AQC10" s="316"/>
      <c r="AQD10" s="316"/>
      <c r="AQE10" s="316"/>
      <c r="AQF10" s="316"/>
      <c r="AQG10" s="316"/>
      <c r="AQH10" s="316"/>
      <c r="AQI10" s="316"/>
      <c r="AQJ10" s="316"/>
      <c r="AQK10" s="316"/>
      <c r="AQL10" s="316"/>
      <c r="AQM10" s="316"/>
      <c r="AQN10" s="316"/>
      <c r="AQO10" s="316"/>
      <c r="AQP10" s="316"/>
      <c r="AQQ10" s="316"/>
      <c r="AQR10" s="316"/>
      <c r="AQS10" s="316"/>
      <c r="AQT10" s="316"/>
      <c r="AQU10" s="316"/>
      <c r="AQV10" s="316"/>
      <c r="AQW10" s="316"/>
      <c r="AQX10" s="316"/>
      <c r="AQY10" s="316"/>
      <c r="AQZ10" s="316"/>
      <c r="ARA10" s="316"/>
      <c r="ARB10" s="316"/>
      <c r="ARC10" s="316"/>
      <c r="ARD10" s="316"/>
      <c r="ARE10" s="316"/>
      <c r="ARF10" s="316"/>
      <c r="ARG10" s="316"/>
      <c r="ARH10" s="316"/>
      <c r="ARI10" s="316"/>
      <c r="ARJ10" s="316"/>
      <c r="ARK10" s="316"/>
      <c r="ARL10" s="316"/>
      <c r="ARM10" s="316"/>
      <c r="ARN10" s="316"/>
      <c r="ARO10" s="316"/>
      <c r="ARP10" s="316"/>
      <c r="ARQ10" s="316"/>
      <c r="ARR10" s="316"/>
      <c r="ARS10" s="316"/>
      <c r="ART10" s="316"/>
      <c r="ARU10" s="316"/>
      <c r="ARV10" s="316"/>
      <c r="ARW10" s="316"/>
      <c r="ARX10" s="316"/>
      <c r="ARY10" s="316"/>
      <c r="ARZ10" s="316"/>
      <c r="ASA10" s="316"/>
      <c r="ASB10" s="316"/>
      <c r="ASC10" s="316"/>
      <c r="ASD10" s="316"/>
      <c r="ASE10" s="316"/>
      <c r="ASF10" s="316"/>
      <c r="ASG10" s="316"/>
      <c r="ASH10" s="316"/>
      <c r="ASI10" s="316"/>
      <c r="ASJ10" s="316"/>
      <c r="ASK10" s="316"/>
      <c r="ASL10" s="316"/>
      <c r="ASM10" s="316"/>
      <c r="ASN10" s="316"/>
      <c r="ASO10" s="316"/>
      <c r="ASP10" s="316"/>
      <c r="ASQ10" s="316"/>
      <c r="ASR10" s="316"/>
      <c r="ASS10" s="316"/>
      <c r="AST10" s="316"/>
      <c r="ASU10" s="316"/>
      <c r="ASV10" s="316"/>
      <c r="ASW10" s="316"/>
      <c r="ASX10" s="316"/>
      <c r="ASY10" s="316"/>
      <c r="ASZ10" s="316"/>
      <c r="ATA10" s="316"/>
      <c r="ATB10" s="316"/>
      <c r="ATC10" s="316"/>
      <c r="ATD10" s="316"/>
      <c r="ATE10" s="316"/>
      <c r="ATF10" s="316"/>
      <c r="ATG10" s="316"/>
      <c r="ATH10" s="316"/>
      <c r="ATI10" s="316"/>
      <c r="ATJ10" s="316"/>
      <c r="ATK10" s="316"/>
      <c r="ATL10" s="316"/>
      <c r="ATM10" s="316"/>
      <c r="ATN10" s="316"/>
      <c r="ATO10" s="316"/>
      <c r="ATP10" s="316"/>
      <c r="ATQ10" s="316"/>
      <c r="ATR10" s="316"/>
      <c r="ATS10" s="316"/>
      <c r="ATT10" s="316"/>
      <c r="ATU10" s="316"/>
      <c r="ATV10" s="316"/>
      <c r="ATW10" s="316"/>
      <c r="ATX10" s="316"/>
      <c r="ATY10" s="316"/>
      <c r="ATZ10" s="316"/>
      <c r="AUA10" s="316"/>
      <c r="AUB10" s="316"/>
      <c r="AUC10" s="316"/>
      <c r="AUD10" s="316"/>
      <c r="AUE10" s="316"/>
      <c r="AUF10" s="316"/>
      <c r="AUG10" s="316"/>
      <c r="AUH10" s="316"/>
      <c r="AUI10" s="316"/>
      <c r="AUJ10" s="316"/>
      <c r="AUK10" s="316"/>
      <c r="AUL10" s="316"/>
      <c r="AUM10" s="316"/>
      <c r="AUN10" s="316"/>
      <c r="AUO10" s="316"/>
      <c r="AUP10" s="316"/>
      <c r="AUQ10" s="316"/>
      <c r="AUR10" s="316"/>
      <c r="AUS10" s="316"/>
      <c r="AUT10" s="316"/>
      <c r="AUU10" s="316"/>
      <c r="AUV10" s="316"/>
      <c r="AUW10" s="316"/>
      <c r="AUX10" s="316"/>
      <c r="AUY10" s="316"/>
      <c r="AUZ10" s="316"/>
      <c r="AVA10" s="316"/>
      <c r="AVB10" s="316"/>
      <c r="AVC10" s="316"/>
      <c r="AVD10" s="316"/>
      <c r="AVE10" s="316"/>
      <c r="AVF10" s="316"/>
      <c r="AVG10" s="316"/>
      <c r="AVH10" s="316"/>
      <c r="AVI10" s="316"/>
      <c r="AVJ10" s="316"/>
      <c r="AVK10" s="316"/>
      <c r="AVL10" s="316"/>
      <c r="AVM10" s="316"/>
      <c r="AVN10" s="316"/>
      <c r="AVO10" s="316"/>
      <c r="AVP10" s="316"/>
      <c r="AVQ10" s="316"/>
      <c r="AVR10" s="316"/>
      <c r="AVS10" s="316"/>
      <c r="AVT10" s="316"/>
      <c r="AVU10" s="316"/>
      <c r="AVV10" s="316"/>
      <c r="AVW10" s="316"/>
      <c r="AVX10" s="316"/>
      <c r="AVY10" s="316"/>
      <c r="AVZ10" s="316"/>
      <c r="AWA10" s="316"/>
      <c r="AWB10" s="316"/>
      <c r="AWC10" s="316"/>
      <c r="AWD10" s="316"/>
      <c r="AWE10" s="316"/>
      <c r="AWF10" s="316"/>
      <c r="AWG10" s="316"/>
      <c r="AWH10" s="316"/>
      <c r="AWI10" s="316"/>
      <c r="AWJ10" s="316"/>
      <c r="AWK10" s="316"/>
      <c r="AWL10" s="316"/>
      <c r="AWM10" s="316"/>
      <c r="AWN10" s="316"/>
      <c r="AWO10" s="316"/>
      <c r="AWP10" s="316"/>
      <c r="AWQ10" s="316"/>
      <c r="AWR10" s="316"/>
      <c r="AWS10" s="316"/>
      <c r="AWT10" s="316"/>
      <c r="AWU10" s="316"/>
      <c r="AWV10" s="316"/>
      <c r="AWW10" s="316"/>
      <c r="AWX10" s="316"/>
      <c r="AWY10" s="316"/>
      <c r="AWZ10" s="316"/>
      <c r="AXA10" s="316"/>
      <c r="AXB10" s="316"/>
      <c r="AXC10" s="316"/>
      <c r="AXD10" s="316"/>
      <c r="AXE10" s="316"/>
      <c r="AXF10" s="316"/>
      <c r="AXG10" s="316"/>
      <c r="AXH10" s="316"/>
      <c r="AXI10" s="316"/>
      <c r="AXJ10" s="316"/>
      <c r="AXK10" s="316"/>
      <c r="AXL10" s="316"/>
      <c r="AXM10" s="316"/>
      <c r="AXN10" s="316"/>
      <c r="AXO10" s="316"/>
      <c r="AXP10" s="316"/>
      <c r="AXQ10" s="316"/>
      <c r="AXR10" s="316"/>
      <c r="AXS10" s="316"/>
      <c r="AXT10" s="316"/>
      <c r="AXU10" s="316"/>
      <c r="AXV10" s="316"/>
      <c r="AXW10" s="316"/>
      <c r="AXX10" s="316"/>
      <c r="AXY10" s="316"/>
      <c r="AXZ10" s="316"/>
      <c r="AYA10" s="316"/>
      <c r="AYB10" s="316"/>
      <c r="AYC10" s="316"/>
      <c r="AYD10" s="316"/>
      <c r="AYE10" s="316"/>
      <c r="AYF10" s="316"/>
      <c r="AYG10" s="316"/>
      <c r="AYH10" s="316"/>
      <c r="AYI10" s="316"/>
      <c r="AYJ10" s="316"/>
      <c r="AYK10" s="316"/>
      <c r="AYL10" s="316"/>
      <c r="AYM10" s="316"/>
      <c r="AYN10" s="316"/>
      <c r="AYO10" s="316"/>
      <c r="AYP10" s="316"/>
      <c r="AYQ10" s="316"/>
      <c r="AYR10" s="316"/>
      <c r="AYS10" s="316"/>
      <c r="AYT10" s="316"/>
      <c r="AYU10" s="316"/>
      <c r="AYV10" s="316"/>
      <c r="AYW10" s="316"/>
      <c r="AYX10" s="316"/>
      <c r="AYY10" s="316"/>
      <c r="AYZ10" s="316"/>
      <c r="AZA10" s="316"/>
      <c r="AZB10" s="316"/>
      <c r="AZC10" s="316"/>
      <c r="AZD10" s="316"/>
      <c r="AZE10" s="316"/>
      <c r="AZF10" s="316"/>
      <c r="AZG10" s="316"/>
      <c r="AZH10" s="316"/>
      <c r="AZI10" s="316"/>
      <c r="AZJ10" s="316"/>
      <c r="AZK10" s="316"/>
      <c r="AZL10" s="316"/>
      <c r="AZM10" s="316"/>
      <c r="AZN10" s="316"/>
      <c r="AZO10" s="316"/>
      <c r="AZP10" s="316"/>
      <c r="AZQ10" s="316"/>
      <c r="AZR10" s="316"/>
      <c r="AZS10" s="316"/>
      <c r="AZT10" s="316"/>
      <c r="AZU10" s="316"/>
      <c r="AZV10" s="316"/>
      <c r="AZW10" s="316"/>
      <c r="AZX10" s="316"/>
      <c r="AZY10" s="316"/>
      <c r="AZZ10" s="316"/>
      <c r="BAA10" s="316"/>
      <c r="BAB10" s="316"/>
      <c r="BAC10" s="316"/>
      <c r="BAD10" s="316"/>
      <c r="BAE10" s="316"/>
      <c r="BAF10" s="316"/>
      <c r="BAG10" s="316"/>
      <c r="BAH10" s="316"/>
      <c r="BAI10" s="316"/>
      <c r="BAJ10" s="316"/>
      <c r="BAK10" s="316"/>
      <c r="BAL10" s="316"/>
      <c r="BAM10" s="316"/>
      <c r="BAN10" s="316"/>
      <c r="BAO10" s="316"/>
      <c r="BAP10" s="316"/>
      <c r="BAQ10" s="316"/>
      <c r="BAR10" s="316"/>
      <c r="BAS10" s="316"/>
      <c r="BAT10" s="316"/>
      <c r="BAU10" s="316"/>
      <c r="BAV10" s="316"/>
      <c r="BAW10" s="316"/>
      <c r="BAX10" s="316"/>
      <c r="BAY10" s="316"/>
      <c r="BAZ10" s="316"/>
      <c r="BBA10" s="316"/>
      <c r="BBB10" s="316"/>
      <c r="BBC10" s="316"/>
      <c r="BBD10" s="316"/>
      <c r="BBE10" s="316"/>
      <c r="BBF10" s="316"/>
      <c r="BBG10" s="316"/>
      <c r="BBH10" s="316"/>
      <c r="BBI10" s="316"/>
      <c r="BBJ10" s="316"/>
      <c r="BBK10" s="316"/>
      <c r="BBL10" s="316"/>
      <c r="BBM10" s="316"/>
      <c r="BBN10" s="316"/>
      <c r="BBO10" s="316"/>
      <c r="BBP10" s="316"/>
      <c r="BBQ10" s="316"/>
      <c r="BBR10" s="316"/>
      <c r="BBS10" s="316"/>
      <c r="BBT10" s="316"/>
      <c r="BBU10" s="316"/>
      <c r="BBV10" s="316"/>
      <c r="BBW10" s="316"/>
      <c r="BBX10" s="316"/>
      <c r="BBY10" s="316"/>
      <c r="BBZ10" s="316"/>
      <c r="BCA10" s="316"/>
      <c r="BCB10" s="316"/>
      <c r="BCC10" s="316"/>
      <c r="BCD10" s="316"/>
      <c r="BCE10" s="316"/>
      <c r="BCF10" s="316"/>
      <c r="BCG10" s="316"/>
      <c r="BCH10" s="316"/>
      <c r="BCI10" s="316"/>
      <c r="BCJ10" s="316"/>
      <c r="BCK10" s="316"/>
      <c r="BCL10" s="316"/>
      <c r="BCM10" s="316"/>
      <c r="BCN10" s="316"/>
      <c r="BCO10" s="316"/>
      <c r="BCP10" s="316"/>
      <c r="BCQ10" s="316"/>
      <c r="BCR10" s="316"/>
      <c r="BCS10" s="316"/>
      <c r="BCT10" s="316"/>
      <c r="BCU10" s="316"/>
      <c r="BCV10" s="316"/>
      <c r="BCW10" s="316"/>
      <c r="BCX10" s="316"/>
      <c r="BCY10" s="316"/>
      <c r="BCZ10" s="316"/>
      <c r="BDA10" s="316"/>
      <c r="BDB10" s="316"/>
      <c r="BDC10" s="316"/>
      <c r="BDD10" s="316"/>
      <c r="BDE10" s="316"/>
      <c r="BDF10" s="316"/>
      <c r="BDG10" s="316"/>
      <c r="BDH10" s="316"/>
      <c r="BDI10" s="316"/>
      <c r="BDJ10" s="316"/>
      <c r="BDK10" s="316"/>
      <c r="BDL10" s="316"/>
      <c r="BDM10" s="316"/>
      <c r="BDN10" s="316"/>
      <c r="BDO10" s="316"/>
      <c r="BDP10" s="316"/>
      <c r="BDQ10" s="316"/>
      <c r="BDR10" s="316"/>
      <c r="BDS10" s="316"/>
      <c r="BDT10" s="316"/>
      <c r="BDU10" s="316"/>
      <c r="BDV10" s="316"/>
      <c r="BDW10" s="316"/>
      <c r="BDX10" s="316"/>
      <c r="BDY10" s="316"/>
      <c r="BDZ10" s="316"/>
      <c r="BEA10" s="316"/>
      <c r="BEB10" s="316"/>
      <c r="BEC10" s="316"/>
      <c r="BED10" s="316"/>
      <c r="BEE10" s="316"/>
      <c r="BEF10" s="316"/>
      <c r="BEG10" s="316"/>
      <c r="BEH10" s="316"/>
      <c r="BEI10" s="316"/>
      <c r="BEJ10" s="316"/>
      <c r="BEK10" s="316"/>
      <c r="BEL10" s="316"/>
      <c r="BEM10" s="316"/>
      <c r="BEN10" s="316"/>
      <c r="BEO10" s="316"/>
      <c r="BEP10" s="316"/>
      <c r="BEQ10" s="316"/>
      <c r="BER10" s="316"/>
      <c r="BES10" s="316"/>
      <c r="BET10" s="316"/>
      <c r="BEU10" s="316"/>
      <c r="BEV10" s="316"/>
      <c r="BEW10" s="316"/>
      <c r="BEX10" s="316"/>
      <c r="BEY10" s="316"/>
      <c r="BEZ10" s="316"/>
      <c r="BFA10" s="316"/>
      <c r="BFB10" s="316"/>
      <c r="BFC10" s="316"/>
      <c r="BFD10" s="316"/>
      <c r="BFE10" s="316"/>
      <c r="BFF10" s="316"/>
      <c r="BFG10" s="316"/>
      <c r="BFH10" s="316"/>
      <c r="BFI10" s="316"/>
      <c r="BFJ10" s="316"/>
      <c r="BFK10" s="316"/>
      <c r="BFL10" s="316"/>
      <c r="BFM10" s="316"/>
      <c r="BFN10" s="316"/>
      <c r="BFO10" s="316"/>
      <c r="BFP10" s="316"/>
      <c r="BFQ10" s="316"/>
      <c r="BFR10" s="316"/>
      <c r="BFS10" s="316"/>
      <c r="BFT10" s="316"/>
      <c r="BFU10" s="316"/>
      <c r="BFV10" s="316"/>
      <c r="BFW10" s="316"/>
      <c r="BFX10" s="316"/>
      <c r="BFY10" s="316"/>
      <c r="BFZ10" s="316"/>
      <c r="BGA10" s="316"/>
      <c r="BGB10" s="316"/>
      <c r="BGC10" s="316"/>
      <c r="BGD10" s="316"/>
      <c r="BGE10" s="316"/>
      <c r="BGF10" s="316"/>
      <c r="BGG10" s="316"/>
      <c r="BGH10" s="316"/>
      <c r="BGI10" s="316"/>
      <c r="BGJ10" s="316"/>
      <c r="BGK10" s="316"/>
      <c r="BGL10" s="316"/>
      <c r="BGM10" s="316"/>
      <c r="BGN10" s="316"/>
      <c r="BGO10" s="316"/>
      <c r="BGP10" s="316"/>
      <c r="BGQ10" s="316"/>
      <c r="BGR10" s="316"/>
      <c r="BGS10" s="316"/>
      <c r="BGT10" s="316"/>
      <c r="BGU10" s="316"/>
      <c r="BGV10" s="316"/>
      <c r="BGW10" s="316"/>
      <c r="BGX10" s="316"/>
      <c r="BGY10" s="316"/>
      <c r="BGZ10" s="316"/>
      <c r="BHA10" s="316"/>
      <c r="BHB10" s="316"/>
      <c r="BHC10" s="316"/>
      <c r="BHD10" s="316"/>
      <c r="BHE10" s="316"/>
      <c r="BHF10" s="316"/>
      <c r="BHG10" s="316"/>
      <c r="BHH10" s="316"/>
      <c r="BHI10" s="316"/>
      <c r="BHJ10" s="316"/>
      <c r="BHK10" s="316"/>
      <c r="BHL10" s="316"/>
      <c r="BHM10" s="316"/>
      <c r="BHN10" s="316"/>
      <c r="BHO10" s="316"/>
      <c r="BHP10" s="316"/>
      <c r="BHQ10" s="316"/>
      <c r="BHR10" s="316"/>
      <c r="BHS10" s="316"/>
      <c r="BHT10" s="316"/>
      <c r="BHU10" s="316"/>
      <c r="BHV10" s="316"/>
      <c r="BHW10" s="316"/>
      <c r="BHX10" s="316"/>
      <c r="BHY10" s="316"/>
      <c r="BHZ10" s="316"/>
      <c r="BIA10" s="316"/>
      <c r="BIB10" s="316"/>
      <c r="BIC10" s="316"/>
      <c r="BID10" s="316"/>
      <c r="BIE10" s="316"/>
      <c r="BIF10" s="316"/>
      <c r="BIG10" s="316"/>
      <c r="BIH10" s="316"/>
      <c r="BII10" s="316"/>
      <c r="BIJ10" s="316"/>
      <c r="BIK10" s="316"/>
      <c r="BIL10" s="316"/>
      <c r="BIM10" s="316"/>
      <c r="BIN10" s="316"/>
      <c r="BIO10" s="316"/>
      <c r="BIP10" s="316"/>
      <c r="BIQ10" s="316"/>
      <c r="BIR10" s="316"/>
      <c r="BIS10" s="316"/>
      <c r="BIT10" s="316"/>
      <c r="BIU10" s="316"/>
      <c r="BIV10" s="316"/>
      <c r="BIW10" s="316"/>
      <c r="BIX10" s="316"/>
      <c r="BIY10" s="316"/>
      <c r="BIZ10" s="316"/>
      <c r="BJA10" s="316"/>
      <c r="BJB10" s="316"/>
      <c r="BJC10" s="316"/>
      <c r="BJD10" s="316"/>
      <c r="BJE10" s="316"/>
      <c r="BJF10" s="316"/>
      <c r="BJG10" s="316"/>
      <c r="BJH10" s="316"/>
      <c r="BJI10" s="316"/>
      <c r="BJJ10" s="316"/>
      <c r="BJK10" s="316"/>
      <c r="BJL10" s="316"/>
      <c r="BJM10" s="316"/>
      <c r="BJN10" s="316"/>
      <c r="BJO10" s="316"/>
      <c r="BJP10" s="316"/>
      <c r="BJQ10" s="316"/>
      <c r="BJR10" s="316"/>
      <c r="BJS10" s="316"/>
      <c r="BJT10" s="316"/>
      <c r="BJU10" s="316"/>
      <c r="BJV10" s="316"/>
      <c r="BJW10" s="316"/>
      <c r="BJX10" s="316"/>
      <c r="BJY10" s="316"/>
      <c r="BJZ10" s="316"/>
      <c r="BKA10" s="316"/>
      <c r="BKB10" s="316"/>
      <c r="BKC10" s="316"/>
      <c r="BKD10" s="316"/>
      <c r="BKE10" s="316"/>
      <c r="BKF10" s="316"/>
      <c r="BKG10" s="316"/>
      <c r="BKH10" s="316"/>
      <c r="BKI10" s="316"/>
      <c r="BKJ10" s="316"/>
      <c r="BKK10" s="316"/>
      <c r="BKL10" s="316"/>
      <c r="BKM10" s="316"/>
      <c r="BKN10" s="316"/>
      <c r="BKO10" s="316"/>
      <c r="BKP10" s="316"/>
      <c r="BKQ10" s="316"/>
      <c r="BKR10" s="316"/>
      <c r="BKS10" s="316"/>
      <c r="BKT10" s="316"/>
      <c r="BKU10" s="316"/>
      <c r="BKV10" s="316"/>
      <c r="BKW10" s="316"/>
      <c r="BKX10" s="316"/>
      <c r="BKY10" s="316"/>
      <c r="BKZ10" s="316"/>
      <c r="BLA10" s="316"/>
      <c r="BLB10" s="316"/>
      <c r="BLC10" s="316"/>
      <c r="BLD10" s="316"/>
      <c r="BLE10" s="316"/>
      <c r="BLF10" s="316"/>
      <c r="BLG10" s="316"/>
      <c r="BLH10" s="316"/>
      <c r="BLI10" s="316"/>
      <c r="BLJ10" s="316"/>
      <c r="BLK10" s="316"/>
      <c r="BLL10" s="316"/>
      <c r="BLM10" s="316"/>
      <c r="BLN10" s="316"/>
      <c r="BLO10" s="316"/>
      <c r="BLP10" s="316"/>
      <c r="BLQ10" s="316"/>
      <c r="BLR10" s="316"/>
      <c r="BLS10" s="316"/>
      <c r="BLT10" s="316"/>
      <c r="BLU10" s="316"/>
      <c r="BLV10" s="316"/>
      <c r="BLW10" s="316"/>
      <c r="BLX10" s="316"/>
      <c r="BLY10" s="316"/>
      <c r="BLZ10" s="316"/>
      <c r="BMA10" s="316"/>
      <c r="BMB10" s="316"/>
      <c r="BMC10" s="316"/>
      <c r="BMD10" s="316"/>
      <c r="BME10" s="316"/>
      <c r="BMF10" s="316"/>
      <c r="BMG10" s="316"/>
      <c r="BMH10" s="316"/>
      <c r="BMI10" s="316"/>
      <c r="BMJ10" s="316"/>
      <c r="BMK10" s="316"/>
      <c r="BML10" s="316"/>
      <c r="BMM10" s="316"/>
      <c r="BMN10" s="316"/>
      <c r="BMO10" s="316"/>
      <c r="BMP10" s="316"/>
      <c r="BMQ10" s="316"/>
      <c r="BMR10" s="316"/>
      <c r="BMS10" s="316"/>
      <c r="BMT10" s="316"/>
      <c r="BMU10" s="316"/>
      <c r="BMV10" s="316"/>
      <c r="BMW10" s="316"/>
      <c r="BMX10" s="316"/>
      <c r="BMY10" s="316"/>
      <c r="BMZ10" s="316"/>
      <c r="BNA10" s="316"/>
      <c r="BNB10" s="316"/>
      <c r="BNC10" s="316"/>
      <c r="BND10" s="316"/>
      <c r="BNE10" s="316"/>
      <c r="BNF10" s="316"/>
      <c r="BNG10" s="316"/>
      <c r="BNH10" s="316"/>
      <c r="BNI10" s="316"/>
      <c r="BNJ10" s="316"/>
      <c r="BNK10" s="316"/>
      <c r="BNL10" s="316"/>
      <c r="BNM10" s="316"/>
      <c r="BNN10" s="316"/>
      <c r="BNO10" s="316"/>
      <c r="BNP10" s="316"/>
      <c r="BNQ10" s="316"/>
      <c r="BNR10" s="316"/>
      <c r="BNS10" s="316"/>
      <c r="BNT10" s="316"/>
      <c r="BNU10" s="316"/>
      <c r="BNV10" s="316"/>
      <c r="BNW10" s="316"/>
      <c r="BNX10" s="316"/>
      <c r="BNY10" s="316"/>
      <c r="BNZ10" s="316"/>
      <c r="BOA10" s="316"/>
      <c r="BOB10" s="316"/>
      <c r="BOC10" s="316"/>
      <c r="BOD10" s="316"/>
      <c r="BOE10" s="316"/>
      <c r="BOF10" s="316"/>
      <c r="BOG10" s="316"/>
      <c r="BOH10" s="316"/>
      <c r="BOI10" s="316"/>
      <c r="BOJ10" s="316"/>
      <c r="BOK10" s="316"/>
      <c r="BOL10" s="316"/>
      <c r="BOM10" s="316"/>
      <c r="BON10" s="316"/>
      <c r="BOO10" s="316"/>
      <c r="BOP10" s="316"/>
      <c r="BOQ10" s="316"/>
      <c r="BOR10" s="316"/>
      <c r="BOS10" s="316"/>
      <c r="BOT10" s="316"/>
      <c r="BOU10" s="316"/>
      <c r="BOV10" s="316"/>
      <c r="BOW10" s="316"/>
      <c r="BOX10" s="316"/>
      <c r="BOY10" s="316"/>
      <c r="BOZ10" s="316"/>
      <c r="BPA10" s="316"/>
      <c r="BPB10" s="316"/>
      <c r="BPC10" s="316"/>
      <c r="BPD10" s="316"/>
      <c r="BPE10" s="316"/>
      <c r="BPF10" s="316"/>
      <c r="BPG10" s="316"/>
      <c r="BPH10" s="316"/>
      <c r="BPI10" s="316"/>
      <c r="BPJ10" s="316"/>
      <c r="BPK10" s="316"/>
      <c r="BPL10" s="316"/>
      <c r="BPM10" s="316"/>
      <c r="BPN10" s="316"/>
      <c r="BPO10" s="316"/>
      <c r="BPP10" s="316"/>
      <c r="BPQ10" s="316"/>
      <c r="BPR10" s="316"/>
      <c r="BPS10" s="316"/>
      <c r="BPT10" s="316"/>
      <c r="BPU10" s="316"/>
      <c r="BPV10" s="316"/>
      <c r="BPW10" s="316"/>
      <c r="BPX10" s="316"/>
      <c r="BPY10" s="316"/>
      <c r="BPZ10" s="316"/>
      <c r="BQA10" s="316"/>
      <c r="BQB10" s="316"/>
      <c r="BQC10" s="316"/>
      <c r="BQD10" s="316"/>
      <c r="BQE10" s="316"/>
      <c r="BQF10" s="316"/>
      <c r="BQG10" s="316"/>
      <c r="BQH10" s="316"/>
      <c r="BQI10" s="316"/>
      <c r="BQJ10" s="316"/>
      <c r="BQK10" s="316"/>
      <c r="BQL10" s="316"/>
      <c r="BQM10" s="316"/>
      <c r="BQN10" s="316"/>
      <c r="BQO10" s="316"/>
      <c r="BQP10" s="316"/>
      <c r="BQQ10" s="316"/>
      <c r="BQR10" s="316"/>
      <c r="BQS10" s="316"/>
      <c r="BQT10" s="316"/>
      <c r="BQU10" s="316"/>
      <c r="BQV10" s="316"/>
      <c r="BQW10" s="316"/>
      <c r="BQX10" s="316"/>
      <c r="BQY10" s="316"/>
      <c r="BQZ10" s="316"/>
      <c r="BRA10" s="316"/>
      <c r="BRB10" s="316"/>
      <c r="BRC10" s="316"/>
      <c r="BRD10" s="316"/>
      <c r="BRE10" s="316"/>
      <c r="BRF10" s="316"/>
      <c r="BRG10" s="316"/>
      <c r="BRH10" s="316"/>
      <c r="BRI10" s="316"/>
      <c r="BRJ10" s="316"/>
      <c r="BRK10" s="316"/>
      <c r="BRL10" s="316"/>
      <c r="BRM10" s="316"/>
      <c r="BRN10" s="316"/>
      <c r="BRO10" s="316"/>
      <c r="BRP10" s="316"/>
      <c r="BRQ10" s="316"/>
      <c r="BRR10" s="316"/>
      <c r="BRS10" s="316"/>
      <c r="BRT10" s="316"/>
      <c r="BRU10" s="316"/>
      <c r="BRV10" s="316"/>
      <c r="BRW10" s="316"/>
      <c r="BRX10" s="316"/>
      <c r="BRY10" s="316"/>
      <c r="BRZ10" s="316"/>
      <c r="BSA10" s="316"/>
      <c r="BSB10" s="316"/>
      <c r="BSC10" s="316"/>
      <c r="BSD10" s="316"/>
      <c r="BSE10" s="316"/>
      <c r="BSF10" s="316"/>
      <c r="BSG10" s="316"/>
      <c r="BSH10" s="316"/>
      <c r="BSI10" s="316"/>
      <c r="BSJ10" s="316"/>
      <c r="BSK10" s="316"/>
      <c r="BSL10" s="316"/>
      <c r="BSM10" s="316"/>
      <c r="BSN10" s="316"/>
      <c r="BSO10" s="316"/>
      <c r="BSP10" s="316"/>
      <c r="BSQ10" s="316"/>
      <c r="BSR10" s="316"/>
      <c r="BSS10" s="316"/>
      <c r="BST10" s="316"/>
      <c r="BSU10" s="316"/>
      <c r="BSV10" s="316"/>
      <c r="BSW10" s="316"/>
      <c r="BSX10" s="316"/>
      <c r="BSY10" s="316"/>
      <c r="BSZ10" s="316"/>
      <c r="BTA10" s="316"/>
      <c r="BTB10" s="316"/>
      <c r="BTC10" s="316"/>
      <c r="BTD10" s="316"/>
      <c r="BTE10" s="316"/>
      <c r="BTF10" s="316"/>
      <c r="BTG10" s="316"/>
      <c r="BTH10" s="316"/>
      <c r="BTI10" s="316"/>
      <c r="BTJ10" s="316"/>
      <c r="BTK10" s="316"/>
      <c r="BTL10" s="316"/>
      <c r="BTM10" s="316"/>
      <c r="BTN10" s="316"/>
      <c r="BTO10" s="316"/>
      <c r="BTP10" s="316"/>
      <c r="BTQ10" s="316"/>
      <c r="BTR10" s="316"/>
      <c r="BTS10" s="316"/>
      <c r="BTT10" s="316"/>
      <c r="BTU10" s="316"/>
      <c r="BTV10" s="316"/>
      <c r="BTW10" s="316"/>
      <c r="BTX10" s="316"/>
      <c r="BTY10" s="316"/>
      <c r="BTZ10" s="316"/>
      <c r="BUA10" s="316"/>
      <c r="BUB10" s="316"/>
      <c r="BUC10" s="316"/>
      <c r="BUD10" s="316"/>
      <c r="BUE10" s="316"/>
      <c r="BUF10" s="316"/>
      <c r="BUG10" s="316"/>
      <c r="BUH10" s="316"/>
      <c r="BUI10" s="316"/>
      <c r="BUJ10" s="316"/>
      <c r="BUK10" s="316"/>
      <c r="BUL10" s="316"/>
      <c r="BUM10" s="316"/>
      <c r="BUN10" s="316"/>
      <c r="BUO10" s="316"/>
      <c r="BUP10" s="316"/>
      <c r="BUQ10" s="316"/>
      <c r="BUR10" s="316"/>
      <c r="BUS10" s="316"/>
      <c r="BUT10" s="316"/>
      <c r="BUU10" s="316"/>
      <c r="BUV10" s="316"/>
      <c r="BUW10" s="316"/>
      <c r="BUX10" s="316"/>
      <c r="BUY10" s="316"/>
      <c r="BUZ10" s="316"/>
      <c r="BVA10" s="316"/>
      <c r="BVB10" s="316"/>
      <c r="BVC10" s="316"/>
      <c r="BVD10" s="316"/>
      <c r="BVE10" s="316"/>
      <c r="BVF10" s="316"/>
      <c r="BVG10" s="316"/>
      <c r="BVH10" s="316"/>
      <c r="BVI10" s="316"/>
      <c r="BVJ10" s="316"/>
      <c r="BVK10" s="316"/>
      <c r="BVL10" s="316"/>
      <c r="BVM10" s="316"/>
      <c r="BVN10" s="316"/>
      <c r="BVO10" s="316"/>
      <c r="BVP10" s="316"/>
      <c r="BVQ10" s="316"/>
      <c r="BVR10" s="316"/>
      <c r="BVS10" s="316"/>
      <c r="BVT10" s="316"/>
      <c r="BVU10" s="316"/>
      <c r="BVV10" s="316"/>
      <c r="BVW10" s="316"/>
      <c r="BVX10" s="316"/>
      <c r="BVY10" s="316"/>
      <c r="BVZ10" s="316"/>
      <c r="BWA10" s="316"/>
      <c r="BWB10" s="316"/>
      <c r="BWC10" s="316"/>
      <c r="BWD10" s="316"/>
      <c r="BWE10" s="316"/>
      <c r="BWF10" s="316"/>
      <c r="BWG10" s="316"/>
      <c r="BWH10" s="316"/>
      <c r="BWI10" s="316"/>
      <c r="BWJ10" s="316"/>
      <c r="BWK10" s="316"/>
      <c r="BWL10" s="316"/>
      <c r="BWM10" s="316"/>
      <c r="BWN10" s="316"/>
      <c r="BWO10" s="316"/>
      <c r="BWP10" s="316"/>
      <c r="BWQ10" s="316"/>
      <c r="BWR10" s="316"/>
      <c r="BWS10" s="316"/>
      <c r="BWT10" s="316"/>
      <c r="BWU10" s="316"/>
      <c r="BWV10" s="316"/>
      <c r="BWW10" s="316"/>
      <c r="BWX10" s="316"/>
      <c r="BWY10" s="316"/>
      <c r="BWZ10" s="316"/>
      <c r="BXA10" s="316"/>
      <c r="BXB10" s="316"/>
      <c r="BXC10" s="316"/>
      <c r="BXD10" s="316"/>
      <c r="BXE10" s="316"/>
      <c r="BXF10" s="316"/>
      <c r="BXG10" s="316"/>
      <c r="BXH10" s="316"/>
      <c r="BXI10" s="316"/>
      <c r="BXJ10" s="316"/>
      <c r="BXK10" s="316"/>
      <c r="BXL10" s="316"/>
      <c r="BXM10" s="316"/>
      <c r="BXN10" s="316"/>
      <c r="BXO10" s="316"/>
      <c r="BXP10" s="316"/>
      <c r="BXQ10" s="316"/>
      <c r="BXR10" s="316"/>
      <c r="BXS10" s="316"/>
      <c r="BXT10" s="316"/>
      <c r="BXU10" s="316"/>
      <c r="BXV10" s="316"/>
      <c r="BXW10" s="316"/>
      <c r="BXX10" s="316"/>
      <c r="BXY10" s="316"/>
      <c r="BXZ10" s="316"/>
      <c r="BYA10" s="316"/>
      <c r="BYB10" s="316"/>
      <c r="BYC10" s="316"/>
      <c r="BYD10" s="316"/>
      <c r="BYE10" s="316"/>
      <c r="BYF10" s="316"/>
      <c r="BYG10" s="316"/>
      <c r="BYH10" s="316"/>
      <c r="BYI10" s="316"/>
      <c r="BYJ10" s="316"/>
      <c r="BYK10" s="316"/>
      <c r="BYL10" s="316"/>
      <c r="BYM10" s="316"/>
      <c r="BYN10" s="316"/>
      <c r="BYO10" s="316"/>
      <c r="BYP10" s="316"/>
      <c r="BYQ10" s="316"/>
      <c r="BYR10" s="316"/>
      <c r="BYS10" s="316"/>
      <c r="BYT10" s="316"/>
      <c r="BYU10" s="316"/>
      <c r="BYV10" s="316"/>
      <c r="BYW10" s="316"/>
      <c r="BYX10" s="316"/>
      <c r="BYY10" s="316"/>
      <c r="BYZ10" s="316"/>
      <c r="BZA10" s="316"/>
      <c r="BZB10" s="316"/>
      <c r="BZC10" s="316"/>
      <c r="BZD10" s="316"/>
      <c r="BZE10" s="316"/>
      <c r="BZF10" s="316"/>
      <c r="BZG10" s="316"/>
      <c r="BZH10" s="316"/>
      <c r="BZI10" s="316"/>
      <c r="BZJ10" s="316"/>
      <c r="BZK10" s="316"/>
      <c r="BZL10" s="316"/>
      <c r="BZM10" s="316"/>
      <c r="BZN10" s="316"/>
      <c r="BZO10" s="316"/>
      <c r="BZP10" s="316"/>
      <c r="BZQ10" s="316"/>
      <c r="BZR10" s="316"/>
      <c r="BZS10" s="316"/>
      <c r="BZT10" s="316"/>
      <c r="BZU10" s="316"/>
      <c r="BZV10" s="316"/>
      <c r="BZW10" s="316"/>
      <c r="BZX10" s="316"/>
      <c r="BZY10" s="316"/>
      <c r="BZZ10" s="316"/>
      <c r="CAA10" s="316"/>
      <c r="CAB10" s="316"/>
      <c r="CAC10" s="316"/>
      <c r="CAD10" s="316"/>
      <c r="CAE10" s="316"/>
      <c r="CAF10" s="316"/>
      <c r="CAG10" s="316"/>
      <c r="CAH10" s="316"/>
      <c r="CAI10" s="316"/>
      <c r="CAJ10" s="316"/>
      <c r="CAK10" s="316"/>
      <c r="CAL10" s="316"/>
      <c r="CAM10" s="316"/>
      <c r="CAN10" s="316"/>
      <c r="CAO10" s="316"/>
      <c r="CAP10" s="316"/>
      <c r="CAQ10" s="316"/>
      <c r="CAR10" s="316"/>
      <c r="CAS10" s="316"/>
      <c r="CAT10" s="316"/>
      <c r="CAU10" s="316"/>
      <c r="CAV10" s="316"/>
      <c r="CAW10" s="316"/>
      <c r="CAX10" s="316"/>
      <c r="CAY10" s="316"/>
      <c r="CAZ10" s="316"/>
      <c r="CBA10" s="316"/>
      <c r="CBB10" s="316"/>
      <c r="CBC10" s="316"/>
      <c r="CBD10" s="316"/>
      <c r="CBE10" s="316"/>
      <c r="CBF10" s="316"/>
      <c r="CBG10" s="316"/>
      <c r="CBH10" s="316"/>
      <c r="CBI10" s="316"/>
      <c r="CBJ10" s="316"/>
      <c r="CBK10" s="316"/>
      <c r="CBL10" s="316"/>
      <c r="CBM10" s="316"/>
      <c r="CBN10" s="316"/>
      <c r="CBO10" s="316"/>
      <c r="CBP10" s="316"/>
      <c r="CBQ10" s="316"/>
      <c r="CBR10" s="316"/>
      <c r="CBS10" s="316"/>
      <c r="CBT10" s="316"/>
      <c r="CBU10" s="316"/>
      <c r="CBV10" s="316"/>
      <c r="CBW10" s="316"/>
      <c r="CBX10" s="316"/>
      <c r="CBY10" s="316"/>
      <c r="CBZ10" s="316"/>
      <c r="CCA10" s="316"/>
      <c r="CCB10" s="316"/>
      <c r="CCC10" s="316"/>
      <c r="CCD10" s="316"/>
      <c r="CCE10" s="316"/>
      <c r="CCF10" s="316"/>
      <c r="CCG10" s="316"/>
      <c r="CCH10" s="316"/>
      <c r="CCI10" s="316"/>
      <c r="CCJ10" s="316"/>
      <c r="CCK10" s="316"/>
      <c r="CCL10" s="316"/>
      <c r="CCM10" s="316"/>
      <c r="CCN10" s="316"/>
      <c r="CCO10" s="316"/>
      <c r="CCP10" s="316"/>
      <c r="CCQ10" s="316"/>
      <c r="CCR10" s="316"/>
      <c r="CCS10" s="316"/>
      <c r="CCT10" s="316"/>
      <c r="CCU10" s="316"/>
      <c r="CCV10" s="316"/>
      <c r="CCW10" s="316"/>
      <c r="CCX10" s="316"/>
      <c r="CCY10" s="316"/>
      <c r="CCZ10" s="316"/>
      <c r="CDA10" s="316"/>
      <c r="CDB10" s="316"/>
      <c r="CDC10" s="316"/>
      <c r="CDD10" s="316"/>
      <c r="CDE10" s="316"/>
      <c r="CDF10" s="316"/>
      <c r="CDG10" s="316"/>
      <c r="CDH10" s="316"/>
      <c r="CDI10" s="316"/>
      <c r="CDJ10" s="316"/>
      <c r="CDK10" s="316"/>
      <c r="CDL10" s="316"/>
      <c r="CDM10" s="316"/>
      <c r="CDN10" s="316"/>
      <c r="CDO10" s="316"/>
      <c r="CDP10" s="316"/>
      <c r="CDQ10" s="316"/>
      <c r="CDR10" s="316"/>
      <c r="CDS10" s="316"/>
      <c r="CDT10" s="316"/>
      <c r="CDU10" s="316"/>
      <c r="CDV10" s="316"/>
      <c r="CDW10" s="316"/>
      <c r="CDX10" s="316"/>
      <c r="CDY10" s="316"/>
      <c r="CDZ10" s="316"/>
      <c r="CEA10" s="316"/>
      <c r="CEB10" s="316"/>
      <c r="CEC10" s="316"/>
      <c r="CED10" s="316"/>
      <c r="CEE10" s="316"/>
      <c r="CEF10" s="316"/>
      <c r="CEG10" s="316"/>
      <c r="CEH10" s="316"/>
      <c r="CEI10" s="316"/>
      <c r="CEJ10" s="316"/>
      <c r="CEK10" s="316"/>
      <c r="CEL10" s="316"/>
      <c r="CEM10" s="316"/>
      <c r="CEN10" s="316"/>
      <c r="CEO10" s="316"/>
      <c r="CEP10" s="316"/>
      <c r="CEQ10" s="316"/>
      <c r="CER10" s="316"/>
      <c r="CES10" s="316"/>
      <c r="CET10" s="316"/>
      <c r="CEU10" s="316"/>
      <c r="CEV10" s="316"/>
      <c r="CEW10" s="316"/>
      <c r="CEX10" s="316"/>
      <c r="CEY10" s="316"/>
      <c r="CEZ10" s="316"/>
      <c r="CFA10" s="316"/>
      <c r="CFB10" s="316"/>
      <c r="CFC10" s="316"/>
      <c r="CFD10" s="316"/>
      <c r="CFE10" s="316"/>
      <c r="CFF10" s="316"/>
      <c r="CFG10" s="316"/>
      <c r="CFH10" s="316"/>
      <c r="CFI10" s="316"/>
      <c r="CFJ10" s="316"/>
      <c r="CFK10" s="316"/>
      <c r="CFL10" s="316"/>
      <c r="CFM10" s="316"/>
      <c r="CFN10" s="316"/>
      <c r="CFO10" s="316"/>
      <c r="CFP10" s="316"/>
      <c r="CFQ10" s="316"/>
      <c r="CFR10" s="316"/>
      <c r="CFS10" s="316"/>
      <c r="CFT10" s="316"/>
      <c r="CFU10" s="316"/>
      <c r="CFV10" s="316"/>
      <c r="CFW10" s="316"/>
      <c r="CFX10" s="316"/>
      <c r="CFY10" s="316"/>
      <c r="CFZ10" s="316"/>
      <c r="CGA10" s="316"/>
      <c r="CGB10" s="316"/>
      <c r="CGC10" s="316"/>
      <c r="CGD10" s="316"/>
      <c r="CGE10" s="316"/>
      <c r="CGF10" s="316"/>
      <c r="CGG10" s="316"/>
      <c r="CGH10" s="316"/>
      <c r="CGI10" s="316"/>
      <c r="CGJ10" s="316"/>
      <c r="CGK10" s="316"/>
      <c r="CGL10" s="316"/>
      <c r="CGM10" s="316"/>
      <c r="CGN10" s="316"/>
      <c r="CGO10" s="316"/>
      <c r="CGP10" s="316"/>
      <c r="CGQ10" s="316"/>
      <c r="CGR10" s="316"/>
      <c r="CGS10" s="316"/>
      <c r="CGT10" s="316"/>
      <c r="CGU10" s="316"/>
      <c r="CGV10" s="316"/>
      <c r="CGW10" s="316"/>
      <c r="CGX10" s="316"/>
      <c r="CGY10" s="316"/>
      <c r="CGZ10" s="316"/>
      <c r="CHA10" s="316"/>
      <c r="CHB10" s="316"/>
      <c r="CHC10" s="316"/>
      <c r="CHD10" s="316"/>
      <c r="CHE10" s="316"/>
      <c r="CHF10" s="316"/>
      <c r="CHG10" s="316"/>
      <c r="CHH10" s="316"/>
      <c r="CHI10" s="316"/>
      <c r="CHJ10" s="316"/>
      <c r="CHK10" s="316"/>
      <c r="CHL10" s="316"/>
      <c r="CHM10" s="316"/>
      <c r="CHN10" s="316"/>
      <c r="CHO10" s="316"/>
      <c r="CHP10" s="316"/>
      <c r="CHQ10" s="316"/>
      <c r="CHR10" s="316"/>
      <c r="CHS10" s="316"/>
      <c r="CHT10" s="316"/>
      <c r="CHU10" s="316"/>
      <c r="CHV10" s="316"/>
      <c r="CHW10" s="316"/>
      <c r="CHX10" s="316"/>
      <c r="CHY10" s="316"/>
      <c r="CHZ10" s="316"/>
      <c r="CIA10" s="316"/>
      <c r="CIB10" s="316"/>
      <c r="CIC10" s="316"/>
      <c r="CID10" s="316"/>
      <c r="CIE10" s="316"/>
      <c r="CIF10" s="316"/>
      <c r="CIG10" s="316"/>
      <c r="CIH10" s="316"/>
      <c r="CII10" s="316"/>
      <c r="CIJ10" s="316"/>
      <c r="CIK10" s="316"/>
      <c r="CIL10" s="316"/>
      <c r="CIM10" s="316"/>
      <c r="CIN10" s="316"/>
      <c r="CIO10" s="316"/>
      <c r="CIP10" s="316"/>
      <c r="CIQ10" s="316"/>
      <c r="CIR10" s="316"/>
      <c r="CIS10" s="316"/>
      <c r="CIT10" s="316"/>
      <c r="CIU10" s="316"/>
      <c r="CIV10" s="316"/>
      <c r="CIW10" s="316"/>
      <c r="CIX10" s="316"/>
      <c r="CIY10" s="316"/>
      <c r="CIZ10" s="316"/>
      <c r="CJA10" s="316"/>
      <c r="CJB10" s="316"/>
      <c r="CJC10" s="316"/>
      <c r="CJD10" s="316"/>
      <c r="CJE10" s="316"/>
      <c r="CJF10" s="316"/>
      <c r="CJG10" s="316"/>
      <c r="CJH10" s="316"/>
      <c r="CJI10" s="316"/>
      <c r="CJJ10" s="316"/>
      <c r="CJK10" s="316"/>
      <c r="CJL10" s="316"/>
      <c r="CJM10" s="316"/>
      <c r="CJN10" s="316"/>
      <c r="CJO10" s="316"/>
      <c r="CJP10" s="316"/>
      <c r="CJQ10" s="316"/>
      <c r="CJR10" s="316"/>
      <c r="CJS10" s="316"/>
      <c r="CJT10" s="316"/>
      <c r="CJU10" s="316"/>
      <c r="CJV10" s="316"/>
      <c r="CJW10" s="316"/>
      <c r="CJX10" s="316"/>
      <c r="CJY10" s="316"/>
      <c r="CJZ10" s="316"/>
      <c r="CKA10" s="316"/>
      <c r="CKB10" s="316"/>
      <c r="CKC10" s="316"/>
      <c r="CKD10" s="316"/>
      <c r="CKE10" s="316"/>
      <c r="CKF10" s="316"/>
      <c r="CKG10" s="316"/>
      <c r="CKH10" s="316"/>
      <c r="CKI10" s="316"/>
      <c r="CKJ10" s="316"/>
      <c r="CKK10" s="316"/>
      <c r="CKL10" s="316"/>
      <c r="CKM10" s="316"/>
      <c r="CKN10" s="316"/>
      <c r="CKO10" s="316"/>
      <c r="CKP10" s="316"/>
      <c r="CKQ10" s="316"/>
      <c r="CKR10" s="316"/>
      <c r="CKS10" s="316"/>
      <c r="CKT10" s="316"/>
      <c r="CKU10" s="316"/>
      <c r="CKV10" s="316"/>
      <c r="CKW10" s="316"/>
      <c r="CKX10" s="316"/>
      <c r="CKY10" s="316"/>
      <c r="CKZ10" s="316"/>
      <c r="CLA10" s="316"/>
      <c r="CLB10" s="316"/>
      <c r="CLC10" s="316"/>
      <c r="CLD10" s="316"/>
      <c r="CLE10" s="316"/>
      <c r="CLF10" s="316"/>
      <c r="CLG10" s="316"/>
      <c r="CLH10" s="316"/>
      <c r="CLI10" s="316"/>
      <c r="CLJ10" s="316"/>
      <c r="CLK10" s="316"/>
      <c r="CLL10" s="316"/>
      <c r="CLM10" s="316"/>
      <c r="CLN10" s="316"/>
      <c r="CLO10" s="316"/>
      <c r="CLP10" s="316"/>
      <c r="CLQ10" s="316"/>
      <c r="CLR10" s="316"/>
      <c r="CLS10" s="316"/>
      <c r="CLT10" s="316"/>
      <c r="CLU10" s="316"/>
      <c r="CLV10" s="316"/>
      <c r="CLW10" s="316"/>
      <c r="CLX10" s="316"/>
      <c r="CLY10" s="316"/>
      <c r="CLZ10" s="316"/>
      <c r="CMA10" s="316"/>
      <c r="CMB10" s="316"/>
      <c r="CMC10" s="316"/>
      <c r="CMD10" s="316"/>
      <c r="CME10" s="316"/>
      <c r="CMF10" s="316"/>
      <c r="CMG10" s="316"/>
      <c r="CMH10" s="316"/>
      <c r="CMI10" s="316"/>
      <c r="CMJ10" s="316"/>
      <c r="CMK10" s="316"/>
      <c r="CML10" s="316"/>
      <c r="CMM10" s="316"/>
      <c r="CMN10" s="316"/>
      <c r="CMO10" s="316"/>
      <c r="CMP10" s="316"/>
      <c r="CMQ10" s="316"/>
      <c r="CMR10" s="316"/>
      <c r="CMS10" s="316"/>
      <c r="CMT10" s="316"/>
      <c r="CMU10" s="316"/>
      <c r="CMV10" s="316"/>
      <c r="CMW10" s="316"/>
      <c r="CMX10" s="316"/>
      <c r="CMY10" s="316"/>
      <c r="CMZ10" s="316"/>
      <c r="CNA10" s="316"/>
      <c r="CNB10" s="316"/>
      <c r="CNC10" s="316"/>
      <c r="CND10" s="316"/>
      <c r="CNE10" s="316"/>
      <c r="CNF10" s="316"/>
      <c r="CNG10" s="316"/>
      <c r="CNH10" s="316"/>
      <c r="CNI10" s="316"/>
      <c r="CNJ10" s="316"/>
      <c r="CNK10" s="316"/>
      <c r="CNL10" s="316"/>
      <c r="CNM10" s="316"/>
      <c r="CNN10" s="316"/>
      <c r="CNO10" s="316"/>
      <c r="CNP10" s="316"/>
      <c r="CNQ10" s="316"/>
      <c r="CNR10" s="316"/>
      <c r="CNS10" s="316"/>
      <c r="CNT10" s="316"/>
      <c r="CNU10" s="316"/>
      <c r="CNV10" s="316"/>
      <c r="CNW10" s="316"/>
      <c r="CNX10" s="316"/>
      <c r="CNY10" s="316"/>
      <c r="CNZ10" s="316"/>
      <c r="COA10" s="316"/>
      <c r="COB10" s="316"/>
      <c r="COC10" s="316"/>
      <c r="COD10" s="316"/>
      <c r="COE10" s="316"/>
      <c r="COF10" s="316"/>
      <c r="COG10" s="316"/>
      <c r="COH10" s="316"/>
      <c r="COI10" s="316"/>
      <c r="COJ10" s="316"/>
      <c r="COK10" s="316"/>
      <c r="COL10" s="316"/>
      <c r="COM10" s="316"/>
      <c r="CON10" s="316"/>
      <c r="COO10" s="316"/>
      <c r="COP10" s="316"/>
      <c r="COQ10" s="316"/>
      <c r="COR10" s="316"/>
      <c r="COS10" s="316"/>
      <c r="COT10" s="316"/>
      <c r="COU10" s="316"/>
      <c r="COV10" s="316"/>
      <c r="COW10" s="316"/>
      <c r="COX10" s="316"/>
      <c r="COY10" s="316"/>
      <c r="COZ10" s="316"/>
      <c r="CPA10" s="316"/>
      <c r="CPB10" s="316"/>
      <c r="CPC10" s="316"/>
      <c r="CPD10" s="316"/>
      <c r="CPE10" s="316"/>
      <c r="CPF10" s="316"/>
      <c r="CPG10" s="316"/>
      <c r="CPH10" s="316"/>
      <c r="CPI10" s="316"/>
      <c r="CPJ10" s="316"/>
      <c r="CPK10" s="316"/>
      <c r="CPL10" s="316"/>
      <c r="CPM10" s="316"/>
      <c r="CPN10" s="316"/>
      <c r="CPO10" s="316"/>
      <c r="CPP10" s="316"/>
      <c r="CPQ10" s="316"/>
      <c r="CPR10" s="316"/>
      <c r="CPS10" s="316"/>
      <c r="CPT10" s="316"/>
      <c r="CPU10" s="316"/>
      <c r="CPV10" s="316"/>
      <c r="CPW10" s="316"/>
      <c r="CPX10" s="316"/>
      <c r="CPY10" s="316"/>
      <c r="CPZ10" s="316"/>
      <c r="CQA10" s="316"/>
      <c r="CQB10" s="316"/>
      <c r="CQC10" s="316"/>
      <c r="CQD10" s="316"/>
      <c r="CQE10" s="316"/>
      <c r="CQF10" s="316"/>
      <c r="CQG10" s="316"/>
      <c r="CQH10" s="316"/>
      <c r="CQI10" s="316"/>
      <c r="CQJ10" s="316"/>
      <c r="CQK10" s="316"/>
      <c r="CQL10" s="316"/>
      <c r="CQM10" s="316"/>
      <c r="CQN10" s="316"/>
      <c r="CQO10" s="316"/>
      <c r="CQP10" s="316"/>
      <c r="CQQ10" s="316"/>
      <c r="CQR10" s="316"/>
      <c r="CQS10" s="316"/>
      <c r="CQT10" s="316"/>
      <c r="CQU10" s="316"/>
      <c r="CQV10" s="316"/>
      <c r="CQW10" s="316"/>
      <c r="CQX10" s="316"/>
      <c r="CQY10" s="316"/>
      <c r="CQZ10" s="316"/>
      <c r="CRA10" s="316"/>
      <c r="CRB10" s="316"/>
      <c r="CRC10" s="316"/>
      <c r="CRD10" s="316"/>
      <c r="CRE10" s="316"/>
      <c r="CRF10" s="316"/>
      <c r="CRG10" s="316"/>
      <c r="CRH10" s="316"/>
      <c r="CRI10" s="316"/>
      <c r="CRJ10" s="316"/>
      <c r="CRK10" s="316"/>
      <c r="CRL10" s="316"/>
      <c r="CRM10" s="316"/>
      <c r="CRN10" s="316"/>
      <c r="CRO10" s="316"/>
      <c r="CRP10" s="316"/>
      <c r="CRQ10" s="316"/>
      <c r="CRR10" s="316"/>
      <c r="CRS10" s="316"/>
      <c r="CRT10" s="316"/>
      <c r="CRU10" s="316"/>
      <c r="CRV10" s="316"/>
      <c r="CRW10" s="316"/>
      <c r="CRX10" s="316"/>
      <c r="CRY10" s="316"/>
      <c r="CRZ10" s="316"/>
      <c r="CSA10" s="316"/>
      <c r="CSB10" s="316"/>
      <c r="CSC10" s="316"/>
      <c r="CSD10" s="316"/>
      <c r="CSE10" s="316"/>
      <c r="CSF10" s="316"/>
      <c r="CSG10" s="316"/>
      <c r="CSH10" s="316"/>
      <c r="CSI10" s="316"/>
      <c r="CSJ10" s="316"/>
      <c r="CSK10" s="316"/>
      <c r="CSL10" s="316"/>
      <c r="CSM10" s="316"/>
      <c r="CSN10" s="316"/>
      <c r="CSO10" s="316"/>
      <c r="CSP10" s="316"/>
      <c r="CSQ10" s="316"/>
      <c r="CSR10" s="316"/>
      <c r="CSS10" s="316"/>
      <c r="CST10" s="316"/>
      <c r="CSU10" s="316"/>
      <c r="CSV10" s="316"/>
      <c r="CSW10" s="316"/>
      <c r="CSX10" s="316"/>
      <c r="CSY10" s="316"/>
      <c r="CSZ10" s="316"/>
      <c r="CTA10" s="316"/>
      <c r="CTB10" s="316"/>
      <c r="CTC10" s="316"/>
      <c r="CTD10" s="316"/>
      <c r="CTE10" s="316"/>
      <c r="CTF10" s="316"/>
      <c r="CTG10" s="316"/>
      <c r="CTH10" s="316"/>
      <c r="CTI10" s="316"/>
      <c r="CTJ10" s="316"/>
      <c r="CTK10" s="316"/>
      <c r="CTL10" s="316"/>
      <c r="CTM10" s="316"/>
      <c r="CTN10" s="316"/>
      <c r="CTO10" s="316"/>
      <c r="CTP10" s="316"/>
      <c r="CTQ10" s="316"/>
      <c r="CTR10" s="316"/>
      <c r="CTS10" s="316"/>
      <c r="CTT10" s="316"/>
      <c r="CTU10" s="316"/>
      <c r="CTV10" s="316"/>
      <c r="CTW10" s="316"/>
      <c r="CTX10" s="316"/>
      <c r="CTY10" s="316"/>
      <c r="CTZ10" s="316"/>
      <c r="CUA10" s="316"/>
      <c r="CUB10" s="316"/>
      <c r="CUC10" s="316"/>
      <c r="CUD10" s="316"/>
      <c r="CUE10" s="316"/>
      <c r="CUF10" s="316"/>
      <c r="CUG10" s="316"/>
      <c r="CUH10" s="316"/>
      <c r="CUI10" s="316"/>
      <c r="CUJ10" s="316"/>
      <c r="CUK10" s="316"/>
      <c r="CUL10" s="316"/>
      <c r="CUM10" s="316"/>
      <c r="CUN10" s="316"/>
      <c r="CUO10" s="316"/>
      <c r="CUP10" s="316"/>
      <c r="CUQ10" s="316"/>
      <c r="CUR10" s="316"/>
      <c r="CUS10" s="316"/>
      <c r="CUT10" s="316"/>
      <c r="CUU10" s="316"/>
      <c r="CUV10" s="316"/>
      <c r="CUW10" s="316"/>
      <c r="CUX10" s="316"/>
      <c r="CUY10" s="316"/>
      <c r="CUZ10" s="316"/>
      <c r="CVA10" s="316"/>
      <c r="CVB10" s="316"/>
      <c r="CVC10" s="316"/>
      <c r="CVD10" s="316"/>
      <c r="CVE10" s="316"/>
      <c r="CVF10" s="316"/>
      <c r="CVG10" s="316"/>
      <c r="CVH10" s="316"/>
      <c r="CVI10" s="316"/>
      <c r="CVJ10" s="316"/>
      <c r="CVK10" s="316"/>
      <c r="CVL10" s="316"/>
      <c r="CVM10" s="316"/>
      <c r="CVN10" s="316"/>
      <c r="CVO10" s="316"/>
      <c r="CVP10" s="316"/>
      <c r="CVQ10" s="316"/>
      <c r="CVR10" s="316"/>
      <c r="CVS10" s="316"/>
      <c r="CVT10" s="316"/>
      <c r="CVU10" s="316"/>
      <c r="CVV10" s="316"/>
      <c r="CVW10" s="316"/>
      <c r="CVX10" s="316"/>
      <c r="CVY10" s="316"/>
      <c r="CVZ10" s="316"/>
      <c r="CWA10" s="316"/>
      <c r="CWB10" s="316"/>
      <c r="CWC10" s="316"/>
      <c r="CWD10" s="316"/>
      <c r="CWE10" s="316"/>
      <c r="CWF10" s="316"/>
      <c r="CWG10" s="316"/>
      <c r="CWH10" s="316"/>
      <c r="CWI10" s="316"/>
      <c r="CWJ10" s="316"/>
      <c r="CWK10" s="316"/>
      <c r="CWL10" s="316"/>
      <c r="CWM10" s="316"/>
      <c r="CWN10" s="316"/>
      <c r="CWO10" s="316"/>
      <c r="CWP10" s="316"/>
      <c r="CWQ10" s="316"/>
      <c r="CWR10" s="316"/>
      <c r="CWS10" s="316"/>
      <c r="CWT10" s="316"/>
      <c r="CWU10" s="316"/>
      <c r="CWV10" s="316"/>
      <c r="CWW10" s="316"/>
      <c r="CWX10" s="316"/>
      <c r="CWY10" s="316"/>
      <c r="CWZ10" s="316"/>
      <c r="CXA10" s="316"/>
      <c r="CXB10" s="316"/>
      <c r="CXC10" s="316"/>
      <c r="CXD10" s="316"/>
      <c r="CXE10" s="316"/>
      <c r="CXF10" s="316"/>
      <c r="CXG10" s="316"/>
      <c r="CXH10" s="316"/>
      <c r="CXI10" s="316"/>
      <c r="CXJ10" s="316"/>
      <c r="CXK10" s="316"/>
      <c r="CXL10" s="316"/>
      <c r="CXM10" s="316"/>
      <c r="CXN10" s="316"/>
      <c r="CXO10" s="316"/>
      <c r="CXP10" s="316"/>
      <c r="CXQ10" s="316"/>
      <c r="CXR10" s="316"/>
      <c r="CXS10" s="316"/>
      <c r="CXT10" s="316"/>
      <c r="CXU10" s="316"/>
      <c r="CXV10" s="316"/>
      <c r="CXW10" s="316"/>
      <c r="CXX10" s="316"/>
      <c r="CXY10" s="316"/>
      <c r="CXZ10" s="316"/>
      <c r="CYA10" s="316"/>
      <c r="CYB10" s="316"/>
      <c r="CYC10" s="316"/>
      <c r="CYD10" s="316"/>
      <c r="CYE10" s="316"/>
      <c r="CYF10" s="316"/>
      <c r="CYG10" s="316"/>
      <c r="CYH10" s="316"/>
      <c r="CYI10" s="316"/>
      <c r="CYJ10" s="316"/>
      <c r="CYK10" s="316"/>
      <c r="CYL10" s="316"/>
      <c r="CYM10" s="316"/>
      <c r="CYN10" s="316"/>
      <c r="CYO10" s="316"/>
      <c r="CYP10" s="316"/>
      <c r="CYQ10" s="316"/>
      <c r="CYR10" s="316"/>
      <c r="CYS10" s="316"/>
      <c r="CYT10" s="316"/>
      <c r="CYU10" s="316"/>
      <c r="CYV10" s="316"/>
      <c r="CYW10" s="316"/>
      <c r="CYX10" s="316"/>
      <c r="CYY10" s="316"/>
      <c r="CYZ10" s="316"/>
      <c r="CZA10" s="316"/>
      <c r="CZB10" s="316"/>
      <c r="CZC10" s="316"/>
      <c r="CZD10" s="316"/>
      <c r="CZE10" s="316"/>
      <c r="CZF10" s="316"/>
      <c r="CZG10" s="316"/>
      <c r="CZH10" s="316"/>
      <c r="CZI10" s="316"/>
      <c r="CZJ10" s="316"/>
      <c r="CZK10" s="316"/>
      <c r="CZL10" s="316"/>
      <c r="CZM10" s="316"/>
      <c r="CZN10" s="316"/>
      <c r="CZO10" s="316"/>
      <c r="CZP10" s="316"/>
      <c r="CZQ10" s="316"/>
      <c r="CZR10" s="316"/>
      <c r="CZS10" s="316"/>
      <c r="CZT10" s="316"/>
      <c r="CZU10" s="316"/>
      <c r="CZV10" s="316"/>
      <c r="CZW10" s="316"/>
      <c r="CZX10" s="316"/>
      <c r="CZY10" s="316"/>
      <c r="CZZ10" s="316"/>
      <c r="DAA10" s="316"/>
      <c r="DAB10" s="316"/>
      <c r="DAC10" s="316"/>
      <c r="DAD10" s="316"/>
      <c r="DAE10" s="316"/>
      <c r="DAF10" s="316"/>
      <c r="DAG10" s="316"/>
      <c r="DAH10" s="316"/>
      <c r="DAI10" s="316"/>
      <c r="DAJ10" s="316"/>
      <c r="DAK10" s="316"/>
      <c r="DAL10" s="316"/>
      <c r="DAM10" s="316"/>
      <c r="DAN10" s="316"/>
      <c r="DAO10" s="316"/>
      <c r="DAP10" s="316"/>
      <c r="DAQ10" s="316"/>
      <c r="DAR10" s="316"/>
      <c r="DAS10" s="316"/>
      <c r="DAT10" s="316"/>
      <c r="DAU10" s="316"/>
      <c r="DAV10" s="316"/>
      <c r="DAW10" s="316"/>
      <c r="DAX10" s="316"/>
      <c r="DAY10" s="316"/>
      <c r="DAZ10" s="316"/>
      <c r="DBA10" s="316"/>
      <c r="DBB10" s="316"/>
      <c r="DBC10" s="316"/>
      <c r="DBD10" s="316"/>
      <c r="DBE10" s="316"/>
      <c r="DBF10" s="316"/>
      <c r="DBG10" s="316"/>
      <c r="DBH10" s="316"/>
      <c r="DBI10" s="316"/>
      <c r="DBJ10" s="316"/>
      <c r="DBK10" s="316"/>
      <c r="DBL10" s="316"/>
      <c r="DBM10" s="316"/>
      <c r="DBN10" s="316"/>
      <c r="DBO10" s="316"/>
      <c r="DBP10" s="316"/>
      <c r="DBQ10" s="316"/>
      <c r="DBR10" s="316"/>
      <c r="DBS10" s="316"/>
      <c r="DBT10" s="316"/>
      <c r="DBU10" s="316"/>
      <c r="DBV10" s="316"/>
      <c r="DBW10" s="316"/>
      <c r="DBX10" s="316"/>
      <c r="DBY10" s="316"/>
      <c r="DBZ10" s="316"/>
      <c r="DCA10" s="316"/>
      <c r="DCB10" s="316"/>
      <c r="DCC10" s="316"/>
      <c r="DCD10" s="316"/>
      <c r="DCE10" s="316"/>
      <c r="DCF10" s="316"/>
      <c r="DCG10" s="316"/>
      <c r="DCH10" s="316"/>
      <c r="DCI10" s="316"/>
      <c r="DCJ10" s="316"/>
      <c r="DCK10" s="316"/>
      <c r="DCL10" s="316"/>
      <c r="DCM10" s="316"/>
      <c r="DCN10" s="316"/>
      <c r="DCO10" s="316"/>
      <c r="DCP10" s="316"/>
      <c r="DCQ10" s="316"/>
      <c r="DCR10" s="316"/>
      <c r="DCS10" s="316"/>
      <c r="DCT10" s="316"/>
      <c r="DCU10" s="316"/>
      <c r="DCV10" s="316"/>
      <c r="DCW10" s="316"/>
      <c r="DCX10" s="316"/>
      <c r="DCY10" s="316"/>
      <c r="DCZ10" s="316"/>
      <c r="DDA10" s="316"/>
      <c r="DDB10" s="316"/>
      <c r="DDC10" s="316"/>
      <c r="DDD10" s="316"/>
      <c r="DDE10" s="316"/>
      <c r="DDF10" s="316"/>
      <c r="DDG10" s="316"/>
      <c r="DDH10" s="316"/>
      <c r="DDI10" s="316"/>
      <c r="DDJ10" s="316"/>
      <c r="DDK10" s="316"/>
      <c r="DDL10" s="316"/>
      <c r="DDM10" s="316"/>
      <c r="DDN10" s="316"/>
      <c r="DDO10" s="316"/>
      <c r="DDP10" s="316"/>
      <c r="DDQ10" s="316"/>
      <c r="DDR10" s="316"/>
      <c r="DDS10" s="316"/>
      <c r="DDT10" s="316"/>
      <c r="DDU10" s="316"/>
      <c r="DDV10" s="316"/>
      <c r="DDW10" s="316"/>
      <c r="DDX10" s="316"/>
      <c r="DDY10" s="316"/>
      <c r="DDZ10" s="316"/>
      <c r="DEA10" s="316"/>
      <c r="DEB10" s="316"/>
      <c r="DEC10" s="316"/>
      <c r="DED10" s="316"/>
      <c r="DEE10" s="316"/>
      <c r="DEF10" s="316"/>
      <c r="DEG10" s="316"/>
      <c r="DEH10" s="316"/>
      <c r="DEI10" s="316"/>
      <c r="DEJ10" s="316"/>
      <c r="DEK10" s="316"/>
      <c r="DEL10" s="316"/>
      <c r="DEM10" s="316"/>
      <c r="DEN10" s="316"/>
      <c r="DEO10" s="316"/>
      <c r="DEP10" s="316"/>
      <c r="DEQ10" s="316"/>
      <c r="DER10" s="316"/>
      <c r="DES10" s="316"/>
      <c r="DET10" s="316"/>
      <c r="DEU10" s="316"/>
      <c r="DEV10" s="316"/>
      <c r="DEW10" s="316"/>
      <c r="DEX10" s="316"/>
      <c r="DEY10" s="316"/>
      <c r="DEZ10" s="316"/>
      <c r="DFA10" s="316"/>
      <c r="DFB10" s="316"/>
      <c r="DFC10" s="316"/>
      <c r="DFD10" s="316"/>
      <c r="DFE10" s="316"/>
      <c r="DFF10" s="316"/>
      <c r="DFG10" s="316"/>
      <c r="DFH10" s="316"/>
      <c r="DFI10" s="316"/>
      <c r="DFJ10" s="316"/>
      <c r="DFK10" s="316"/>
      <c r="DFL10" s="316"/>
      <c r="DFM10" s="316"/>
      <c r="DFN10" s="316"/>
      <c r="DFO10" s="316"/>
      <c r="DFP10" s="316"/>
      <c r="DFQ10" s="316"/>
      <c r="DFR10" s="316"/>
      <c r="DFS10" s="316"/>
      <c r="DFT10" s="316"/>
      <c r="DFU10" s="316"/>
      <c r="DFV10" s="316"/>
      <c r="DFW10" s="316"/>
      <c r="DFX10" s="316"/>
      <c r="DFY10" s="316"/>
      <c r="DFZ10" s="316"/>
      <c r="DGA10" s="316"/>
      <c r="DGB10" s="316"/>
      <c r="DGC10" s="316"/>
      <c r="DGD10" s="316"/>
      <c r="DGE10" s="316"/>
      <c r="DGF10" s="316"/>
      <c r="DGG10" s="316"/>
      <c r="DGH10" s="316"/>
      <c r="DGI10" s="316"/>
      <c r="DGJ10" s="316"/>
      <c r="DGK10" s="316"/>
      <c r="DGL10" s="316"/>
      <c r="DGM10" s="316"/>
      <c r="DGN10" s="316"/>
      <c r="DGO10" s="316"/>
      <c r="DGP10" s="316"/>
      <c r="DGQ10" s="316"/>
      <c r="DGR10" s="316"/>
      <c r="DGS10" s="316"/>
      <c r="DGT10" s="316"/>
      <c r="DGU10" s="316"/>
      <c r="DGV10" s="316"/>
      <c r="DGW10" s="316"/>
      <c r="DGX10" s="316"/>
      <c r="DGY10" s="316"/>
      <c r="DGZ10" s="316"/>
      <c r="DHA10" s="316"/>
      <c r="DHB10" s="316"/>
      <c r="DHC10" s="316"/>
      <c r="DHD10" s="316"/>
      <c r="DHE10" s="316"/>
      <c r="DHF10" s="316"/>
      <c r="DHG10" s="316"/>
      <c r="DHH10" s="316"/>
      <c r="DHI10" s="316"/>
      <c r="DHJ10" s="316"/>
      <c r="DHK10" s="316"/>
      <c r="DHL10" s="316"/>
      <c r="DHM10" s="316"/>
      <c r="DHN10" s="316"/>
      <c r="DHO10" s="316"/>
      <c r="DHP10" s="316"/>
      <c r="DHQ10" s="316"/>
      <c r="DHR10" s="316"/>
      <c r="DHS10" s="316"/>
      <c r="DHT10" s="316"/>
      <c r="DHU10" s="316"/>
      <c r="DHV10" s="316"/>
      <c r="DHW10" s="316"/>
      <c r="DHX10" s="316"/>
      <c r="DHY10" s="316"/>
      <c r="DHZ10" s="316"/>
      <c r="DIA10" s="316"/>
      <c r="DIB10" s="316"/>
      <c r="DIC10" s="316"/>
      <c r="DID10" s="316"/>
      <c r="DIE10" s="316"/>
      <c r="DIF10" s="316"/>
      <c r="DIG10" s="316"/>
      <c r="DIH10" s="316"/>
      <c r="DII10" s="316"/>
      <c r="DIJ10" s="316"/>
      <c r="DIK10" s="316"/>
      <c r="DIL10" s="316"/>
      <c r="DIM10" s="316"/>
      <c r="DIN10" s="316"/>
      <c r="DIO10" s="316"/>
      <c r="DIP10" s="316"/>
      <c r="DIQ10" s="316"/>
      <c r="DIR10" s="316"/>
      <c r="DIS10" s="316"/>
      <c r="DIT10" s="316"/>
      <c r="DIU10" s="316"/>
      <c r="DIV10" s="316"/>
      <c r="DIW10" s="316"/>
      <c r="DIX10" s="316"/>
      <c r="DIY10" s="316"/>
      <c r="DIZ10" s="316"/>
      <c r="DJA10" s="316"/>
      <c r="DJB10" s="316"/>
      <c r="DJC10" s="316"/>
      <c r="DJD10" s="316"/>
      <c r="DJE10" s="316"/>
      <c r="DJF10" s="316"/>
      <c r="DJG10" s="316"/>
      <c r="DJH10" s="316"/>
      <c r="DJI10" s="316"/>
      <c r="DJJ10" s="316"/>
      <c r="DJK10" s="316"/>
      <c r="DJL10" s="316"/>
      <c r="DJM10" s="316"/>
      <c r="DJN10" s="316"/>
      <c r="DJO10" s="316"/>
      <c r="DJP10" s="316"/>
      <c r="DJQ10" s="316"/>
      <c r="DJR10" s="316"/>
      <c r="DJS10" s="316"/>
      <c r="DJT10" s="316"/>
      <c r="DJU10" s="316"/>
      <c r="DJV10" s="316"/>
      <c r="DJW10" s="316"/>
      <c r="DJX10" s="316"/>
      <c r="DJY10" s="316"/>
      <c r="DJZ10" s="316"/>
      <c r="DKA10" s="316"/>
      <c r="DKB10" s="316"/>
      <c r="DKC10" s="316"/>
      <c r="DKD10" s="316"/>
      <c r="DKE10" s="316"/>
      <c r="DKF10" s="316"/>
      <c r="DKG10" s="316"/>
      <c r="DKH10" s="316"/>
      <c r="DKI10" s="316"/>
      <c r="DKJ10" s="316"/>
      <c r="DKK10" s="316"/>
      <c r="DKL10" s="316"/>
      <c r="DKM10" s="316"/>
      <c r="DKN10" s="316"/>
      <c r="DKO10" s="316"/>
      <c r="DKP10" s="316"/>
      <c r="DKQ10" s="316"/>
      <c r="DKR10" s="316"/>
      <c r="DKS10" s="316"/>
      <c r="DKT10" s="316"/>
      <c r="DKU10" s="316"/>
      <c r="DKV10" s="316"/>
      <c r="DKW10" s="316"/>
      <c r="DKX10" s="316"/>
      <c r="DKY10" s="316"/>
      <c r="DKZ10" s="316"/>
      <c r="DLA10" s="316"/>
      <c r="DLB10" s="316"/>
      <c r="DLC10" s="316"/>
      <c r="DLD10" s="316"/>
      <c r="DLE10" s="316"/>
      <c r="DLF10" s="316"/>
      <c r="DLG10" s="316"/>
      <c r="DLH10" s="316"/>
      <c r="DLI10" s="316"/>
      <c r="DLJ10" s="316"/>
      <c r="DLK10" s="316"/>
      <c r="DLL10" s="316"/>
      <c r="DLM10" s="316"/>
      <c r="DLN10" s="316"/>
      <c r="DLO10" s="316"/>
      <c r="DLP10" s="316"/>
      <c r="DLQ10" s="316"/>
      <c r="DLR10" s="316"/>
      <c r="DLS10" s="316"/>
      <c r="DLT10" s="316"/>
      <c r="DLU10" s="316"/>
      <c r="DLV10" s="316"/>
      <c r="DLW10" s="316"/>
      <c r="DLX10" s="316"/>
      <c r="DLY10" s="316"/>
      <c r="DLZ10" s="316"/>
      <c r="DMA10" s="316"/>
      <c r="DMB10" s="316"/>
      <c r="DMC10" s="316"/>
      <c r="DMD10" s="316"/>
      <c r="DME10" s="316"/>
      <c r="DMF10" s="316"/>
      <c r="DMG10" s="316"/>
      <c r="DMH10" s="316"/>
      <c r="DMI10" s="316"/>
      <c r="DMJ10" s="316"/>
      <c r="DMK10" s="316"/>
      <c r="DML10" s="316"/>
      <c r="DMM10" s="316"/>
      <c r="DMN10" s="316"/>
      <c r="DMO10" s="316"/>
      <c r="DMP10" s="316"/>
      <c r="DMQ10" s="316"/>
      <c r="DMR10" s="316"/>
      <c r="DMS10" s="316"/>
      <c r="DMT10" s="316"/>
      <c r="DMU10" s="316"/>
      <c r="DMV10" s="316"/>
      <c r="DMW10" s="316"/>
      <c r="DMX10" s="316"/>
      <c r="DMY10" s="316"/>
      <c r="DMZ10" s="316"/>
      <c r="DNA10" s="316"/>
      <c r="DNB10" s="316"/>
      <c r="DNC10" s="316"/>
      <c r="DND10" s="316"/>
      <c r="DNE10" s="316"/>
      <c r="DNF10" s="316"/>
      <c r="DNG10" s="316"/>
      <c r="DNH10" s="316"/>
      <c r="DNI10" s="316"/>
      <c r="DNJ10" s="316"/>
      <c r="DNK10" s="316"/>
      <c r="DNL10" s="316"/>
      <c r="DNM10" s="316"/>
      <c r="DNN10" s="316"/>
      <c r="DNO10" s="316"/>
      <c r="DNP10" s="316"/>
      <c r="DNQ10" s="316"/>
      <c r="DNR10" s="316"/>
      <c r="DNS10" s="316"/>
      <c r="DNT10" s="316"/>
      <c r="DNU10" s="316"/>
      <c r="DNV10" s="316"/>
      <c r="DNW10" s="316"/>
      <c r="DNX10" s="316"/>
      <c r="DNY10" s="316"/>
      <c r="DNZ10" s="316"/>
      <c r="DOA10" s="316"/>
      <c r="DOB10" s="316"/>
      <c r="DOC10" s="316"/>
      <c r="DOD10" s="316"/>
      <c r="DOE10" s="316"/>
      <c r="DOF10" s="316"/>
      <c r="DOG10" s="316"/>
      <c r="DOH10" s="316"/>
      <c r="DOI10" s="316"/>
      <c r="DOJ10" s="316"/>
      <c r="DOK10" s="316"/>
      <c r="DOL10" s="316"/>
      <c r="DOM10" s="316"/>
      <c r="DON10" s="316"/>
      <c r="DOO10" s="316"/>
      <c r="DOP10" s="316"/>
      <c r="DOQ10" s="316"/>
      <c r="DOR10" s="316"/>
      <c r="DOS10" s="316"/>
      <c r="DOT10" s="316"/>
      <c r="DOU10" s="316"/>
      <c r="DOV10" s="316"/>
      <c r="DOW10" s="316"/>
      <c r="DOX10" s="316"/>
      <c r="DOY10" s="316"/>
      <c r="DOZ10" s="316"/>
      <c r="DPA10" s="316"/>
      <c r="DPB10" s="316"/>
      <c r="DPC10" s="316"/>
      <c r="DPD10" s="316"/>
      <c r="DPE10" s="316"/>
      <c r="DPF10" s="316"/>
      <c r="DPG10" s="316"/>
      <c r="DPH10" s="316"/>
      <c r="DPI10" s="316"/>
      <c r="DPJ10" s="316"/>
      <c r="DPK10" s="316"/>
      <c r="DPL10" s="316"/>
      <c r="DPM10" s="316"/>
      <c r="DPN10" s="316"/>
      <c r="DPO10" s="316"/>
      <c r="DPP10" s="316"/>
      <c r="DPQ10" s="316"/>
      <c r="DPR10" s="316"/>
      <c r="DPS10" s="316"/>
      <c r="DPT10" s="316"/>
      <c r="DPU10" s="316"/>
      <c r="DPV10" s="316"/>
      <c r="DPW10" s="316"/>
      <c r="DPX10" s="316"/>
      <c r="DPY10" s="316"/>
      <c r="DPZ10" s="316"/>
      <c r="DQA10" s="316"/>
      <c r="DQB10" s="316"/>
      <c r="DQC10" s="316"/>
      <c r="DQD10" s="316"/>
      <c r="DQE10" s="316"/>
      <c r="DQF10" s="316"/>
      <c r="DQG10" s="316"/>
      <c r="DQH10" s="316"/>
      <c r="DQI10" s="316"/>
      <c r="DQJ10" s="316"/>
      <c r="DQK10" s="316"/>
      <c r="DQL10" s="316"/>
      <c r="DQM10" s="316"/>
      <c r="DQN10" s="316"/>
      <c r="DQO10" s="316"/>
      <c r="DQP10" s="316"/>
      <c r="DQQ10" s="316"/>
      <c r="DQR10" s="316"/>
      <c r="DQS10" s="316"/>
      <c r="DQT10" s="316"/>
      <c r="DQU10" s="316"/>
      <c r="DQV10" s="316"/>
      <c r="DQW10" s="316"/>
      <c r="DQX10" s="316"/>
      <c r="DQY10" s="316"/>
      <c r="DQZ10" s="316"/>
      <c r="DRA10" s="316"/>
      <c r="DRB10" s="316"/>
      <c r="DRC10" s="316"/>
      <c r="DRD10" s="316"/>
      <c r="DRE10" s="316"/>
      <c r="DRF10" s="316"/>
      <c r="DRG10" s="316"/>
      <c r="DRH10" s="316"/>
      <c r="DRI10" s="316"/>
      <c r="DRJ10" s="316"/>
      <c r="DRK10" s="316"/>
      <c r="DRL10" s="316"/>
      <c r="DRM10" s="316"/>
      <c r="DRN10" s="316"/>
      <c r="DRO10" s="316"/>
      <c r="DRP10" s="316"/>
      <c r="DRQ10" s="316"/>
      <c r="DRR10" s="316"/>
      <c r="DRS10" s="316"/>
      <c r="DRT10" s="316"/>
      <c r="DRU10" s="316"/>
      <c r="DRV10" s="316"/>
      <c r="DRW10" s="316"/>
      <c r="DRX10" s="316"/>
      <c r="DRY10" s="316"/>
      <c r="DRZ10" s="316"/>
      <c r="DSA10" s="316"/>
      <c r="DSB10" s="316"/>
      <c r="DSC10" s="316"/>
      <c r="DSD10" s="316"/>
      <c r="DSE10" s="316"/>
      <c r="DSF10" s="316"/>
      <c r="DSG10" s="316"/>
      <c r="DSH10" s="316"/>
      <c r="DSI10" s="316"/>
      <c r="DSJ10" s="316"/>
      <c r="DSK10" s="316"/>
      <c r="DSL10" s="316"/>
      <c r="DSM10" s="316"/>
      <c r="DSN10" s="316"/>
      <c r="DSO10" s="316"/>
      <c r="DSP10" s="316"/>
      <c r="DSQ10" s="316"/>
      <c r="DSR10" s="316"/>
      <c r="DSS10" s="316"/>
      <c r="DST10" s="316"/>
      <c r="DSU10" s="316"/>
      <c r="DSV10" s="316"/>
      <c r="DSW10" s="316"/>
      <c r="DSX10" s="316"/>
      <c r="DSY10" s="316"/>
      <c r="DSZ10" s="316"/>
      <c r="DTA10" s="316"/>
      <c r="DTB10" s="316"/>
      <c r="DTC10" s="316"/>
      <c r="DTD10" s="316"/>
      <c r="DTE10" s="316"/>
      <c r="DTF10" s="316"/>
      <c r="DTG10" s="316"/>
      <c r="DTH10" s="316"/>
      <c r="DTI10" s="316"/>
      <c r="DTJ10" s="316"/>
      <c r="DTK10" s="316"/>
      <c r="DTL10" s="316"/>
      <c r="DTM10" s="316"/>
      <c r="DTN10" s="316"/>
      <c r="DTO10" s="316"/>
      <c r="DTP10" s="316"/>
      <c r="DTQ10" s="316"/>
      <c r="DTR10" s="316"/>
      <c r="DTS10" s="316"/>
      <c r="DTT10" s="316"/>
      <c r="DTU10" s="316"/>
      <c r="DTV10" s="316"/>
      <c r="DTW10" s="316"/>
      <c r="DTX10" s="316"/>
      <c r="DTY10" s="316"/>
      <c r="DTZ10" s="316"/>
      <c r="DUA10" s="316"/>
      <c r="DUB10" s="316"/>
      <c r="DUC10" s="316"/>
      <c r="DUD10" s="316"/>
      <c r="DUE10" s="316"/>
      <c r="DUF10" s="316"/>
      <c r="DUG10" s="316"/>
      <c r="DUH10" s="316"/>
      <c r="DUI10" s="316"/>
      <c r="DUJ10" s="316"/>
      <c r="DUK10" s="316"/>
      <c r="DUL10" s="316"/>
      <c r="DUM10" s="316"/>
      <c r="DUN10" s="316"/>
      <c r="DUO10" s="316"/>
      <c r="DUP10" s="316"/>
      <c r="DUQ10" s="316"/>
      <c r="DUR10" s="316"/>
      <c r="DUS10" s="316"/>
      <c r="DUT10" s="316"/>
      <c r="DUU10" s="316"/>
      <c r="DUV10" s="316"/>
      <c r="DUW10" s="316"/>
      <c r="DUX10" s="316"/>
      <c r="DUY10" s="316"/>
      <c r="DUZ10" s="316"/>
      <c r="DVA10" s="316"/>
      <c r="DVB10" s="316"/>
      <c r="DVC10" s="316"/>
      <c r="DVD10" s="316"/>
      <c r="DVE10" s="316"/>
      <c r="DVF10" s="316"/>
      <c r="DVG10" s="316"/>
      <c r="DVH10" s="316"/>
      <c r="DVI10" s="316"/>
      <c r="DVJ10" s="316"/>
      <c r="DVK10" s="316"/>
      <c r="DVL10" s="316"/>
      <c r="DVM10" s="316"/>
      <c r="DVN10" s="316"/>
      <c r="DVO10" s="316"/>
      <c r="DVP10" s="316"/>
      <c r="DVQ10" s="316"/>
      <c r="DVR10" s="316"/>
      <c r="DVS10" s="316"/>
      <c r="DVT10" s="316"/>
      <c r="DVU10" s="316"/>
      <c r="DVV10" s="316"/>
      <c r="DVW10" s="316"/>
      <c r="DVX10" s="316"/>
      <c r="DVY10" s="316"/>
      <c r="DVZ10" s="316"/>
      <c r="DWA10" s="316"/>
      <c r="DWB10" s="316"/>
      <c r="DWC10" s="316"/>
      <c r="DWD10" s="316"/>
      <c r="DWE10" s="316"/>
      <c r="DWF10" s="316"/>
      <c r="DWG10" s="316"/>
      <c r="DWH10" s="316"/>
      <c r="DWI10" s="316"/>
      <c r="DWJ10" s="316"/>
      <c r="DWK10" s="316"/>
      <c r="DWL10" s="316"/>
      <c r="DWM10" s="316"/>
      <c r="DWN10" s="316"/>
      <c r="DWO10" s="316"/>
      <c r="DWP10" s="316"/>
      <c r="DWQ10" s="316"/>
      <c r="DWR10" s="316"/>
      <c r="DWS10" s="316"/>
      <c r="DWT10" s="316"/>
      <c r="DWU10" s="316"/>
      <c r="DWV10" s="316"/>
      <c r="DWW10" s="316"/>
      <c r="DWX10" s="316"/>
      <c r="DWY10" s="316"/>
      <c r="DWZ10" s="316"/>
      <c r="DXA10" s="316"/>
      <c r="DXB10" s="316"/>
      <c r="DXC10" s="316"/>
      <c r="DXD10" s="316"/>
      <c r="DXE10" s="316"/>
      <c r="DXF10" s="316"/>
      <c r="DXG10" s="316"/>
      <c r="DXH10" s="316"/>
      <c r="DXI10" s="316"/>
      <c r="DXJ10" s="316"/>
      <c r="DXK10" s="316"/>
      <c r="DXL10" s="316"/>
      <c r="DXM10" s="316"/>
      <c r="DXN10" s="316"/>
      <c r="DXO10" s="316"/>
      <c r="DXP10" s="316"/>
      <c r="DXQ10" s="316"/>
      <c r="DXR10" s="316"/>
      <c r="DXS10" s="316"/>
      <c r="DXT10" s="316"/>
      <c r="DXU10" s="316"/>
      <c r="DXV10" s="316"/>
      <c r="DXW10" s="316"/>
      <c r="DXX10" s="316"/>
      <c r="DXY10" s="316"/>
      <c r="DXZ10" s="316"/>
      <c r="DYA10" s="316"/>
      <c r="DYB10" s="316"/>
      <c r="DYC10" s="316"/>
      <c r="DYD10" s="316"/>
      <c r="DYE10" s="316"/>
      <c r="DYF10" s="316"/>
      <c r="DYG10" s="316"/>
      <c r="DYH10" s="316"/>
      <c r="DYI10" s="316"/>
      <c r="DYJ10" s="316"/>
      <c r="DYK10" s="316"/>
      <c r="DYL10" s="316"/>
      <c r="DYM10" s="316"/>
      <c r="DYN10" s="316"/>
      <c r="DYO10" s="316"/>
      <c r="DYP10" s="316"/>
      <c r="DYQ10" s="316"/>
      <c r="DYR10" s="316"/>
      <c r="DYS10" s="316"/>
      <c r="DYT10" s="316"/>
      <c r="DYU10" s="316"/>
      <c r="DYV10" s="316"/>
      <c r="DYW10" s="316"/>
      <c r="DYX10" s="316"/>
      <c r="DYY10" s="316"/>
      <c r="DYZ10" s="316"/>
      <c r="DZA10" s="316"/>
      <c r="DZB10" s="316"/>
      <c r="DZC10" s="316"/>
      <c r="DZD10" s="316"/>
      <c r="DZE10" s="316"/>
      <c r="DZF10" s="316"/>
      <c r="DZG10" s="316"/>
      <c r="DZH10" s="316"/>
      <c r="DZI10" s="316"/>
      <c r="DZJ10" s="316"/>
      <c r="DZK10" s="316"/>
      <c r="DZL10" s="316"/>
      <c r="DZM10" s="316"/>
      <c r="DZN10" s="316"/>
      <c r="DZO10" s="316"/>
      <c r="DZP10" s="316"/>
      <c r="DZQ10" s="316"/>
      <c r="DZR10" s="316"/>
      <c r="DZS10" s="316"/>
      <c r="DZT10" s="316"/>
      <c r="DZU10" s="316"/>
      <c r="DZV10" s="316"/>
      <c r="DZW10" s="316"/>
      <c r="DZX10" s="316"/>
      <c r="DZY10" s="316"/>
      <c r="DZZ10" s="316"/>
      <c r="EAA10" s="316"/>
      <c r="EAB10" s="316"/>
      <c r="EAC10" s="316"/>
      <c r="EAD10" s="316"/>
      <c r="EAE10" s="316"/>
      <c r="EAF10" s="316"/>
      <c r="EAG10" s="316"/>
      <c r="EAH10" s="316"/>
      <c r="EAI10" s="316"/>
      <c r="EAJ10" s="316"/>
      <c r="EAK10" s="316"/>
      <c r="EAL10" s="316"/>
      <c r="EAM10" s="316"/>
      <c r="EAN10" s="316"/>
      <c r="EAO10" s="316"/>
      <c r="EAP10" s="316"/>
      <c r="EAQ10" s="316"/>
      <c r="EAR10" s="316"/>
      <c r="EAS10" s="316"/>
      <c r="EAT10" s="316"/>
      <c r="EAU10" s="316"/>
      <c r="EAV10" s="316"/>
      <c r="EAW10" s="316"/>
      <c r="EAX10" s="316"/>
      <c r="EAY10" s="316"/>
      <c r="EAZ10" s="316"/>
      <c r="EBA10" s="316"/>
      <c r="EBB10" s="316"/>
      <c r="EBC10" s="316"/>
      <c r="EBD10" s="316"/>
      <c r="EBE10" s="316"/>
      <c r="EBF10" s="316"/>
      <c r="EBG10" s="316"/>
      <c r="EBH10" s="316"/>
      <c r="EBI10" s="316"/>
      <c r="EBJ10" s="316"/>
      <c r="EBK10" s="316"/>
      <c r="EBL10" s="316"/>
      <c r="EBM10" s="316"/>
      <c r="EBN10" s="316"/>
      <c r="EBO10" s="316"/>
      <c r="EBP10" s="316"/>
      <c r="EBQ10" s="316"/>
      <c r="EBR10" s="316"/>
      <c r="EBS10" s="316"/>
      <c r="EBT10" s="316"/>
      <c r="EBU10" s="316"/>
      <c r="EBV10" s="316"/>
      <c r="EBW10" s="316"/>
      <c r="EBX10" s="316"/>
      <c r="EBY10" s="316"/>
      <c r="EBZ10" s="316"/>
      <c r="ECA10" s="316"/>
      <c r="ECB10" s="316"/>
      <c r="ECC10" s="316"/>
      <c r="ECD10" s="316"/>
      <c r="ECE10" s="316"/>
      <c r="ECF10" s="316"/>
      <c r="ECG10" s="316"/>
      <c r="ECH10" s="316"/>
      <c r="ECI10" s="316"/>
      <c r="ECJ10" s="316"/>
      <c r="ECK10" s="316"/>
      <c r="ECL10" s="316"/>
      <c r="ECM10" s="316"/>
      <c r="ECN10" s="316"/>
      <c r="ECO10" s="316"/>
      <c r="ECP10" s="316"/>
      <c r="ECQ10" s="316"/>
      <c r="ECR10" s="316"/>
      <c r="ECS10" s="316"/>
      <c r="ECT10" s="316"/>
      <c r="ECU10" s="316"/>
      <c r="ECV10" s="316"/>
      <c r="ECW10" s="316"/>
      <c r="ECX10" s="316"/>
      <c r="ECY10" s="316"/>
      <c r="ECZ10" s="316"/>
      <c r="EDA10" s="316"/>
      <c r="EDB10" s="316"/>
      <c r="EDC10" s="316"/>
      <c r="EDD10" s="316"/>
      <c r="EDE10" s="316"/>
      <c r="EDF10" s="316"/>
      <c r="EDG10" s="316"/>
      <c r="EDH10" s="316"/>
      <c r="EDI10" s="316"/>
      <c r="EDJ10" s="316"/>
      <c r="EDK10" s="316"/>
      <c r="EDL10" s="316"/>
      <c r="EDM10" s="316"/>
      <c r="EDN10" s="316"/>
      <c r="EDO10" s="316"/>
      <c r="EDP10" s="316"/>
      <c r="EDQ10" s="316"/>
      <c r="EDR10" s="316"/>
      <c r="EDS10" s="316"/>
      <c r="EDT10" s="316"/>
      <c r="EDU10" s="316"/>
      <c r="EDV10" s="316"/>
      <c r="EDW10" s="316"/>
      <c r="EDX10" s="316"/>
      <c r="EDY10" s="316"/>
      <c r="EDZ10" s="316"/>
      <c r="EEA10" s="316"/>
      <c r="EEB10" s="316"/>
      <c r="EEC10" s="316"/>
      <c r="EED10" s="316"/>
      <c r="EEE10" s="316"/>
      <c r="EEF10" s="316"/>
      <c r="EEG10" s="316"/>
      <c r="EEH10" s="316"/>
      <c r="EEI10" s="316"/>
      <c r="EEJ10" s="316"/>
      <c r="EEK10" s="316"/>
      <c r="EEL10" s="316"/>
      <c r="EEM10" s="316"/>
      <c r="EEN10" s="316"/>
      <c r="EEO10" s="316"/>
      <c r="EEP10" s="316"/>
      <c r="EEQ10" s="316"/>
      <c r="EER10" s="316"/>
      <c r="EES10" s="316"/>
      <c r="EET10" s="316"/>
      <c r="EEU10" s="316"/>
      <c r="EEV10" s="316"/>
      <c r="EEW10" s="316"/>
      <c r="EEX10" s="316"/>
      <c r="EEY10" s="316"/>
      <c r="EEZ10" s="316"/>
      <c r="EFA10" s="316"/>
      <c r="EFB10" s="316"/>
      <c r="EFC10" s="316"/>
      <c r="EFD10" s="316"/>
      <c r="EFE10" s="316"/>
      <c r="EFF10" s="316"/>
      <c r="EFG10" s="316"/>
      <c r="EFH10" s="316"/>
      <c r="EFI10" s="316"/>
      <c r="EFJ10" s="316"/>
      <c r="EFK10" s="316"/>
      <c r="EFL10" s="316"/>
      <c r="EFM10" s="316"/>
      <c r="EFN10" s="316"/>
      <c r="EFO10" s="316"/>
      <c r="EFP10" s="316"/>
      <c r="EFQ10" s="316"/>
      <c r="EFR10" s="316"/>
      <c r="EFS10" s="316"/>
      <c r="EFT10" s="316"/>
      <c r="EFU10" s="316"/>
      <c r="EFV10" s="316"/>
      <c r="EFW10" s="316"/>
      <c r="EFX10" s="316"/>
      <c r="EFY10" s="316"/>
      <c r="EFZ10" s="316"/>
      <c r="EGA10" s="316"/>
      <c r="EGB10" s="316"/>
      <c r="EGC10" s="316"/>
      <c r="EGD10" s="316"/>
      <c r="EGE10" s="316"/>
      <c r="EGF10" s="316"/>
      <c r="EGG10" s="316"/>
      <c r="EGH10" s="316"/>
      <c r="EGI10" s="316"/>
      <c r="EGJ10" s="316"/>
      <c r="EGK10" s="316"/>
      <c r="EGL10" s="316"/>
      <c r="EGM10" s="316"/>
      <c r="EGN10" s="316"/>
      <c r="EGO10" s="316"/>
      <c r="EGP10" s="316"/>
      <c r="EGQ10" s="316"/>
      <c r="EGR10" s="316"/>
      <c r="EGS10" s="316"/>
      <c r="EGT10" s="316"/>
      <c r="EGU10" s="316"/>
      <c r="EGV10" s="316"/>
      <c r="EGW10" s="316"/>
      <c r="EGX10" s="316"/>
      <c r="EGY10" s="316"/>
      <c r="EGZ10" s="316"/>
      <c r="EHA10" s="316"/>
      <c r="EHB10" s="316"/>
      <c r="EHC10" s="316"/>
      <c r="EHD10" s="316"/>
      <c r="EHE10" s="316"/>
      <c r="EHF10" s="316"/>
      <c r="EHG10" s="316"/>
      <c r="EHH10" s="316"/>
      <c r="EHI10" s="316"/>
      <c r="EHJ10" s="316"/>
      <c r="EHK10" s="316"/>
      <c r="EHL10" s="316"/>
      <c r="EHM10" s="316"/>
      <c r="EHN10" s="316"/>
      <c r="EHO10" s="316"/>
      <c r="EHP10" s="316"/>
      <c r="EHQ10" s="316"/>
      <c r="EHR10" s="316"/>
      <c r="EHS10" s="316"/>
      <c r="EHT10" s="316"/>
      <c r="EHU10" s="316"/>
      <c r="EHV10" s="316"/>
      <c r="EHW10" s="316"/>
      <c r="EHX10" s="316"/>
      <c r="EHY10" s="316"/>
      <c r="EHZ10" s="316"/>
      <c r="EIA10" s="316"/>
      <c r="EIB10" s="316"/>
      <c r="EIC10" s="316"/>
      <c r="EID10" s="316"/>
      <c r="EIE10" s="316"/>
      <c r="EIF10" s="316"/>
      <c r="EIG10" s="316"/>
      <c r="EIH10" s="316"/>
      <c r="EII10" s="316"/>
      <c r="EIJ10" s="316"/>
      <c r="EIK10" s="316"/>
      <c r="EIL10" s="316"/>
      <c r="EIM10" s="316"/>
      <c r="EIN10" s="316"/>
      <c r="EIO10" s="316"/>
      <c r="EIP10" s="316"/>
      <c r="EIQ10" s="316"/>
      <c r="EIR10" s="316"/>
      <c r="EIS10" s="316"/>
      <c r="EIT10" s="316"/>
      <c r="EIU10" s="316"/>
      <c r="EIV10" s="316"/>
      <c r="EIW10" s="316"/>
      <c r="EIX10" s="316"/>
      <c r="EIY10" s="316"/>
      <c r="EIZ10" s="316"/>
      <c r="EJA10" s="316"/>
      <c r="EJB10" s="316"/>
      <c r="EJC10" s="316"/>
      <c r="EJD10" s="316"/>
      <c r="EJE10" s="316"/>
      <c r="EJF10" s="316"/>
      <c r="EJG10" s="316"/>
      <c r="EJH10" s="316"/>
      <c r="EJI10" s="316"/>
      <c r="EJJ10" s="316"/>
      <c r="EJK10" s="316"/>
      <c r="EJL10" s="316"/>
      <c r="EJM10" s="316"/>
      <c r="EJN10" s="316"/>
      <c r="EJO10" s="316"/>
      <c r="EJP10" s="316"/>
      <c r="EJQ10" s="316"/>
      <c r="EJR10" s="316"/>
      <c r="EJS10" s="316"/>
      <c r="EJT10" s="316"/>
      <c r="EJU10" s="316"/>
      <c r="EJV10" s="316"/>
      <c r="EJW10" s="316"/>
      <c r="EJX10" s="316"/>
      <c r="EJY10" s="316"/>
      <c r="EJZ10" s="316"/>
      <c r="EKA10" s="316"/>
      <c r="EKB10" s="316"/>
      <c r="EKC10" s="316"/>
      <c r="EKD10" s="316"/>
      <c r="EKE10" s="316"/>
      <c r="EKF10" s="316"/>
      <c r="EKG10" s="316"/>
      <c r="EKH10" s="316"/>
      <c r="EKI10" s="316"/>
      <c r="EKJ10" s="316"/>
      <c r="EKK10" s="316"/>
      <c r="EKL10" s="316"/>
      <c r="EKM10" s="316"/>
      <c r="EKN10" s="316"/>
      <c r="EKO10" s="316"/>
      <c r="EKP10" s="316"/>
      <c r="EKQ10" s="316"/>
      <c r="EKR10" s="316"/>
      <c r="EKS10" s="316"/>
      <c r="EKT10" s="316"/>
      <c r="EKU10" s="316"/>
      <c r="EKV10" s="316"/>
      <c r="EKW10" s="316"/>
      <c r="EKX10" s="316"/>
      <c r="EKY10" s="316"/>
      <c r="EKZ10" s="316"/>
      <c r="ELA10" s="316"/>
      <c r="ELB10" s="316"/>
      <c r="ELC10" s="316"/>
      <c r="ELD10" s="316"/>
      <c r="ELE10" s="316"/>
      <c r="ELF10" s="316"/>
      <c r="ELG10" s="316"/>
      <c r="ELH10" s="316"/>
      <c r="ELI10" s="316"/>
      <c r="ELJ10" s="316"/>
      <c r="ELK10" s="316"/>
      <c r="ELL10" s="316"/>
      <c r="ELM10" s="316"/>
      <c r="ELN10" s="316"/>
      <c r="ELO10" s="316"/>
      <c r="ELP10" s="316"/>
      <c r="ELQ10" s="316"/>
      <c r="ELR10" s="316"/>
      <c r="ELS10" s="316"/>
      <c r="ELT10" s="316"/>
      <c r="ELU10" s="316"/>
      <c r="ELV10" s="316"/>
      <c r="ELW10" s="316"/>
      <c r="ELX10" s="316"/>
      <c r="ELY10" s="316"/>
      <c r="ELZ10" s="316"/>
      <c r="EMA10" s="316"/>
      <c r="EMB10" s="316"/>
      <c r="EMC10" s="316"/>
      <c r="EMD10" s="316"/>
      <c r="EME10" s="316"/>
      <c r="EMF10" s="316"/>
      <c r="EMG10" s="316"/>
      <c r="EMH10" s="316"/>
      <c r="EMI10" s="316"/>
      <c r="EMJ10" s="316"/>
      <c r="EMK10" s="316"/>
      <c r="EML10" s="316"/>
      <c r="EMM10" s="316"/>
      <c r="EMN10" s="316"/>
      <c r="EMO10" s="316"/>
      <c r="EMP10" s="316"/>
      <c r="EMQ10" s="316"/>
      <c r="EMR10" s="316"/>
      <c r="EMS10" s="316"/>
      <c r="EMT10" s="316"/>
      <c r="EMU10" s="316"/>
      <c r="EMV10" s="316"/>
      <c r="EMW10" s="316"/>
      <c r="EMX10" s="316"/>
      <c r="EMY10" s="316"/>
      <c r="EMZ10" s="316"/>
      <c r="ENA10" s="316"/>
      <c r="ENB10" s="316"/>
      <c r="ENC10" s="316"/>
      <c r="END10" s="316"/>
      <c r="ENE10" s="316"/>
      <c r="ENF10" s="316"/>
      <c r="ENG10" s="316"/>
      <c r="ENH10" s="316"/>
      <c r="ENI10" s="316"/>
      <c r="ENJ10" s="316"/>
      <c r="ENK10" s="316"/>
      <c r="ENL10" s="316"/>
      <c r="ENM10" s="316"/>
      <c r="ENN10" s="316"/>
      <c r="ENO10" s="316"/>
      <c r="ENP10" s="316"/>
      <c r="ENQ10" s="316"/>
      <c r="ENR10" s="316"/>
      <c r="ENS10" s="316"/>
      <c r="ENT10" s="316"/>
      <c r="ENU10" s="316"/>
      <c r="ENV10" s="316"/>
      <c r="ENW10" s="316"/>
      <c r="ENX10" s="316"/>
      <c r="ENY10" s="316"/>
      <c r="ENZ10" s="316"/>
      <c r="EOA10" s="316"/>
      <c r="EOB10" s="316"/>
      <c r="EOC10" s="316"/>
      <c r="EOD10" s="316"/>
      <c r="EOE10" s="316"/>
      <c r="EOF10" s="316"/>
      <c r="EOG10" s="316"/>
      <c r="EOH10" s="316"/>
      <c r="EOI10" s="316"/>
      <c r="EOJ10" s="316"/>
      <c r="EOK10" s="316"/>
      <c r="EOL10" s="316"/>
      <c r="EOM10" s="316"/>
      <c r="EON10" s="316"/>
      <c r="EOO10" s="316"/>
      <c r="EOP10" s="316"/>
      <c r="EOQ10" s="316"/>
      <c r="EOR10" s="316"/>
      <c r="EOS10" s="316"/>
      <c r="EOT10" s="316"/>
      <c r="EOU10" s="316"/>
      <c r="EOV10" s="316"/>
      <c r="EOW10" s="316"/>
      <c r="EOX10" s="316"/>
      <c r="EOY10" s="316"/>
      <c r="EOZ10" s="316"/>
      <c r="EPA10" s="316"/>
      <c r="EPB10" s="316"/>
      <c r="EPC10" s="316"/>
      <c r="EPD10" s="316"/>
      <c r="EPE10" s="316"/>
      <c r="EPF10" s="316"/>
      <c r="EPG10" s="316"/>
      <c r="EPH10" s="316"/>
      <c r="EPI10" s="316"/>
      <c r="EPJ10" s="316"/>
      <c r="EPK10" s="316"/>
      <c r="EPL10" s="316"/>
      <c r="EPM10" s="316"/>
      <c r="EPN10" s="316"/>
      <c r="EPO10" s="316"/>
      <c r="EPP10" s="316"/>
      <c r="EPQ10" s="316"/>
      <c r="EPR10" s="316"/>
      <c r="EPS10" s="316"/>
      <c r="EPT10" s="316"/>
      <c r="EPU10" s="316"/>
      <c r="EPV10" s="316"/>
      <c r="EPW10" s="316"/>
      <c r="EPX10" s="316"/>
      <c r="EPY10" s="316"/>
      <c r="EPZ10" s="316"/>
      <c r="EQA10" s="316"/>
      <c r="EQB10" s="316"/>
      <c r="EQC10" s="316"/>
      <c r="EQD10" s="316"/>
      <c r="EQE10" s="316"/>
      <c r="EQF10" s="316"/>
      <c r="EQG10" s="316"/>
      <c r="EQH10" s="316"/>
      <c r="EQI10" s="316"/>
      <c r="EQJ10" s="316"/>
      <c r="EQK10" s="316"/>
      <c r="EQL10" s="316"/>
      <c r="EQM10" s="316"/>
      <c r="EQN10" s="316"/>
      <c r="EQO10" s="316"/>
      <c r="EQP10" s="316"/>
      <c r="EQQ10" s="316"/>
      <c r="EQR10" s="316"/>
      <c r="EQS10" s="316"/>
      <c r="EQT10" s="316"/>
      <c r="EQU10" s="316"/>
      <c r="EQV10" s="316"/>
      <c r="EQW10" s="316"/>
      <c r="EQX10" s="316"/>
      <c r="EQY10" s="316"/>
      <c r="EQZ10" s="316"/>
      <c r="ERA10" s="316"/>
      <c r="ERB10" s="316"/>
      <c r="ERC10" s="316"/>
      <c r="ERD10" s="316"/>
      <c r="ERE10" s="316"/>
      <c r="ERF10" s="316"/>
      <c r="ERG10" s="316"/>
      <c r="ERH10" s="316"/>
      <c r="ERI10" s="316"/>
      <c r="ERJ10" s="316"/>
      <c r="ERK10" s="316"/>
      <c r="ERL10" s="316"/>
      <c r="ERM10" s="316"/>
      <c r="ERN10" s="316"/>
      <c r="ERO10" s="316"/>
      <c r="ERP10" s="316"/>
      <c r="ERQ10" s="316"/>
      <c r="ERR10" s="316"/>
      <c r="ERS10" s="316"/>
      <c r="ERT10" s="316"/>
      <c r="ERU10" s="316"/>
      <c r="ERV10" s="316"/>
      <c r="ERW10" s="316"/>
      <c r="ERX10" s="316"/>
      <c r="ERY10" s="316"/>
      <c r="ERZ10" s="316"/>
      <c r="ESA10" s="316"/>
      <c r="ESB10" s="316"/>
      <c r="ESC10" s="316"/>
      <c r="ESD10" s="316"/>
      <c r="ESE10" s="316"/>
      <c r="ESF10" s="316"/>
      <c r="ESG10" s="316"/>
      <c r="ESH10" s="316"/>
      <c r="ESI10" s="316"/>
      <c r="ESJ10" s="316"/>
      <c r="ESK10" s="316"/>
      <c r="ESL10" s="316"/>
      <c r="ESM10" s="316"/>
      <c r="ESN10" s="316"/>
      <c r="ESO10" s="316"/>
      <c r="ESP10" s="316"/>
      <c r="ESQ10" s="316"/>
      <c r="ESR10" s="316"/>
      <c r="ESS10" s="316"/>
      <c r="EST10" s="316"/>
      <c r="ESU10" s="316"/>
      <c r="ESV10" s="316"/>
      <c r="ESW10" s="316"/>
      <c r="ESX10" s="316"/>
      <c r="ESY10" s="316"/>
      <c r="ESZ10" s="316"/>
      <c r="ETA10" s="316"/>
      <c r="ETB10" s="316"/>
      <c r="ETC10" s="316"/>
      <c r="ETD10" s="316"/>
      <c r="ETE10" s="316"/>
      <c r="ETF10" s="316"/>
      <c r="ETG10" s="316"/>
      <c r="ETH10" s="316"/>
      <c r="ETI10" s="316"/>
      <c r="ETJ10" s="316"/>
      <c r="ETK10" s="316"/>
      <c r="ETL10" s="316"/>
      <c r="ETM10" s="316"/>
      <c r="ETN10" s="316"/>
      <c r="ETO10" s="316"/>
      <c r="ETP10" s="316"/>
      <c r="ETQ10" s="316"/>
      <c r="ETR10" s="316"/>
      <c r="ETS10" s="316"/>
      <c r="ETT10" s="316"/>
      <c r="ETU10" s="316"/>
      <c r="ETV10" s="316"/>
      <c r="ETW10" s="316"/>
      <c r="ETX10" s="316"/>
      <c r="ETY10" s="316"/>
      <c r="ETZ10" s="316"/>
      <c r="EUA10" s="316"/>
      <c r="EUB10" s="316"/>
      <c r="EUC10" s="316"/>
      <c r="EUD10" s="316"/>
      <c r="EUE10" s="316"/>
      <c r="EUF10" s="316"/>
      <c r="EUG10" s="316"/>
      <c r="EUH10" s="316"/>
      <c r="EUI10" s="316"/>
      <c r="EUJ10" s="316"/>
      <c r="EUK10" s="316"/>
      <c r="EUL10" s="316"/>
      <c r="EUM10" s="316"/>
      <c r="EUN10" s="316"/>
      <c r="EUO10" s="316"/>
      <c r="EUP10" s="316"/>
      <c r="EUQ10" s="316"/>
      <c r="EUR10" s="316"/>
      <c r="EUS10" s="316"/>
      <c r="EUT10" s="316"/>
      <c r="EUU10" s="316"/>
      <c r="EUV10" s="316"/>
      <c r="EUW10" s="316"/>
      <c r="EUX10" s="316"/>
      <c r="EUY10" s="316"/>
      <c r="EUZ10" s="316"/>
      <c r="EVA10" s="316"/>
      <c r="EVB10" s="316"/>
      <c r="EVC10" s="316"/>
      <c r="EVD10" s="316"/>
      <c r="EVE10" s="316"/>
      <c r="EVF10" s="316"/>
      <c r="EVG10" s="316"/>
      <c r="EVH10" s="316"/>
      <c r="EVI10" s="316"/>
      <c r="EVJ10" s="316"/>
      <c r="EVK10" s="316"/>
      <c r="EVL10" s="316"/>
      <c r="EVM10" s="316"/>
      <c r="EVN10" s="316"/>
      <c r="EVO10" s="316"/>
      <c r="EVP10" s="316"/>
      <c r="EVQ10" s="316"/>
      <c r="EVR10" s="316"/>
      <c r="EVS10" s="316"/>
      <c r="EVT10" s="316"/>
      <c r="EVU10" s="316"/>
      <c r="EVV10" s="316"/>
      <c r="EVW10" s="316"/>
      <c r="EVX10" s="316"/>
      <c r="EVY10" s="316"/>
      <c r="EVZ10" s="316"/>
      <c r="EWA10" s="316"/>
      <c r="EWB10" s="316"/>
      <c r="EWC10" s="316"/>
      <c r="EWD10" s="316"/>
      <c r="EWE10" s="316"/>
      <c r="EWF10" s="316"/>
      <c r="EWG10" s="316"/>
      <c r="EWH10" s="316"/>
      <c r="EWI10" s="316"/>
      <c r="EWJ10" s="316"/>
      <c r="EWK10" s="316"/>
      <c r="EWL10" s="316"/>
      <c r="EWM10" s="316"/>
      <c r="EWN10" s="316"/>
      <c r="EWO10" s="316"/>
      <c r="EWP10" s="316"/>
      <c r="EWQ10" s="316"/>
      <c r="EWR10" s="316"/>
      <c r="EWS10" s="316"/>
      <c r="EWT10" s="316"/>
      <c r="EWU10" s="316"/>
      <c r="EWV10" s="316"/>
      <c r="EWW10" s="316"/>
      <c r="EWX10" s="316"/>
      <c r="EWY10" s="316"/>
      <c r="EWZ10" s="316"/>
      <c r="EXA10" s="316"/>
      <c r="EXB10" s="316"/>
      <c r="EXC10" s="316"/>
      <c r="EXD10" s="316"/>
      <c r="EXE10" s="316"/>
      <c r="EXF10" s="316"/>
      <c r="EXG10" s="316"/>
      <c r="EXH10" s="316"/>
      <c r="EXI10" s="316"/>
      <c r="EXJ10" s="316"/>
      <c r="EXK10" s="316"/>
      <c r="EXL10" s="316"/>
      <c r="EXM10" s="316"/>
      <c r="EXN10" s="316"/>
      <c r="EXO10" s="316"/>
      <c r="EXP10" s="316"/>
      <c r="EXQ10" s="316"/>
      <c r="EXR10" s="316"/>
      <c r="EXS10" s="316"/>
      <c r="EXT10" s="316"/>
      <c r="EXU10" s="316"/>
      <c r="EXV10" s="316"/>
      <c r="EXW10" s="316"/>
      <c r="EXX10" s="316"/>
      <c r="EXY10" s="316"/>
      <c r="EXZ10" s="316"/>
      <c r="EYA10" s="316"/>
      <c r="EYB10" s="316"/>
      <c r="EYC10" s="316"/>
      <c r="EYD10" s="316"/>
      <c r="EYE10" s="316"/>
      <c r="EYF10" s="316"/>
      <c r="EYG10" s="316"/>
      <c r="EYH10" s="316"/>
      <c r="EYI10" s="316"/>
      <c r="EYJ10" s="316"/>
      <c r="EYK10" s="316"/>
      <c r="EYL10" s="316"/>
      <c r="EYM10" s="316"/>
      <c r="EYN10" s="316"/>
      <c r="EYO10" s="316"/>
      <c r="EYP10" s="316"/>
      <c r="EYQ10" s="316"/>
      <c r="EYR10" s="316"/>
      <c r="EYS10" s="316"/>
      <c r="EYT10" s="316"/>
      <c r="EYU10" s="316"/>
      <c r="EYV10" s="316"/>
      <c r="EYW10" s="316"/>
      <c r="EYX10" s="316"/>
      <c r="EYY10" s="316"/>
      <c r="EYZ10" s="316"/>
      <c r="EZA10" s="316"/>
      <c r="EZB10" s="316"/>
      <c r="EZC10" s="316"/>
      <c r="EZD10" s="316"/>
      <c r="EZE10" s="316"/>
      <c r="EZF10" s="316"/>
      <c r="EZG10" s="316"/>
      <c r="EZH10" s="316"/>
      <c r="EZI10" s="316"/>
      <c r="EZJ10" s="316"/>
      <c r="EZK10" s="316"/>
      <c r="EZL10" s="316"/>
      <c r="EZM10" s="316"/>
      <c r="EZN10" s="316"/>
      <c r="EZO10" s="316"/>
      <c r="EZP10" s="316"/>
      <c r="EZQ10" s="316"/>
      <c r="EZR10" s="316"/>
      <c r="EZS10" s="316"/>
      <c r="EZT10" s="316"/>
      <c r="EZU10" s="316"/>
      <c r="EZV10" s="316"/>
      <c r="EZW10" s="316"/>
      <c r="EZX10" s="316"/>
      <c r="EZY10" s="316"/>
      <c r="EZZ10" s="316"/>
      <c r="FAA10" s="316"/>
      <c r="FAB10" s="316"/>
      <c r="FAC10" s="316"/>
      <c r="FAD10" s="316"/>
      <c r="FAE10" s="316"/>
      <c r="FAF10" s="316"/>
      <c r="FAG10" s="316"/>
      <c r="FAH10" s="316"/>
      <c r="FAI10" s="316"/>
      <c r="FAJ10" s="316"/>
      <c r="FAK10" s="316"/>
      <c r="FAL10" s="316"/>
      <c r="FAM10" s="316"/>
      <c r="FAN10" s="316"/>
      <c r="FAO10" s="316"/>
      <c r="FAP10" s="316"/>
      <c r="FAQ10" s="316"/>
      <c r="FAR10" s="316"/>
      <c r="FAS10" s="316"/>
      <c r="FAT10" s="316"/>
      <c r="FAU10" s="316"/>
      <c r="FAV10" s="316"/>
      <c r="FAW10" s="316"/>
      <c r="FAX10" s="316"/>
      <c r="FAY10" s="316"/>
      <c r="FAZ10" s="316"/>
      <c r="FBA10" s="316"/>
      <c r="FBB10" s="316"/>
      <c r="FBC10" s="316"/>
      <c r="FBD10" s="316"/>
      <c r="FBE10" s="316"/>
      <c r="FBF10" s="316"/>
      <c r="FBG10" s="316"/>
      <c r="FBH10" s="316"/>
      <c r="FBI10" s="316"/>
      <c r="FBJ10" s="316"/>
      <c r="FBK10" s="316"/>
      <c r="FBL10" s="316"/>
      <c r="FBM10" s="316"/>
      <c r="FBN10" s="316"/>
      <c r="FBO10" s="316"/>
      <c r="FBP10" s="316"/>
      <c r="FBQ10" s="316"/>
      <c r="FBR10" s="316"/>
      <c r="FBS10" s="316"/>
      <c r="FBT10" s="316"/>
      <c r="FBU10" s="316"/>
      <c r="FBV10" s="316"/>
      <c r="FBW10" s="316"/>
      <c r="FBX10" s="316"/>
      <c r="FBY10" s="316"/>
      <c r="FBZ10" s="316"/>
      <c r="FCA10" s="316"/>
      <c r="FCB10" s="316"/>
      <c r="FCC10" s="316"/>
      <c r="FCD10" s="316"/>
      <c r="FCE10" s="316"/>
      <c r="FCF10" s="316"/>
      <c r="FCG10" s="316"/>
      <c r="FCH10" s="316"/>
      <c r="FCI10" s="316"/>
      <c r="FCJ10" s="316"/>
      <c r="FCK10" s="316"/>
      <c r="FCL10" s="316"/>
      <c r="FCM10" s="316"/>
      <c r="FCN10" s="316"/>
      <c r="FCO10" s="316"/>
      <c r="FCP10" s="316"/>
      <c r="FCQ10" s="316"/>
      <c r="FCR10" s="316"/>
      <c r="FCS10" s="316"/>
      <c r="FCT10" s="316"/>
      <c r="FCU10" s="316"/>
      <c r="FCV10" s="316"/>
      <c r="FCW10" s="316"/>
      <c r="FCX10" s="316"/>
      <c r="FCY10" s="316"/>
      <c r="FCZ10" s="316"/>
      <c r="FDA10" s="316"/>
      <c r="FDB10" s="316"/>
      <c r="FDC10" s="316"/>
      <c r="FDD10" s="316"/>
      <c r="FDE10" s="316"/>
      <c r="FDF10" s="316"/>
      <c r="FDG10" s="316"/>
      <c r="FDH10" s="316"/>
      <c r="FDI10" s="316"/>
      <c r="FDJ10" s="316"/>
      <c r="FDK10" s="316"/>
      <c r="FDL10" s="316"/>
      <c r="FDM10" s="316"/>
      <c r="FDN10" s="316"/>
      <c r="FDO10" s="316"/>
      <c r="FDP10" s="316"/>
      <c r="FDQ10" s="316"/>
      <c r="FDR10" s="316"/>
      <c r="FDS10" s="316"/>
      <c r="FDT10" s="316"/>
      <c r="FDU10" s="316"/>
      <c r="FDV10" s="316"/>
      <c r="FDW10" s="316"/>
      <c r="FDX10" s="316"/>
      <c r="FDY10" s="316"/>
      <c r="FDZ10" s="316"/>
      <c r="FEA10" s="316"/>
      <c r="FEB10" s="316"/>
      <c r="FEC10" s="316"/>
      <c r="FED10" s="316"/>
      <c r="FEE10" s="316"/>
      <c r="FEF10" s="316"/>
      <c r="FEG10" s="316"/>
      <c r="FEH10" s="316"/>
      <c r="FEI10" s="316"/>
      <c r="FEJ10" s="316"/>
      <c r="FEK10" s="316"/>
      <c r="FEL10" s="316"/>
      <c r="FEM10" s="316"/>
      <c r="FEN10" s="316"/>
      <c r="FEO10" s="316"/>
      <c r="FEP10" s="316"/>
      <c r="FEQ10" s="316"/>
      <c r="FER10" s="316"/>
      <c r="FES10" s="316"/>
      <c r="FET10" s="316"/>
      <c r="FEU10" s="316"/>
      <c r="FEV10" s="316"/>
      <c r="FEW10" s="316"/>
      <c r="FEX10" s="316"/>
      <c r="FEY10" s="316"/>
      <c r="FEZ10" s="316"/>
      <c r="FFA10" s="316"/>
      <c r="FFB10" s="316"/>
      <c r="FFC10" s="316"/>
      <c r="FFD10" s="316"/>
      <c r="FFE10" s="316"/>
      <c r="FFF10" s="316"/>
      <c r="FFG10" s="316"/>
      <c r="FFH10" s="316"/>
      <c r="FFI10" s="316"/>
      <c r="FFJ10" s="316"/>
      <c r="FFK10" s="316"/>
      <c r="FFL10" s="316"/>
      <c r="FFM10" s="316"/>
      <c r="FFN10" s="316"/>
      <c r="FFO10" s="316"/>
      <c r="FFP10" s="316"/>
      <c r="FFQ10" s="316"/>
      <c r="FFR10" s="316"/>
      <c r="FFS10" s="316"/>
      <c r="FFT10" s="316"/>
      <c r="FFU10" s="316"/>
      <c r="FFV10" s="316"/>
      <c r="FFW10" s="316"/>
      <c r="FFX10" s="316"/>
      <c r="FFY10" s="316"/>
      <c r="FFZ10" s="316"/>
      <c r="FGA10" s="316"/>
      <c r="FGB10" s="316"/>
      <c r="FGC10" s="316"/>
      <c r="FGD10" s="316"/>
      <c r="FGE10" s="316"/>
      <c r="FGF10" s="316"/>
      <c r="FGG10" s="316"/>
      <c r="FGH10" s="316"/>
      <c r="FGI10" s="316"/>
      <c r="FGJ10" s="316"/>
      <c r="FGK10" s="316"/>
      <c r="FGL10" s="316"/>
      <c r="FGM10" s="316"/>
      <c r="FGN10" s="316"/>
      <c r="FGO10" s="316"/>
      <c r="FGP10" s="316"/>
      <c r="FGQ10" s="316"/>
      <c r="FGR10" s="316"/>
      <c r="FGS10" s="316"/>
      <c r="FGT10" s="316"/>
      <c r="FGU10" s="316"/>
      <c r="FGV10" s="316"/>
      <c r="FGW10" s="316"/>
      <c r="FGX10" s="316"/>
      <c r="FGY10" s="316"/>
      <c r="FGZ10" s="316"/>
      <c r="FHA10" s="316"/>
      <c r="FHB10" s="316"/>
      <c r="FHC10" s="316"/>
      <c r="FHD10" s="316"/>
      <c r="FHE10" s="316"/>
      <c r="FHF10" s="316"/>
      <c r="FHG10" s="316"/>
      <c r="FHH10" s="316"/>
      <c r="FHI10" s="316"/>
      <c r="FHJ10" s="316"/>
      <c r="FHK10" s="316"/>
      <c r="FHL10" s="316"/>
      <c r="FHM10" s="316"/>
      <c r="FHN10" s="316"/>
      <c r="FHO10" s="316"/>
      <c r="FHP10" s="316"/>
      <c r="FHQ10" s="316"/>
      <c r="FHR10" s="316"/>
      <c r="FHS10" s="316"/>
      <c r="FHT10" s="316"/>
      <c r="FHU10" s="316"/>
      <c r="FHV10" s="316"/>
      <c r="FHW10" s="316"/>
      <c r="FHX10" s="316"/>
      <c r="FHY10" s="316"/>
      <c r="FHZ10" s="316"/>
      <c r="FIA10" s="316"/>
      <c r="FIB10" s="316"/>
      <c r="FIC10" s="316"/>
      <c r="FID10" s="316"/>
      <c r="FIE10" s="316"/>
      <c r="FIF10" s="316"/>
      <c r="FIG10" s="316"/>
      <c r="FIH10" s="316"/>
      <c r="FII10" s="316"/>
      <c r="FIJ10" s="316"/>
      <c r="FIK10" s="316"/>
      <c r="FIL10" s="316"/>
      <c r="FIM10" s="316"/>
      <c r="FIN10" s="316"/>
      <c r="FIO10" s="316"/>
      <c r="FIP10" s="316"/>
      <c r="FIQ10" s="316"/>
      <c r="FIR10" s="316"/>
      <c r="FIS10" s="316"/>
      <c r="FIT10" s="316"/>
      <c r="FIU10" s="316"/>
      <c r="FIV10" s="316"/>
      <c r="FIW10" s="316"/>
      <c r="FIX10" s="316"/>
      <c r="FIY10" s="316"/>
      <c r="FIZ10" s="316"/>
      <c r="FJA10" s="316"/>
      <c r="FJB10" s="316"/>
      <c r="FJC10" s="316"/>
      <c r="FJD10" s="316"/>
      <c r="FJE10" s="316"/>
      <c r="FJF10" s="316"/>
      <c r="FJG10" s="316"/>
      <c r="FJH10" s="316"/>
      <c r="FJI10" s="316"/>
      <c r="FJJ10" s="316"/>
      <c r="FJK10" s="316"/>
      <c r="FJL10" s="316"/>
      <c r="FJM10" s="316"/>
      <c r="FJN10" s="316"/>
      <c r="FJO10" s="316"/>
      <c r="FJP10" s="316"/>
      <c r="FJQ10" s="316"/>
      <c r="FJR10" s="316"/>
      <c r="FJS10" s="316"/>
      <c r="FJT10" s="316"/>
      <c r="FJU10" s="316"/>
      <c r="FJV10" s="316"/>
      <c r="FJW10" s="316"/>
      <c r="FJX10" s="316"/>
      <c r="FJY10" s="316"/>
      <c r="FJZ10" s="316"/>
      <c r="FKA10" s="316"/>
      <c r="FKB10" s="316"/>
      <c r="FKC10" s="316"/>
      <c r="FKD10" s="316"/>
      <c r="FKE10" s="316"/>
      <c r="FKF10" s="316"/>
      <c r="FKG10" s="316"/>
      <c r="FKH10" s="316"/>
      <c r="FKI10" s="316"/>
      <c r="FKJ10" s="316"/>
      <c r="FKK10" s="316"/>
      <c r="FKL10" s="316"/>
      <c r="FKM10" s="316"/>
      <c r="FKN10" s="316"/>
      <c r="FKO10" s="316"/>
      <c r="FKP10" s="316"/>
      <c r="FKQ10" s="316"/>
      <c r="FKR10" s="316"/>
      <c r="FKS10" s="316"/>
      <c r="FKT10" s="316"/>
      <c r="FKU10" s="316"/>
      <c r="FKV10" s="316"/>
      <c r="FKW10" s="316"/>
      <c r="FKX10" s="316"/>
      <c r="FKY10" s="316"/>
      <c r="FKZ10" s="316"/>
      <c r="FLA10" s="316"/>
      <c r="FLB10" s="316"/>
      <c r="FLC10" s="316"/>
      <c r="FLD10" s="316"/>
      <c r="FLE10" s="316"/>
      <c r="FLF10" s="316"/>
      <c r="FLG10" s="316"/>
      <c r="FLH10" s="316"/>
      <c r="FLI10" s="316"/>
      <c r="FLJ10" s="316"/>
      <c r="FLK10" s="316"/>
      <c r="FLL10" s="316"/>
      <c r="FLM10" s="316"/>
      <c r="FLN10" s="316"/>
      <c r="FLO10" s="316"/>
      <c r="FLP10" s="316"/>
      <c r="FLQ10" s="316"/>
      <c r="FLR10" s="316"/>
      <c r="FLS10" s="316"/>
      <c r="FLT10" s="316"/>
      <c r="FLU10" s="316"/>
      <c r="FLV10" s="316"/>
      <c r="FLW10" s="316"/>
      <c r="FLX10" s="316"/>
      <c r="FLY10" s="316"/>
      <c r="FLZ10" s="316"/>
      <c r="FMA10" s="316"/>
      <c r="FMB10" s="316"/>
      <c r="FMC10" s="316"/>
      <c r="FMD10" s="316"/>
      <c r="FME10" s="316"/>
      <c r="FMF10" s="316"/>
      <c r="FMG10" s="316"/>
      <c r="FMH10" s="316"/>
      <c r="FMI10" s="316"/>
      <c r="FMJ10" s="316"/>
      <c r="FMK10" s="316"/>
      <c r="FML10" s="316"/>
      <c r="FMM10" s="316"/>
      <c r="FMN10" s="316"/>
      <c r="FMO10" s="316"/>
      <c r="FMP10" s="316"/>
      <c r="FMQ10" s="316"/>
      <c r="FMR10" s="316"/>
      <c r="FMS10" s="316"/>
      <c r="FMT10" s="316"/>
      <c r="FMU10" s="316"/>
      <c r="FMV10" s="316"/>
      <c r="FMW10" s="316"/>
      <c r="FMX10" s="316"/>
      <c r="FMY10" s="316"/>
      <c r="FMZ10" s="316"/>
      <c r="FNA10" s="316"/>
      <c r="FNB10" s="316"/>
      <c r="FNC10" s="316"/>
      <c r="FND10" s="316"/>
      <c r="FNE10" s="316"/>
      <c r="FNF10" s="316"/>
      <c r="FNG10" s="316"/>
      <c r="FNH10" s="316"/>
      <c r="FNI10" s="316"/>
      <c r="FNJ10" s="316"/>
      <c r="FNK10" s="316"/>
      <c r="FNL10" s="316"/>
      <c r="FNM10" s="316"/>
      <c r="FNN10" s="316"/>
      <c r="FNO10" s="316"/>
      <c r="FNP10" s="316"/>
      <c r="FNQ10" s="316"/>
      <c r="FNR10" s="316"/>
      <c r="FNS10" s="316"/>
      <c r="FNT10" s="316"/>
      <c r="FNU10" s="316"/>
      <c r="FNV10" s="316"/>
      <c r="FNW10" s="316"/>
      <c r="FNX10" s="316"/>
      <c r="FNY10" s="316"/>
      <c r="FNZ10" s="316"/>
      <c r="FOA10" s="316"/>
      <c r="FOB10" s="316"/>
      <c r="FOC10" s="316"/>
      <c r="FOD10" s="316"/>
      <c r="FOE10" s="316"/>
      <c r="FOF10" s="316"/>
      <c r="FOG10" s="316"/>
      <c r="FOH10" s="316"/>
      <c r="FOI10" s="316"/>
      <c r="FOJ10" s="316"/>
      <c r="FOK10" s="316"/>
      <c r="FOL10" s="316"/>
      <c r="FOM10" s="316"/>
      <c r="FON10" s="316"/>
      <c r="FOO10" s="316"/>
      <c r="FOP10" s="316"/>
      <c r="FOQ10" s="316"/>
      <c r="FOR10" s="316"/>
      <c r="FOS10" s="316"/>
      <c r="FOT10" s="316"/>
      <c r="FOU10" s="316"/>
      <c r="FOV10" s="316"/>
      <c r="FOW10" s="316"/>
      <c r="FOX10" s="316"/>
      <c r="FOY10" s="316"/>
      <c r="FOZ10" s="316"/>
      <c r="FPA10" s="316"/>
      <c r="FPB10" s="316"/>
      <c r="FPC10" s="316"/>
      <c r="FPD10" s="316"/>
      <c r="FPE10" s="316"/>
      <c r="FPF10" s="316"/>
      <c r="FPG10" s="316"/>
      <c r="FPH10" s="316"/>
      <c r="FPI10" s="316"/>
      <c r="FPJ10" s="316"/>
      <c r="FPK10" s="316"/>
      <c r="FPL10" s="316"/>
      <c r="FPM10" s="316"/>
      <c r="FPN10" s="316"/>
      <c r="FPO10" s="316"/>
      <c r="FPP10" s="316"/>
      <c r="FPQ10" s="316"/>
      <c r="FPR10" s="316"/>
      <c r="FPS10" s="316"/>
      <c r="FPT10" s="316"/>
      <c r="FPU10" s="316"/>
      <c r="FPV10" s="316"/>
      <c r="FPW10" s="316"/>
      <c r="FPX10" s="316"/>
      <c r="FPY10" s="316"/>
      <c r="FPZ10" s="316"/>
      <c r="FQA10" s="316"/>
      <c r="FQB10" s="316"/>
      <c r="FQC10" s="316"/>
      <c r="FQD10" s="316"/>
      <c r="FQE10" s="316"/>
      <c r="FQF10" s="316"/>
      <c r="FQG10" s="316"/>
      <c r="FQH10" s="316"/>
      <c r="FQI10" s="316"/>
      <c r="FQJ10" s="316"/>
      <c r="FQK10" s="316"/>
      <c r="FQL10" s="316"/>
      <c r="FQM10" s="316"/>
      <c r="FQN10" s="316"/>
      <c r="FQO10" s="316"/>
      <c r="FQP10" s="316"/>
      <c r="FQQ10" s="316"/>
      <c r="FQR10" s="316"/>
      <c r="FQS10" s="316"/>
      <c r="FQT10" s="316"/>
      <c r="FQU10" s="316"/>
      <c r="FQV10" s="316"/>
      <c r="FQW10" s="316"/>
      <c r="FQX10" s="316"/>
      <c r="FQY10" s="316"/>
      <c r="FQZ10" s="316"/>
      <c r="FRA10" s="316"/>
      <c r="FRB10" s="316"/>
      <c r="FRC10" s="316"/>
      <c r="FRD10" s="316"/>
      <c r="FRE10" s="316"/>
      <c r="FRF10" s="316"/>
      <c r="FRG10" s="316"/>
      <c r="FRH10" s="316"/>
      <c r="FRI10" s="316"/>
      <c r="FRJ10" s="316"/>
      <c r="FRK10" s="316"/>
      <c r="FRL10" s="316"/>
      <c r="FRM10" s="316"/>
      <c r="FRN10" s="316"/>
      <c r="FRO10" s="316"/>
      <c r="FRP10" s="316"/>
      <c r="FRQ10" s="316"/>
      <c r="FRR10" s="316"/>
      <c r="FRS10" s="316"/>
      <c r="FRT10" s="316"/>
      <c r="FRU10" s="316"/>
      <c r="FRV10" s="316"/>
      <c r="FRW10" s="316"/>
      <c r="FRX10" s="316"/>
      <c r="FRY10" s="316"/>
      <c r="FRZ10" s="316"/>
      <c r="FSA10" s="316"/>
      <c r="FSB10" s="316"/>
      <c r="FSC10" s="316"/>
      <c r="FSD10" s="316"/>
      <c r="FSE10" s="316"/>
      <c r="FSF10" s="316"/>
      <c r="FSG10" s="316"/>
      <c r="FSH10" s="316"/>
      <c r="FSI10" s="316"/>
      <c r="FSJ10" s="316"/>
      <c r="FSK10" s="316"/>
      <c r="FSL10" s="316"/>
      <c r="FSM10" s="316"/>
      <c r="FSN10" s="316"/>
      <c r="FSO10" s="316"/>
      <c r="FSP10" s="316"/>
      <c r="FSQ10" s="316"/>
      <c r="FSR10" s="316"/>
      <c r="FSS10" s="316"/>
      <c r="FST10" s="316"/>
      <c r="FSU10" s="316"/>
      <c r="FSV10" s="316"/>
      <c r="FSW10" s="316"/>
      <c r="FSX10" s="316"/>
      <c r="FSY10" s="316"/>
      <c r="FSZ10" s="316"/>
      <c r="FTA10" s="316"/>
      <c r="FTB10" s="316"/>
      <c r="FTC10" s="316"/>
      <c r="FTD10" s="316"/>
      <c r="FTE10" s="316"/>
      <c r="FTF10" s="316"/>
      <c r="FTG10" s="316"/>
      <c r="FTH10" s="316"/>
      <c r="FTI10" s="316"/>
      <c r="FTJ10" s="316"/>
      <c r="FTK10" s="316"/>
      <c r="FTL10" s="316"/>
      <c r="FTM10" s="316"/>
      <c r="FTN10" s="316"/>
      <c r="FTO10" s="316"/>
      <c r="FTP10" s="316"/>
      <c r="FTQ10" s="316"/>
      <c r="FTR10" s="316"/>
      <c r="FTS10" s="316"/>
      <c r="FTT10" s="316"/>
      <c r="FTU10" s="316"/>
      <c r="FTV10" s="316"/>
      <c r="FTW10" s="316"/>
      <c r="FTX10" s="316"/>
      <c r="FTY10" s="316"/>
      <c r="FTZ10" s="316"/>
      <c r="FUA10" s="316"/>
      <c r="FUB10" s="316"/>
      <c r="FUC10" s="316"/>
      <c r="FUD10" s="316"/>
      <c r="FUE10" s="316"/>
      <c r="FUF10" s="316"/>
      <c r="FUG10" s="316"/>
      <c r="FUH10" s="316"/>
      <c r="FUI10" s="316"/>
      <c r="FUJ10" s="316"/>
      <c r="FUK10" s="316"/>
      <c r="FUL10" s="316"/>
      <c r="FUM10" s="316"/>
      <c r="FUN10" s="316"/>
      <c r="FUO10" s="316"/>
      <c r="FUP10" s="316"/>
      <c r="FUQ10" s="316"/>
      <c r="FUR10" s="316"/>
      <c r="FUS10" s="316"/>
      <c r="FUT10" s="316"/>
      <c r="FUU10" s="316"/>
      <c r="FUV10" s="316"/>
      <c r="FUW10" s="316"/>
      <c r="FUX10" s="316"/>
      <c r="FUY10" s="316"/>
      <c r="FUZ10" s="316"/>
      <c r="FVA10" s="316"/>
      <c r="FVB10" s="316"/>
      <c r="FVC10" s="316"/>
      <c r="FVD10" s="316"/>
      <c r="FVE10" s="316"/>
      <c r="FVF10" s="316"/>
      <c r="FVG10" s="316"/>
      <c r="FVH10" s="316"/>
      <c r="FVI10" s="316"/>
      <c r="FVJ10" s="316"/>
      <c r="FVK10" s="316"/>
      <c r="FVL10" s="316"/>
      <c r="FVM10" s="316"/>
      <c r="FVN10" s="316"/>
      <c r="FVO10" s="316"/>
      <c r="FVP10" s="316"/>
      <c r="FVQ10" s="316"/>
      <c r="FVR10" s="316"/>
      <c r="FVS10" s="316"/>
      <c r="FVT10" s="316"/>
      <c r="FVU10" s="316"/>
      <c r="FVV10" s="316"/>
      <c r="FVW10" s="316"/>
      <c r="FVX10" s="316"/>
      <c r="FVY10" s="316"/>
      <c r="FVZ10" s="316"/>
      <c r="FWA10" s="316"/>
      <c r="FWB10" s="316"/>
      <c r="FWC10" s="316"/>
      <c r="FWD10" s="316"/>
      <c r="FWE10" s="316"/>
      <c r="FWF10" s="316"/>
      <c r="FWG10" s="316"/>
      <c r="FWH10" s="316"/>
      <c r="FWI10" s="316"/>
      <c r="FWJ10" s="316"/>
      <c r="FWK10" s="316"/>
      <c r="FWL10" s="316"/>
      <c r="FWM10" s="316"/>
      <c r="FWN10" s="316"/>
      <c r="FWO10" s="316"/>
      <c r="FWP10" s="316"/>
      <c r="FWQ10" s="316"/>
      <c r="FWR10" s="316"/>
      <c r="FWS10" s="316"/>
      <c r="FWT10" s="316"/>
      <c r="FWU10" s="316"/>
      <c r="FWV10" s="316"/>
      <c r="FWW10" s="316"/>
      <c r="FWX10" s="316"/>
      <c r="FWY10" s="316"/>
      <c r="FWZ10" s="316"/>
      <c r="FXA10" s="316"/>
      <c r="FXB10" s="316"/>
      <c r="FXC10" s="316"/>
      <c r="FXD10" s="316"/>
      <c r="FXE10" s="316"/>
      <c r="FXF10" s="316"/>
      <c r="FXG10" s="316"/>
      <c r="FXH10" s="316"/>
      <c r="FXI10" s="316"/>
      <c r="FXJ10" s="316"/>
      <c r="FXK10" s="316"/>
      <c r="FXL10" s="316"/>
      <c r="FXM10" s="316"/>
      <c r="FXN10" s="316"/>
      <c r="FXO10" s="316"/>
      <c r="FXP10" s="316"/>
      <c r="FXQ10" s="316"/>
      <c r="FXR10" s="316"/>
      <c r="FXS10" s="316"/>
      <c r="FXT10" s="316"/>
      <c r="FXU10" s="316"/>
      <c r="FXV10" s="316"/>
      <c r="FXW10" s="316"/>
      <c r="FXX10" s="316"/>
      <c r="FXY10" s="316"/>
      <c r="FXZ10" s="316"/>
      <c r="FYA10" s="316"/>
      <c r="FYB10" s="316"/>
      <c r="FYC10" s="316"/>
      <c r="FYD10" s="316"/>
      <c r="FYE10" s="316"/>
      <c r="FYF10" s="316"/>
      <c r="FYG10" s="316"/>
      <c r="FYH10" s="316"/>
      <c r="FYI10" s="316"/>
      <c r="FYJ10" s="316"/>
      <c r="FYK10" s="316"/>
      <c r="FYL10" s="316"/>
      <c r="FYM10" s="316"/>
      <c r="FYN10" s="316"/>
      <c r="FYO10" s="316"/>
      <c r="FYP10" s="316"/>
      <c r="FYQ10" s="316"/>
      <c r="FYR10" s="316"/>
      <c r="FYS10" s="316"/>
      <c r="FYT10" s="316"/>
      <c r="FYU10" s="316"/>
      <c r="FYV10" s="316"/>
      <c r="FYW10" s="316"/>
      <c r="FYX10" s="316"/>
      <c r="FYY10" s="316"/>
      <c r="FYZ10" s="316"/>
      <c r="FZA10" s="316"/>
      <c r="FZB10" s="316"/>
      <c r="FZC10" s="316"/>
      <c r="FZD10" s="316"/>
      <c r="FZE10" s="316"/>
      <c r="FZF10" s="316"/>
      <c r="FZG10" s="316"/>
      <c r="FZH10" s="316"/>
      <c r="FZI10" s="316"/>
      <c r="FZJ10" s="316"/>
      <c r="FZK10" s="316"/>
      <c r="FZL10" s="316"/>
      <c r="FZM10" s="316"/>
      <c r="FZN10" s="316"/>
      <c r="FZO10" s="316"/>
      <c r="FZP10" s="316"/>
      <c r="FZQ10" s="316"/>
      <c r="FZR10" s="316"/>
      <c r="FZS10" s="316"/>
      <c r="FZT10" s="316"/>
      <c r="FZU10" s="316"/>
      <c r="FZV10" s="316"/>
      <c r="FZW10" s="316"/>
      <c r="FZX10" s="316"/>
      <c r="FZY10" s="316"/>
      <c r="FZZ10" s="316"/>
      <c r="GAA10" s="316"/>
      <c r="GAB10" s="316"/>
      <c r="GAC10" s="316"/>
      <c r="GAD10" s="316"/>
      <c r="GAE10" s="316"/>
      <c r="GAF10" s="316"/>
      <c r="GAG10" s="316"/>
      <c r="GAH10" s="316"/>
      <c r="GAI10" s="316"/>
      <c r="GAJ10" s="316"/>
      <c r="GAK10" s="316"/>
      <c r="GAL10" s="316"/>
      <c r="GAM10" s="316"/>
      <c r="GAN10" s="316"/>
      <c r="GAO10" s="316"/>
      <c r="GAP10" s="316"/>
      <c r="GAQ10" s="316"/>
      <c r="GAR10" s="316"/>
      <c r="GAS10" s="316"/>
      <c r="GAT10" s="316"/>
      <c r="GAU10" s="316"/>
      <c r="GAV10" s="316"/>
      <c r="GAW10" s="316"/>
      <c r="GAX10" s="316"/>
      <c r="GAY10" s="316"/>
      <c r="GAZ10" s="316"/>
      <c r="GBA10" s="316"/>
      <c r="GBB10" s="316"/>
      <c r="GBC10" s="316"/>
      <c r="GBD10" s="316"/>
      <c r="GBE10" s="316"/>
      <c r="GBF10" s="316"/>
      <c r="GBG10" s="316"/>
      <c r="GBH10" s="316"/>
      <c r="GBI10" s="316"/>
      <c r="GBJ10" s="316"/>
      <c r="GBK10" s="316"/>
      <c r="GBL10" s="316"/>
      <c r="GBM10" s="316"/>
      <c r="GBN10" s="316"/>
      <c r="GBO10" s="316"/>
      <c r="GBP10" s="316"/>
      <c r="GBQ10" s="316"/>
      <c r="GBR10" s="316"/>
      <c r="GBS10" s="316"/>
      <c r="GBT10" s="316"/>
      <c r="GBU10" s="316"/>
      <c r="GBV10" s="316"/>
      <c r="GBW10" s="316"/>
      <c r="GBX10" s="316"/>
      <c r="GBY10" s="316"/>
      <c r="GBZ10" s="316"/>
      <c r="GCA10" s="316"/>
      <c r="GCB10" s="316"/>
      <c r="GCC10" s="316"/>
      <c r="GCD10" s="316"/>
      <c r="GCE10" s="316"/>
      <c r="GCF10" s="316"/>
      <c r="GCG10" s="316"/>
      <c r="GCH10" s="316"/>
      <c r="GCI10" s="316"/>
      <c r="GCJ10" s="316"/>
      <c r="GCK10" s="316"/>
      <c r="GCL10" s="316"/>
      <c r="GCM10" s="316"/>
      <c r="GCN10" s="316"/>
      <c r="GCO10" s="316"/>
      <c r="GCP10" s="316"/>
      <c r="GCQ10" s="316"/>
      <c r="GCR10" s="316"/>
      <c r="GCS10" s="316"/>
      <c r="GCT10" s="316"/>
      <c r="GCU10" s="316"/>
      <c r="GCV10" s="316"/>
      <c r="GCW10" s="316"/>
      <c r="GCX10" s="316"/>
      <c r="GCY10" s="316"/>
      <c r="GCZ10" s="316"/>
      <c r="GDA10" s="316"/>
      <c r="GDB10" s="316"/>
      <c r="GDC10" s="316"/>
      <c r="GDD10" s="316"/>
      <c r="GDE10" s="316"/>
      <c r="GDF10" s="316"/>
      <c r="GDG10" s="316"/>
      <c r="GDH10" s="316"/>
      <c r="GDI10" s="316"/>
      <c r="GDJ10" s="316"/>
      <c r="GDK10" s="316"/>
      <c r="GDL10" s="316"/>
      <c r="GDM10" s="316"/>
      <c r="GDN10" s="316"/>
      <c r="GDO10" s="316"/>
      <c r="GDP10" s="316"/>
      <c r="GDQ10" s="316"/>
      <c r="GDR10" s="316"/>
      <c r="GDS10" s="316"/>
      <c r="GDT10" s="316"/>
      <c r="GDU10" s="316"/>
      <c r="GDV10" s="316"/>
      <c r="GDW10" s="316"/>
      <c r="GDX10" s="316"/>
      <c r="GDY10" s="316"/>
      <c r="GDZ10" s="316"/>
      <c r="GEA10" s="316"/>
      <c r="GEB10" s="316"/>
      <c r="GEC10" s="316"/>
      <c r="GED10" s="316"/>
      <c r="GEE10" s="316"/>
      <c r="GEF10" s="316"/>
      <c r="GEG10" s="316"/>
      <c r="GEH10" s="316"/>
      <c r="GEI10" s="316"/>
      <c r="GEJ10" s="316"/>
      <c r="GEK10" s="316"/>
      <c r="GEL10" s="316"/>
      <c r="GEM10" s="316"/>
      <c r="GEN10" s="316"/>
      <c r="GEO10" s="316"/>
      <c r="GEP10" s="316"/>
      <c r="GEQ10" s="316"/>
      <c r="GER10" s="316"/>
      <c r="GES10" s="316"/>
      <c r="GET10" s="316"/>
      <c r="GEU10" s="316"/>
      <c r="GEV10" s="316"/>
      <c r="GEW10" s="316"/>
      <c r="GEX10" s="316"/>
      <c r="GEY10" s="316"/>
      <c r="GEZ10" s="316"/>
      <c r="GFA10" s="316"/>
      <c r="GFB10" s="316"/>
      <c r="GFC10" s="316"/>
      <c r="GFD10" s="316"/>
      <c r="GFE10" s="316"/>
      <c r="GFF10" s="316"/>
      <c r="GFG10" s="316"/>
      <c r="GFH10" s="316"/>
      <c r="GFI10" s="316"/>
      <c r="GFJ10" s="316"/>
      <c r="GFK10" s="316"/>
      <c r="GFL10" s="316"/>
      <c r="GFM10" s="316"/>
      <c r="GFN10" s="316"/>
      <c r="GFO10" s="316"/>
      <c r="GFP10" s="316"/>
      <c r="GFQ10" s="316"/>
      <c r="GFR10" s="316"/>
      <c r="GFS10" s="316"/>
      <c r="GFT10" s="316"/>
      <c r="GFU10" s="316"/>
      <c r="GFV10" s="316"/>
      <c r="GFW10" s="316"/>
      <c r="GFX10" s="316"/>
      <c r="GFY10" s="316"/>
      <c r="GFZ10" s="316"/>
      <c r="GGA10" s="316"/>
      <c r="GGB10" s="316"/>
      <c r="GGC10" s="316"/>
      <c r="GGD10" s="316"/>
      <c r="GGE10" s="316"/>
      <c r="GGF10" s="316"/>
      <c r="GGG10" s="316"/>
      <c r="GGH10" s="316"/>
      <c r="GGI10" s="316"/>
      <c r="GGJ10" s="316"/>
      <c r="GGK10" s="316"/>
      <c r="GGL10" s="316"/>
      <c r="GGM10" s="316"/>
      <c r="GGN10" s="316"/>
      <c r="GGO10" s="316"/>
      <c r="GGP10" s="316"/>
      <c r="GGQ10" s="316"/>
      <c r="GGR10" s="316"/>
      <c r="GGS10" s="316"/>
      <c r="GGT10" s="316"/>
      <c r="GGU10" s="316"/>
      <c r="GGV10" s="316"/>
      <c r="GGW10" s="316"/>
      <c r="GGX10" s="316"/>
      <c r="GGY10" s="316"/>
      <c r="GGZ10" s="316"/>
      <c r="GHA10" s="316"/>
      <c r="GHB10" s="316"/>
      <c r="GHC10" s="316"/>
      <c r="GHD10" s="316"/>
      <c r="GHE10" s="316"/>
      <c r="GHF10" s="316"/>
      <c r="GHG10" s="316"/>
      <c r="GHH10" s="316"/>
      <c r="GHI10" s="316"/>
      <c r="GHJ10" s="316"/>
      <c r="GHK10" s="316"/>
      <c r="GHL10" s="316"/>
      <c r="GHM10" s="316"/>
      <c r="GHN10" s="316"/>
      <c r="GHO10" s="316"/>
      <c r="GHP10" s="316"/>
      <c r="GHQ10" s="316"/>
      <c r="GHR10" s="316"/>
      <c r="GHS10" s="316"/>
      <c r="GHT10" s="316"/>
      <c r="GHU10" s="316"/>
      <c r="GHV10" s="316"/>
      <c r="GHW10" s="316"/>
      <c r="GHX10" s="316"/>
      <c r="GHY10" s="316"/>
      <c r="GHZ10" s="316"/>
      <c r="GIA10" s="316"/>
      <c r="GIB10" s="316"/>
      <c r="GIC10" s="316"/>
      <c r="GID10" s="316"/>
      <c r="GIE10" s="316"/>
      <c r="GIF10" s="316"/>
      <c r="GIG10" s="316"/>
      <c r="GIH10" s="316"/>
      <c r="GII10" s="316"/>
      <c r="GIJ10" s="316"/>
      <c r="GIK10" s="316"/>
      <c r="GIL10" s="316"/>
      <c r="GIM10" s="316"/>
      <c r="GIN10" s="316"/>
      <c r="GIO10" s="316"/>
      <c r="GIP10" s="316"/>
      <c r="GIQ10" s="316"/>
      <c r="GIR10" s="316"/>
      <c r="GIS10" s="316"/>
      <c r="GIT10" s="316"/>
      <c r="GIU10" s="316"/>
      <c r="GIV10" s="316"/>
      <c r="GIW10" s="316"/>
      <c r="GIX10" s="316"/>
      <c r="GIY10" s="316"/>
      <c r="GIZ10" s="316"/>
      <c r="GJA10" s="316"/>
      <c r="GJB10" s="316"/>
      <c r="GJC10" s="316"/>
      <c r="GJD10" s="316"/>
      <c r="GJE10" s="316"/>
      <c r="GJF10" s="316"/>
      <c r="GJG10" s="316"/>
      <c r="GJH10" s="316"/>
      <c r="GJI10" s="316"/>
      <c r="GJJ10" s="316"/>
      <c r="GJK10" s="316"/>
      <c r="GJL10" s="316"/>
      <c r="GJM10" s="316"/>
      <c r="GJN10" s="316"/>
      <c r="GJO10" s="316"/>
      <c r="GJP10" s="316"/>
      <c r="GJQ10" s="316"/>
      <c r="GJR10" s="316"/>
      <c r="GJS10" s="316"/>
      <c r="GJT10" s="316"/>
      <c r="GJU10" s="316"/>
      <c r="GJV10" s="316"/>
      <c r="GJW10" s="316"/>
      <c r="GJX10" s="316"/>
      <c r="GJY10" s="316"/>
      <c r="GJZ10" s="316"/>
      <c r="GKA10" s="316"/>
      <c r="GKB10" s="316"/>
      <c r="GKC10" s="316"/>
      <c r="GKD10" s="316"/>
      <c r="GKE10" s="316"/>
      <c r="GKF10" s="316"/>
      <c r="GKG10" s="316"/>
      <c r="GKH10" s="316"/>
      <c r="GKI10" s="316"/>
      <c r="GKJ10" s="316"/>
      <c r="GKK10" s="316"/>
      <c r="GKL10" s="316"/>
      <c r="GKM10" s="316"/>
      <c r="GKN10" s="316"/>
      <c r="GKO10" s="316"/>
      <c r="GKP10" s="316"/>
      <c r="GKQ10" s="316"/>
      <c r="GKR10" s="316"/>
      <c r="GKS10" s="316"/>
      <c r="GKT10" s="316"/>
      <c r="GKU10" s="316"/>
      <c r="GKV10" s="316"/>
      <c r="GKW10" s="316"/>
      <c r="GKX10" s="316"/>
      <c r="GKY10" s="316"/>
      <c r="GKZ10" s="316"/>
      <c r="GLA10" s="316"/>
      <c r="GLB10" s="316"/>
      <c r="GLC10" s="316"/>
      <c r="GLD10" s="316"/>
      <c r="GLE10" s="316"/>
      <c r="GLF10" s="316"/>
      <c r="GLG10" s="316"/>
      <c r="GLH10" s="316"/>
      <c r="GLI10" s="316"/>
      <c r="GLJ10" s="316"/>
      <c r="GLK10" s="316"/>
      <c r="GLL10" s="316"/>
      <c r="GLM10" s="316"/>
      <c r="GLN10" s="316"/>
      <c r="GLO10" s="316"/>
      <c r="GLP10" s="316"/>
      <c r="GLQ10" s="316"/>
      <c r="GLR10" s="316"/>
      <c r="GLS10" s="316"/>
      <c r="GLT10" s="316"/>
      <c r="GLU10" s="316"/>
      <c r="GLV10" s="316"/>
      <c r="GLW10" s="316"/>
      <c r="GLX10" s="316"/>
      <c r="GLY10" s="316"/>
      <c r="GLZ10" s="316"/>
      <c r="GMA10" s="316"/>
      <c r="GMB10" s="316"/>
      <c r="GMC10" s="316"/>
      <c r="GMD10" s="316"/>
      <c r="GME10" s="316"/>
      <c r="GMF10" s="316"/>
      <c r="GMG10" s="316"/>
      <c r="GMH10" s="316"/>
      <c r="GMI10" s="316"/>
      <c r="GMJ10" s="316"/>
      <c r="GMK10" s="316"/>
      <c r="GML10" s="316"/>
      <c r="GMM10" s="316"/>
      <c r="GMN10" s="316"/>
      <c r="GMO10" s="316"/>
      <c r="GMP10" s="316"/>
      <c r="GMQ10" s="316"/>
      <c r="GMR10" s="316"/>
      <c r="GMS10" s="316"/>
      <c r="GMT10" s="316"/>
      <c r="GMU10" s="316"/>
      <c r="GMV10" s="316"/>
      <c r="GMW10" s="316"/>
      <c r="GMX10" s="316"/>
      <c r="GMY10" s="316"/>
      <c r="GMZ10" s="316"/>
      <c r="GNA10" s="316"/>
      <c r="GNB10" s="316"/>
      <c r="GNC10" s="316"/>
      <c r="GND10" s="316"/>
      <c r="GNE10" s="316"/>
      <c r="GNF10" s="316"/>
      <c r="GNG10" s="316"/>
      <c r="GNH10" s="316"/>
      <c r="GNI10" s="316"/>
      <c r="GNJ10" s="316"/>
      <c r="GNK10" s="316"/>
      <c r="GNL10" s="316"/>
      <c r="GNM10" s="316"/>
      <c r="GNN10" s="316"/>
      <c r="GNO10" s="316"/>
      <c r="GNP10" s="316"/>
      <c r="GNQ10" s="316"/>
      <c r="GNR10" s="316"/>
      <c r="GNS10" s="316"/>
      <c r="GNT10" s="316"/>
      <c r="GNU10" s="316"/>
      <c r="GNV10" s="316"/>
      <c r="GNW10" s="316"/>
      <c r="GNX10" s="316"/>
      <c r="GNY10" s="316"/>
      <c r="GNZ10" s="316"/>
      <c r="GOA10" s="316"/>
      <c r="GOB10" s="316"/>
      <c r="GOC10" s="316"/>
      <c r="GOD10" s="316"/>
      <c r="GOE10" s="316"/>
      <c r="GOF10" s="316"/>
      <c r="GOG10" s="316"/>
      <c r="GOH10" s="316"/>
      <c r="GOI10" s="316"/>
      <c r="GOJ10" s="316"/>
      <c r="GOK10" s="316"/>
      <c r="GOL10" s="316"/>
      <c r="GOM10" s="316"/>
      <c r="GON10" s="316"/>
      <c r="GOO10" s="316"/>
      <c r="GOP10" s="316"/>
      <c r="GOQ10" s="316"/>
      <c r="GOR10" s="316"/>
      <c r="GOS10" s="316"/>
      <c r="GOT10" s="316"/>
      <c r="GOU10" s="316"/>
      <c r="GOV10" s="316"/>
      <c r="GOW10" s="316"/>
      <c r="GOX10" s="316"/>
      <c r="GOY10" s="316"/>
      <c r="GOZ10" s="316"/>
      <c r="GPA10" s="316"/>
      <c r="GPB10" s="316"/>
      <c r="GPC10" s="316"/>
      <c r="GPD10" s="316"/>
      <c r="GPE10" s="316"/>
      <c r="GPF10" s="316"/>
      <c r="GPG10" s="316"/>
      <c r="GPH10" s="316"/>
      <c r="GPI10" s="316"/>
      <c r="GPJ10" s="316"/>
      <c r="GPK10" s="316"/>
      <c r="GPL10" s="316"/>
      <c r="GPM10" s="316"/>
      <c r="GPN10" s="316"/>
      <c r="GPO10" s="316"/>
      <c r="GPP10" s="316"/>
      <c r="GPQ10" s="316"/>
      <c r="GPR10" s="316"/>
      <c r="GPS10" s="316"/>
      <c r="GPT10" s="316"/>
      <c r="GPU10" s="316"/>
      <c r="GPV10" s="316"/>
      <c r="GPW10" s="316"/>
      <c r="GPX10" s="316"/>
      <c r="GPY10" s="316"/>
      <c r="GPZ10" s="316"/>
      <c r="GQA10" s="316"/>
      <c r="GQB10" s="316"/>
      <c r="GQC10" s="316"/>
      <c r="GQD10" s="316"/>
      <c r="GQE10" s="316"/>
      <c r="GQF10" s="316"/>
      <c r="GQG10" s="316"/>
      <c r="GQH10" s="316"/>
      <c r="GQI10" s="316"/>
      <c r="GQJ10" s="316"/>
      <c r="GQK10" s="316"/>
      <c r="GQL10" s="316"/>
      <c r="GQM10" s="316"/>
      <c r="GQN10" s="316"/>
      <c r="GQO10" s="316"/>
      <c r="GQP10" s="316"/>
      <c r="GQQ10" s="316"/>
      <c r="GQR10" s="316"/>
      <c r="GQS10" s="316"/>
      <c r="GQT10" s="316"/>
      <c r="GQU10" s="316"/>
      <c r="GQV10" s="316"/>
      <c r="GQW10" s="316"/>
      <c r="GQX10" s="316"/>
      <c r="GQY10" s="316"/>
      <c r="GQZ10" s="316"/>
      <c r="GRA10" s="316"/>
      <c r="GRB10" s="316"/>
      <c r="GRC10" s="316"/>
      <c r="GRD10" s="316"/>
      <c r="GRE10" s="316"/>
      <c r="GRF10" s="316"/>
      <c r="GRG10" s="316"/>
      <c r="GRH10" s="316"/>
      <c r="GRI10" s="316"/>
      <c r="GRJ10" s="316"/>
      <c r="GRK10" s="316"/>
      <c r="GRL10" s="316"/>
      <c r="GRM10" s="316"/>
      <c r="GRN10" s="316"/>
      <c r="GRO10" s="316"/>
      <c r="GRP10" s="316"/>
      <c r="GRQ10" s="316"/>
      <c r="GRR10" s="316"/>
      <c r="GRS10" s="316"/>
      <c r="GRT10" s="316"/>
      <c r="GRU10" s="316"/>
      <c r="GRV10" s="316"/>
      <c r="GRW10" s="316"/>
      <c r="GRX10" s="316"/>
      <c r="GRY10" s="316"/>
      <c r="GRZ10" s="316"/>
      <c r="GSA10" s="316"/>
      <c r="GSB10" s="316"/>
      <c r="GSC10" s="316"/>
      <c r="GSD10" s="316"/>
      <c r="GSE10" s="316"/>
      <c r="GSF10" s="316"/>
      <c r="GSG10" s="316"/>
      <c r="GSH10" s="316"/>
      <c r="GSI10" s="316"/>
      <c r="GSJ10" s="316"/>
      <c r="GSK10" s="316"/>
      <c r="GSL10" s="316"/>
      <c r="GSM10" s="316"/>
      <c r="GSN10" s="316"/>
      <c r="GSO10" s="316"/>
      <c r="GSP10" s="316"/>
      <c r="GSQ10" s="316"/>
      <c r="GSR10" s="316"/>
      <c r="GSS10" s="316"/>
      <c r="GST10" s="316"/>
      <c r="GSU10" s="316"/>
      <c r="GSV10" s="316"/>
      <c r="GSW10" s="316"/>
      <c r="GSX10" s="316"/>
      <c r="GSY10" s="316"/>
      <c r="GSZ10" s="316"/>
      <c r="GTA10" s="316"/>
      <c r="GTB10" s="316"/>
      <c r="GTC10" s="316"/>
      <c r="GTD10" s="316"/>
      <c r="GTE10" s="316"/>
      <c r="GTF10" s="316"/>
      <c r="GTG10" s="316"/>
      <c r="GTH10" s="316"/>
      <c r="GTI10" s="316"/>
      <c r="GTJ10" s="316"/>
      <c r="GTK10" s="316"/>
      <c r="GTL10" s="316"/>
      <c r="GTM10" s="316"/>
      <c r="GTN10" s="316"/>
      <c r="GTO10" s="316"/>
      <c r="GTP10" s="316"/>
      <c r="GTQ10" s="316"/>
      <c r="GTR10" s="316"/>
      <c r="GTS10" s="316"/>
      <c r="GTT10" s="316"/>
      <c r="GTU10" s="316"/>
      <c r="GTV10" s="316"/>
      <c r="GTW10" s="316"/>
      <c r="GTX10" s="316"/>
      <c r="GTY10" s="316"/>
      <c r="GTZ10" s="316"/>
      <c r="GUA10" s="316"/>
      <c r="GUB10" s="316"/>
      <c r="GUC10" s="316"/>
      <c r="GUD10" s="316"/>
      <c r="GUE10" s="316"/>
      <c r="GUF10" s="316"/>
      <c r="GUG10" s="316"/>
      <c r="GUH10" s="316"/>
      <c r="GUI10" s="316"/>
      <c r="GUJ10" s="316"/>
      <c r="GUK10" s="316"/>
      <c r="GUL10" s="316"/>
      <c r="GUM10" s="316"/>
      <c r="GUN10" s="316"/>
      <c r="GUO10" s="316"/>
      <c r="GUP10" s="316"/>
      <c r="GUQ10" s="316"/>
      <c r="GUR10" s="316"/>
      <c r="GUS10" s="316"/>
      <c r="GUT10" s="316"/>
      <c r="GUU10" s="316"/>
      <c r="GUV10" s="316"/>
      <c r="GUW10" s="316"/>
      <c r="GUX10" s="316"/>
      <c r="GUY10" s="316"/>
      <c r="GUZ10" s="316"/>
      <c r="GVA10" s="316"/>
      <c r="GVB10" s="316"/>
      <c r="GVC10" s="316"/>
      <c r="GVD10" s="316"/>
      <c r="GVE10" s="316"/>
      <c r="GVF10" s="316"/>
      <c r="GVG10" s="316"/>
      <c r="GVH10" s="316"/>
      <c r="GVI10" s="316"/>
      <c r="GVJ10" s="316"/>
      <c r="GVK10" s="316"/>
      <c r="GVL10" s="316"/>
      <c r="GVM10" s="316"/>
      <c r="GVN10" s="316"/>
      <c r="GVO10" s="316"/>
      <c r="GVP10" s="316"/>
      <c r="GVQ10" s="316"/>
      <c r="GVR10" s="316"/>
      <c r="GVS10" s="316"/>
      <c r="GVT10" s="316"/>
      <c r="GVU10" s="316"/>
      <c r="GVV10" s="316"/>
      <c r="GVW10" s="316"/>
      <c r="GVX10" s="316"/>
      <c r="GVY10" s="316"/>
      <c r="GVZ10" s="316"/>
      <c r="GWA10" s="316"/>
      <c r="GWB10" s="316"/>
      <c r="GWC10" s="316"/>
      <c r="GWD10" s="316"/>
      <c r="GWE10" s="316"/>
      <c r="GWF10" s="316"/>
      <c r="GWG10" s="316"/>
      <c r="GWH10" s="316"/>
      <c r="GWI10" s="316"/>
      <c r="GWJ10" s="316"/>
      <c r="GWK10" s="316"/>
      <c r="GWL10" s="316"/>
      <c r="GWM10" s="316"/>
      <c r="GWN10" s="316"/>
      <c r="GWO10" s="316"/>
      <c r="GWP10" s="316"/>
      <c r="GWQ10" s="316"/>
      <c r="GWR10" s="316"/>
      <c r="GWS10" s="316"/>
      <c r="GWT10" s="316"/>
      <c r="GWU10" s="316"/>
      <c r="GWV10" s="316"/>
      <c r="GWW10" s="316"/>
      <c r="GWX10" s="316"/>
      <c r="GWY10" s="316"/>
      <c r="GWZ10" s="316"/>
      <c r="GXA10" s="316"/>
      <c r="GXB10" s="316"/>
      <c r="GXC10" s="316"/>
      <c r="GXD10" s="316"/>
      <c r="GXE10" s="316"/>
      <c r="GXF10" s="316"/>
      <c r="GXG10" s="316"/>
      <c r="GXH10" s="316"/>
      <c r="GXI10" s="316"/>
      <c r="GXJ10" s="316"/>
      <c r="GXK10" s="316"/>
      <c r="GXL10" s="316"/>
      <c r="GXM10" s="316"/>
      <c r="GXN10" s="316"/>
      <c r="GXO10" s="316"/>
      <c r="GXP10" s="316"/>
      <c r="GXQ10" s="316"/>
      <c r="GXR10" s="316"/>
      <c r="GXS10" s="316"/>
      <c r="GXT10" s="316"/>
      <c r="GXU10" s="316"/>
      <c r="GXV10" s="316"/>
      <c r="GXW10" s="316"/>
      <c r="GXX10" s="316"/>
      <c r="GXY10" s="316"/>
      <c r="GXZ10" s="316"/>
      <c r="GYA10" s="316"/>
      <c r="GYB10" s="316"/>
      <c r="GYC10" s="316"/>
      <c r="GYD10" s="316"/>
      <c r="GYE10" s="316"/>
      <c r="GYF10" s="316"/>
      <c r="GYG10" s="316"/>
      <c r="GYH10" s="316"/>
      <c r="GYI10" s="316"/>
      <c r="GYJ10" s="316"/>
      <c r="GYK10" s="316"/>
      <c r="GYL10" s="316"/>
      <c r="GYM10" s="316"/>
      <c r="GYN10" s="316"/>
      <c r="GYO10" s="316"/>
      <c r="GYP10" s="316"/>
      <c r="GYQ10" s="316"/>
      <c r="GYR10" s="316"/>
      <c r="GYS10" s="316"/>
      <c r="GYT10" s="316"/>
      <c r="GYU10" s="316"/>
      <c r="GYV10" s="316"/>
      <c r="GYW10" s="316"/>
      <c r="GYX10" s="316"/>
      <c r="GYY10" s="316"/>
      <c r="GYZ10" s="316"/>
      <c r="GZA10" s="316"/>
      <c r="GZB10" s="316"/>
      <c r="GZC10" s="316"/>
      <c r="GZD10" s="316"/>
      <c r="GZE10" s="316"/>
      <c r="GZF10" s="316"/>
      <c r="GZG10" s="316"/>
      <c r="GZH10" s="316"/>
      <c r="GZI10" s="316"/>
      <c r="GZJ10" s="316"/>
      <c r="GZK10" s="316"/>
      <c r="GZL10" s="316"/>
      <c r="GZM10" s="316"/>
      <c r="GZN10" s="316"/>
      <c r="GZO10" s="316"/>
      <c r="GZP10" s="316"/>
      <c r="GZQ10" s="316"/>
      <c r="GZR10" s="316"/>
      <c r="GZS10" s="316"/>
      <c r="GZT10" s="316"/>
      <c r="GZU10" s="316"/>
      <c r="GZV10" s="316"/>
      <c r="GZW10" s="316"/>
      <c r="GZX10" s="316"/>
      <c r="GZY10" s="316"/>
      <c r="GZZ10" s="316"/>
      <c r="HAA10" s="316"/>
      <c r="HAB10" s="316"/>
      <c r="HAC10" s="316"/>
      <c r="HAD10" s="316"/>
      <c r="HAE10" s="316"/>
      <c r="HAF10" s="316"/>
      <c r="HAG10" s="316"/>
      <c r="HAH10" s="316"/>
      <c r="HAI10" s="316"/>
      <c r="HAJ10" s="316"/>
      <c r="HAK10" s="316"/>
      <c r="HAL10" s="316"/>
      <c r="HAM10" s="316"/>
      <c r="HAN10" s="316"/>
      <c r="HAO10" s="316"/>
      <c r="HAP10" s="316"/>
      <c r="HAQ10" s="316"/>
      <c r="HAR10" s="316"/>
      <c r="HAS10" s="316"/>
      <c r="HAT10" s="316"/>
      <c r="HAU10" s="316"/>
      <c r="HAV10" s="316"/>
      <c r="HAW10" s="316"/>
      <c r="HAX10" s="316"/>
      <c r="HAY10" s="316"/>
      <c r="HAZ10" s="316"/>
      <c r="HBA10" s="316"/>
      <c r="HBB10" s="316"/>
      <c r="HBC10" s="316"/>
      <c r="HBD10" s="316"/>
      <c r="HBE10" s="316"/>
      <c r="HBF10" s="316"/>
      <c r="HBG10" s="316"/>
      <c r="HBH10" s="316"/>
      <c r="HBI10" s="316"/>
      <c r="HBJ10" s="316"/>
      <c r="HBK10" s="316"/>
      <c r="HBL10" s="316"/>
      <c r="HBM10" s="316"/>
      <c r="HBN10" s="316"/>
      <c r="HBO10" s="316"/>
      <c r="HBP10" s="316"/>
      <c r="HBQ10" s="316"/>
      <c r="HBR10" s="316"/>
      <c r="HBS10" s="316"/>
      <c r="HBT10" s="316"/>
      <c r="HBU10" s="316"/>
      <c r="HBV10" s="316"/>
      <c r="HBW10" s="316"/>
      <c r="HBX10" s="316"/>
      <c r="HBY10" s="316"/>
      <c r="HBZ10" s="316"/>
      <c r="HCA10" s="316"/>
      <c r="HCB10" s="316"/>
      <c r="HCC10" s="316"/>
      <c r="HCD10" s="316"/>
      <c r="HCE10" s="316"/>
      <c r="HCF10" s="316"/>
      <c r="HCG10" s="316"/>
      <c r="HCH10" s="316"/>
      <c r="HCI10" s="316"/>
      <c r="HCJ10" s="316"/>
      <c r="HCK10" s="316"/>
      <c r="HCL10" s="316"/>
      <c r="HCM10" s="316"/>
      <c r="HCN10" s="316"/>
      <c r="HCO10" s="316"/>
      <c r="HCP10" s="316"/>
      <c r="HCQ10" s="316"/>
      <c r="HCR10" s="316"/>
      <c r="HCS10" s="316"/>
      <c r="HCT10" s="316"/>
      <c r="HCU10" s="316"/>
      <c r="HCV10" s="316"/>
      <c r="HCW10" s="316"/>
      <c r="HCX10" s="316"/>
      <c r="HCY10" s="316"/>
      <c r="HCZ10" s="316"/>
      <c r="HDA10" s="316"/>
      <c r="HDB10" s="316"/>
      <c r="HDC10" s="316"/>
      <c r="HDD10" s="316"/>
      <c r="HDE10" s="316"/>
      <c r="HDF10" s="316"/>
      <c r="HDG10" s="316"/>
      <c r="HDH10" s="316"/>
      <c r="HDI10" s="316"/>
      <c r="HDJ10" s="316"/>
      <c r="HDK10" s="316"/>
      <c r="HDL10" s="316"/>
      <c r="HDM10" s="316"/>
      <c r="HDN10" s="316"/>
      <c r="HDO10" s="316"/>
      <c r="HDP10" s="316"/>
      <c r="HDQ10" s="316"/>
      <c r="HDR10" s="316"/>
      <c r="HDS10" s="316"/>
      <c r="HDT10" s="316"/>
      <c r="HDU10" s="316"/>
      <c r="HDV10" s="316"/>
      <c r="HDW10" s="316"/>
      <c r="HDX10" s="316"/>
      <c r="HDY10" s="316"/>
      <c r="HDZ10" s="316"/>
      <c r="HEA10" s="316"/>
      <c r="HEB10" s="316"/>
      <c r="HEC10" s="316"/>
      <c r="HED10" s="316"/>
      <c r="HEE10" s="316"/>
      <c r="HEF10" s="316"/>
      <c r="HEG10" s="316"/>
      <c r="HEH10" s="316"/>
      <c r="HEI10" s="316"/>
      <c r="HEJ10" s="316"/>
      <c r="HEK10" s="316"/>
      <c r="HEL10" s="316"/>
      <c r="HEM10" s="316"/>
      <c r="HEN10" s="316"/>
      <c r="HEO10" s="316"/>
      <c r="HEP10" s="316"/>
      <c r="HEQ10" s="316"/>
      <c r="HER10" s="316"/>
      <c r="HES10" s="316"/>
      <c r="HET10" s="316"/>
      <c r="HEU10" s="316"/>
      <c r="HEV10" s="316"/>
      <c r="HEW10" s="316"/>
      <c r="HEX10" s="316"/>
      <c r="HEY10" s="316"/>
      <c r="HEZ10" s="316"/>
      <c r="HFA10" s="316"/>
      <c r="HFB10" s="316"/>
      <c r="HFC10" s="316"/>
      <c r="HFD10" s="316"/>
      <c r="HFE10" s="316"/>
      <c r="HFF10" s="316"/>
      <c r="HFG10" s="316"/>
      <c r="HFH10" s="316"/>
      <c r="HFI10" s="316"/>
      <c r="HFJ10" s="316"/>
      <c r="HFK10" s="316"/>
      <c r="HFL10" s="316"/>
      <c r="HFM10" s="316"/>
      <c r="HFN10" s="316"/>
      <c r="HFO10" s="316"/>
      <c r="HFP10" s="316"/>
      <c r="HFQ10" s="316"/>
      <c r="HFR10" s="316"/>
      <c r="HFS10" s="316"/>
      <c r="HFT10" s="316"/>
      <c r="HFU10" s="316"/>
      <c r="HFV10" s="316"/>
      <c r="HFW10" s="316"/>
      <c r="HFX10" s="316"/>
      <c r="HFY10" s="316"/>
      <c r="HFZ10" s="316"/>
      <c r="HGA10" s="316"/>
      <c r="HGB10" s="316"/>
      <c r="HGC10" s="316"/>
      <c r="HGD10" s="316"/>
      <c r="HGE10" s="316"/>
      <c r="HGF10" s="316"/>
      <c r="HGG10" s="316"/>
      <c r="HGH10" s="316"/>
      <c r="HGI10" s="316"/>
      <c r="HGJ10" s="316"/>
      <c r="HGK10" s="316"/>
      <c r="HGL10" s="316"/>
      <c r="HGM10" s="316"/>
      <c r="HGN10" s="316"/>
      <c r="HGO10" s="316"/>
      <c r="HGP10" s="316"/>
      <c r="HGQ10" s="316"/>
      <c r="HGR10" s="316"/>
      <c r="HGS10" s="316"/>
      <c r="HGT10" s="316"/>
      <c r="HGU10" s="316"/>
      <c r="HGV10" s="316"/>
      <c r="HGW10" s="316"/>
      <c r="HGX10" s="316"/>
      <c r="HGY10" s="316"/>
      <c r="HGZ10" s="316"/>
      <c r="HHA10" s="316"/>
      <c r="HHB10" s="316"/>
      <c r="HHC10" s="316"/>
      <c r="HHD10" s="316"/>
      <c r="HHE10" s="316"/>
      <c r="HHF10" s="316"/>
      <c r="HHG10" s="316"/>
      <c r="HHH10" s="316"/>
      <c r="HHI10" s="316"/>
      <c r="HHJ10" s="316"/>
      <c r="HHK10" s="316"/>
      <c r="HHL10" s="316"/>
      <c r="HHM10" s="316"/>
      <c r="HHN10" s="316"/>
      <c r="HHO10" s="316"/>
      <c r="HHP10" s="316"/>
      <c r="HHQ10" s="316"/>
      <c r="HHR10" s="316"/>
      <c r="HHS10" s="316"/>
      <c r="HHT10" s="316"/>
      <c r="HHU10" s="316"/>
      <c r="HHV10" s="316"/>
      <c r="HHW10" s="316"/>
      <c r="HHX10" s="316"/>
      <c r="HHY10" s="316"/>
      <c r="HHZ10" s="316"/>
      <c r="HIA10" s="316"/>
      <c r="HIB10" s="316"/>
      <c r="HIC10" s="316"/>
      <c r="HID10" s="316"/>
      <c r="HIE10" s="316"/>
      <c r="HIF10" s="316"/>
      <c r="HIG10" s="316"/>
      <c r="HIH10" s="316"/>
      <c r="HII10" s="316"/>
      <c r="HIJ10" s="316"/>
      <c r="HIK10" s="316"/>
      <c r="HIL10" s="316"/>
      <c r="HIM10" s="316"/>
      <c r="HIN10" s="316"/>
      <c r="HIO10" s="316"/>
      <c r="HIP10" s="316"/>
      <c r="HIQ10" s="316"/>
      <c r="HIR10" s="316"/>
      <c r="HIS10" s="316"/>
      <c r="HIT10" s="316"/>
      <c r="HIU10" s="316"/>
      <c r="HIV10" s="316"/>
      <c r="HIW10" s="316"/>
      <c r="HIX10" s="316"/>
      <c r="HIY10" s="316"/>
      <c r="HIZ10" s="316"/>
      <c r="HJA10" s="316"/>
      <c r="HJB10" s="316"/>
      <c r="HJC10" s="316"/>
      <c r="HJD10" s="316"/>
      <c r="HJE10" s="316"/>
      <c r="HJF10" s="316"/>
      <c r="HJG10" s="316"/>
      <c r="HJH10" s="316"/>
      <c r="HJI10" s="316"/>
      <c r="HJJ10" s="316"/>
      <c r="HJK10" s="316"/>
      <c r="HJL10" s="316"/>
      <c r="HJM10" s="316"/>
      <c r="HJN10" s="316"/>
      <c r="HJO10" s="316"/>
      <c r="HJP10" s="316"/>
      <c r="HJQ10" s="316"/>
      <c r="HJR10" s="316"/>
      <c r="HJS10" s="316"/>
      <c r="HJT10" s="316"/>
      <c r="HJU10" s="316"/>
      <c r="HJV10" s="316"/>
      <c r="HJW10" s="316"/>
      <c r="HJX10" s="316"/>
      <c r="HJY10" s="316"/>
      <c r="HJZ10" s="316"/>
      <c r="HKA10" s="316"/>
      <c r="HKB10" s="316"/>
      <c r="HKC10" s="316"/>
      <c r="HKD10" s="316"/>
      <c r="HKE10" s="316"/>
      <c r="HKF10" s="316"/>
      <c r="HKG10" s="316"/>
      <c r="HKH10" s="316"/>
      <c r="HKI10" s="316"/>
      <c r="HKJ10" s="316"/>
      <c r="HKK10" s="316"/>
      <c r="HKL10" s="316"/>
      <c r="HKM10" s="316"/>
      <c r="HKN10" s="316"/>
      <c r="HKO10" s="316"/>
      <c r="HKP10" s="316"/>
      <c r="HKQ10" s="316"/>
      <c r="HKR10" s="316"/>
      <c r="HKS10" s="316"/>
      <c r="HKT10" s="316"/>
      <c r="HKU10" s="316"/>
      <c r="HKV10" s="316"/>
      <c r="HKW10" s="316"/>
      <c r="HKX10" s="316"/>
      <c r="HKY10" s="316"/>
      <c r="HKZ10" s="316"/>
      <c r="HLA10" s="316"/>
      <c r="HLB10" s="316"/>
      <c r="HLC10" s="316"/>
      <c r="HLD10" s="316"/>
      <c r="HLE10" s="316"/>
      <c r="HLF10" s="316"/>
      <c r="HLG10" s="316"/>
      <c r="HLH10" s="316"/>
      <c r="HLI10" s="316"/>
      <c r="HLJ10" s="316"/>
      <c r="HLK10" s="316"/>
      <c r="HLL10" s="316"/>
      <c r="HLM10" s="316"/>
      <c r="HLN10" s="316"/>
      <c r="HLO10" s="316"/>
      <c r="HLP10" s="316"/>
      <c r="HLQ10" s="316"/>
      <c r="HLR10" s="316"/>
      <c r="HLS10" s="316"/>
      <c r="HLT10" s="316"/>
      <c r="HLU10" s="316"/>
      <c r="HLV10" s="316"/>
      <c r="HLW10" s="316"/>
      <c r="HLX10" s="316"/>
      <c r="HLY10" s="316"/>
      <c r="HLZ10" s="316"/>
      <c r="HMA10" s="316"/>
      <c r="HMB10" s="316"/>
      <c r="HMC10" s="316"/>
      <c r="HMD10" s="316"/>
      <c r="HME10" s="316"/>
      <c r="HMF10" s="316"/>
      <c r="HMG10" s="316"/>
      <c r="HMH10" s="316"/>
      <c r="HMI10" s="316"/>
      <c r="HMJ10" s="316"/>
      <c r="HMK10" s="316"/>
      <c r="HML10" s="316"/>
      <c r="HMM10" s="316"/>
      <c r="HMN10" s="316"/>
      <c r="HMO10" s="316"/>
      <c r="HMP10" s="316"/>
      <c r="HMQ10" s="316"/>
      <c r="HMR10" s="316"/>
      <c r="HMS10" s="316"/>
      <c r="HMT10" s="316"/>
      <c r="HMU10" s="316"/>
      <c r="HMV10" s="316"/>
      <c r="HMW10" s="316"/>
      <c r="HMX10" s="316"/>
      <c r="HMY10" s="316"/>
      <c r="HMZ10" s="316"/>
      <c r="HNA10" s="316"/>
      <c r="HNB10" s="316"/>
      <c r="HNC10" s="316"/>
      <c r="HND10" s="316"/>
      <c r="HNE10" s="316"/>
      <c r="HNF10" s="316"/>
      <c r="HNG10" s="316"/>
      <c r="HNH10" s="316"/>
      <c r="HNI10" s="316"/>
      <c r="HNJ10" s="316"/>
      <c r="HNK10" s="316"/>
      <c r="HNL10" s="316"/>
      <c r="HNM10" s="316"/>
      <c r="HNN10" s="316"/>
      <c r="HNO10" s="316"/>
      <c r="HNP10" s="316"/>
      <c r="HNQ10" s="316"/>
      <c r="HNR10" s="316"/>
      <c r="HNS10" s="316"/>
      <c r="HNT10" s="316"/>
      <c r="HNU10" s="316"/>
      <c r="HNV10" s="316"/>
      <c r="HNW10" s="316"/>
      <c r="HNX10" s="316"/>
      <c r="HNY10" s="316"/>
      <c r="HNZ10" s="316"/>
      <c r="HOA10" s="316"/>
      <c r="HOB10" s="316"/>
      <c r="HOC10" s="316"/>
      <c r="HOD10" s="316"/>
      <c r="HOE10" s="316"/>
      <c r="HOF10" s="316"/>
      <c r="HOG10" s="316"/>
      <c r="HOH10" s="316"/>
      <c r="HOI10" s="316"/>
      <c r="HOJ10" s="316"/>
      <c r="HOK10" s="316"/>
      <c r="HOL10" s="316"/>
      <c r="HOM10" s="316"/>
      <c r="HON10" s="316"/>
      <c r="HOO10" s="316"/>
      <c r="HOP10" s="316"/>
      <c r="HOQ10" s="316"/>
      <c r="HOR10" s="316"/>
      <c r="HOS10" s="316"/>
      <c r="HOT10" s="316"/>
      <c r="HOU10" s="316"/>
      <c r="HOV10" s="316"/>
      <c r="HOW10" s="316"/>
      <c r="HOX10" s="316"/>
      <c r="HOY10" s="316"/>
      <c r="HOZ10" s="316"/>
      <c r="HPA10" s="316"/>
      <c r="HPB10" s="316"/>
      <c r="HPC10" s="316"/>
      <c r="HPD10" s="316"/>
      <c r="HPE10" s="316"/>
      <c r="HPF10" s="316"/>
      <c r="HPG10" s="316"/>
      <c r="HPH10" s="316"/>
      <c r="HPI10" s="316"/>
      <c r="HPJ10" s="316"/>
      <c r="HPK10" s="316"/>
      <c r="HPL10" s="316"/>
      <c r="HPM10" s="316"/>
      <c r="HPN10" s="316"/>
      <c r="HPO10" s="316"/>
      <c r="HPP10" s="316"/>
      <c r="HPQ10" s="316"/>
      <c r="HPR10" s="316"/>
      <c r="HPS10" s="316"/>
      <c r="HPT10" s="316"/>
      <c r="HPU10" s="316"/>
      <c r="HPV10" s="316"/>
      <c r="HPW10" s="316"/>
      <c r="HPX10" s="316"/>
      <c r="HPY10" s="316"/>
      <c r="HPZ10" s="316"/>
      <c r="HQA10" s="316"/>
      <c r="HQB10" s="316"/>
      <c r="HQC10" s="316"/>
      <c r="HQD10" s="316"/>
      <c r="HQE10" s="316"/>
      <c r="HQF10" s="316"/>
      <c r="HQG10" s="316"/>
      <c r="HQH10" s="316"/>
      <c r="HQI10" s="316"/>
      <c r="HQJ10" s="316"/>
      <c r="HQK10" s="316"/>
      <c r="HQL10" s="316"/>
      <c r="HQM10" s="316"/>
      <c r="HQN10" s="316"/>
      <c r="HQO10" s="316"/>
      <c r="HQP10" s="316"/>
      <c r="HQQ10" s="316"/>
      <c r="HQR10" s="316"/>
      <c r="HQS10" s="316"/>
      <c r="HQT10" s="316"/>
      <c r="HQU10" s="316"/>
      <c r="HQV10" s="316"/>
      <c r="HQW10" s="316"/>
      <c r="HQX10" s="316"/>
      <c r="HQY10" s="316"/>
      <c r="HQZ10" s="316"/>
      <c r="HRA10" s="316"/>
      <c r="HRB10" s="316"/>
      <c r="HRC10" s="316"/>
      <c r="HRD10" s="316"/>
      <c r="HRE10" s="316"/>
      <c r="HRF10" s="316"/>
      <c r="HRG10" s="316"/>
      <c r="HRH10" s="316"/>
      <c r="HRI10" s="316"/>
      <c r="HRJ10" s="316"/>
      <c r="HRK10" s="316"/>
      <c r="HRL10" s="316"/>
      <c r="HRM10" s="316"/>
      <c r="HRN10" s="316"/>
      <c r="HRO10" s="316"/>
      <c r="HRP10" s="316"/>
      <c r="HRQ10" s="316"/>
      <c r="HRR10" s="316"/>
      <c r="HRS10" s="316"/>
      <c r="HRT10" s="316"/>
      <c r="HRU10" s="316"/>
      <c r="HRV10" s="316"/>
      <c r="HRW10" s="316"/>
      <c r="HRX10" s="316"/>
      <c r="HRY10" s="316"/>
      <c r="HRZ10" s="316"/>
      <c r="HSA10" s="316"/>
      <c r="HSB10" s="316"/>
      <c r="HSC10" s="316"/>
      <c r="HSD10" s="316"/>
      <c r="HSE10" s="316"/>
      <c r="HSF10" s="316"/>
      <c r="HSG10" s="316"/>
      <c r="HSH10" s="316"/>
      <c r="HSI10" s="316"/>
      <c r="HSJ10" s="316"/>
      <c r="HSK10" s="316"/>
      <c r="HSL10" s="316"/>
      <c r="HSM10" s="316"/>
      <c r="HSN10" s="316"/>
      <c r="HSO10" s="316"/>
      <c r="HSP10" s="316"/>
      <c r="HSQ10" s="316"/>
      <c r="HSR10" s="316"/>
      <c r="HSS10" s="316"/>
      <c r="HST10" s="316"/>
      <c r="HSU10" s="316"/>
      <c r="HSV10" s="316"/>
      <c r="HSW10" s="316"/>
      <c r="HSX10" s="316"/>
      <c r="HSY10" s="316"/>
      <c r="HSZ10" s="316"/>
      <c r="HTA10" s="316"/>
      <c r="HTB10" s="316"/>
      <c r="HTC10" s="316"/>
      <c r="HTD10" s="316"/>
      <c r="HTE10" s="316"/>
      <c r="HTF10" s="316"/>
      <c r="HTG10" s="316"/>
      <c r="HTH10" s="316"/>
      <c r="HTI10" s="316"/>
      <c r="HTJ10" s="316"/>
      <c r="HTK10" s="316"/>
      <c r="HTL10" s="316"/>
      <c r="HTM10" s="316"/>
      <c r="HTN10" s="316"/>
      <c r="HTO10" s="316"/>
      <c r="HTP10" s="316"/>
      <c r="HTQ10" s="316"/>
      <c r="HTR10" s="316"/>
      <c r="HTS10" s="316"/>
      <c r="HTT10" s="316"/>
      <c r="HTU10" s="316"/>
      <c r="HTV10" s="316"/>
      <c r="HTW10" s="316"/>
      <c r="HTX10" s="316"/>
      <c r="HTY10" s="316"/>
      <c r="HTZ10" s="316"/>
      <c r="HUA10" s="316"/>
      <c r="HUB10" s="316"/>
      <c r="HUC10" s="316"/>
      <c r="HUD10" s="316"/>
      <c r="HUE10" s="316"/>
      <c r="HUF10" s="316"/>
      <c r="HUG10" s="316"/>
      <c r="HUH10" s="316"/>
      <c r="HUI10" s="316"/>
      <c r="HUJ10" s="316"/>
      <c r="HUK10" s="316"/>
      <c r="HUL10" s="316"/>
      <c r="HUM10" s="316"/>
      <c r="HUN10" s="316"/>
      <c r="HUO10" s="316"/>
      <c r="HUP10" s="316"/>
      <c r="HUQ10" s="316"/>
      <c r="HUR10" s="316"/>
      <c r="HUS10" s="316"/>
      <c r="HUT10" s="316"/>
      <c r="HUU10" s="316"/>
      <c r="HUV10" s="316"/>
      <c r="HUW10" s="316"/>
      <c r="HUX10" s="316"/>
      <c r="HUY10" s="316"/>
      <c r="HUZ10" s="316"/>
      <c r="HVA10" s="316"/>
      <c r="HVB10" s="316"/>
      <c r="HVC10" s="316"/>
      <c r="HVD10" s="316"/>
      <c r="HVE10" s="316"/>
      <c r="HVF10" s="316"/>
      <c r="HVG10" s="316"/>
      <c r="HVH10" s="316"/>
      <c r="HVI10" s="316"/>
      <c r="HVJ10" s="316"/>
      <c r="HVK10" s="316"/>
      <c r="HVL10" s="316"/>
      <c r="HVM10" s="316"/>
      <c r="HVN10" s="316"/>
      <c r="HVO10" s="316"/>
      <c r="HVP10" s="316"/>
      <c r="HVQ10" s="316"/>
      <c r="HVR10" s="316"/>
      <c r="HVS10" s="316"/>
      <c r="HVT10" s="316"/>
      <c r="HVU10" s="316"/>
      <c r="HVV10" s="316"/>
      <c r="HVW10" s="316"/>
      <c r="HVX10" s="316"/>
      <c r="HVY10" s="316"/>
      <c r="HVZ10" s="316"/>
      <c r="HWA10" s="316"/>
      <c r="HWB10" s="316"/>
      <c r="HWC10" s="316"/>
      <c r="HWD10" s="316"/>
      <c r="HWE10" s="316"/>
      <c r="HWF10" s="316"/>
      <c r="HWG10" s="316"/>
      <c r="HWH10" s="316"/>
      <c r="HWI10" s="316"/>
      <c r="HWJ10" s="316"/>
      <c r="HWK10" s="316"/>
      <c r="HWL10" s="316"/>
      <c r="HWM10" s="316"/>
      <c r="HWN10" s="316"/>
      <c r="HWO10" s="316"/>
      <c r="HWP10" s="316"/>
      <c r="HWQ10" s="316"/>
      <c r="HWR10" s="316"/>
      <c r="HWS10" s="316"/>
      <c r="HWT10" s="316"/>
      <c r="HWU10" s="316"/>
      <c r="HWV10" s="316"/>
      <c r="HWW10" s="316"/>
      <c r="HWX10" s="316"/>
      <c r="HWY10" s="316"/>
      <c r="HWZ10" s="316"/>
      <c r="HXA10" s="316"/>
      <c r="HXB10" s="316"/>
      <c r="HXC10" s="316"/>
      <c r="HXD10" s="316"/>
      <c r="HXE10" s="316"/>
      <c r="HXF10" s="316"/>
      <c r="HXG10" s="316"/>
      <c r="HXH10" s="316"/>
      <c r="HXI10" s="316"/>
      <c r="HXJ10" s="316"/>
      <c r="HXK10" s="316"/>
      <c r="HXL10" s="316"/>
      <c r="HXM10" s="316"/>
      <c r="HXN10" s="316"/>
      <c r="HXO10" s="316"/>
      <c r="HXP10" s="316"/>
      <c r="HXQ10" s="316"/>
      <c r="HXR10" s="316"/>
      <c r="HXS10" s="316"/>
      <c r="HXT10" s="316"/>
      <c r="HXU10" s="316"/>
      <c r="HXV10" s="316"/>
      <c r="HXW10" s="316"/>
      <c r="HXX10" s="316"/>
      <c r="HXY10" s="316"/>
      <c r="HXZ10" s="316"/>
      <c r="HYA10" s="316"/>
      <c r="HYB10" s="316"/>
      <c r="HYC10" s="316"/>
      <c r="HYD10" s="316"/>
      <c r="HYE10" s="316"/>
      <c r="HYF10" s="316"/>
      <c r="HYG10" s="316"/>
      <c r="HYH10" s="316"/>
      <c r="HYI10" s="316"/>
      <c r="HYJ10" s="316"/>
      <c r="HYK10" s="316"/>
      <c r="HYL10" s="316"/>
      <c r="HYM10" s="316"/>
      <c r="HYN10" s="316"/>
      <c r="HYO10" s="316"/>
      <c r="HYP10" s="316"/>
      <c r="HYQ10" s="316"/>
      <c r="HYR10" s="316"/>
      <c r="HYS10" s="316"/>
      <c r="HYT10" s="316"/>
      <c r="HYU10" s="316"/>
      <c r="HYV10" s="316"/>
      <c r="HYW10" s="316"/>
      <c r="HYX10" s="316"/>
      <c r="HYY10" s="316"/>
      <c r="HYZ10" s="316"/>
      <c r="HZA10" s="316"/>
      <c r="HZB10" s="316"/>
      <c r="HZC10" s="316"/>
      <c r="HZD10" s="316"/>
      <c r="HZE10" s="316"/>
      <c r="HZF10" s="316"/>
      <c r="HZG10" s="316"/>
      <c r="HZH10" s="316"/>
      <c r="HZI10" s="316"/>
      <c r="HZJ10" s="316"/>
      <c r="HZK10" s="316"/>
      <c r="HZL10" s="316"/>
      <c r="HZM10" s="316"/>
      <c r="HZN10" s="316"/>
      <c r="HZO10" s="316"/>
      <c r="HZP10" s="316"/>
      <c r="HZQ10" s="316"/>
      <c r="HZR10" s="316"/>
      <c r="HZS10" s="316"/>
      <c r="HZT10" s="316"/>
      <c r="HZU10" s="316"/>
      <c r="HZV10" s="316"/>
      <c r="HZW10" s="316"/>
      <c r="HZX10" s="316"/>
      <c r="HZY10" s="316"/>
      <c r="HZZ10" s="316"/>
      <c r="IAA10" s="316"/>
      <c r="IAB10" s="316"/>
      <c r="IAC10" s="316"/>
      <c r="IAD10" s="316"/>
      <c r="IAE10" s="316"/>
      <c r="IAF10" s="316"/>
      <c r="IAG10" s="316"/>
      <c r="IAH10" s="316"/>
      <c r="IAI10" s="316"/>
      <c r="IAJ10" s="316"/>
      <c r="IAK10" s="316"/>
      <c r="IAL10" s="316"/>
      <c r="IAM10" s="316"/>
      <c r="IAN10" s="316"/>
      <c r="IAO10" s="316"/>
      <c r="IAP10" s="316"/>
      <c r="IAQ10" s="316"/>
      <c r="IAR10" s="316"/>
      <c r="IAS10" s="316"/>
      <c r="IAT10" s="316"/>
      <c r="IAU10" s="316"/>
      <c r="IAV10" s="316"/>
      <c r="IAW10" s="316"/>
      <c r="IAX10" s="316"/>
      <c r="IAY10" s="316"/>
      <c r="IAZ10" s="316"/>
      <c r="IBA10" s="316"/>
      <c r="IBB10" s="316"/>
      <c r="IBC10" s="316"/>
      <c r="IBD10" s="316"/>
      <c r="IBE10" s="316"/>
      <c r="IBF10" s="316"/>
      <c r="IBG10" s="316"/>
      <c r="IBH10" s="316"/>
      <c r="IBI10" s="316"/>
      <c r="IBJ10" s="316"/>
      <c r="IBK10" s="316"/>
      <c r="IBL10" s="316"/>
      <c r="IBM10" s="316"/>
      <c r="IBN10" s="316"/>
      <c r="IBO10" s="316"/>
      <c r="IBP10" s="316"/>
      <c r="IBQ10" s="316"/>
      <c r="IBR10" s="316"/>
      <c r="IBS10" s="316"/>
      <c r="IBT10" s="316"/>
      <c r="IBU10" s="316"/>
      <c r="IBV10" s="316"/>
      <c r="IBW10" s="316"/>
      <c r="IBX10" s="316"/>
      <c r="IBY10" s="316"/>
      <c r="IBZ10" s="316"/>
      <c r="ICA10" s="316"/>
      <c r="ICB10" s="316"/>
      <c r="ICC10" s="316"/>
      <c r="ICD10" s="316"/>
      <c r="ICE10" s="316"/>
      <c r="ICF10" s="316"/>
      <c r="ICG10" s="316"/>
      <c r="ICH10" s="316"/>
      <c r="ICI10" s="316"/>
      <c r="ICJ10" s="316"/>
      <c r="ICK10" s="316"/>
      <c r="ICL10" s="316"/>
      <c r="ICM10" s="316"/>
      <c r="ICN10" s="316"/>
      <c r="ICO10" s="316"/>
      <c r="ICP10" s="316"/>
      <c r="ICQ10" s="316"/>
      <c r="ICR10" s="316"/>
      <c r="ICS10" s="316"/>
      <c r="ICT10" s="316"/>
      <c r="ICU10" s="316"/>
      <c r="ICV10" s="316"/>
      <c r="ICW10" s="316"/>
      <c r="ICX10" s="316"/>
      <c r="ICY10" s="316"/>
      <c r="ICZ10" s="316"/>
      <c r="IDA10" s="316"/>
      <c r="IDB10" s="316"/>
      <c r="IDC10" s="316"/>
      <c r="IDD10" s="316"/>
      <c r="IDE10" s="316"/>
      <c r="IDF10" s="316"/>
      <c r="IDG10" s="316"/>
      <c r="IDH10" s="316"/>
      <c r="IDI10" s="316"/>
      <c r="IDJ10" s="316"/>
      <c r="IDK10" s="316"/>
      <c r="IDL10" s="316"/>
      <c r="IDM10" s="316"/>
      <c r="IDN10" s="316"/>
      <c r="IDO10" s="316"/>
      <c r="IDP10" s="316"/>
      <c r="IDQ10" s="316"/>
      <c r="IDR10" s="316"/>
      <c r="IDS10" s="316"/>
      <c r="IDT10" s="316"/>
      <c r="IDU10" s="316"/>
      <c r="IDV10" s="316"/>
      <c r="IDW10" s="316"/>
      <c r="IDX10" s="316"/>
      <c r="IDY10" s="316"/>
      <c r="IDZ10" s="316"/>
      <c r="IEA10" s="316"/>
      <c r="IEB10" s="316"/>
      <c r="IEC10" s="316"/>
      <c r="IED10" s="316"/>
      <c r="IEE10" s="316"/>
      <c r="IEF10" s="316"/>
      <c r="IEG10" s="316"/>
      <c r="IEH10" s="316"/>
      <c r="IEI10" s="316"/>
      <c r="IEJ10" s="316"/>
      <c r="IEK10" s="316"/>
      <c r="IEL10" s="316"/>
      <c r="IEM10" s="316"/>
      <c r="IEN10" s="316"/>
      <c r="IEO10" s="316"/>
      <c r="IEP10" s="316"/>
      <c r="IEQ10" s="316"/>
      <c r="IER10" s="316"/>
      <c r="IES10" s="316"/>
      <c r="IET10" s="316"/>
      <c r="IEU10" s="316"/>
      <c r="IEV10" s="316"/>
      <c r="IEW10" s="316"/>
      <c r="IEX10" s="316"/>
      <c r="IEY10" s="316"/>
      <c r="IEZ10" s="316"/>
      <c r="IFA10" s="316"/>
      <c r="IFB10" s="316"/>
      <c r="IFC10" s="316"/>
      <c r="IFD10" s="316"/>
      <c r="IFE10" s="316"/>
      <c r="IFF10" s="316"/>
      <c r="IFG10" s="316"/>
      <c r="IFH10" s="316"/>
      <c r="IFI10" s="316"/>
      <c r="IFJ10" s="316"/>
      <c r="IFK10" s="316"/>
      <c r="IFL10" s="316"/>
      <c r="IFM10" s="316"/>
      <c r="IFN10" s="316"/>
      <c r="IFO10" s="316"/>
      <c r="IFP10" s="316"/>
      <c r="IFQ10" s="316"/>
      <c r="IFR10" s="316"/>
      <c r="IFS10" s="316"/>
      <c r="IFT10" s="316"/>
      <c r="IFU10" s="316"/>
      <c r="IFV10" s="316"/>
      <c r="IFW10" s="316"/>
      <c r="IFX10" s="316"/>
      <c r="IFY10" s="316"/>
      <c r="IFZ10" s="316"/>
      <c r="IGA10" s="316"/>
      <c r="IGB10" s="316"/>
      <c r="IGC10" s="316"/>
      <c r="IGD10" s="316"/>
      <c r="IGE10" s="316"/>
      <c r="IGF10" s="316"/>
      <c r="IGG10" s="316"/>
      <c r="IGH10" s="316"/>
      <c r="IGI10" s="316"/>
      <c r="IGJ10" s="316"/>
      <c r="IGK10" s="316"/>
      <c r="IGL10" s="316"/>
      <c r="IGM10" s="316"/>
      <c r="IGN10" s="316"/>
      <c r="IGO10" s="316"/>
      <c r="IGP10" s="316"/>
      <c r="IGQ10" s="316"/>
      <c r="IGR10" s="316"/>
      <c r="IGS10" s="316"/>
      <c r="IGT10" s="316"/>
      <c r="IGU10" s="316"/>
      <c r="IGV10" s="316"/>
      <c r="IGW10" s="316"/>
      <c r="IGX10" s="316"/>
      <c r="IGY10" s="316"/>
      <c r="IGZ10" s="316"/>
      <c r="IHA10" s="316"/>
      <c r="IHB10" s="316"/>
      <c r="IHC10" s="316"/>
      <c r="IHD10" s="316"/>
      <c r="IHE10" s="316"/>
      <c r="IHF10" s="316"/>
      <c r="IHG10" s="316"/>
      <c r="IHH10" s="316"/>
      <c r="IHI10" s="316"/>
      <c r="IHJ10" s="316"/>
      <c r="IHK10" s="316"/>
      <c r="IHL10" s="316"/>
      <c r="IHM10" s="316"/>
      <c r="IHN10" s="316"/>
      <c r="IHO10" s="316"/>
      <c r="IHP10" s="316"/>
      <c r="IHQ10" s="316"/>
      <c r="IHR10" s="316"/>
      <c r="IHS10" s="316"/>
      <c r="IHT10" s="316"/>
      <c r="IHU10" s="316"/>
      <c r="IHV10" s="316"/>
      <c r="IHW10" s="316"/>
      <c r="IHX10" s="316"/>
      <c r="IHY10" s="316"/>
      <c r="IHZ10" s="316"/>
      <c r="IIA10" s="316"/>
      <c r="IIB10" s="316"/>
      <c r="IIC10" s="316"/>
      <c r="IID10" s="316"/>
      <c r="IIE10" s="316"/>
      <c r="IIF10" s="316"/>
      <c r="IIG10" s="316"/>
      <c r="IIH10" s="316"/>
      <c r="III10" s="316"/>
      <c r="IIJ10" s="316"/>
      <c r="IIK10" s="316"/>
      <c r="IIL10" s="316"/>
      <c r="IIM10" s="316"/>
      <c r="IIN10" s="316"/>
      <c r="IIO10" s="316"/>
      <c r="IIP10" s="316"/>
      <c r="IIQ10" s="316"/>
      <c r="IIR10" s="316"/>
      <c r="IIS10" s="316"/>
      <c r="IIT10" s="316"/>
      <c r="IIU10" s="316"/>
      <c r="IIV10" s="316"/>
      <c r="IIW10" s="316"/>
      <c r="IIX10" s="316"/>
      <c r="IIY10" s="316"/>
      <c r="IIZ10" s="316"/>
      <c r="IJA10" s="316"/>
      <c r="IJB10" s="316"/>
      <c r="IJC10" s="316"/>
      <c r="IJD10" s="316"/>
      <c r="IJE10" s="316"/>
      <c r="IJF10" s="316"/>
      <c r="IJG10" s="316"/>
      <c r="IJH10" s="316"/>
      <c r="IJI10" s="316"/>
      <c r="IJJ10" s="316"/>
      <c r="IJK10" s="316"/>
      <c r="IJL10" s="316"/>
      <c r="IJM10" s="316"/>
      <c r="IJN10" s="316"/>
      <c r="IJO10" s="316"/>
      <c r="IJP10" s="316"/>
      <c r="IJQ10" s="316"/>
      <c r="IJR10" s="316"/>
      <c r="IJS10" s="316"/>
      <c r="IJT10" s="316"/>
      <c r="IJU10" s="316"/>
      <c r="IJV10" s="316"/>
      <c r="IJW10" s="316"/>
      <c r="IJX10" s="316"/>
      <c r="IJY10" s="316"/>
      <c r="IJZ10" s="316"/>
      <c r="IKA10" s="316"/>
      <c r="IKB10" s="316"/>
      <c r="IKC10" s="316"/>
      <c r="IKD10" s="316"/>
      <c r="IKE10" s="316"/>
      <c r="IKF10" s="316"/>
      <c r="IKG10" s="316"/>
      <c r="IKH10" s="316"/>
      <c r="IKI10" s="316"/>
      <c r="IKJ10" s="316"/>
      <c r="IKK10" s="316"/>
      <c r="IKL10" s="316"/>
      <c r="IKM10" s="316"/>
      <c r="IKN10" s="316"/>
      <c r="IKO10" s="316"/>
      <c r="IKP10" s="316"/>
      <c r="IKQ10" s="316"/>
      <c r="IKR10" s="316"/>
      <c r="IKS10" s="316"/>
      <c r="IKT10" s="316"/>
      <c r="IKU10" s="316"/>
      <c r="IKV10" s="316"/>
      <c r="IKW10" s="316"/>
      <c r="IKX10" s="316"/>
      <c r="IKY10" s="316"/>
      <c r="IKZ10" s="316"/>
      <c r="ILA10" s="316"/>
      <c r="ILB10" s="316"/>
      <c r="ILC10" s="316"/>
      <c r="ILD10" s="316"/>
      <c r="ILE10" s="316"/>
      <c r="ILF10" s="316"/>
      <c r="ILG10" s="316"/>
      <c r="ILH10" s="316"/>
      <c r="ILI10" s="316"/>
      <c r="ILJ10" s="316"/>
      <c r="ILK10" s="316"/>
      <c r="ILL10" s="316"/>
      <c r="ILM10" s="316"/>
      <c r="ILN10" s="316"/>
      <c r="ILO10" s="316"/>
      <c r="ILP10" s="316"/>
      <c r="ILQ10" s="316"/>
      <c r="ILR10" s="316"/>
      <c r="ILS10" s="316"/>
      <c r="ILT10" s="316"/>
      <c r="ILU10" s="316"/>
      <c r="ILV10" s="316"/>
      <c r="ILW10" s="316"/>
      <c r="ILX10" s="316"/>
      <c r="ILY10" s="316"/>
      <c r="ILZ10" s="316"/>
      <c r="IMA10" s="316"/>
      <c r="IMB10" s="316"/>
      <c r="IMC10" s="316"/>
      <c r="IMD10" s="316"/>
      <c r="IME10" s="316"/>
      <c r="IMF10" s="316"/>
      <c r="IMG10" s="316"/>
      <c r="IMH10" s="316"/>
      <c r="IMI10" s="316"/>
      <c r="IMJ10" s="316"/>
      <c r="IMK10" s="316"/>
      <c r="IML10" s="316"/>
      <c r="IMM10" s="316"/>
      <c r="IMN10" s="316"/>
      <c r="IMO10" s="316"/>
      <c r="IMP10" s="316"/>
      <c r="IMQ10" s="316"/>
      <c r="IMR10" s="316"/>
      <c r="IMS10" s="316"/>
      <c r="IMT10" s="316"/>
      <c r="IMU10" s="316"/>
      <c r="IMV10" s="316"/>
      <c r="IMW10" s="316"/>
      <c r="IMX10" s="316"/>
      <c r="IMY10" s="316"/>
      <c r="IMZ10" s="316"/>
      <c r="INA10" s="316"/>
      <c r="INB10" s="316"/>
      <c r="INC10" s="316"/>
      <c r="IND10" s="316"/>
      <c r="INE10" s="316"/>
      <c r="INF10" s="316"/>
      <c r="ING10" s="316"/>
      <c r="INH10" s="316"/>
      <c r="INI10" s="316"/>
      <c r="INJ10" s="316"/>
      <c r="INK10" s="316"/>
      <c r="INL10" s="316"/>
      <c r="INM10" s="316"/>
      <c r="INN10" s="316"/>
      <c r="INO10" s="316"/>
      <c r="INP10" s="316"/>
      <c r="INQ10" s="316"/>
      <c r="INR10" s="316"/>
      <c r="INS10" s="316"/>
      <c r="INT10" s="316"/>
      <c r="INU10" s="316"/>
      <c r="INV10" s="316"/>
      <c r="INW10" s="316"/>
      <c r="INX10" s="316"/>
      <c r="INY10" s="316"/>
      <c r="INZ10" s="316"/>
      <c r="IOA10" s="316"/>
      <c r="IOB10" s="316"/>
      <c r="IOC10" s="316"/>
      <c r="IOD10" s="316"/>
      <c r="IOE10" s="316"/>
      <c r="IOF10" s="316"/>
      <c r="IOG10" s="316"/>
      <c r="IOH10" s="316"/>
      <c r="IOI10" s="316"/>
      <c r="IOJ10" s="316"/>
      <c r="IOK10" s="316"/>
      <c r="IOL10" s="316"/>
      <c r="IOM10" s="316"/>
      <c r="ION10" s="316"/>
      <c r="IOO10" s="316"/>
      <c r="IOP10" s="316"/>
      <c r="IOQ10" s="316"/>
      <c r="IOR10" s="316"/>
      <c r="IOS10" s="316"/>
      <c r="IOT10" s="316"/>
      <c r="IOU10" s="316"/>
      <c r="IOV10" s="316"/>
      <c r="IOW10" s="316"/>
      <c r="IOX10" s="316"/>
      <c r="IOY10" s="316"/>
      <c r="IOZ10" s="316"/>
      <c r="IPA10" s="316"/>
      <c r="IPB10" s="316"/>
      <c r="IPC10" s="316"/>
      <c r="IPD10" s="316"/>
      <c r="IPE10" s="316"/>
      <c r="IPF10" s="316"/>
      <c r="IPG10" s="316"/>
      <c r="IPH10" s="316"/>
      <c r="IPI10" s="316"/>
      <c r="IPJ10" s="316"/>
      <c r="IPK10" s="316"/>
      <c r="IPL10" s="316"/>
      <c r="IPM10" s="316"/>
      <c r="IPN10" s="316"/>
      <c r="IPO10" s="316"/>
      <c r="IPP10" s="316"/>
      <c r="IPQ10" s="316"/>
      <c r="IPR10" s="316"/>
      <c r="IPS10" s="316"/>
      <c r="IPT10" s="316"/>
      <c r="IPU10" s="316"/>
      <c r="IPV10" s="316"/>
      <c r="IPW10" s="316"/>
      <c r="IPX10" s="316"/>
      <c r="IPY10" s="316"/>
      <c r="IPZ10" s="316"/>
      <c r="IQA10" s="316"/>
      <c r="IQB10" s="316"/>
      <c r="IQC10" s="316"/>
      <c r="IQD10" s="316"/>
      <c r="IQE10" s="316"/>
      <c r="IQF10" s="316"/>
      <c r="IQG10" s="316"/>
      <c r="IQH10" s="316"/>
      <c r="IQI10" s="316"/>
      <c r="IQJ10" s="316"/>
      <c r="IQK10" s="316"/>
      <c r="IQL10" s="316"/>
      <c r="IQM10" s="316"/>
      <c r="IQN10" s="316"/>
      <c r="IQO10" s="316"/>
      <c r="IQP10" s="316"/>
      <c r="IQQ10" s="316"/>
      <c r="IQR10" s="316"/>
      <c r="IQS10" s="316"/>
      <c r="IQT10" s="316"/>
      <c r="IQU10" s="316"/>
      <c r="IQV10" s="316"/>
      <c r="IQW10" s="316"/>
      <c r="IQX10" s="316"/>
      <c r="IQY10" s="316"/>
      <c r="IQZ10" s="316"/>
      <c r="IRA10" s="316"/>
      <c r="IRB10" s="316"/>
      <c r="IRC10" s="316"/>
      <c r="IRD10" s="316"/>
      <c r="IRE10" s="316"/>
      <c r="IRF10" s="316"/>
      <c r="IRG10" s="316"/>
      <c r="IRH10" s="316"/>
      <c r="IRI10" s="316"/>
      <c r="IRJ10" s="316"/>
      <c r="IRK10" s="316"/>
      <c r="IRL10" s="316"/>
      <c r="IRM10" s="316"/>
      <c r="IRN10" s="316"/>
      <c r="IRO10" s="316"/>
      <c r="IRP10" s="316"/>
      <c r="IRQ10" s="316"/>
      <c r="IRR10" s="316"/>
      <c r="IRS10" s="316"/>
      <c r="IRT10" s="316"/>
      <c r="IRU10" s="316"/>
      <c r="IRV10" s="316"/>
      <c r="IRW10" s="316"/>
      <c r="IRX10" s="316"/>
      <c r="IRY10" s="316"/>
      <c r="IRZ10" s="316"/>
      <c r="ISA10" s="316"/>
      <c r="ISB10" s="316"/>
      <c r="ISC10" s="316"/>
      <c r="ISD10" s="316"/>
      <c r="ISE10" s="316"/>
      <c r="ISF10" s="316"/>
      <c r="ISG10" s="316"/>
      <c r="ISH10" s="316"/>
      <c r="ISI10" s="316"/>
      <c r="ISJ10" s="316"/>
      <c r="ISK10" s="316"/>
      <c r="ISL10" s="316"/>
      <c r="ISM10" s="316"/>
      <c r="ISN10" s="316"/>
      <c r="ISO10" s="316"/>
      <c r="ISP10" s="316"/>
      <c r="ISQ10" s="316"/>
      <c r="ISR10" s="316"/>
      <c r="ISS10" s="316"/>
      <c r="IST10" s="316"/>
      <c r="ISU10" s="316"/>
      <c r="ISV10" s="316"/>
      <c r="ISW10" s="316"/>
      <c r="ISX10" s="316"/>
      <c r="ISY10" s="316"/>
      <c r="ISZ10" s="316"/>
      <c r="ITA10" s="316"/>
      <c r="ITB10" s="316"/>
      <c r="ITC10" s="316"/>
      <c r="ITD10" s="316"/>
      <c r="ITE10" s="316"/>
      <c r="ITF10" s="316"/>
      <c r="ITG10" s="316"/>
      <c r="ITH10" s="316"/>
      <c r="ITI10" s="316"/>
      <c r="ITJ10" s="316"/>
      <c r="ITK10" s="316"/>
      <c r="ITL10" s="316"/>
      <c r="ITM10" s="316"/>
      <c r="ITN10" s="316"/>
      <c r="ITO10" s="316"/>
      <c r="ITP10" s="316"/>
      <c r="ITQ10" s="316"/>
      <c r="ITR10" s="316"/>
      <c r="ITS10" s="316"/>
      <c r="ITT10" s="316"/>
      <c r="ITU10" s="316"/>
      <c r="ITV10" s="316"/>
      <c r="ITW10" s="316"/>
      <c r="ITX10" s="316"/>
      <c r="ITY10" s="316"/>
      <c r="ITZ10" s="316"/>
      <c r="IUA10" s="316"/>
      <c r="IUB10" s="316"/>
      <c r="IUC10" s="316"/>
      <c r="IUD10" s="316"/>
      <c r="IUE10" s="316"/>
      <c r="IUF10" s="316"/>
      <c r="IUG10" s="316"/>
      <c r="IUH10" s="316"/>
      <c r="IUI10" s="316"/>
      <c r="IUJ10" s="316"/>
      <c r="IUK10" s="316"/>
      <c r="IUL10" s="316"/>
      <c r="IUM10" s="316"/>
      <c r="IUN10" s="316"/>
      <c r="IUO10" s="316"/>
      <c r="IUP10" s="316"/>
      <c r="IUQ10" s="316"/>
      <c r="IUR10" s="316"/>
      <c r="IUS10" s="316"/>
      <c r="IUT10" s="316"/>
      <c r="IUU10" s="316"/>
      <c r="IUV10" s="316"/>
      <c r="IUW10" s="316"/>
      <c r="IUX10" s="316"/>
      <c r="IUY10" s="316"/>
      <c r="IUZ10" s="316"/>
      <c r="IVA10" s="316"/>
      <c r="IVB10" s="316"/>
      <c r="IVC10" s="316"/>
      <c r="IVD10" s="316"/>
      <c r="IVE10" s="316"/>
      <c r="IVF10" s="316"/>
      <c r="IVG10" s="316"/>
      <c r="IVH10" s="316"/>
      <c r="IVI10" s="316"/>
      <c r="IVJ10" s="316"/>
      <c r="IVK10" s="316"/>
      <c r="IVL10" s="316"/>
      <c r="IVM10" s="316"/>
      <c r="IVN10" s="316"/>
      <c r="IVO10" s="316"/>
      <c r="IVP10" s="316"/>
      <c r="IVQ10" s="316"/>
      <c r="IVR10" s="316"/>
      <c r="IVS10" s="316"/>
      <c r="IVT10" s="316"/>
      <c r="IVU10" s="316"/>
      <c r="IVV10" s="316"/>
      <c r="IVW10" s="316"/>
      <c r="IVX10" s="316"/>
      <c r="IVY10" s="316"/>
      <c r="IVZ10" s="316"/>
      <c r="IWA10" s="316"/>
      <c r="IWB10" s="316"/>
      <c r="IWC10" s="316"/>
      <c r="IWD10" s="316"/>
      <c r="IWE10" s="316"/>
      <c r="IWF10" s="316"/>
      <c r="IWG10" s="316"/>
      <c r="IWH10" s="316"/>
      <c r="IWI10" s="316"/>
      <c r="IWJ10" s="316"/>
      <c r="IWK10" s="316"/>
      <c r="IWL10" s="316"/>
      <c r="IWM10" s="316"/>
      <c r="IWN10" s="316"/>
      <c r="IWO10" s="316"/>
      <c r="IWP10" s="316"/>
      <c r="IWQ10" s="316"/>
      <c r="IWR10" s="316"/>
      <c r="IWS10" s="316"/>
      <c r="IWT10" s="316"/>
      <c r="IWU10" s="316"/>
      <c r="IWV10" s="316"/>
      <c r="IWW10" s="316"/>
      <c r="IWX10" s="316"/>
      <c r="IWY10" s="316"/>
      <c r="IWZ10" s="316"/>
      <c r="IXA10" s="316"/>
      <c r="IXB10" s="316"/>
      <c r="IXC10" s="316"/>
      <c r="IXD10" s="316"/>
      <c r="IXE10" s="316"/>
      <c r="IXF10" s="316"/>
      <c r="IXG10" s="316"/>
      <c r="IXH10" s="316"/>
      <c r="IXI10" s="316"/>
      <c r="IXJ10" s="316"/>
      <c r="IXK10" s="316"/>
      <c r="IXL10" s="316"/>
      <c r="IXM10" s="316"/>
      <c r="IXN10" s="316"/>
      <c r="IXO10" s="316"/>
      <c r="IXP10" s="316"/>
      <c r="IXQ10" s="316"/>
      <c r="IXR10" s="316"/>
      <c r="IXS10" s="316"/>
      <c r="IXT10" s="316"/>
      <c r="IXU10" s="316"/>
      <c r="IXV10" s="316"/>
      <c r="IXW10" s="316"/>
      <c r="IXX10" s="316"/>
      <c r="IXY10" s="316"/>
      <c r="IXZ10" s="316"/>
      <c r="IYA10" s="316"/>
      <c r="IYB10" s="316"/>
      <c r="IYC10" s="316"/>
      <c r="IYD10" s="316"/>
      <c r="IYE10" s="316"/>
      <c r="IYF10" s="316"/>
      <c r="IYG10" s="316"/>
      <c r="IYH10" s="316"/>
      <c r="IYI10" s="316"/>
      <c r="IYJ10" s="316"/>
      <c r="IYK10" s="316"/>
      <c r="IYL10" s="316"/>
      <c r="IYM10" s="316"/>
      <c r="IYN10" s="316"/>
      <c r="IYO10" s="316"/>
      <c r="IYP10" s="316"/>
      <c r="IYQ10" s="316"/>
      <c r="IYR10" s="316"/>
      <c r="IYS10" s="316"/>
      <c r="IYT10" s="316"/>
      <c r="IYU10" s="316"/>
      <c r="IYV10" s="316"/>
      <c r="IYW10" s="316"/>
      <c r="IYX10" s="316"/>
      <c r="IYY10" s="316"/>
      <c r="IYZ10" s="316"/>
      <c r="IZA10" s="316"/>
      <c r="IZB10" s="316"/>
      <c r="IZC10" s="316"/>
      <c r="IZD10" s="316"/>
      <c r="IZE10" s="316"/>
      <c r="IZF10" s="316"/>
      <c r="IZG10" s="316"/>
      <c r="IZH10" s="316"/>
      <c r="IZI10" s="316"/>
      <c r="IZJ10" s="316"/>
      <c r="IZK10" s="316"/>
      <c r="IZL10" s="316"/>
      <c r="IZM10" s="316"/>
      <c r="IZN10" s="316"/>
      <c r="IZO10" s="316"/>
      <c r="IZP10" s="316"/>
      <c r="IZQ10" s="316"/>
      <c r="IZR10" s="316"/>
      <c r="IZS10" s="316"/>
      <c r="IZT10" s="316"/>
      <c r="IZU10" s="316"/>
      <c r="IZV10" s="316"/>
      <c r="IZW10" s="316"/>
      <c r="IZX10" s="316"/>
      <c r="IZY10" s="316"/>
      <c r="IZZ10" s="316"/>
      <c r="JAA10" s="316"/>
      <c r="JAB10" s="316"/>
      <c r="JAC10" s="316"/>
      <c r="JAD10" s="316"/>
      <c r="JAE10" s="316"/>
      <c r="JAF10" s="316"/>
      <c r="JAG10" s="316"/>
      <c r="JAH10" s="316"/>
      <c r="JAI10" s="316"/>
      <c r="JAJ10" s="316"/>
      <c r="JAK10" s="316"/>
      <c r="JAL10" s="316"/>
      <c r="JAM10" s="316"/>
      <c r="JAN10" s="316"/>
      <c r="JAO10" s="316"/>
      <c r="JAP10" s="316"/>
      <c r="JAQ10" s="316"/>
      <c r="JAR10" s="316"/>
      <c r="JAS10" s="316"/>
      <c r="JAT10" s="316"/>
      <c r="JAU10" s="316"/>
      <c r="JAV10" s="316"/>
      <c r="JAW10" s="316"/>
      <c r="JAX10" s="316"/>
      <c r="JAY10" s="316"/>
      <c r="JAZ10" s="316"/>
      <c r="JBA10" s="316"/>
      <c r="JBB10" s="316"/>
      <c r="JBC10" s="316"/>
      <c r="JBD10" s="316"/>
      <c r="JBE10" s="316"/>
      <c r="JBF10" s="316"/>
      <c r="JBG10" s="316"/>
      <c r="JBH10" s="316"/>
      <c r="JBI10" s="316"/>
      <c r="JBJ10" s="316"/>
      <c r="JBK10" s="316"/>
      <c r="JBL10" s="316"/>
      <c r="JBM10" s="316"/>
      <c r="JBN10" s="316"/>
      <c r="JBO10" s="316"/>
      <c r="JBP10" s="316"/>
      <c r="JBQ10" s="316"/>
      <c r="JBR10" s="316"/>
      <c r="JBS10" s="316"/>
      <c r="JBT10" s="316"/>
      <c r="JBU10" s="316"/>
      <c r="JBV10" s="316"/>
      <c r="JBW10" s="316"/>
      <c r="JBX10" s="316"/>
      <c r="JBY10" s="316"/>
      <c r="JBZ10" s="316"/>
      <c r="JCA10" s="316"/>
      <c r="JCB10" s="316"/>
      <c r="JCC10" s="316"/>
      <c r="JCD10" s="316"/>
      <c r="JCE10" s="316"/>
      <c r="JCF10" s="316"/>
      <c r="JCG10" s="316"/>
      <c r="JCH10" s="316"/>
      <c r="JCI10" s="316"/>
      <c r="JCJ10" s="316"/>
      <c r="JCK10" s="316"/>
      <c r="JCL10" s="316"/>
      <c r="JCM10" s="316"/>
      <c r="JCN10" s="316"/>
      <c r="JCO10" s="316"/>
      <c r="JCP10" s="316"/>
      <c r="JCQ10" s="316"/>
      <c r="JCR10" s="316"/>
      <c r="JCS10" s="316"/>
      <c r="JCT10" s="316"/>
      <c r="JCU10" s="316"/>
      <c r="JCV10" s="316"/>
      <c r="JCW10" s="316"/>
      <c r="JCX10" s="316"/>
      <c r="JCY10" s="316"/>
      <c r="JCZ10" s="316"/>
      <c r="JDA10" s="316"/>
      <c r="JDB10" s="316"/>
      <c r="JDC10" s="316"/>
      <c r="JDD10" s="316"/>
      <c r="JDE10" s="316"/>
      <c r="JDF10" s="316"/>
      <c r="JDG10" s="316"/>
      <c r="JDH10" s="316"/>
      <c r="JDI10" s="316"/>
      <c r="JDJ10" s="316"/>
      <c r="JDK10" s="316"/>
      <c r="JDL10" s="316"/>
      <c r="JDM10" s="316"/>
      <c r="JDN10" s="316"/>
      <c r="JDO10" s="316"/>
      <c r="JDP10" s="316"/>
      <c r="JDQ10" s="316"/>
      <c r="JDR10" s="316"/>
      <c r="JDS10" s="316"/>
      <c r="JDT10" s="316"/>
      <c r="JDU10" s="316"/>
      <c r="JDV10" s="316"/>
      <c r="JDW10" s="316"/>
      <c r="JDX10" s="316"/>
      <c r="JDY10" s="316"/>
      <c r="JDZ10" s="316"/>
      <c r="JEA10" s="316"/>
      <c r="JEB10" s="316"/>
      <c r="JEC10" s="316"/>
      <c r="JED10" s="316"/>
      <c r="JEE10" s="316"/>
      <c r="JEF10" s="316"/>
      <c r="JEG10" s="316"/>
      <c r="JEH10" s="316"/>
      <c r="JEI10" s="316"/>
      <c r="JEJ10" s="316"/>
      <c r="JEK10" s="316"/>
      <c r="JEL10" s="316"/>
      <c r="JEM10" s="316"/>
      <c r="JEN10" s="316"/>
      <c r="JEO10" s="316"/>
      <c r="JEP10" s="316"/>
      <c r="JEQ10" s="316"/>
      <c r="JER10" s="316"/>
      <c r="JES10" s="316"/>
      <c r="JET10" s="316"/>
      <c r="JEU10" s="316"/>
      <c r="JEV10" s="316"/>
      <c r="JEW10" s="316"/>
      <c r="JEX10" s="316"/>
      <c r="JEY10" s="316"/>
      <c r="JEZ10" s="316"/>
      <c r="JFA10" s="316"/>
      <c r="JFB10" s="316"/>
      <c r="JFC10" s="316"/>
      <c r="JFD10" s="316"/>
      <c r="JFE10" s="316"/>
      <c r="JFF10" s="316"/>
      <c r="JFG10" s="316"/>
      <c r="JFH10" s="316"/>
      <c r="JFI10" s="316"/>
      <c r="JFJ10" s="316"/>
      <c r="JFK10" s="316"/>
      <c r="JFL10" s="316"/>
      <c r="JFM10" s="316"/>
      <c r="JFN10" s="316"/>
      <c r="JFO10" s="316"/>
      <c r="JFP10" s="316"/>
      <c r="JFQ10" s="316"/>
      <c r="JFR10" s="316"/>
      <c r="JFS10" s="316"/>
      <c r="JFT10" s="316"/>
      <c r="JFU10" s="316"/>
      <c r="JFV10" s="316"/>
      <c r="JFW10" s="316"/>
      <c r="JFX10" s="316"/>
      <c r="JFY10" s="316"/>
      <c r="JFZ10" s="316"/>
      <c r="JGA10" s="316"/>
      <c r="JGB10" s="316"/>
      <c r="JGC10" s="316"/>
      <c r="JGD10" s="316"/>
      <c r="JGE10" s="316"/>
      <c r="JGF10" s="316"/>
      <c r="JGG10" s="316"/>
      <c r="JGH10" s="316"/>
      <c r="JGI10" s="316"/>
      <c r="JGJ10" s="316"/>
      <c r="JGK10" s="316"/>
      <c r="JGL10" s="316"/>
      <c r="JGM10" s="316"/>
      <c r="JGN10" s="316"/>
      <c r="JGO10" s="316"/>
      <c r="JGP10" s="316"/>
      <c r="JGQ10" s="316"/>
      <c r="JGR10" s="316"/>
      <c r="JGS10" s="316"/>
      <c r="JGT10" s="316"/>
      <c r="JGU10" s="316"/>
      <c r="JGV10" s="316"/>
      <c r="JGW10" s="316"/>
      <c r="JGX10" s="316"/>
      <c r="JGY10" s="316"/>
      <c r="JGZ10" s="316"/>
      <c r="JHA10" s="316"/>
      <c r="JHB10" s="316"/>
      <c r="JHC10" s="316"/>
      <c r="JHD10" s="316"/>
      <c r="JHE10" s="316"/>
      <c r="JHF10" s="316"/>
      <c r="JHG10" s="316"/>
      <c r="JHH10" s="316"/>
      <c r="JHI10" s="316"/>
      <c r="JHJ10" s="316"/>
      <c r="JHK10" s="316"/>
      <c r="JHL10" s="316"/>
      <c r="JHM10" s="316"/>
      <c r="JHN10" s="316"/>
      <c r="JHO10" s="316"/>
      <c r="JHP10" s="316"/>
      <c r="JHQ10" s="316"/>
      <c r="JHR10" s="316"/>
      <c r="JHS10" s="316"/>
      <c r="JHT10" s="316"/>
      <c r="JHU10" s="316"/>
      <c r="JHV10" s="316"/>
      <c r="JHW10" s="316"/>
      <c r="JHX10" s="316"/>
      <c r="JHY10" s="316"/>
      <c r="JHZ10" s="316"/>
      <c r="JIA10" s="316"/>
      <c r="JIB10" s="316"/>
      <c r="JIC10" s="316"/>
      <c r="JID10" s="316"/>
      <c r="JIE10" s="316"/>
      <c r="JIF10" s="316"/>
      <c r="JIG10" s="316"/>
      <c r="JIH10" s="316"/>
      <c r="JII10" s="316"/>
      <c r="JIJ10" s="316"/>
      <c r="JIK10" s="316"/>
      <c r="JIL10" s="316"/>
      <c r="JIM10" s="316"/>
      <c r="JIN10" s="316"/>
      <c r="JIO10" s="316"/>
      <c r="JIP10" s="316"/>
      <c r="JIQ10" s="316"/>
      <c r="JIR10" s="316"/>
      <c r="JIS10" s="316"/>
      <c r="JIT10" s="316"/>
      <c r="JIU10" s="316"/>
      <c r="JIV10" s="316"/>
      <c r="JIW10" s="316"/>
      <c r="JIX10" s="316"/>
      <c r="JIY10" s="316"/>
      <c r="JIZ10" s="316"/>
      <c r="JJA10" s="316"/>
      <c r="JJB10" s="316"/>
      <c r="JJC10" s="316"/>
      <c r="JJD10" s="316"/>
      <c r="JJE10" s="316"/>
      <c r="JJF10" s="316"/>
      <c r="JJG10" s="316"/>
      <c r="JJH10" s="316"/>
      <c r="JJI10" s="316"/>
      <c r="JJJ10" s="316"/>
      <c r="JJK10" s="316"/>
      <c r="JJL10" s="316"/>
      <c r="JJM10" s="316"/>
      <c r="JJN10" s="316"/>
      <c r="JJO10" s="316"/>
      <c r="JJP10" s="316"/>
      <c r="JJQ10" s="316"/>
      <c r="JJR10" s="316"/>
      <c r="JJS10" s="316"/>
      <c r="JJT10" s="316"/>
      <c r="JJU10" s="316"/>
      <c r="JJV10" s="316"/>
      <c r="JJW10" s="316"/>
      <c r="JJX10" s="316"/>
      <c r="JJY10" s="316"/>
      <c r="JJZ10" s="316"/>
      <c r="JKA10" s="316"/>
      <c r="JKB10" s="316"/>
      <c r="JKC10" s="316"/>
      <c r="JKD10" s="316"/>
      <c r="JKE10" s="316"/>
      <c r="JKF10" s="316"/>
      <c r="JKG10" s="316"/>
      <c r="JKH10" s="316"/>
      <c r="JKI10" s="316"/>
      <c r="JKJ10" s="316"/>
      <c r="JKK10" s="316"/>
      <c r="JKL10" s="316"/>
      <c r="JKM10" s="316"/>
      <c r="JKN10" s="316"/>
      <c r="JKO10" s="316"/>
      <c r="JKP10" s="316"/>
      <c r="JKQ10" s="316"/>
      <c r="JKR10" s="316"/>
      <c r="JKS10" s="316"/>
      <c r="JKT10" s="316"/>
      <c r="JKU10" s="316"/>
      <c r="JKV10" s="316"/>
      <c r="JKW10" s="316"/>
      <c r="JKX10" s="316"/>
      <c r="JKY10" s="316"/>
      <c r="JKZ10" s="316"/>
      <c r="JLA10" s="316"/>
      <c r="JLB10" s="316"/>
      <c r="JLC10" s="316"/>
      <c r="JLD10" s="316"/>
      <c r="JLE10" s="316"/>
      <c r="JLF10" s="316"/>
      <c r="JLG10" s="316"/>
      <c r="JLH10" s="316"/>
      <c r="JLI10" s="316"/>
      <c r="JLJ10" s="316"/>
      <c r="JLK10" s="316"/>
      <c r="JLL10" s="316"/>
      <c r="JLM10" s="316"/>
      <c r="JLN10" s="316"/>
      <c r="JLO10" s="316"/>
      <c r="JLP10" s="316"/>
      <c r="JLQ10" s="316"/>
      <c r="JLR10" s="316"/>
      <c r="JLS10" s="316"/>
      <c r="JLT10" s="316"/>
      <c r="JLU10" s="316"/>
      <c r="JLV10" s="316"/>
      <c r="JLW10" s="316"/>
      <c r="JLX10" s="316"/>
      <c r="JLY10" s="316"/>
      <c r="JLZ10" s="316"/>
      <c r="JMA10" s="316"/>
      <c r="JMB10" s="316"/>
      <c r="JMC10" s="316"/>
      <c r="JMD10" s="316"/>
      <c r="JME10" s="316"/>
      <c r="JMF10" s="316"/>
      <c r="JMG10" s="316"/>
      <c r="JMH10" s="316"/>
      <c r="JMI10" s="316"/>
      <c r="JMJ10" s="316"/>
      <c r="JMK10" s="316"/>
      <c r="JML10" s="316"/>
      <c r="JMM10" s="316"/>
      <c r="JMN10" s="316"/>
      <c r="JMO10" s="316"/>
      <c r="JMP10" s="316"/>
      <c r="JMQ10" s="316"/>
      <c r="JMR10" s="316"/>
      <c r="JMS10" s="316"/>
      <c r="JMT10" s="316"/>
      <c r="JMU10" s="316"/>
      <c r="JMV10" s="316"/>
      <c r="JMW10" s="316"/>
      <c r="JMX10" s="316"/>
      <c r="JMY10" s="316"/>
      <c r="JMZ10" s="316"/>
      <c r="JNA10" s="316"/>
      <c r="JNB10" s="316"/>
      <c r="JNC10" s="316"/>
      <c r="JND10" s="316"/>
      <c r="JNE10" s="316"/>
      <c r="JNF10" s="316"/>
      <c r="JNG10" s="316"/>
      <c r="JNH10" s="316"/>
      <c r="JNI10" s="316"/>
      <c r="JNJ10" s="316"/>
      <c r="JNK10" s="316"/>
      <c r="JNL10" s="316"/>
      <c r="JNM10" s="316"/>
      <c r="JNN10" s="316"/>
      <c r="JNO10" s="316"/>
      <c r="JNP10" s="316"/>
      <c r="JNQ10" s="316"/>
      <c r="JNR10" s="316"/>
      <c r="JNS10" s="316"/>
      <c r="JNT10" s="316"/>
      <c r="JNU10" s="316"/>
      <c r="JNV10" s="316"/>
      <c r="JNW10" s="316"/>
      <c r="JNX10" s="316"/>
      <c r="JNY10" s="316"/>
      <c r="JNZ10" s="316"/>
      <c r="JOA10" s="316"/>
      <c r="JOB10" s="316"/>
      <c r="JOC10" s="316"/>
      <c r="JOD10" s="316"/>
      <c r="JOE10" s="316"/>
      <c r="JOF10" s="316"/>
      <c r="JOG10" s="316"/>
      <c r="JOH10" s="316"/>
      <c r="JOI10" s="316"/>
      <c r="JOJ10" s="316"/>
      <c r="JOK10" s="316"/>
      <c r="JOL10" s="316"/>
      <c r="JOM10" s="316"/>
      <c r="JON10" s="316"/>
      <c r="JOO10" s="316"/>
      <c r="JOP10" s="316"/>
      <c r="JOQ10" s="316"/>
      <c r="JOR10" s="316"/>
      <c r="JOS10" s="316"/>
      <c r="JOT10" s="316"/>
      <c r="JOU10" s="316"/>
      <c r="JOV10" s="316"/>
      <c r="JOW10" s="316"/>
      <c r="JOX10" s="316"/>
      <c r="JOY10" s="316"/>
      <c r="JOZ10" s="316"/>
      <c r="JPA10" s="316"/>
      <c r="JPB10" s="316"/>
      <c r="JPC10" s="316"/>
      <c r="JPD10" s="316"/>
      <c r="JPE10" s="316"/>
      <c r="JPF10" s="316"/>
      <c r="JPG10" s="316"/>
      <c r="JPH10" s="316"/>
      <c r="JPI10" s="316"/>
      <c r="JPJ10" s="316"/>
      <c r="JPK10" s="316"/>
      <c r="JPL10" s="316"/>
      <c r="JPM10" s="316"/>
      <c r="JPN10" s="316"/>
      <c r="JPO10" s="316"/>
      <c r="JPP10" s="316"/>
      <c r="JPQ10" s="316"/>
      <c r="JPR10" s="316"/>
      <c r="JPS10" s="316"/>
      <c r="JPT10" s="316"/>
      <c r="JPU10" s="316"/>
      <c r="JPV10" s="316"/>
      <c r="JPW10" s="316"/>
      <c r="JPX10" s="316"/>
      <c r="JPY10" s="316"/>
      <c r="JPZ10" s="316"/>
      <c r="JQA10" s="316"/>
      <c r="JQB10" s="316"/>
      <c r="JQC10" s="316"/>
      <c r="JQD10" s="316"/>
      <c r="JQE10" s="316"/>
      <c r="JQF10" s="316"/>
      <c r="JQG10" s="316"/>
      <c r="JQH10" s="316"/>
      <c r="JQI10" s="316"/>
      <c r="JQJ10" s="316"/>
      <c r="JQK10" s="316"/>
      <c r="JQL10" s="316"/>
      <c r="JQM10" s="316"/>
      <c r="JQN10" s="316"/>
      <c r="JQO10" s="316"/>
      <c r="JQP10" s="316"/>
      <c r="JQQ10" s="316"/>
      <c r="JQR10" s="316"/>
      <c r="JQS10" s="316"/>
      <c r="JQT10" s="316"/>
      <c r="JQU10" s="316"/>
      <c r="JQV10" s="316"/>
      <c r="JQW10" s="316"/>
      <c r="JQX10" s="316"/>
      <c r="JQY10" s="316"/>
      <c r="JQZ10" s="316"/>
      <c r="JRA10" s="316"/>
      <c r="JRB10" s="316"/>
      <c r="JRC10" s="316"/>
      <c r="JRD10" s="316"/>
      <c r="JRE10" s="316"/>
      <c r="JRF10" s="316"/>
      <c r="JRG10" s="316"/>
      <c r="JRH10" s="316"/>
      <c r="JRI10" s="316"/>
      <c r="JRJ10" s="316"/>
      <c r="JRK10" s="316"/>
      <c r="JRL10" s="316"/>
      <c r="JRM10" s="316"/>
      <c r="JRN10" s="316"/>
      <c r="JRO10" s="316"/>
      <c r="JRP10" s="316"/>
      <c r="JRQ10" s="316"/>
      <c r="JRR10" s="316"/>
      <c r="JRS10" s="316"/>
      <c r="JRT10" s="316"/>
      <c r="JRU10" s="316"/>
      <c r="JRV10" s="316"/>
      <c r="JRW10" s="316"/>
      <c r="JRX10" s="316"/>
      <c r="JRY10" s="316"/>
      <c r="JRZ10" s="316"/>
      <c r="JSA10" s="316"/>
      <c r="JSB10" s="316"/>
      <c r="JSC10" s="316"/>
      <c r="JSD10" s="316"/>
      <c r="JSE10" s="316"/>
      <c r="JSF10" s="316"/>
      <c r="JSG10" s="316"/>
      <c r="JSH10" s="316"/>
      <c r="JSI10" s="316"/>
      <c r="JSJ10" s="316"/>
      <c r="JSK10" s="316"/>
      <c r="JSL10" s="316"/>
      <c r="JSM10" s="316"/>
      <c r="JSN10" s="316"/>
      <c r="JSO10" s="316"/>
      <c r="JSP10" s="316"/>
      <c r="JSQ10" s="316"/>
      <c r="JSR10" s="316"/>
      <c r="JSS10" s="316"/>
      <c r="JST10" s="316"/>
      <c r="JSU10" s="316"/>
      <c r="JSV10" s="316"/>
      <c r="JSW10" s="316"/>
      <c r="JSX10" s="316"/>
      <c r="JSY10" s="316"/>
      <c r="JSZ10" s="316"/>
      <c r="JTA10" s="316"/>
      <c r="JTB10" s="316"/>
      <c r="JTC10" s="316"/>
      <c r="JTD10" s="316"/>
      <c r="JTE10" s="316"/>
      <c r="JTF10" s="316"/>
      <c r="JTG10" s="316"/>
      <c r="JTH10" s="316"/>
      <c r="JTI10" s="316"/>
      <c r="JTJ10" s="316"/>
      <c r="JTK10" s="316"/>
      <c r="JTL10" s="316"/>
      <c r="JTM10" s="316"/>
      <c r="JTN10" s="316"/>
      <c r="JTO10" s="316"/>
      <c r="JTP10" s="316"/>
      <c r="JTQ10" s="316"/>
      <c r="JTR10" s="316"/>
      <c r="JTS10" s="316"/>
      <c r="JTT10" s="316"/>
      <c r="JTU10" s="316"/>
      <c r="JTV10" s="316"/>
      <c r="JTW10" s="316"/>
      <c r="JTX10" s="316"/>
      <c r="JTY10" s="316"/>
      <c r="JTZ10" s="316"/>
      <c r="JUA10" s="316"/>
      <c r="JUB10" s="316"/>
      <c r="JUC10" s="316"/>
      <c r="JUD10" s="316"/>
      <c r="JUE10" s="316"/>
      <c r="JUF10" s="316"/>
      <c r="JUG10" s="316"/>
      <c r="JUH10" s="316"/>
      <c r="JUI10" s="316"/>
      <c r="JUJ10" s="316"/>
      <c r="JUK10" s="316"/>
      <c r="JUL10" s="316"/>
      <c r="JUM10" s="316"/>
      <c r="JUN10" s="316"/>
      <c r="JUO10" s="316"/>
      <c r="JUP10" s="316"/>
      <c r="JUQ10" s="316"/>
      <c r="JUR10" s="316"/>
      <c r="JUS10" s="316"/>
      <c r="JUT10" s="316"/>
      <c r="JUU10" s="316"/>
      <c r="JUV10" s="316"/>
      <c r="JUW10" s="316"/>
      <c r="JUX10" s="316"/>
      <c r="JUY10" s="316"/>
      <c r="JUZ10" s="316"/>
      <c r="JVA10" s="316"/>
      <c r="JVB10" s="316"/>
      <c r="JVC10" s="316"/>
      <c r="JVD10" s="316"/>
      <c r="JVE10" s="316"/>
      <c r="JVF10" s="316"/>
      <c r="JVG10" s="316"/>
      <c r="JVH10" s="316"/>
      <c r="JVI10" s="316"/>
      <c r="JVJ10" s="316"/>
      <c r="JVK10" s="316"/>
      <c r="JVL10" s="316"/>
      <c r="JVM10" s="316"/>
      <c r="JVN10" s="316"/>
      <c r="JVO10" s="316"/>
      <c r="JVP10" s="316"/>
      <c r="JVQ10" s="316"/>
      <c r="JVR10" s="316"/>
      <c r="JVS10" s="316"/>
      <c r="JVT10" s="316"/>
      <c r="JVU10" s="316"/>
      <c r="JVV10" s="316"/>
      <c r="JVW10" s="316"/>
      <c r="JVX10" s="316"/>
      <c r="JVY10" s="316"/>
      <c r="JVZ10" s="316"/>
      <c r="JWA10" s="316"/>
      <c r="JWB10" s="316"/>
      <c r="JWC10" s="316"/>
      <c r="JWD10" s="316"/>
      <c r="JWE10" s="316"/>
      <c r="JWF10" s="316"/>
      <c r="JWG10" s="316"/>
      <c r="JWH10" s="316"/>
      <c r="JWI10" s="316"/>
      <c r="JWJ10" s="316"/>
      <c r="JWK10" s="316"/>
      <c r="JWL10" s="316"/>
      <c r="JWM10" s="316"/>
      <c r="JWN10" s="316"/>
      <c r="JWO10" s="316"/>
      <c r="JWP10" s="316"/>
      <c r="JWQ10" s="316"/>
      <c r="JWR10" s="316"/>
      <c r="JWS10" s="316"/>
      <c r="JWT10" s="316"/>
      <c r="JWU10" s="316"/>
      <c r="JWV10" s="316"/>
      <c r="JWW10" s="316"/>
      <c r="JWX10" s="316"/>
      <c r="JWY10" s="316"/>
      <c r="JWZ10" s="316"/>
      <c r="JXA10" s="316"/>
      <c r="JXB10" s="316"/>
      <c r="JXC10" s="316"/>
      <c r="JXD10" s="316"/>
      <c r="JXE10" s="316"/>
      <c r="JXF10" s="316"/>
      <c r="JXG10" s="316"/>
      <c r="JXH10" s="316"/>
      <c r="JXI10" s="316"/>
      <c r="JXJ10" s="316"/>
      <c r="JXK10" s="316"/>
      <c r="JXL10" s="316"/>
      <c r="JXM10" s="316"/>
      <c r="JXN10" s="316"/>
      <c r="JXO10" s="316"/>
      <c r="JXP10" s="316"/>
      <c r="JXQ10" s="316"/>
      <c r="JXR10" s="316"/>
      <c r="JXS10" s="316"/>
      <c r="JXT10" s="316"/>
      <c r="JXU10" s="316"/>
      <c r="JXV10" s="316"/>
      <c r="JXW10" s="316"/>
      <c r="JXX10" s="316"/>
      <c r="JXY10" s="316"/>
      <c r="JXZ10" s="316"/>
      <c r="JYA10" s="316"/>
      <c r="JYB10" s="316"/>
      <c r="JYC10" s="316"/>
      <c r="JYD10" s="316"/>
      <c r="JYE10" s="316"/>
      <c r="JYF10" s="316"/>
      <c r="JYG10" s="316"/>
      <c r="JYH10" s="316"/>
      <c r="JYI10" s="316"/>
      <c r="JYJ10" s="316"/>
      <c r="JYK10" s="316"/>
      <c r="JYL10" s="316"/>
      <c r="JYM10" s="316"/>
      <c r="JYN10" s="316"/>
      <c r="JYO10" s="316"/>
      <c r="JYP10" s="316"/>
      <c r="JYQ10" s="316"/>
      <c r="JYR10" s="316"/>
      <c r="JYS10" s="316"/>
      <c r="JYT10" s="316"/>
      <c r="JYU10" s="316"/>
      <c r="JYV10" s="316"/>
      <c r="JYW10" s="316"/>
      <c r="JYX10" s="316"/>
      <c r="JYY10" s="316"/>
      <c r="JYZ10" s="316"/>
      <c r="JZA10" s="316"/>
      <c r="JZB10" s="316"/>
      <c r="JZC10" s="316"/>
      <c r="JZD10" s="316"/>
      <c r="JZE10" s="316"/>
      <c r="JZF10" s="316"/>
      <c r="JZG10" s="316"/>
      <c r="JZH10" s="316"/>
      <c r="JZI10" s="316"/>
      <c r="JZJ10" s="316"/>
      <c r="JZK10" s="316"/>
      <c r="JZL10" s="316"/>
      <c r="JZM10" s="316"/>
      <c r="JZN10" s="316"/>
      <c r="JZO10" s="316"/>
      <c r="JZP10" s="316"/>
      <c r="JZQ10" s="316"/>
      <c r="JZR10" s="316"/>
      <c r="JZS10" s="316"/>
      <c r="JZT10" s="316"/>
      <c r="JZU10" s="316"/>
      <c r="JZV10" s="316"/>
      <c r="JZW10" s="316"/>
      <c r="JZX10" s="316"/>
      <c r="JZY10" s="316"/>
      <c r="JZZ10" s="316"/>
      <c r="KAA10" s="316"/>
      <c r="KAB10" s="316"/>
      <c r="KAC10" s="316"/>
      <c r="KAD10" s="316"/>
      <c r="KAE10" s="316"/>
      <c r="KAF10" s="316"/>
      <c r="KAG10" s="316"/>
      <c r="KAH10" s="316"/>
      <c r="KAI10" s="316"/>
      <c r="KAJ10" s="316"/>
      <c r="KAK10" s="316"/>
      <c r="KAL10" s="316"/>
      <c r="KAM10" s="316"/>
      <c r="KAN10" s="316"/>
      <c r="KAO10" s="316"/>
      <c r="KAP10" s="316"/>
      <c r="KAQ10" s="316"/>
      <c r="KAR10" s="316"/>
      <c r="KAS10" s="316"/>
      <c r="KAT10" s="316"/>
      <c r="KAU10" s="316"/>
      <c r="KAV10" s="316"/>
      <c r="KAW10" s="316"/>
      <c r="KAX10" s="316"/>
      <c r="KAY10" s="316"/>
      <c r="KAZ10" s="316"/>
      <c r="KBA10" s="316"/>
      <c r="KBB10" s="316"/>
      <c r="KBC10" s="316"/>
      <c r="KBD10" s="316"/>
      <c r="KBE10" s="316"/>
      <c r="KBF10" s="316"/>
      <c r="KBG10" s="316"/>
      <c r="KBH10" s="316"/>
      <c r="KBI10" s="316"/>
      <c r="KBJ10" s="316"/>
      <c r="KBK10" s="316"/>
      <c r="KBL10" s="316"/>
      <c r="KBM10" s="316"/>
      <c r="KBN10" s="316"/>
      <c r="KBO10" s="316"/>
      <c r="KBP10" s="316"/>
      <c r="KBQ10" s="316"/>
      <c r="KBR10" s="316"/>
      <c r="KBS10" s="316"/>
      <c r="KBT10" s="316"/>
      <c r="KBU10" s="316"/>
      <c r="KBV10" s="316"/>
      <c r="KBW10" s="316"/>
      <c r="KBX10" s="316"/>
      <c r="KBY10" s="316"/>
      <c r="KBZ10" s="316"/>
      <c r="KCA10" s="316"/>
      <c r="KCB10" s="316"/>
      <c r="KCC10" s="316"/>
      <c r="KCD10" s="316"/>
      <c r="KCE10" s="316"/>
      <c r="KCF10" s="316"/>
      <c r="KCG10" s="316"/>
      <c r="KCH10" s="316"/>
      <c r="KCI10" s="316"/>
      <c r="KCJ10" s="316"/>
      <c r="KCK10" s="316"/>
      <c r="KCL10" s="316"/>
      <c r="KCM10" s="316"/>
      <c r="KCN10" s="316"/>
      <c r="KCO10" s="316"/>
      <c r="KCP10" s="316"/>
      <c r="KCQ10" s="316"/>
      <c r="KCR10" s="316"/>
      <c r="KCS10" s="316"/>
      <c r="KCT10" s="316"/>
      <c r="KCU10" s="316"/>
      <c r="KCV10" s="316"/>
      <c r="KCW10" s="316"/>
      <c r="KCX10" s="316"/>
      <c r="KCY10" s="316"/>
      <c r="KCZ10" s="316"/>
      <c r="KDA10" s="316"/>
      <c r="KDB10" s="316"/>
      <c r="KDC10" s="316"/>
      <c r="KDD10" s="316"/>
      <c r="KDE10" s="316"/>
      <c r="KDF10" s="316"/>
      <c r="KDG10" s="316"/>
      <c r="KDH10" s="316"/>
      <c r="KDI10" s="316"/>
      <c r="KDJ10" s="316"/>
      <c r="KDK10" s="316"/>
      <c r="KDL10" s="316"/>
      <c r="KDM10" s="316"/>
      <c r="KDN10" s="316"/>
      <c r="KDO10" s="316"/>
      <c r="KDP10" s="316"/>
      <c r="KDQ10" s="316"/>
      <c r="KDR10" s="316"/>
      <c r="KDS10" s="316"/>
      <c r="KDT10" s="316"/>
      <c r="KDU10" s="316"/>
      <c r="KDV10" s="316"/>
      <c r="KDW10" s="316"/>
      <c r="KDX10" s="316"/>
      <c r="KDY10" s="316"/>
      <c r="KDZ10" s="316"/>
      <c r="KEA10" s="316"/>
      <c r="KEB10" s="316"/>
      <c r="KEC10" s="316"/>
      <c r="KED10" s="316"/>
      <c r="KEE10" s="316"/>
      <c r="KEF10" s="316"/>
      <c r="KEG10" s="316"/>
      <c r="KEH10" s="316"/>
      <c r="KEI10" s="316"/>
      <c r="KEJ10" s="316"/>
      <c r="KEK10" s="316"/>
      <c r="KEL10" s="316"/>
      <c r="KEM10" s="316"/>
      <c r="KEN10" s="316"/>
      <c r="KEO10" s="316"/>
      <c r="KEP10" s="316"/>
      <c r="KEQ10" s="316"/>
      <c r="KER10" s="316"/>
      <c r="KES10" s="316"/>
      <c r="KET10" s="316"/>
      <c r="KEU10" s="316"/>
      <c r="KEV10" s="316"/>
      <c r="KEW10" s="316"/>
      <c r="KEX10" s="316"/>
      <c r="KEY10" s="316"/>
      <c r="KEZ10" s="316"/>
      <c r="KFA10" s="316"/>
      <c r="KFB10" s="316"/>
      <c r="KFC10" s="316"/>
      <c r="KFD10" s="316"/>
      <c r="KFE10" s="316"/>
      <c r="KFF10" s="316"/>
      <c r="KFG10" s="316"/>
      <c r="KFH10" s="316"/>
      <c r="KFI10" s="316"/>
      <c r="KFJ10" s="316"/>
      <c r="KFK10" s="316"/>
      <c r="KFL10" s="316"/>
      <c r="KFM10" s="316"/>
      <c r="KFN10" s="316"/>
      <c r="KFO10" s="316"/>
      <c r="KFP10" s="316"/>
      <c r="KFQ10" s="316"/>
      <c r="KFR10" s="316"/>
      <c r="KFS10" s="316"/>
      <c r="KFT10" s="316"/>
      <c r="KFU10" s="316"/>
      <c r="KFV10" s="316"/>
      <c r="KFW10" s="316"/>
      <c r="KFX10" s="316"/>
      <c r="KFY10" s="316"/>
      <c r="KFZ10" s="316"/>
      <c r="KGA10" s="316"/>
      <c r="KGB10" s="316"/>
      <c r="KGC10" s="316"/>
      <c r="KGD10" s="316"/>
      <c r="KGE10" s="316"/>
      <c r="KGF10" s="316"/>
      <c r="KGG10" s="316"/>
      <c r="KGH10" s="316"/>
      <c r="KGI10" s="316"/>
      <c r="KGJ10" s="316"/>
      <c r="KGK10" s="316"/>
      <c r="KGL10" s="316"/>
      <c r="KGM10" s="316"/>
      <c r="KGN10" s="316"/>
      <c r="KGO10" s="316"/>
      <c r="KGP10" s="316"/>
      <c r="KGQ10" s="316"/>
      <c r="KGR10" s="316"/>
      <c r="KGS10" s="316"/>
      <c r="KGT10" s="316"/>
      <c r="KGU10" s="316"/>
      <c r="KGV10" s="316"/>
      <c r="KGW10" s="316"/>
      <c r="KGX10" s="316"/>
      <c r="KGY10" s="316"/>
      <c r="KGZ10" s="316"/>
      <c r="KHA10" s="316"/>
      <c r="KHB10" s="316"/>
      <c r="KHC10" s="316"/>
      <c r="KHD10" s="316"/>
      <c r="KHE10" s="316"/>
      <c r="KHF10" s="316"/>
      <c r="KHG10" s="316"/>
      <c r="KHH10" s="316"/>
      <c r="KHI10" s="316"/>
      <c r="KHJ10" s="316"/>
      <c r="KHK10" s="316"/>
      <c r="KHL10" s="316"/>
      <c r="KHM10" s="316"/>
      <c r="KHN10" s="316"/>
      <c r="KHO10" s="316"/>
      <c r="KHP10" s="316"/>
      <c r="KHQ10" s="316"/>
      <c r="KHR10" s="316"/>
      <c r="KHS10" s="316"/>
      <c r="KHT10" s="316"/>
      <c r="KHU10" s="316"/>
      <c r="KHV10" s="316"/>
      <c r="KHW10" s="316"/>
      <c r="KHX10" s="316"/>
      <c r="KHY10" s="316"/>
      <c r="KHZ10" s="316"/>
      <c r="KIA10" s="316"/>
      <c r="KIB10" s="316"/>
      <c r="KIC10" s="316"/>
      <c r="KID10" s="316"/>
      <c r="KIE10" s="316"/>
      <c r="KIF10" s="316"/>
      <c r="KIG10" s="316"/>
      <c r="KIH10" s="316"/>
      <c r="KII10" s="316"/>
      <c r="KIJ10" s="316"/>
      <c r="KIK10" s="316"/>
      <c r="KIL10" s="316"/>
      <c r="KIM10" s="316"/>
      <c r="KIN10" s="316"/>
      <c r="KIO10" s="316"/>
      <c r="KIP10" s="316"/>
      <c r="KIQ10" s="316"/>
      <c r="KIR10" s="316"/>
      <c r="KIS10" s="316"/>
      <c r="KIT10" s="316"/>
      <c r="KIU10" s="316"/>
      <c r="KIV10" s="316"/>
      <c r="KIW10" s="316"/>
      <c r="KIX10" s="316"/>
      <c r="KIY10" s="316"/>
      <c r="KIZ10" s="316"/>
      <c r="KJA10" s="316"/>
      <c r="KJB10" s="316"/>
      <c r="KJC10" s="316"/>
      <c r="KJD10" s="316"/>
      <c r="KJE10" s="316"/>
      <c r="KJF10" s="316"/>
      <c r="KJG10" s="316"/>
      <c r="KJH10" s="316"/>
      <c r="KJI10" s="316"/>
      <c r="KJJ10" s="316"/>
      <c r="KJK10" s="316"/>
      <c r="KJL10" s="316"/>
      <c r="KJM10" s="316"/>
      <c r="KJN10" s="316"/>
      <c r="KJO10" s="316"/>
      <c r="KJP10" s="316"/>
      <c r="KJQ10" s="316"/>
      <c r="KJR10" s="316"/>
      <c r="KJS10" s="316"/>
      <c r="KJT10" s="316"/>
      <c r="KJU10" s="316"/>
      <c r="KJV10" s="316"/>
      <c r="KJW10" s="316"/>
      <c r="KJX10" s="316"/>
      <c r="KJY10" s="316"/>
      <c r="KJZ10" s="316"/>
      <c r="KKA10" s="316"/>
      <c r="KKB10" s="316"/>
      <c r="KKC10" s="316"/>
      <c r="KKD10" s="316"/>
      <c r="KKE10" s="316"/>
      <c r="KKF10" s="316"/>
      <c r="KKG10" s="316"/>
      <c r="KKH10" s="316"/>
      <c r="KKI10" s="316"/>
      <c r="KKJ10" s="316"/>
      <c r="KKK10" s="316"/>
      <c r="KKL10" s="316"/>
      <c r="KKM10" s="316"/>
      <c r="KKN10" s="316"/>
      <c r="KKO10" s="316"/>
      <c r="KKP10" s="316"/>
      <c r="KKQ10" s="316"/>
      <c r="KKR10" s="316"/>
      <c r="KKS10" s="316"/>
      <c r="KKT10" s="316"/>
      <c r="KKU10" s="316"/>
      <c r="KKV10" s="316"/>
      <c r="KKW10" s="316"/>
      <c r="KKX10" s="316"/>
      <c r="KKY10" s="316"/>
      <c r="KKZ10" s="316"/>
      <c r="KLA10" s="316"/>
      <c r="KLB10" s="316"/>
      <c r="KLC10" s="316"/>
      <c r="KLD10" s="316"/>
      <c r="KLE10" s="316"/>
      <c r="KLF10" s="316"/>
      <c r="KLG10" s="316"/>
      <c r="KLH10" s="316"/>
      <c r="KLI10" s="316"/>
      <c r="KLJ10" s="316"/>
      <c r="KLK10" s="316"/>
      <c r="KLL10" s="316"/>
      <c r="KLM10" s="316"/>
      <c r="KLN10" s="316"/>
      <c r="KLO10" s="316"/>
      <c r="KLP10" s="316"/>
      <c r="KLQ10" s="316"/>
      <c r="KLR10" s="316"/>
      <c r="KLS10" s="316"/>
      <c r="KLT10" s="316"/>
      <c r="KLU10" s="316"/>
      <c r="KLV10" s="316"/>
      <c r="KLW10" s="316"/>
      <c r="KLX10" s="316"/>
      <c r="KLY10" s="316"/>
      <c r="KLZ10" s="316"/>
      <c r="KMA10" s="316"/>
      <c r="KMB10" s="316"/>
      <c r="KMC10" s="316"/>
      <c r="KMD10" s="316"/>
      <c r="KME10" s="316"/>
      <c r="KMF10" s="316"/>
      <c r="KMG10" s="316"/>
      <c r="KMH10" s="316"/>
      <c r="KMI10" s="316"/>
      <c r="KMJ10" s="316"/>
      <c r="KMK10" s="316"/>
      <c r="KML10" s="316"/>
      <c r="KMM10" s="316"/>
      <c r="KMN10" s="316"/>
      <c r="KMO10" s="316"/>
      <c r="KMP10" s="316"/>
      <c r="KMQ10" s="316"/>
      <c r="KMR10" s="316"/>
      <c r="KMS10" s="316"/>
      <c r="KMT10" s="316"/>
      <c r="KMU10" s="316"/>
      <c r="KMV10" s="316"/>
      <c r="KMW10" s="316"/>
      <c r="KMX10" s="316"/>
      <c r="KMY10" s="316"/>
      <c r="KMZ10" s="316"/>
      <c r="KNA10" s="316"/>
      <c r="KNB10" s="316"/>
      <c r="KNC10" s="316"/>
      <c r="KND10" s="316"/>
      <c r="KNE10" s="316"/>
      <c r="KNF10" s="316"/>
      <c r="KNG10" s="316"/>
      <c r="KNH10" s="316"/>
      <c r="KNI10" s="316"/>
      <c r="KNJ10" s="316"/>
      <c r="KNK10" s="316"/>
      <c r="KNL10" s="316"/>
      <c r="KNM10" s="316"/>
      <c r="KNN10" s="316"/>
      <c r="KNO10" s="316"/>
      <c r="KNP10" s="316"/>
      <c r="KNQ10" s="316"/>
      <c r="KNR10" s="316"/>
      <c r="KNS10" s="316"/>
      <c r="KNT10" s="316"/>
      <c r="KNU10" s="316"/>
      <c r="KNV10" s="316"/>
      <c r="KNW10" s="316"/>
      <c r="KNX10" s="316"/>
      <c r="KNY10" s="316"/>
      <c r="KNZ10" s="316"/>
      <c r="KOA10" s="316"/>
      <c r="KOB10" s="316"/>
      <c r="KOC10" s="316"/>
      <c r="KOD10" s="316"/>
      <c r="KOE10" s="316"/>
      <c r="KOF10" s="316"/>
      <c r="KOG10" s="316"/>
      <c r="KOH10" s="316"/>
      <c r="KOI10" s="316"/>
      <c r="KOJ10" s="316"/>
      <c r="KOK10" s="316"/>
      <c r="KOL10" s="316"/>
      <c r="KOM10" s="316"/>
      <c r="KON10" s="316"/>
      <c r="KOO10" s="316"/>
      <c r="KOP10" s="316"/>
      <c r="KOQ10" s="316"/>
      <c r="KOR10" s="316"/>
      <c r="KOS10" s="316"/>
      <c r="KOT10" s="316"/>
      <c r="KOU10" s="316"/>
      <c r="KOV10" s="316"/>
      <c r="KOW10" s="316"/>
      <c r="KOX10" s="316"/>
      <c r="KOY10" s="316"/>
      <c r="KOZ10" s="316"/>
      <c r="KPA10" s="316"/>
      <c r="KPB10" s="316"/>
      <c r="KPC10" s="316"/>
      <c r="KPD10" s="316"/>
      <c r="KPE10" s="316"/>
      <c r="KPF10" s="316"/>
      <c r="KPG10" s="316"/>
      <c r="KPH10" s="316"/>
      <c r="KPI10" s="316"/>
      <c r="KPJ10" s="316"/>
      <c r="KPK10" s="316"/>
      <c r="KPL10" s="316"/>
      <c r="KPM10" s="316"/>
      <c r="KPN10" s="316"/>
      <c r="KPO10" s="316"/>
      <c r="KPP10" s="316"/>
      <c r="KPQ10" s="316"/>
      <c r="KPR10" s="316"/>
      <c r="KPS10" s="316"/>
      <c r="KPT10" s="316"/>
      <c r="KPU10" s="316"/>
      <c r="KPV10" s="316"/>
      <c r="KPW10" s="316"/>
      <c r="KPX10" s="316"/>
      <c r="KPY10" s="316"/>
      <c r="KPZ10" s="316"/>
      <c r="KQA10" s="316"/>
      <c r="KQB10" s="316"/>
      <c r="KQC10" s="316"/>
      <c r="KQD10" s="316"/>
      <c r="KQE10" s="316"/>
      <c r="KQF10" s="316"/>
      <c r="KQG10" s="316"/>
      <c r="KQH10" s="316"/>
      <c r="KQI10" s="316"/>
      <c r="KQJ10" s="316"/>
      <c r="KQK10" s="316"/>
      <c r="KQL10" s="316"/>
      <c r="KQM10" s="316"/>
      <c r="KQN10" s="316"/>
      <c r="KQO10" s="316"/>
      <c r="KQP10" s="316"/>
      <c r="KQQ10" s="316"/>
      <c r="KQR10" s="316"/>
      <c r="KQS10" s="316"/>
      <c r="KQT10" s="316"/>
      <c r="KQU10" s="316"/>
      <c r="KQV10" s="316"/>
      <c r="KQW10" s="316"/>
      <c r="KQX10" s="316"/>
      <c r="KQY10" s="316"/>
      <c r="KQZ10" s="316"/>
      <c r="KRA10" s="316"/>
      <c r="KRB10" s="316"/>
      <c r="KRC10" s="316"/>
      <c r="KRD10" s="316"/>
      <c r="KRE10" s="316"/>
      <c r="KRF10" s="316"/>
      <c r="KRG10" s="316"/>
      <c r="KRH10" s="316"/>
      <c r="KRI10" s="316"/>
      <c r="KRJ10" s="316"/>
      <c r="KRK10" s="316"/>
      <c r="KRL10" s="316"/>
      <c r="KRM10" s="316"/>
      <c r="KRN10" s="316"/>
      <c r="KRO10" s="316"/>
      <c r="KRP10" s="316"/>
      <c r="KRQ10" s="316"/>
      <c r="KRR10" s="316"/>
      <c r="KRS10" s="316"/>
      <c r="KRT10" s="316"/>
      <c r="KRU10" s="316"/>
      <c r="KRV10" s="316"/>
      <c r="KRW10" s="316"/>
      <c r="KRX10" s="316"/>
      <c r="KRY10" s="316"/>
      <c r="KRZ10" s="316"/>
      <c r="KSA10" s="316"/>
      <c r="KSB10" s="316"/>
      <c r="KSC10" s="316"/>
      <c r="KSD10" s="316"/>
      <c r="KSE10" s="316"/>
      <c r="KSF10" s="316"/>
      <c r="KSG10" s="316"/>
      <c r="KSH10" s="316"/>
      <c r="KSI10" s="316"/>
      <c r="KSJ10" s="316"/>
      <c r="KSK10" s="316"/>
      <c r="KSL10" s="316"/>
      <c r="KSM10" s="316"/>
      <c r="KSN10" s="316"/>
      <c r="KSO10" s="316"/>
      <c r="KSP10" s="316"/>
      <c r="KSQ10" s="316"/>
      <c r="KSR10" s="316"/>
      <c r="KSS10" s="316"/>
      <c r="KST10" s="316"/>
      <c r="KSU10" s="316"/>
      <c r="KSV10" s="316"/>
      <c r="KSW10" s="316"/>
      <c r="KSX10" s="316"/>
      <c r="KSY10" s="316"/>
      <c r="KSZ10" s="316"/>
      <c r="KTA10" s="316"/>
      <c r="KTB10" s="316"/>
      <c r="KTC10" s="316"/>
      <c r="KTD10" s="316"/>
      <c r="KTE10" s="316"/>
      <c r="KTF10" s="316"/>
      <c r="KTG10" s="316"/>
      <c r="KTH10" s="316"/>
      <c r="KTI10" s="316"/>
      <c r="KTJ10" s="316"/>
      <c r="KTK10" s="316"/>
      <c r="KTL10" s="316"/>
      <c r="KTM10" s="316"/>
      <c r="KTN10" s="316"/>
      <c r="KTO10" s="316"/>
      <c r="KTP10" s="316"/>
      <c r="KTQ10" s="316"/>
      <c r="KTR10" s="316"/>
      <c r="KTS10" s="316"/>
      <c r="KTT10" s="316"/>
      <c r="KTU10" s="316"/>
      <c r="KTV10" s="316"/>
      <c r="KTW10" s="316"/>
      <c r="KTX10" s="316"/>
      <c r="KTY10" s="316"/>
      <c r="KTZ10" s="316"/>
      <c r="KUA10" s="316"/>
      <c r="KUB10" s="316"/>
      <c r="KUC10" s="316"/>
      <c r="KUD10" s="316"/>
      <c r="KUE10" s="316"/>
      <c r="KUF10" s="316"/>
      <c r="KUG10" s="316"/>
      <c r="KUH10" s="316"/>
      <c r="KUI10" s="316"/>
      <c r="KUJ10" s="316"/>
      <c r="KUK10" s="316"/>
      <c r="KUL10" s="316"/>
      <c r="KUM10" s="316"/>
      <c r="KUN10" s="316"/>
      <c r="KUO10" s="316"/>
      <c r="KUP10" s="316"/>
      <c r="KUQ10" s="316"/>
      <c r="KUR10" s="316"/>
      <c r="KUS10" s="316"/>
      <c r="KUT10" s="316"/>
      <c r="KUU10" s="316"/>
      <c r="KUV10" s="316"/>
      <c r="KUW10" s="316"/>
      <c r="KUX10" s="316"/>
      <c r="KUY10" s="316"/>
      <c r="KUZ10" s="316"/>
      <c r="KVA10" s="316"/>
      <c r="KVB10" s="316"/>
      <c r="KVC10" s="316"/>
      <c r="KVD10" s="316"/>
      <c r="KVE10" s="316"/>
      <c r="KVF10" s="316"/>
      <c r="KVG10" s="316"/>
      <c r="KVH10" s="316"/>
      <c r="KVI10" s="316"/>
      <c r="KVJ10" s="316"/>
      <c r="KVK10" s="316"/>
      <c r="KVL10" s="316"/>
      <c r="KVM10" s="316"/>
      <c r="KVN10" s="316"/>
      <c r="KVO10" s="316"/>
      <c r="KVP10" s="316"/>
      <c r="KVQ10" s="316"/>
      <c r="KVR10" s="316"/>
      <c r="KVS10" s="316"/>
      <c r="KVT10" s="316"/>
      <c r="KVU10" s="316"/>
      <c r="KVV10" s="316"/>
      <c r="KVW10" s="316"/>
      <c r="KVX10" s="316"/>
      <c r="KVY10" s="316"/>
      <c r="KVZ10" s="316"/>
      <c r="KWA10" s="316"/>
      <c r="KWB10" s="316"/>
      <c r="KWC10" s="316"/>
      <c r="KWD10" s="316"/>
      <c r="KWE10" s="316"/>
      <c r="KWF10" s="316"/>
      <c r="KWG10" s="316"/>
      <c r="KWH10" s="316"/>
      <c r="KWI10" s="316"/>
      <c r="KWJ10" s="316"/>
      <c r="KWK10" s="316"/>
      <c r="KWL10" s="316"/>
      <c r="KWM10" s="316"/>
      <c r="KWN10" s="316"/>
      <c r="KWO10" s="316"/>
      <c r="KWP10" s="316"/>
      <c r="KWQ10" s="316"/>
      <c r="KWR10" s="316"/>
      <c r="KWS10" s="316"/>
      <c r="KWT10" s="316"/>
      <c r="KWU10" s="316"/>
      <c r="KWV10" s="316"/>
      <c r="KWW10" s="316"/>
      <c r="KWX10" s="316"/>
      <c r="KWY10" s="316"/>
      <c r="KWZ10" s="316"/>
      <c r="KXA10" s="316"/>
      <c r="KXB10" s="316"/>
      <c r="KXC10" s="316"/>
      <c r="KXD10" s="316"/>
      <c r="KXE10" s="316"/>
      <c r="KXF10" s="316"/>
      <c r="KXG10" s="316"/>
      <c r="KXH10" s="316"/>
      <c r="KXI10" s="316"/>
      <c r="KXJ10" s="316"/>
      <c r="KXK10" s="316"/>
      <c r="KXL10" s="316"/>
      <c r="KXM10" s="316"/>
      <c r="KXN10" s="316"/>
      <c r="KXO10" s="316"/>
      <c r="KXP10" s="316"/>
      <c r="KXQ10" s="316"/>
      <c r="KXR10" s="316"/>
      <c r="KXS10" s="316"/>
      <c r="KXT10" s="316"/>
      <c r="KXU10" s="316"/>
      <c r="KXV10" s="316"/>
      <c r="KXW10" s="316"/>
      <c r="KXX10" s="316"/>
      <c r="KXY10" s="316"/>
      <c r="KXZ10" s="316"/>
      <c r="KYA10" s="316"/>
      <c r="KYB10" s="316"/>
      <c r="KYC10" s="316"/>
      <c r="KYD10" s="316"/>
      <c r="KYE10" s="316"/>
      <c r="KYF10" s="316"/>
      <c r="KYG10" s="316"/>
      <c r="KYH10" s="316"/>
      <c r="KYI10" s="316"/>
      <c r="KYJ10" s="316"/>
      <c r="KYK10" s="316"/>
      <c r="KYL10" s="316"/>
      <c r="KYM10" s="316"/>
      <c r="KYN10" s="316"/>
      <c r="KYO10" s="316"/>
      <c r="KYP10" s="316"/>
      <c r="KYQ10" s="316"/>
      <c r="KYR10" s="316"/>
      <c r="KYS10" s="316"/>
      <c r="KYT10" s="316"/>
      <c r="KYU10" s="316"/>
      <c r="KYV10" s="316"/>
      <c r="KYW10" s="316"/>
      <c r="KYX10" s="316"/>
      <c r="KYY10" s="316"/>
      <c r="KYZ10" s="316"/>
      <c r="KZA10" s="316"/>
      <c r="KZB10" s="316"/>
      <c r="KZC10" s="316"/>
      <c r="KZD10" s="316"/>
      <c r="KZE10" s="316"/>
      <c r="KZF10" s="316"/>
      <c r="KZG10" s="316"/>
      <c r="KZH10" s="316"/>
      <c r="KZI10" s="316"/>
      <c r="KZJ10" s="316"/>
      <c r="KZK10" s="316"/>
      <c r="KZL10" s="316"/>
      <c r="KZM10" s="316"/>
      <c r="KZN10" s="316"/>
      <c r="KZO10" s="316"/>
      <c r="KZP10" s="316"/>
      <c r="KZQ10" s="316"/>
      <c r="KZR10" s="316"/>
      <c r="KZS10" s="316"/>
      <c r="KZT10" s="316"/>
      <c r="KZU10" s="316"/>
      <c r="KZV10" s="316"/>
      <c r="KZW10" s="316"/>
      <c r="KZX10" s="316"/>
      <c r="KZY10" s="316"/>
      <c r="KZZ10" s="316"/>
      <c r="LAA10" s="316"/>
      <c r="LAB10" s="316"/>
      <c r="LAC10" s="316"/>
      <c r="LAD10" s="316"/>
      <c r="LAE10" s="316"/>
      <c r="LAF10" s="316"/>
      <c r="LAG10" s="316"/>
      <c r="LAH10" s="316"/>
      <c r="LAI10" s="316"/>
      <c r="LAJ10" s="316"/>
      <c r="LAK10" s="316"/>
      <c r="LAL10" s="316"/>
      <c r="LAM10" s="316"/>
      <c r="LAN10" s="316"/>
      <c r="LAO10" s="316"/>
      <c r="LAP10" s="316"/>
      <c r="LAQ10" s="316"/>
      <c r="LAR10" s="316"/>
      <c r="LAS10" s="316"/>
      <c r="LAT10" s="316"/>
      <c r="LAU10" s="316"/>
      <c r="LAV10" s="316"/>
      <c r="LAW10" s="316"/>
      <c r="LAX10" s="316"/>
      <c r="LAY10" s="316"/>
      <c r="LAZ10" s="316"/>
      <c r="LBA10" s="316"/>
      <c r="LBB10" s="316"/>
      <c r="LBC10" s="316"/>
      <c r="LBD10" s="316"/>
      <c r="LBE10" s="316"/>
      <c r="LBF10" s="316"/>
      <c r="LBG10" s="316"/>
      <c r="LBH10" s="316"/>
      <c r="LBI10" s="316"/>
      <c r="LBJ10" s="316"/>
      <c r="LBK10" s="316"/>
      <c r="LBL10" s="316"/>
      <c r="LBM10" s="316"/>
      <c r="LBN10" s="316"/>
      <c r="LBO10" s="316"/>
      <c r="LBP10" s="316"/>
      <c r="LBQ10" s="316"/>
      <c r="LBR10" s="316"/>
      <c r="LBS10" s="316"/>
      <c r="LBT10" s="316"/>
      <c r="LBU10" s="316"/>
      <c r="LBV10" s="316"/>
      <c r="LBW10" s="316"/>
      <c r="LBX10" s="316"/>
      <c r="LBY10" s="316"/>
      <c r="LBZ10" s="316"/>
      <c r="LCA10" s="316"/>
      <c r="LCB10" s="316"/>
      <c r="LCC10" s="316"/>
      <c r="LCD10" s="316"/>
      <c r="LCE10" s="316"/>
      <c r="LCF10" s="316"/>
      <c r="LCG10" s="316"/>
      <c r="LCH10" s="316"/>
      <c r="LCI10" s="316"/>
      <c r="LCJ10" s="316"/>
      <c r="LCK10" s="316"/>
      <c r="LCL10" s="316"/>
      <c r="LCM10" s="316"/>
      <c r="LCN10" s="316"/>
      <c r="LCO10" s="316"/>
      <c r="LCP10" s="316"/>
      <c r="LCQ10" s="316"/>
      <c r="LCR10" s="316"/>
      <c r="LCS10" s="316"/>
      <c r="LCT10" s="316"/>
      <c r="LCU10" s="316"/>
      <c r="LCV10" s="316"/>
      <c r="LCW10" s="316"/>
      <c r="LCX10" s="316"/>
      <c r="LCY10" s="316"/>
      <c r="LCZ10" s="316"/>
      <c r="LDA10" s="316"/>
      <c r="LDB10" s="316"/>
      <c r="LDC10" s="316"/>
      <c r="LDD10" s="316"/>
      <c r="LDE10" s="316"/>
      <c r="LDF10" s="316"/>
      <c r="LDG10" s="316"/>
      <c r="LDH10" s="316"/>
      <c r="LDI10" s="316"/>
      <c r="LDJ10" s="316"/>
      <c r="LDK10" s="316"/>
      <c r="LDL10" s="316"/>
      <c r="LDM10" s="316"/>
      <c r="LDN10" s="316"/>
      <c r="LDO10" s="316"/>
      <c r="LDP10" s="316"/>
      <c r="LDQ10" s="316"/>
      <c r="LDR10" s="316"/>
      <c r="LDS10" s="316"/>
      <c r="LDT10" s="316"/>
      <c r="LDU10" s="316"/>
      <c r="LDV10" s="316"/>
      <c r="LDW10" s="316"/>
      <c r="LDX10" s="316"/>
      <c r="LDY10" s="316"/>
      <c r="LDZ10" s="316"/>
      <c r="LEA10" s="316"/>
      <c r="LEB10" s="316"/>
      <c r="LEC10" s="316"/>
      <c r="LED10" s="316"/>
      <c r="LEE10" s="316"/>
      <c r="LEF10" s="316"/>
      <c r="LEG10" s="316"/>
      <c r="LEH10" s="316"/>
      <c r="LEI10" s="316"/>
      <c r="LEJ10" s="316"/>
      <c r="LEK10" s="316"/>
      <c r="LEL10" s="316"/>
      <c r="LEM10" s="316"/>
      <c r="LEN10" s="316"/>
      <c r="LEO10" s="316"/>
      <c r="LEP10" s="316"/>
      <c r="LEQ10" s="316"/>
      <c r="LER10" s="316"/>
      <c r="LES10" s="316"/>
      <c r="LET10" s="316"/>
      <c r="LEU10" s="316"/>
      <c r="LEV10" s="316"/>
      <c r="LEW10" s="316"/>
      <c r="LEX10" s="316"/>
      <c r="LEY10" s="316"/>
      <c r="LEZ10" s="316"/>
      <c r="LFA10" s="316"/>
      <c r="LFB10" s="316"/>
      <c r="LFC10" s="316"/>
      <c r="LFD10" s="316"/>
      <c r="LFE10" s="316"/>
      <c r="LFF10" s="316"/>
      <c r="LFG10" s="316"/>
      <c r="LFH10" s="316"/>
      <c r="LFI10" s="316"/>
      <c r="LFJ10" s="316"/>
      <c r="LFK10" s="316"/>
      <c r="LFL10" s="316"/>
      <c r="LFM10" s="316"/>
      <c r="LFN10" s="316"/>
      <c r="LFO10" s="316"/>
      <c r="LFP10" s="316"/>
      <c r="LFQ10" s="316"/>
      <c r="LFR10" s="316"/>
      <c r="LFS10" s="316"/>
      <c r="LFT10" s="316"/>
      <c r="LFU10" s="316"/>
      <c r="LFV10" s="316"/>
      <c r="LFW10" s="316"/>
      <c r="LFX10" s="316"/>
      <c r="LFY10" s="316"/>
      <c r="LFZ10" s="316"/>
      <c r="LGA10" s="316"/>
      <c r="LGB10" s="316"/>
      <c r="LGC10" s="316"/>
      <c r="LGD10" s="316"/>
      <c r="LGE10" s="316"/>
      <c r="LGF10" s="316"/>
      <c r="LGG10" s="316"/>
      <c r="LGH10" s="316"/>
      <c r="LGI10" s="316"/>
      <c r="LGJ10" s="316"/>
      <c r="LGK10" s="316"/>
      <c r="LGL10" s="316"/>
      <c r="LGM10" s="316"/>
      <c r="LGN10" s="316"/>
      <c r="LGO10" s="316"/>
      <c r="LGP10" s="316"/>
      <c r="LGQ10" s="316"/>
      <c r="LGR10" s="316"/>
      <c r="LGS10" s="316"/>
      <c r="LGT10" s="316"/>
      <c r="LGU10" s="316"/>
      <c r="LGV10" s="316"/>
      <c r="LGW10" s="316"/>
      <c r="LGX10" s="316"/>
      <c r="LGY10" s="316"/>
      <c r="LGZ10" s="316"/>
      <c r="LHA10" s="316"/>
      <c r="LHB10" s="316"/>
      <c r="LHC10" s="316"/>
      <c r="LHD10" s="316"/>
      <c r="LHE10" s="316"/>
      <c r="LHF10" s="316"/>
      <c r="LHG10" s="316"/>
      <c r="LHH10" s="316"/>
      <c r="LHI10" s="316"/>
      <c r="LHJ10" s="316"/>
      <c r="LHK10" s="316"/>
      <c r="LHL10" s="316"/>
      <c r="LHM10" s="316"/>
      <c r="LHN10" s="316"/>
      <c r="LHO10" s="316"/>
      <c r="LHP10" s="316"/>
      <c r="LHQ10" s="316"/>
      <c r="LHR10" s="316"/>
      <c r="LHS10" s="316"/>
      <c r="LHT10" s="316"/>
      <c r="LHU10" s="316"/>
      <c r="LHV10" s="316"/>
      <c r="LHW10" s="316"/>
      <c r="LHX10" s="316"/>
      <c r="LHY10" s="316"/>
      <c r="LHZ10" s="316"/>
      <c r="LIA10" s="316"/>
      <c r="LIB10" s="316"/>
      <c r="LIC10" s="316"/>
      <c r="LID10" s="316"/>
      <c r="LIE10" s="316"/>
      <c r="LIF10" s="316"/>
      <c r="LIG10" s="316"/>
      <c r="LIH10" s="316"/>
      <c r="LII10" s="316"/>
      <c r="LIJ10" s="316"/>
      <c r="LIK10" s="316"/>
      <c r="LIL10" s="316"/>
      <c r="LIM10" s="316"/>
      <c r="LIN10" s="316"/>
      <c r="LIO10" s="316"/>
      <c r="LIP10" s="316"/>
      <c r="LIQ10" s="316"/>
      <c r="LIR10" s="316"/>
      <c r="LIS10" s="316"/>
      <c r="LIT10" s="316"/>
      <c r="LIU10" s="316"/>
      <c r="LIV10" s="316"/>
      <c r="LIW10" s="316"/>
      <c r="LIX10" s="316"/>
      <c r="LIY10" s="316"/>
      <c r="LIZ10" s="316"/>
      <c r="LJA10" s="316"/>
      <c r="LJB10" s="316"/>
      <c r="LJC10" s="316"/>
      <c r="LJD10" s="316"/>
      <c r="LJE10" s="316"/>
      <c r="LJF10" s="316"/>
      <c r="LJG10" s="316"/>
      <c r="LJH10" s="316"/>
      <c r="LJI10" s="316"/>
      <c r="LJJ10" s="316"/>
      <c r="LJK10" s="316"/>
      <c r="LJL10" s="316"/>
      <c r="LJM10" s="316"/>
      <c r="LJN10" s="316"/>
      <c r="LJO10" s="316"/>
      <c r="LJP10" s="316"/>
      <c r="LJQ10" s="316"/>
      <c r="LJR10" s="316"/>
      <c r="LJS10" s="316"/>
      <c r="LJT10" s="316"/>
      <c r="LJU10" s="316"/>
      <c r="LJV10" s="316"/>
      <c r="LJW10" s="316"/>
      <c r="LJX10" s="316"/>
      <c r="LJY10" s="316"/>
      <c r="LJZ10" s="316"/>
      <c r="LKA10" s="316"/>
      <c r="LKB10" s="316"/>
      <c r="LKC10" s="316"/>
      <c r="LKD10" s="316"/>
      <c r="LKE10" s="316"/>
      <c r="LKF10" s="316"/>
      <c r="LKG10" s="316"/>
      <c r="LKH10" s="316"/>
      <c r="LKI10" s="316"/>
      <c r="LKJ10" s="316"/>
      <c r="LKK10" s="316"/>
      <c r="LKL10" s="316"/>
      <c r="LKM10" s="316"/>
      <c r="LKN10" s="316"/>
      <c r="LKO10" s="316"/>
      <c r="LKP10" s="316"/>
      <c r="LKQ10" s="316"/>
      <c r="LKR10" s="316"/>
      <c r="LKS10" s="316"/>
      <c r="LKT10" s="316"/>
      <c r="LKU10" s="316"/>
      <c r="LKV10" s="316"/>
      <c r="LKW10" s="316"/>
      <c r="LKX10" s="316"/>
      <c r="LKY10" s="316"/>
      <c r="LKZ10" s="316"/>
      <c r="LLA10" s="316"/>
      <c r="LLB10" s="316"/>
      <c r="LLC10" s="316"/>
      <c r="LLD10" s="316"/>
      <c r="LLE10" s="316"/>
      <c r="LLF10" s="316"/>
      <c r="LLG10" s="316"/>
      <c r="LLH10" s="316"/>
      <c r="LLI10" s="316"/>
      <c r="LLJ10" s="316"/>
      <c r="LLK10" s="316"/>
      <c r="LLL10" s="316"/>
      <c r="LLM10" s="316"/>
      <c r="LLN10" s="316"/>
      <c r="LLO10" s="316"/>
      <c r="LLP10" s="316"/>
      <c r="LLQ10" s="316"/>
      <c r="LLR10" s="316"/>
      <c r="LLS10" s="316"/>
      <c r="LLT10" s="316"/>
      <c r="LLU10" s="316"/>
      <c r="LLV10" s="316"/>
      <c r="LLW10" s="316"/>
      <c r="LLX10" s="316"/>
      <c r="LLY10" s="316"/>
      <c r="LLZ10" s="316"/>
      <c r="LMA10" s="316"/>
      <c r="LMB10" s="316"/>
      <c r="LMC10" s="316"/>
      <c r="LMD10" s="316"/>
      <c r="LME10" s="316"/>
      <c r="LMF10" s="316"/>
      <c r="LMG10" s="316"/>
      <c r="LMH10" s="316"/>
      <c r="LMI10" s="316"/>
      <c r="LMJ10" s="316"/>
      <c r="LMK10" s="316"/>
      <c r="LML10" s="316"/>
      <c r="LMM10" s="316"/>
      <c r="LMN10" s="316"/>
      <c r="LMO10" s="316"/>
      <c r="LMP10" s="316"/>
      <c r="LMQ10" s="316"/>
      <c r="LMR10" s="316"/>
      <c r="LMS10" s="316"/>
      <c r="LMT10" s="316"/>
      <c r="LMU10" s="316"/>
      <c r="LMV10" s="316"/>
      <c r="LMW10" s="316"/>
      <c r="LMX10" s="316"/>
      <c r="LMY10" s="316"/>
      <c r="LMZ10" s="316"/>
      <c r="LNA10" s="316"/>
      <c r="LNB10" s="316"/>
      <c r="LNC10" s="316"/>
      <c r="LND10" s="316"/>
      <c r="LNE10" s="316"/>
      <c r="LNF10" s="316"/>
      <c r="LNG10" s="316"/>
      <c r="LNH10" s="316"/>
      <c r="LNI10" s="316"/>
      <c r="LNJ10" s="316"/>
      <c r="LNK10" s="316"/>
      <c r="LNL10" s="316"/>
      <c r="LNM10" s="316"/>
      <c r="LNN10" s="316"/>
      <c r="LNO10" s="316"/>
      <c r="LNP10" s="316"/>
      <c r="LNQ10" s="316"/>
      <c r="LNR10" s="316"/>
      <c r="LNS10" s="316"/>
      <c r="LNT10" s="316"/>
      <c r="LNU10" s="316"/>
      <c r="LNV10" s="316"/>
      <c r="LNW10" s="316"/>
      <c r="LNX10" s="316"/>
      <c r="LNY10" s="316"/>
      <c r="LNZ10" s="316"/>
      <c r="LOA10" s="316"/>
      <c r="LOB10" s="316"/>
      <c r="LOC10" s="316"/>
      <c r="LOD10" s="316"/>
      <c r="LOE10" s="316"/>
      <c r="LOF10" s="316"/>
      <c r="LOG10" s="316"/>
      <c r="LOH10" s="316"/>
      <c r="LOI10" s="316"/>
      <c r="LOJ10" s="316"/>
      <c r="LOK10" s="316"/>
      <c r="LOL10" s="316"/>
      <c r="LOM10" s="316"/>
      <c r="LON10" s="316"/>
      <c r="LOO10" s="316"/>
      <c r="LOP10" s="316"/>
      <c r="LOQ10" s="316"/>
      <c r="LOR10" s="316"/>
      <c r="LOS10" s="316"/>
      <c r="LOT10" s="316"/>
      <c r="LOU10" s="316"/>
      <c r="LOV10" s="316"/>
      <c r="LOW10" s="316"/>
      <c r="LOX10" s="316"/>
      <c r="LOY10" s="316"/>
      <c r="LOZ10" s="316"/>
      <c r="LPA10" s="316"/>
      <c r="LPB10" s="316"/>
      <c r="LPC10" s="316"/>
      <c r="LPD10" s="316"/>
      <c r="LPE10" s="316"/>
      <c r="LPF10" s="316"/>
      <c r="LPG10" s="316"/>
      <c r="LPH10" s="316"/>
      <c r="LPI10" s="316"/>
      <c r="LPJ10" s="316"/>
      <c r="LPK10" s="316"/>
      <c r="LPL10" s="316"/>
      <c r="LPM10" s="316"/>
      <c r="LPN10" s="316"/>
      <c r="LPO10" s="316"/>
      <c r="LPP10" s="316"/>
      <c r="LPQ10" s="316"/>
      <c r="LPR10" s="316"/>
      <c r="LPS10" s="316"/>
      <c r="LPT10" s="316"/>
      <c r="LPU10" s="316"/>
      <c r="LPV10" s="316"/>
      <c r="LPW10" s="316"/>
      <c r="LPX10" s="316"/>
      <c r="LPY10" s="316"/>
      <c r="LPZ10" s="316"/>
      <c r="LQA10" s="316"/>
      <c r="LQB10" s="316"/>
      <c r="LQC10" s="316"/>
      <c r="LQD10" s="316"/>
      <c r="LQE10" s="316"/>
      <c r="LQF10" s="316"/>
      <c r="LQG10" s="316"/>
      <c r="LQH10" s="316"/>
      <c r="LQI10" s="316"/>
      <c r="LQJ10" s="316"/>
      <c r="LQK10" s="316"/>
      <c r="LQL10" s="316"/>
      <c r="LQM10" s="316"/>
      <c r="LQN10" s="316"/>
      <c r="LQO10" s="316"/>
      <c r="LQP10" s="316"/>
      <c r="LQQ10" s="316"/>
      <c r="LQR10" s="316"/>
      <c r="LQS10" s="316"/>
      <c r="LQT10" s="316"/>
      <c r="LQU10" s="316"/>
      <c r="LQV10" s="316"/>
      <c r="LQW10" s="316"/>
      <c r="LQX10" s="316"/>
      <c r="LQY10" s="316"/>
      <c r="LQZ10" s="316"/>
      <c r="LRA10" s="316"/>
      <c r="LRB10" s="316"/>
      <c r="LRC10" s="316"/>
      <c r="LRD10" s="316"/>
      <c r="LRE10" s="316"/>
      <c r="LRF10" s="316"/>
      <c r="LRG10" s="316"/>
      <c r="LRH10" s="316"/>
      <c r="LRI10" s="316"/>
      <c r="LRJ10" s="316"/>
      <c r="LRK10" s="316"/>
      <c r="LRL10" s="316"/>
      <c r="LRM10" s="316"/>
      <c r="LRN10" s="316"/>
      <c r="LRO10" s="316"/>
      <c r="LRP10" s="316"/>
      <c r="LRQ10" s="316"/>
      <c r="LRR10" s="316"/>
      <c r="LRS10" s="316"/>
      <c r="LRT10" s="316"/>
      <c r="LRU10" s="316"/>
      <c r="LRV10" s="316"/>
      <c r="LRW10" s="316"/>
      <c r="LRX10" s="316"/>
      <c r="LRY10" s="316"/>
      <c r="LRZ10" s="316"/>
      <c r="LSA10" s="316"/>
      <c r="LSB10" s="316"/>
      <c r="LSC10" s="316"/>
      <c r="LSD10" s="316"/>
      <c r="LSE10" s="316"/>
      <c r="LSF10" s="316"/>
      <c r="LSG10" s="316"/>
      <c r="LSH10" s="316"/>
      <c r="LSI10" s="316"/>
      <c r="LSJ10" s="316"/>
      <c r="LSK10" s="316"/>
      <c r="LSL10" s="316"/>
      <c r="LSM10" s="316"/>
      <c r="LSN10" s="316"/>
      <c r="LSO10" s="316"/>
      <c r="LSP10" s="316"/>
      <c r="LSQ10" s="316"/>
      <c r="LSR10" s="316"/>
      <c r="LSS10" s="316"/>
      <c r="LST10" s="316"/>
      <c r="LSU10" s="316"/>
      <c r="LSV10" s="316"/>
      <c r="LSW10" s="316"/>
      <c r="LSX10" s="316"/>
      <c r="LSY10" s="316"/>
      <c r="LSZ10" s="316"/>
      <c r="LTA10" s="316"/>
      <c r="LTB10" s="316"/>
      <c r="LTC10" s="316"/>
      <c r="LTD10" s="316"/>
      <c r="LTE10" s="316"/>
      <c r="LTF10" s="316"/>
      <c r="LTG10" s="316"/>
      <c r="LTH10" s="316"/>
      <c r="LTI10" s="316"/>
      <c r="LTJ10" s="316"/>
      <c r="LTK10" s="316"/>
      <c r="LTL10" s="316"/>
      <c r="LTM10" s="316"/>
      <c r="LTN10" s="316"/>
      <c r="LTO10" s="316"/>
      <c r="LTP10" s="316"/>
      <c r="LTQ10" s="316"/>
      <c r="LTR10" s="316"/>
      <c r="LTS10" s="316"/>
      <c r="LTT10" s="316"/>
      <c r="LTU10" s="316"/>
      <c r="LTV10" s="316"/>
      <c r="LTW10" s="316"/>
      <c r="LTX10" s="316"/>
      <c r="LTY10" s="316"/>
      <c r="LTZ10" s="316"/>
      <c r="LUA10" s="316"/>
      <c r="LUB10" s="316"/>
      <c r="LUC10" s="316"/>
      <c r="LUD10" s="316"/>
      <c r="LUE10" s="316"/>
      <c r="LUF10" s="316"/>
      <c r="LUG10" s="316"/>
      <c r="LUH10" s="316"/>
      <c r="LUI10" s="316"/>
      <c r="LUJ10" s="316"/>
      <c r="LUK10" s="316"/>
      <c r="LUL10" s="316"/>
      <c r="LUM10" s="316"/>
      <c r="LUN10" s="316"/>
      <c r="LUO10" s="316"/>
      <c r="LUP10" s="316"/>
      <c r="LUQ10" s="316"/>
      <c r="LUR10" s="316"/>
      <c r="LUS10" s="316"/>
      <c r="LUT10" s="316"/>
      <c r="LUU10" s="316"/>
      <c r="LUV10" s="316"/>
      <c r="LUW10" s="316"/>
      <c r="LUX10" s="316"/>
      <c r="LUY10" s="316"/>
      <c r="LUZ10" s="316"/>
      <c r="LVA10" s="316"/>
      <c r="LVB10" s="316"/>
      <c r="LVC10" s="316"/>
      <c r="LVD10" s="316"/>
      <c r="LVE10" s="316"/>
      <c r="LVF10" s="316"/>
      <c r="LVG10" s="316"/>
      <c r="LVH10" s="316"/>
      <c r="LVI10" s="316"/>
      <c r="LVJ10" s="316"/>
      <c r="LVK10" s="316"/>
      <c r="LVL10" s="316"/>
      <c r="LVM10" s="316"/>
      <c r="LVN10" s="316"/>
      <c r="LVO10" s="316"/>
      <c r="LVP10" s="316"/>
      <c r="LVQ10" s="316"/>
      <c r="LVR10" s="316"/>
      <c r="LVS10" s="316"/>
      <c r="LVT10" s="316"/>
      <c r="LVU10" s="316"/>
      <c r="LVV10" s="316"/>
      <c r="LVW10" s="316"/>
      <c r="LVX10" s="316"/>
      <c r="LVY10" s="316"/>
      <c r="LVZ10" s="316"/>
      <c r="LWA10" s="316"/>
      <c r="LWB10" s="316"/>
      <c r="LWC10" s="316"/>
      <c r="LWD10" s="316"/>
      <c r="LWE10" s="316"/>
      <c r="LWF10" s="316"/>
      <c r="LWG10" s="316"/>
      <c r="LWH10" s="316"/>
      <c r="LWI10" s="316"/>
      <c r="LWJ10" s="316"/>
      <c r="LWK10" s="316"/>
      <c r="LWL10" s="316"/>
      <c r="LWM10" s="316"/>
      <c r="LWN10" s="316"/>
      <c r="LWO10" s="316"/>
      <c r="LWP10" s="316"/>
      <c r="LWQ10" s="316"/>
      <c r="LWR10" s="316"/>
      <c r="LWS10" s="316"/>
      <c r="LWT10" s="316"/>
      <c r="LWU10" s="316"/>
      <c r="LWV10" s="316"/>
      <c r="LWW10" s="316"/>
      <c r="LWX10" s="316"/>
      <c r="LWY10" s="316"/>
      <c r="LWZ10" s="316"/>
      <c r="LXA10" s="316"/>
      <c r="LXB10" s="316"/>
      <c r="LXC10" s="316"/>
      <c r="LXD10" s="316"/>
      <c r="LXE10" s="316"/>
      <c r="LXF10" s="316"/>
      <c r="LXG10" s="316"/>
      <c r="LXH10" s="316"/>
      <c r="LXI10" s="316"/>
      <c r="LXJ10" s="316"/>
      <c r="LXK10" s="316"/>
      <c r="LXL10" s="316"/>
      <c r="LXM10" s="316"/>
      <c r="LXN10" s="316"/>
      <c r="LXO10" s="316"/>
      <c r="LXP10" s="316"/>
      <c r="LXQ10" s="316"/>
      <c r="LXR10" s="316"/>
      <c r="LXS10" s="316"/>
      <c r="LXT10" s="316"/>
      <c r="LXU10" s="316"/>
      <c r="LXV10" s="316"/>
      <c r="LXW10" s="316"/>
      <c r="LXX10" s="316"/>
      <c r="LXY10" s="316"/>
      <c r="LXZ10" s="316"/>
      <c r="LYA10" s="316"/>
      <c r="LYB10" s="316"/>
      <c r="LYC10" s="316"/>
      <c r="LYD10" s="316"/>
      <c r="LYE10" s="316"/>
      <c r="LYF10" s="316"/>
      <c r="LYG10" s="316"/>
      <c r="LYH10" s="316"/>
      <c r="LYI10" s="316"/>
      <c r="LYJ10" s="316"/>
      <c r="LYK10" s="316"/>
      <c r="LYL10" s="316"/>
      <c r="LYM10" s="316"/>
      <c r="LYN10" s="316"/>
      <c r="LYO10" s="316"/>
      <c r="LYP10" s="316"/>
      <c r="LYQ10" s="316"/>
      <c r="LYR10" s="316"/>
      <c r="LYS10" s="316"/>
      <c r="LYT10" s="316"/>
      <c r="LYU10" s="316"/>
      <c r="LYV10" s="316"/>
      <c r="LYW10" s="316"/>
      <c r="LYX10" s="316"/>
      <c r="LYY10" s="316"/>
      <c r="LYZ10" s="316"/>
      <c r="LZA10" s="316"/>
      <c r="LZB10" s="316"/>
      <c r="LZC10" s="316"/>
      <c r="LZD10" s="316"/>
      <c r="LZE10" s="316"/>
      <c r="LZF10" s="316"/>
      <c r="LZG10" s="316"/>
      <c r="LZH10" s="316"/>
      <c r="LZI10" s="316"/>
      <c r="LZJ10" s="316"/>
      <c r="LZK10" s="316"/>
      <c r="LZL10" s="316"/>
      <c r="LZM10" s="316"/>
      <c r="LZN10" s="316"/>
      <c r="LZO10" s="316"/>
      <c r="LZP10" s="316"/>
      <c r="LZQ10" s="316"/>
      <c r="LZR10" s="316"/>
      <c r="LZS10" s="316"/>
      <c r="LZT10" s="316"/>
      <c r="LZU10" s="316"/>
      <c r="LZV10" s="316"/>
      <c r="LZW10" s="316"/>
      <c r="LZX10" s="316"/>
      <c r="LZY10" s="316"/>
      <c r="LZZ10" s="316"/>
      <c r="MAA10" s="316"/>
      <c r="MAB10" s="316"/>
      <c r="MAC10" s="316"/>
      <c r="MAD10" s="316"/>
      <c r="MAE10" s="316"/>
      <c r="MAF10" s="316"/>
      <c r="MAG10" s="316"/>
      <c r="MAH10" s="316"/>
      <c r="MAI10" s="316"/>
      <c r="MAJ10" s="316"/>
      <c r="MAK10" s="316"/>
      <c r="MAL10" s="316"/>
      <c r="MAM10" s="316"/>
      <c r="MAN10" s="316"/>
      <c r="MAO10" s="316"/>
      <c r="MAP10" s="316"/>
      <c r="MAQ10" s="316"/>
      <c r="MAR10" s="316"/>
      <c r="MAS10" s="316"/>
      <c r="MAT10" s="316"/>
      <c r="MAU10" s="316"/>
      <c r="MAV10" s="316"/>
      <c r="MAW10" s="316"/>
      <c r="MAX10" s="316"/>
      <c r="MAY10" s="316"/>
      <c r="MAZ10" s="316"/>
      <c r="MBA10" s="316"/>
      <c r="MBB10" s="316"/>
      <c r="MBC10" s="316"/>
      <c r="MBD10" s="316"/>
      <c r="MBE10" s="316"/>
      <c r="MBF10" s="316"/>
      <c r="MBG10" s="316"/>
      <c r="MBH10" s="316"/>
      <c r="MBI10" s="316"/>
      <c r="MBJ10" s="316"/>
      <c r="MBK10" s="316"/>
      <c r="MBL10" s="316"/>
      <c r="MBM10" s="316"/>
      <c r="MBN10" s="316"/>
      <c r="MBO10" s="316"/>
      <c r="MBP10" s="316"/>
      <c r="MBQ10" s="316"/>
      <c r="MBR10" s="316"/>
      <c r="MBS10" s="316"/>
      <c r="MBT10" s="316"/>
      <c r="MBU10" s="316"/>
      <c r="MBV10" s="316"/>
      <c r="MBW10" s="316"/>
      <c r="MBX10" s="316"/>
      <c r="MBY10" s="316"/>
      <c r="MBZ10" s="316"/>
      <c r="MCA10" s="316"/>
      <c r="MCB10" s="316"/>
      <c r="MCC10" s="316"/>
      <c r="MCD10" s="316"/>
      <c r="MCE10" s="316"/>
      <c r="MCF10" s="316"/>
      <c r="MCG10" s="316"/>
      <c r="MCH10" s="316"/>
      <c r="MCI10" s="316"/>
      <c r="MCJ10" s="316"/>
      <c r="MCK10" s="316"/>
      <c r="MCL10" s="316"/>
      <c r="MCM10" s="316"/>
      <c r="MCN10" s="316"/>
      <c r="MCO10" s="316"/>
      <c r="MCP10" s="316"/>
      <c r="MCQ10" s="316"/>
      <c r="MCR10" s="316"/>
      <c r="MCS10" s="316"/>
      <c r="MCT10" s="316"/>
      <c r="MCU10" s="316"/>
      <c r="MCV10" s="316"/>
      <c r="MCW10" s="316"/>
      <c r="MCX10" s="316"/>
      <c r="MCY10" s="316"/>
      <c r="MCZ10" s="316"/>
      <c r="MDA10" s="316"/>
      <c r="MDB10" s="316"/>
      <c r="MDC10" s="316"/>
      <c r="MDD10" s="316"/>
      <c r="MDE10" s="316"/>
      <c r="MDF10" s="316"/>
      <c r="MDG10" s="316"/>
      <c r="MDH10" s="316"/>
      <c r="MDI10" s="316"/>
      <c r="MDJ10" s="316"/>
      <c r="MDK10" s="316"/>
      <c r="MDL10" s="316"/>
      <c r="MDM10" s="316"/>
      <c r="MDN10" s="316"/>
      <c r="MDO10" s="316"/>
      <c r="MDP10" s="316"/>
      <c r="MDQ10" s="316"/>
      <c r="MDR10" s="316"/>
      <c r="MDS10" s="316"/>
      <c r="MDT10" s="316"/>
      <c r="MDU10" s="316"/>
      <c r="MDV10" s="316"/>
      <c r="MDW10" s="316"/>
      <c r="MDX10" s="316"/>
      <c r="MDY10" s="316"/>
      <c r="MDZ10" s="316"/>
      <c r="MEA10" s="316"/>
      <c r="MEB10" s="316"/>
      <c r="MEC10" s="316"/>
      <c r="MED10" s="316"/>
      <c r="MEE10" s="316"/>
      <c r="MEF10" s="316"/>
      <c r="MEG10" s="316"/>
      <c r="MEH10" s="316"/>
      <c r="MEI10" s="316"/>
      <c r="MEJ10" s="316"/>
      <c r="MEK10" s="316"/>
      <c r="MEL10" s="316"/>
      <c r="MEM10" s="316"/>
      <c r="MEN10" s="316"/>
      <c r="MEO10" s="316"/>
      <c r="MEP10" s="316"/>
      <c r="MEQ10" s="316"/>
      <c r="MER10" s="316"/>
      <c r="MES10" s="316"/>
      <c r="MET10" s="316"/>
      <c r="MEU10" s="316"/>
      <c r="MEV10" s="316"/>
      <c r="MEW10" s="316"/>
      <c r="MEX10" s="316"/>
      <c r="MEY10" s="316"/>
      <c r="MEZ10" s="316"/>
      <c r="MFA10" s="316"/>
      <c r="MFB10" s="316"/>
      <c r="MFC10" s="316"/>
      <c r="MFD10" s="316"/>
      <c r="MFE10" s="316"/>
      <c r="MFF10" s="316"/>
      <c r="MFG10" s="316"/>
      <c r="MFH10" s="316"/>
      <c r="MFI10" s="316"/>
      <c r="MFJ10" s="316"/>
      <c r="MFK10" s="316"/>
      <c r="MFL10" s="316"/>
      <c r="MFM10" s="316"/>
      <c r="MFN10" s="316"/>
      <c r="MFO10" s="316"/>
      <c r="MFP10" s="316"/>
      <c r="MFQ10" s="316"/>
      <c r="MFR10" s="316"/>
      <c r="MFS10" s="316"/>
      <c r="MFT10" s="316"/>
      <c r="MFU10" s="316"/>
      <c r="MFV10" s="316"/>
      <c r="MFW10" s="316"/>
      <c r="MFX10" s="316"/>
      <c r="MFY10" s="316"/>
      <c r="MFZ10" s="316"/>
      <c r="MGA10" s="316"/>
      <c r="MGB10" s="316"/>
      <c r="MGC10" s="316"/>
      <c r="MGD10" s="316"/>
      <c r="MGE10" s="316"/>
      <c r="MGF10" s="316"/>
      <c r="MGG10" s="316"/>
      <c r="MGH10" s="316"/>
      <c r="MGI10" s="316"/>
      <c r="MGJ10" s="316"/>
      <c r="MGK10" s="316"/>
      <c r="MGL10" s="316"/>
      <c r="MGM10" s="316"/>
      <c r="MGN10" s="316"/>
      <c r="MGO10" s="316"/>
      <c r="MGP10" s="316"/>
      <c r="MGQ10" s="316"/>
      <c r="MGR10" s="316"/>
      <c r="MGS10" s="316"/>
      <c r="MGT10" s="316"/>
      <c r="MGU10" s="316"/>
      <c r="MGV10" s="316"/>
      <c r="MGW10" s="316"/>
      <c r="MGX10" s="316"/>
      <c r="MGY10" s="316"/>
      <c r="MGZ10" s="316"/>
      <c r="MHA10" s="316"/>
      <c r="MHB10" s="316"/>
      <c r="MHC10" s="316"/>
      <c r="MHD10" s="316"/>
      <c r="MHE10" s="316"/>
      <c r="MHF10" s="316"/>
      <c r="MHG10" s="316"/>
      <c r="MHH10" s="316"/>
      <c r="MHI10" s="316"/>
      <c r="MHJ10" s="316"/>
      <c r="MHK10" s="316"/>
      <c r="MHL10" s="316"/>
      <c r="MHM10" s="316"/>
      <c r="MHN10" s="316"/>
      <c r="MHO10" s="316"/>
      <c r="MHP10" s="316"/>
      <c r="MHQ10" s="316"/>
      <c r="MHR10" s="316"/>
      <c r="MHS10" s="316"/>
      <c r="MHT10" s="316"/>
      <c r="MHU10" s="316"/>
      <c r="MHV10" s="316"/>
      <c r="MHW10" s="316"/>
      <c r="MHX10" s="316"/>
      <c r="MHY10" s="316"/>
      <c r="MHZ10" s="316"/>
      <c r="MIA10" s="316"/>
      <c r="MIB10" s="316"/>
      <c r="MIC10" s="316"/>
      <c r="MID10" s="316"/>
      <c r="MIE10" s="316"/>
      <c r="MIF10" s="316"/>
      <c r="MIG10" s="316"/>
      <c r="MIH10" s="316"/>
      <c r="MII10" s="316"/>
      <c r="MIJ10" s="316"/>
      <c r="MIK10" s="316"/>
      <c r="MIL10" s="316"/>
      <c r="MIM10" s="316"/>
      <c r="MIN10" s="316"/>
      <c r="MIO10" s="316"/>
      <c r="MIP10" s="316"/>
      <c r="MIQ10" s="316"/>
      <c r="MIR10" s="316"/>
      <c r="MIS10" s="316"/>
      <c r="MIT10" s="316"/>
      <c r="MIU10" s="316"/>
      <c r="MIV10" s="316"/>
      <c r="MIW10" s="316"/>
      <c r="MIX10" s="316"/>
      <c r="MIY10" s="316"/>
      <c r="MIZ10" s="316"/>
      <c r="MJA10" s="316"/>
      <c r="MJB10" s="316"/>
      <c r="MJC10" s="316"/>
      <c r="MJD10" s="316"/>
      <c r="MJE10" s="316"/>
      <c r="MJF10" s="316"/>
      <c r="MJG10" s="316"/>
      <c r="MJH10" s="316"/>
      <c r="MJI10" s="316"/>
      <c r="MJJ10" s="316"/>
      <c r="MJK10" s="316"/>
      <c r="MJL10" s="316"/>
      <c r="MJM10" s="316"/>
      <c r="MJN10" s="316"/>
      <c r="MJO10" s="316"/>
      <c r="MJP10" s="316"/>
      <c r="MJQ10" s="316"/>
      <c r="MJR10" s="316"/>
      <c r="MJS10" s="316"/>
      <c r="MJT10" s="316"/>
      <c r="MJU10" s="316"/>
      <c r="MJV10" s="316"/>
      <c r="MJW10" s="316"/>
      <c r="MJX10" s="316"/>
      <c r="MJY10" s="316"/>
      <c r="MJZ10" s="316"/>
      <c r="MKA10" s="316"/>
      <c r="MKB10" s="316"/>
      <c r="MKC10" s="316"/>
      <c r="MKD10" s="316"/>
      <c r="MKE10" s="316"/>
      <c r="MKF10" s="316"/>
      <c r="MKG10" s="316"/>
      <c r="MKH10" s="316"/>
      <c r="MKI10" s="316"/>
      <c r="MKJ10" s="316"/>
      <c r="MKK10" s="316"/>
      <c r="MKL10" s="316"/>
      <c r="MKM10" s="316"/>
      <c r="MKN10" s="316"/>
      <c r="MKO10" s="316"/>
      <c r="MKP10" s="316"/>
      <c r="MKQ10" s="316"/>
      <c r="MKR10" s="316"/>
      <c r="MKS10" s="316"/>
      <c r="MKT10" s="316"/>
      <c r="MKU10" s="316"/>
      <c r="MKV10" s="316"/>
      <c r="MKW10" s="316"/>
      <c r="MKX10" s="316"/>
      <c r="MKY10" s="316"/>
      <c r="MKZ10" s="316"/>
      <c r="MLA10" s="316"/>
      <c r="MLB10" s="316"/>
      <c r="MLC10" s="316"/>
      <c r="MLD10" s="316"/>
      <c r="MLE10" s="316"/>
      <c r="MLF10" s="316"/>
      <c r="MLG10" s="316"/>
      <c r="MLH10" s="316"/>
      <c r="MLI10" s="316"/>
      <c r="MLJ10" s="316"/>
      <c r="MLK10" s="316"/>
      <c r="MLL10" s="316"/>
      <c r="MLM10" s="316"/>
      <c r="MLN10" s="316"/>
      <c r="MLO10" s="316"/>
      <c r="MLP10" s="316"/>
      <c r="MLQ10" s="316"/>
      <c r="MLR10" s="316"/>
      <c r="MLS10" s="316"/>
      <c r="MLT10" s="316"/>
      <c r="MLU10" s="316"/>
      <c r="MLV10" s="316"/>
      <c r="MLW10" s="316"/>
      <c r="MLX10" s="316"/>
      <c r="MLY10" s="316"/>
      <c r="MLZ10" s="316"/>
      <c r="MMA10" s="316"/>
      <c r="MMB10" s="316"/>
      <c r="MMC10" s="316"/>
      <c r="MMD10" s="316"/>
      <c r="MME10" s="316"/>
      <c r="MMF10" s="316"/>
      <c r="MMG10" s="316"/>
      <c r="MMH10" s="316"/>
      <c r="MMI10" s="316"/>
      <c r="MMJ10" s="316"/>
      <c r="MMK10" s="316"/>
      <c r="MML10" s="316"/>
      <c r="MMM10" s="316"/>
      <c r="MMN10" s="316"/>
      <c r="MMO10" s="316"/>
      <c r="MMP10" s="316"/>
      <c r="MMQ10" s="316"/>
      <c r="MMR10" s="316"/>
      <c r="MMS10" s="316"/>
      <c r="MMT10" s="316"/>
      <c r="MMU10" s="316"/>
      <c r="MMV10" s="316"/>
      <c r="MMW10" s="316"/>
      <c r="MMX10" s="316"/>
      <c r="MMY10" s="316"/>
      <c r="MMZ10" s="316"/>
      <c r="MNA10" s="316"/>
      <c r="MNB10" s="316"/>
      <c r="MNC10" s="316"/>
      <c r="MND10" s="316"/>
      <c r="MNE10" s="316"/>
      <c r="MNF10" s="316"/>
      <c r="MNG10" s="316"/>
      <c r="MNH10" s="316"/>
      <c r="MNI10" s="316"/>
      <c r="MNJ10" s="316"/>
      <c r="MNK10" s="316"/>
      <c r="MNL10" s="316"/>
      <c r="MNM10" s="316"/>
      <c r="MNN10" s="316"/>
      <c r="MNO10" s="316"/>
      <c r="MNP10" s="316"/>
      <c r="MNQ10" s="316"/>
      <c r="MNR10" s="316"/>
      <c r="MNS10" s="316"/>
      <c r="MNT10" s="316"/>
      <c r="MNU10" s="316"/>
      <c r="MNV10" s="316"/>
      <c r="MNW10" s="316"/>
      <c r="MNX10" s="316"/>
      <c r="MNY10" s="316"/>
      <c r="MNZ10" s="316"/>
      <c r="MOA10" s="316"/>
      <c r="MOB10" s="316"/>
      <c r="MOC10" s="316"/>
      <c r="MOD10" s="316"/>
      <c r="MOE10" s="316"/>
      <c r="MOF10" s="316"/>
      <c r="MOG10" s="316"/>
      <c r="MOH10" s="316"/>
      <c r="MOI10" s="316"/>
      <c r="MOJ10" s="316"/>
      <c r="MOK10" s="316"/>
      <c r="MOL10" s="316"/>
      <c r="MOM10" s="316"/>
      <c r="MON10" s="316"/>
      <c r="MOO10" s="316"/>
      <c r="MOP10" s="316"/>
      <c r="MOQ10" s="316"/>
      <c r="MOR10" s="316"/>
      <c r="MOS10" s="316"/>
      <c r="MOT10" s="316"/>
      <c r="MOU10" s="316"/>
      <c r="MOV10" s="316"/>
      <c r="MOW10" s="316"/>
      <c r="MOX10" s="316"/>
      <c r="MOY10" s="316"/>
      <c r="MOZ10" s="316"/>
      <c r="MPA10" s="316"/>
      <c r="MPB10" s="316"/>
      <c r="MPC10" s="316"/>
      <c r="MPD10" s="316"/>
      <c r="MPE10" s="316"/>
      <c r="MPF10" s="316"/>
      <c r="MPG10" s="316"/>
      <c r="MPH10" s="316"/>
      <c r="MPI10" s="316"/>
      <c r="MPJ10" s="316"/>
      <c r="MPK10" s="316"/>
      <c r="MPL10" s="316"/>
      <c r="MPM10" s="316"/>
      <c r="MPN10" s="316"/>
      <c r="MPO10" s="316"/>
      <c r="MPP10" s="316"/>
      <c r="MPQ10" s="316"/>
      <c r="MPR10" s="316"/>
      <c r="MPS10" s="316"/>
      <c r="MPT10" s="316"/>
      <c r="MPU10" s="316"/>
      <c r="MPV10" s="316"/>
      <c r="MPW10" s="316"/>
      <c r="MPX10" s="316"/>
      <c r="MPY10" s="316"/>
      <c r="MPZ10" s="316"/>
      <c r="MQA10" s="316"/>
      <c r="MQB10" s="316"/>
      <c r="MQC10" s="316"/>
      <c r="MQD10" s="316"/>
      <c r="MQE10" s="316"/>
      <c r="MQF10" s="316"/>
      <c r="MQG10" s="316"/>
      <c r="MQH10" s="316"/>
      <c r="MQI10" s="316"/>
      <c r="MQJ10" s="316"/>
      <c r="MQK10" s="316"/>
      <c r="MQL10" s="316"/>
      <c r="MQM10" s="316"/>
      <c r="MQN10" s="316"/>
      <c r="MQO10" s="316"/>
      <c r="MQP10" s="316"/>
      <c r="MQQ10" s="316"/>
      <c r="MQR10" s="316"/>
      <c r="MQS10" s="316"/>
      <c r="MQT10" s="316"/>
      <c r="MQU10" s="316"/>
      <c r="MQV10" s="316"/>
      <c r="MQW10" s="316"/>
      <c r="MQX10" s="316"/>
      <c r="MQY10" s="316"/>
      <c r="MQZ10" s="316"/>
      <c r="MRA10" s="316"/>
      <c r="MRB10" s="316"/>
      <c r="MRC10" s="316"/>
      <c r="MRD10" s="316"/>
      <c r="MRE10" s="316"/>
      <c r="MRF10" s="316"/>
      <c r="MRG10" s="316"/>
      <c r="MRH10" s="316"/>
      <c r="MRI10" s="316"/>
      <c r="MRJ10" s="316"/>
      <c r="MRK10" s="316"/>
      <c r="MRL10" s="316"/>
      <c r="MRM10" s="316"/>
      <c r="MRN10" s="316"/>
      <c r="MRO10" s="316"/>
      <c r="MRP10" s="316"/>
      <c r="MRQ10" s="316"/>
      <c r="MRR10" s="316"/>
      <c r="MRS10" s="316"/>
      <c r="MRT10" s="316"/>
      <c r="MRU10" s="316"/>
      <c r="MRV10" s="316"/>
      <c r="MRW10" s="316"/>
      <c r="MRX10" s="316"/>
      <c r="MRY10" s="316"/>
      <c r="MRZ10" s="316"/>
      <c r="MSA10" s="316"/>
      <c r="MSB10" s="316"/>
      <c r="MSC10" s="316"/>
      <c r="MSD10" s="316"/>
      <c r="MSE10" s="316"/>
      <c r="MSF10" s="316"/>
      <c r="MSG10" s="316"/>
      <c r="MSH10" s="316"/>
      <c r="MSI10" s="316"/>
      <c r="MSJ10" s="316"/>
      <c r="MSK10" s="316"/>
      <c r="MSL10" s="316"/>
      <c r="MSM10" s="316"/>
      <c r="MSN10" s="316"/>
      <c r="MSO10" s="316"/>
      <c r="MSP10" s="316"/>
      <c r="MSQ10" s="316"/>
      <c r="MSR10" s="316"/>
      <c r="MSS10" s="316"/>
      <c r="MST10" s="316"/>
      <c r="MSU10" s="316"/>
      <c r="MSV10" s="316"/>
      <c r="MSW10" s="316"/>
      <c r="MSX10" s="316"/>
      <c r="MSY10" s="316"/>
      <c r="MSZ10" s="316"/>
      <c r="MTA10" s="316"/>
      <c r="MTB10" s="316"/>
      <c r="MTC10" s="316"/>
      <c r="MTD10" s="316"/>
      <c r="MTE10" s="316"/>
      <c r="MTF10" s="316"/>
      <c r="MTG10" s="316"/>
      <c r="MTH10" s="316"/>
      <c r="MTI10" s="316"/>
      <c r="MTJ10" s="316"/>
      <c r="MTK10" s="316"/>
      <c r="MTL10" s="316"/>
      <c r="MTM10" s="316"/>
      <c r="MTN10" s="316"/>
      <c r="MTO10" s="316"/>
      <c r="MTP10" s="316"/>
      <c r="MTQ10" s="316"/>
      <c r="MTR10" s="316"/>
      <c r="MTS10" s="316"/>
      <c r="MTT10" s="316"/>
      <c r="MTU10" s="316"/>
      <c r="MTV10" s="316"/>
      <c r="MTW10" s="316"/>
      <c r="MTX10" s="316"/>
      <c r="MTY10" s="316"/>
      <c r="MTZ10" s="316"/>
      <c r="MUA10" s="316"/>
      <c r="MUB10" s="316"/>
      <c r="MUC10" s="316"/>
      <c r="MUD10" s="316"/>
      <c r="MUE10" s="316"/>
      <c r="MUF10" s="316"/>
      <c r="MUG10" s="316"/>
      <c r="MUH10" s="316"/>
      <c r="MUI10" s="316"/>
      <c r="MUJ10" s="316"/>
      <c r="MUK10" s="316"/>
      <c r="MUL10" s="316"/>
      <c r="MUM10" s="316"/>
      <c r="MUN10" s="316"/>
      <c r="MUO10" s="316"/>
      <c r="MUP10" s="316"/>
      <c r="MUQ10" s="316"/>
      <c r="MUR10" s="316"/>
      <c r="MUS10" s="316"/>
      <c r="MUT10" s="316"/>
      <c r="MUU10" s="316"/>
      <c r="MUV10" s="316"/>
      <c r="MUW10" s="316"/>
      <c r="MUX10" s="316"/>
      <c r="MUY10" s="316"/>
      <c r="MUZ10" s="316"/>
      <c r="MVA10" s="316"/>
      <c r="MVB10" s="316"/>
      <c r="MVC10" s="316"/>
      <c r="MVD10" s="316"/>
      <c r="MVE10" s="316"/>
      <c r="MVF10" s="316"/>
      <c r="MVG10" s="316"/>
      <c r="MVH10" s="316"/>
      <c r="MVI10" s="316"/>
      <c r="MVJ10" s="316"/>
      <c r="MVK10" s="316"/>
      <c r="MVL10" s="316"/>
      <c r="MVM10" s="316"/>
      <c r="MVN10" s="316"/>
      <c r="MVO10" s="316"/>
      <c r="MVP10" s="316"/>
      <c r="MVQ10" s="316"/>
      <c r="MVR10" s="316"/>
      <c r="MVS10" s="316"/>
      <c r="MVT10" s="316"/>
      <c r="MVU10" s="316"/>
      <c r="MVV10" s="316"/>
      <c r="MVW10" s="316"/>
      <c r="MVX10" s="316"/>
      <c r="MVY10" s="316"/>
      <c r="MVZ10" s="316"/>
      <c r="MWA10" s="316"/>
      <c r="MWB10" s="316"/>
      <c r="MWC10" s="316"/>
      <c r="MWD10" s="316"/>
      <c r="MWE10" s="316"/>
      <c r="MWF10" s="316"/>
      <c r="MWG10" s="316"/>
      <c r="MWH10" s="316"/>
      <c r="MWI10" s="316"/>
      <c r="MWJ10" s="316"/>
      <c r="MWK10" s="316"/>
      <c r="MWL10" s="316"/>
      <c r="MWM10" s="316"/>
      <c r="MWN10" s="316"/>
      <c r="MWO10" s="316"/>
      <c r="MWP10" s="316"/>
      <c r="MWQ10" s="316"/>
      <c r="MWR10" s="316"/>
      <c r="MWS10" s="316"/>
      <c r="MWT10" s="316"/>
      <c r="MWU10" s="316"/>
      <c r="MWV10" s="316"/>
      <c r="MWW10" s="316"/>
      <c r="MWX10" s="316"/>
      <c r="MWY10" s="316"/>
      <c r="MWZ10" s="316"/>
      <c r="MXA10" s="316"/>
      <c r="MXB10" s="316"/>
      <c r="MXC10" s="316"/>
      <c r="MXD10" s="316"/>
      <c r="MXE10" s="316"/>
      <c r="MXF10" s="316"/>
      <c r="MXG10" s="316"/>
      <c r="MXH10" s="316"/>
      <c r="MXI10" s="316"/>
      <c r="MXJ10" s="316"/>
      <c r="MXK10" s="316"/>
      <c r="MXL10" s="316"/>
      <c r="MXM10" s="316"/>
      <c r="MXN10" s="316"/>
      <c r="MXO10" s="316"/>
      <c r="MXP10" s="316"/>
      <c r="MXQ10" s="316"/>
      <c r="MXR10" s="316"/>
      <c r="MXS10" s="316"/>
      <c r="MXT10" s="316"/>
      <c r="MXU10" s="316"/>
      <c r="MXV10" s="316"/>
      <c r="MXW10" s="316"/>
      <c r="MXX10" s="316"/>
      <c r="MXY10" s="316"/>
      <c r="MXZ10" s="316"/>
      <c r="MYA10" s="316"/>
      <c r="MYB10" s="316"/>
      <c r="MYC10" s="316"/>
      <c r="MYD10" s="316"/>
      <c r="MYE10" s="316"/>
      <c r="MYF10" s="316"/>
      <c r="MYG10" s="316"/>
      <c r="MYH10" s="316"/>
      <c r="MYI10" s="316"/>
      <c r="MYJ10" s="316"/>
      <c r="MYK10" s="316"/>
      <c r="MYL10" s="316"/>
      <c r="MYM10" s="316"/>
      <c r="MYN10" s="316"/>
      <c r="MYO10" s="316"/>
      <c r="MYP10" s="316"/>
      <c r="MYQ10" s="316"/>
      <c r="MYR10" s="316"/>
      <c r="MYS10" s="316"/>
      <c r="MYT10" s="316"/>
      <c r="MYU10" s="316"/>
      <c r="MYV10" s="316"/>
      <c r="MYW10" s="316"/>
      <c r="MYX10" s="316"/>
      <c r="MYY10" s="316"/>
      <c r="MYZ10" s="316"/>
      <c r="MZA10" s="316"/>
      <c r="MZB10" s="316"/>
      <c r="MZC10" s="316"/>
      <c r="MZD10" s="316"/>
      <c r="MZE10" s="316"/>
      <c r="MZF10" s="316"/>
      <c r="MZG10" s="316"/>
      <c r="MZH10" s="316"/>
      <c r="MZI10" s="316"/>
      <c r="MZJ10" s="316"/>
      <c r="MZK10" s="316"/>
      <c r="MZL10" s="316"/>
      <c r="MZM10" s="316"/>
      <c r="MZN10" s="316"/>
      <c r="MZO10" s="316"/>
      <c r="MZP10" s="316"/>
      <c r="MZQ10" s="316"/>
      <c r="MZR10" s="316"/>
      <c r="MZS10" s="316"/>
      <c r="MZT10" s="316"/>
      <c r="MZU10" s="316"/>
      <c r="MZV10" s="316"/>
      <c r="MZW10" s="316"/>
      <c r="MZX10" s="316"/>
      <c r="MZY10" s="316"/>
      <c r="MZZ10" s="316"/>
      <c r="NAA10" s="316"/>
      <c r="NAB10" s="316"/>
      <c r="NAC10" s="316"/>
      <c r="NAD10" s="316"/>
      <c r="NAE10" s="316"/>
      <c r="NAF10" s="316"/>
      <c r="NAG10" s="316"/>
      <c r="NAH10" s="316"/>
      <c r="NAI10" s="316"/>
      <c r="NAJ10" s="316"/>
      <c r="NAK10" s="316"/>
      <c r="NAL10" s="316"/>
      <c r="NAM10" s="316"/>
      <c r="NAN10" s="316"/>
      <c r="NAO10" s="316"/>
      <c r="NAP10" s="316"/>
      <c r="NAQ10" s="316"/>
      <c r="NAR10" s="316"/>
      <c r="NAS10" s="316"/>
      <c r="NAT10" s="316"/>
      <c r="NAU10" s="316"/>
      <c r="NAV10" s="316"/>
      <c r="NAW10" s="316"/>
      <c r="NAX10" s="316"/>
      <c r="NAY10" s="316"/>
      <c r="NAZ10" s="316"/>
      <c r="NBA10" s="316"/>
      <c r="NBB10" s="316"/>
      <c r="NBC10" s="316"/>
      <c r="NBD10" s="316"/>
      <c r="NBE10" s="316"/>
      <c r="NBF10" s="316"/>
      <c r="NBG10" s="316"/>
      <c r="NBH10" s="316"/>
      <c r="NBI10" s="316"/>
      <c r="NBJ10" s="316"/>
      <c r="NBK10" s="316"/>
      <c r="NBL10" s="316"/>
      <c r="NBM10" s="316"/>
      <c r="NBN10" s="316"/>
      <c r="NBO10" s="316"/>
      <c r="NBP10" s="316"/>
      <c r="NBQ10" s="316"/>
      <c r="NBR10" s="316"/>
      <c r="NBS10" s="316"/>
      <c r="NBT10" s="316"/>
      <c r="NBU10" s="316"/>
      <c r="NBV10" s="316"/>
      <c r="NBW10" s="316"/>
      <c r="NBX10" s="316"/>
      <c r="NBY10" s="316"/>
      <c r="NBZ10" s="316"/>
      <c r="NCA10" s="316"/>
      <c r="NCB10" s="316"/>
      <c r="NCC10" s="316"/>
      <c r="NCD10" s="316"/>
      <c r="NCE10" s="316"/>
      <c r="NCF10" s="316"/>
      <c r="NCG10" s="316"/>
      <c r="NCH10" s="316"/>
      <c r="NCI10" s="316"/>
      <c r="NCJ10" s="316"/>
      <c r="NCK10" s="316"/>
      <c r="NCL10" s="316"/>
      <c r="NCM10" s="316"/>
      <c r="NCN10" s="316"/>
      <c r="NCO10" s="316"/>
      <c r="NCP10" s="316"/>
      <c r="NCQ10" s="316"/>
      <c r="NCR10" s="316"/>
      <c r="NCS10" s="316"/>
      <c r="NCT10" s="316"/>
      <c r="NCU10" s="316"/>
      <c r="NCV10" s="316"/>
      <c r="NCW10" s="316"/>
      <c r="NCX10" s="316"/>
      <c r="NCY10" s="316"/>
      <c r="NCZ10" s="316"/>
      <c r="NDA10" s="316"/>
      <c r="NDB10" s="316"/>
      <c r="NDC10" s="316"/>
      <c r="NDD10" s="316"/>
      <c r="NDE10" s="316"/>
      <c r="NDF10" s="316"/>
      <c r="NDG10" s="316"/>
      <c r="NDH10" s="316"/>
      <c r="NDI10" s="316"/>
      <c r="NDJ10" s="316"/>
      <c r="NDK10" s="316"/>
      <c r="NDL10" s="316"/>
      <c r="NDM10" s="316"/>
      <c r="NDN10" s="316"/>
      <c r="NDO10" s="316"/>
      <c r="NDP10" s="316"/>
      <c r="NDQ10" s="316"/>
      <c r="NDR10" s="316"/>
      <c r="NDS10" s="316"/>
      <c r="NDT10" s="316"/>
      <c r="NDU10" s="316"/>
      <c r="NDV10" s="316"/>
      <c r="NDW10" s="316"/>
      <c r="NDX10" s="316"/>
      <c r="NDY10" s="316"/>
      <c r="NDZ10" s="316"/>
      <c r="NEA10" s="316"/>
      <c r="NEB10" s="316"/>
      <c r="NEC10" s="316"/>
      <c r="NED10" s="316"/>
      <c r="NEE10" s="316"/>
      <c r="NEF10" s="316"/>
      <c r="NEG10" s="316"/>
      <c r="NEH10" s="316"/>
      <c r="NEI10" s="316"/>
      <c r="NEJ10" s="316"/>
      <c r="NEK10" s="316"/>
      <c r="NEL10" s="316"/>
      <c r="NEM10" s="316"/>
      <c r="NEN10" s="316"/>
      <c r="NEO10" s="316"/>
      <c r="NEP10" s="316"/>
      <c r="NEQ10" s="316"/>
      <c r="NER10" s="316"/>
      <c r="NES10" s="316"/>
      <c r="NET10" s="316"/>
      <c r="NEU10" s="316"/>
      <c r="NEV10" s="316"/>
      <c r="NEW10" s="316"/>
      <c r="NEX10" s="316"/>
      <c r="NEY10" s="316"/>
      <c r="NEZ10" s="316"/>
      <c r="NFA10" s="316"/>
      <c r="NFB10" s="316"/>
      <c r="NFC10" s="316"/>
      <c r="NFD10" s="316"/>
      <c r="NFE10" s="316"/>
      <c r="NFF10" s="316"/>
      <c r="NFG10" s="316"/>
      <c r="NFH10" s="316"/>
      <c r="NFI10" s="316"/>
      <c r="NFJ10" s="316"/>
      <c r="NFK10" s="316"/>
      <c r="NFL10" s="316"/>
      <c r="NFM10" s="316"/>
      <c r="NFN10" s="316"/>
      <c r="NFO10" s="316"/>
      <c r="NFP10" s="316"/>
      <c r="NFQ10" s="316"/>
      <c r="NFR10" s="316"/>
      <c r="NFS10" s="316"/>
      <c r="NFT10" s="316"/>
      <c r="NFU10" s="316"/>
      <c r="NFV10" s="316"/>
      <c r="NFW10" s="316"/>
      <c r="NFX10" s="316"/>
      <c r="NFY10" s="316"/>
      <c r="NFZ10" s="316"/>
      <c r="NGA10" s="316"/>
      <c r="NGB10" s="316"/>
      <c r="NGC10" s="316"/>
      <c r="NGD10" s="316"/>
      <c r="NGE10" s="316"/>
      <c r="NGF10" s="316"/>
      <c r="NGG10" s="316"/>
      <c r="NGH10" s="316"/>
      <c r="NGI10" s="316"/>
      <c r="NGJ10" s="316"/>
      <c r="NGK10" s="316"/>
      <c r="NGL10" s="316"/>
      <c r="NGM10" s="316"/>
      <c r="NGN10" s="316"/>
      <c r="NGO10" s="316"/>
      <c r="NGP10" s="316"/>
      <c r="NGQ10" s="316"/>
      <c r="NGR10" s="316"/>
      <c r="NGS10" s="316"/>
      <c r="NGT10" s="316"/>
      <c r="NGU10" s="316"/>
      <c r="NGV10" s="316"/>
      <c r="NGW10" s="316"/>
      <c r="NGX10" s="316"/>
      <c r="NGY10" s="316"/>
      <c r="NGZ10" s="316"/>
      <c r="NHA10" s="316"/>
      <c r="NHB10" s="316"/>
      <c r="NHC10" s="316"/>
      <c r="NHD10" s="316"/>
      <c r="NHE10" s="316"/>
      <c r="NHF10" s="316"/>
      <c r="NHG10" s="316"/>
      <c r="NHH10" s="316"/>
      <c r="NHI10" s="316"/>
      <c r="NHJ10" s="316"/>
      <c r="NHK10" s="316"/>
      <c r="NHL10" s="316"/>
      <c r="NHM10" s="316"/>
      <c r="NHN10" s="316"/>
      <c r="NHO10" s="316"/>
      <c r="NHP10" s="316"/>
      <c r="NHQ10" s="316"/>
      <c r="NHR10" s="316"/>
      <c r="NHS10" s="316"/>
      <c r="NHT10" s="316"/>
      <c r="NHU10" s="316"/>
      <c r="NHV10" s="316"/>
      <c r="NHW10" s="316"/>
      <c r="NHX10" s="316"/>
      <c r="NHY10" s="316"/>
      <c r="NHZ10" s="316"/>
      <c r="NIA10" s="316"/>
      <c r="NIB10" s="316"/>
      <c r="NIC10" s="316"/>
      <c r="NID10" s="316"/>
      <c r="NIE10" s="316"/>
      <c r="NIF10" s="316"/>
      <c r="NIG10" s="316"/>
      <c r="NIH10" s="316"/>
      <c r="NII10" s="316"/>
      <c r="NIJ10" s="316"/>
      <c r="NIK10" s="316"/>
      <c r="NIL10" s="316"/>
      <c r="NIM10" s="316"/>
      <c r="NIN10" s="316"/>
      <c r="NIO10" s="316"/>
      <c r="NIP10" s="316"/>
      <c r="NIQ10" s="316"/>
      <c r="NIR10" s="316"/>
      <c r="NIS10" s="316"/>
      <c r="NIT10" s="316"/>
      <c r="NIU10" s="316"/>
      <c r="NIV10" s="316"/>
      <c r="NIW10" s="316"/>
      <c r="NIX10" s="316"/>
      <c r="NIY10" s="316"/>
      <c r="NIZ10" s="316"/>
      <c r="NJA10" s="316"/>
      <c r="NJB10" s="316"/>
      <c r="NJC10" s="316"/>
      <c r="NJD10" s="316"/>
      <c r="NJE10" s="316"/>
      <c r="NJF10" s="316"/>
      <c r="NJG10" s="316"/>
      <c r="NJH10" s="316"/>
      <c r="NJI10" s="316"/>
      <c r="NJJ10" s="316"/>
      <c r="NJK10" s="316"/>
      <c r="NJL10" s="316"/>
      <c r="NJM10" s="316"/>
      <c r="NJN10" s="316"/>
      <c r="NJO10" s="316"/>
      <c r="NJP10" s="316"/>
      <c r="NJQ10" s="316"/>
      <c r="NJR10" s="316"/>
      <c r="NJS10" s="316"/>
      <c r="NJT10" s="316"/>
      <c r="NJU10" s="316"/>
      <c r="NJV10" s="316"/>
      <c r="NJW10" s="316"/>
      <c r="NJX10" s="316"/>
      <c r="NJY10" s="316"/>
      <c r="NJZ10" s="316"/>
      <c r="NKA10" s="316"/>
      <c r="NKB10" s="316"/>
      <c r="NKC10" s="316"/>
      <c r="NKD10" s="316"/>
      <c r="NKE10" s="316"/>
      <c r="NKF10" s="316"/>
      <c r="NKG10" s="316"/>
      <c r="NKH10" s="316"/>
      <c r="NKI10" s="316"/>
      <c r="NKJ10" s="316"/>
      <c r="NKK10" s="316"/>
      <c r="NKL10" s="316"/>
      <c r="NKM10" s="316"/>
      <c r="NKN10" s="316"/>
      <c r="NKO10" s="316"/>
      <c r="NKP10" s="316"/>
      <c r="NKQ10" s="316"/>
      <c r="NKR10" s="316"/>
      <c r="NKS10" s="316"/>
      <c r="NKT10" s="316"/>
      <c r="NKU10" s="316"/>
      <c r="NKV10" s="316"/>
      <c r="NKW10" s="316"/>
      <c r="NKX10" s="316"/>
      <c r="NKY10" s="316"/>
      <c r="NKZ10" s="316"/>
      <c r="NLA10" s="316"/>
      <c r="NLB10" s="316"/>
      <c r="NLC10" s="316"/>
      <c r="NLD10" s="316"/>
      <c r="NLE10" s="316"/>
      <c r="NLF10" s="316"/>
      <c r="NLG10" s="316"/>
      <c r="NLH10" s="316"/>
      <c r="NLI10" s="316"/>
      <c r="NLJ10" s="316"/>
      <c r="NLK10" s="316"/>
      <c r="NLL10" s="316"/>
      <c r="NLM10" s="316"/>
      <c r="NLN10" s="316"/>
      <c r="NLO10" s="316"/>
      <c r="NLP10" s="316"/>
      <c r="NLQ10" s="316"/>
      <c r="NLR10" s="316"/>
      <c r="NLS10" s="316"/>
      <c r="NLT10" s="316"/>
      <c r="NLU10" s="316"/>
      <c r="NLV10" s="316"/>
      <c r="NLW10" s="316"/>
      <c r="NLX10" s="316"/>
      <c r="NLY10" s="316"/>
      <c r="NLZ10" s="316"/>
      <c r="NMA10" s="316"/>
      <c r="NMB10" s="316"/>
      <c r="NMC10" s="316"/>
      <c r="NMD10" s="316"/>
      <c r="NME10" s="316"/>
      <c r="NMF10" s="316"/>
      <c r="NMG10" s="316"/>
      <c r="NMH10" s="316"/>
      <c r="NMI10" s="316"/>
      <c r="NMJ10" s="316"/>
      <c r="NMK10" s="316"/>
      <c r="NML10" s="316"/>
      <c r="NMM10" s="316"/>
      <c r="NMN10" s="316"/>
      <c r="NMO10" s="316"/>
      <c r="NMP10" s="316"/>
      <c r="NMQ10" s="316"/>
      <c r="NMR10" s="316"/>
      <c r="NMS10" s="316"/>
      <c r="NMT10" s="316"/>
      <c r="NMU10" s="316"/>
      <c r="NMV10" s="316"/>
      <c r="NMW10" s="316"/>
      <c r="NMX10" s="316"/>
      <c r="NMY10" s="316"/>
      <c r="NMZ10" s="316"/>
      <c r="NNA10" s="316"/>
      <c r="NNB10" s="316"/>
      <c r="NNC10" s="316"/>
      <c r="NND10" s="316"/>
      <c r="NNE10" s="316"/>
      <c r="NNF10" s="316"/>
      <c r="NNG10" s="316"/>
      <c r="NNH10" s="316"/>
      <c r="NNI10" s="316"/>
      <c r="NNJ10" s="316"/>
      <c r="NNK10" s="316"/>
      <c r="NNL10" s="316"/>
      <c r="NNM10" s="316"/>
      <c r="NNN10" s="316"/>
      <c r="NNO10" s="316"/>
      <c r="NNP10" s="316"/>
      <c r="NNQ10" s="316"/>
      <c r="NNR10" s="316"/>
      <c r="NNS10" s="316"/>
      <c r="NNT10" s="316"/>
      <c r="NNU10" s="316"/>
      <c r="NNV10" s="316"/>
      <c r="NNW10" s="316"/>
      <c r="NNX10" s="316"/>
      <c r="NNY10" s="316"/>
      <c r="NNZ10" s="316"/>
      <c r="NOA10" s="316"/>
      <c r="NOB10" s="316"/>
      <c r="NOC10" s="316"/>
      <c r="NOD10" s="316"/>
      <c r="NOE10" s="316"/>
      <c r="NOF10" s="316"/>
      <c r="NOG10" s="316"/>
      <c r="NOH10" s="316"/>
      <c r="NOI10" s="316"/>
      <c r="NOJ10" s="316"/>
      <c r="NOK10" s="316"/>
      <c r="NOL10" s="316"/>
      <c r="NOM10" s="316"/>
      <c r="NON10" s="316"/>
      <c r="NOO10" s="316"/>
      <c r="NOP10" s="316"/>
      <c r="NOQ10" s="316"/>
      <c r="NOR10" s="316"/>
      <c r="NOS10" s="316"/>
      <c r="NOT10" s="316"/>
      <c r="NOU10" s="316"/>
      <c r="NOV10" s="316"/>
      <c r="NOW10" s="316"/>
      <c r="NOX10" s="316"/>
      <c r="NOY10" s="316"/>
      <c r="NOZ10" s="316"/>
      <c r="NPA10" s="316"/>
      <c r="NPB10" s="316"/>
      <c r="NPC10" s="316"/>
      <c r="NPD10" s="316"/>
      <c r="NPE10" s="316"/>
      <c r="NPF10" s="316"/>
      <c r="NPG10" s="316"/>
      <c r="NPH10" s="316"/>
      <c r="NPI10" s="316"/>
      <c r="NPJ10" s="316"/>
      <c r="NPK10" s="316"/>
      <c r="NPL10" s="316"/>
      <c r="NPM10" s="316"/>
      <c r="NPN10" s="316"/>
      <c r="NPO10" s="316"/>
      <c r="NPP10" s="316"/>
      <c r="NPQ10" s="316"/>
      <c r="NPR10" s="316"/>
      <c r="NPS10" s="316"/>
      <c r="NPT10" s="316"/>
      <c r="NPU10" s="316"/>
      <c r="NPV10" s="316"/>
      <c r="NPW10" s="316"/>
      <c r="NPX10" s="316"/>
      <c r="NPY10" s="316"/>
      <c r="NPZ10" s="316"/>
      <c r="NQA10" s="316"/>
      <c r="NQB10" s="316"/>
      <c r="NQC10" s="316"/>
      <c r="NQD10" s="316"/>
      <c r="NQE10" s="316"/>
      <c r="NQF10" s="316"/>
      <c r="NQG10" s="316"/>
      <c r="NQH10" s="316"/>
      <c r="NQI10" s="316"/>
      <c r="NQJ10" s="316"/>
      <c r="NQK10" s="316"/>
      <c r="NQL10" s="316"/>
      <c r="NQM10" s="316"/>
      <c r="NQN10" s="316"/>
      <c r="NQO10" s="316"/>
      <c r="NQP10" s="316"/>
      <c r="NQQ10" s="316"/>
      <c r="NQR10" s="316"/>
      <c r="NQS10" s="316"/>
      <c r="NQT10" s="316"/>
      <c r="NQU10" s="316"/>
      <c r="NQV10" s="316"/>
      <c r="NQW10" s="316"/>
      <c r="NQX10" s="316"/>
      <c r="NQY10" s="316"/>
      <c r="NQZ10" s="316"/>
      <c r="NRA10" s="316"/>
      <c r="NRB10" s="316"/>
      <c r="NRC10" s="316"/>
      <c r="NRD10" s="316"/>
      <c r="NRE10" s="316"/>
      <c r="NRF10" s="316"/>
      <c r="NRG10" s="316"/>
      <c r="NRH10" s="316"/>
      <c r="NRI10" s="316"/>
      <c r="NRJ10" s="316"/>
      <c r="NRK10" s="316"/>
      <c r="NRL10" s="316"/>
      <c r="NRM10" s="316"/>
      <c r="NRN10" s="316"/>
      <c r="NRO10" s="316"/>
      <c r="NRP10" s="316"/>
      <c r="NRQ10" s="316"/>
      <c r="NRR10" s="316"/>
      <c r="NRS10" s="316"/>
      <c r="NRT10" s="316"/>
      <c r="NRU10" s="316"/>
      <c r="NRV10" s="316"/>
      <c r="NRW10" s="316"/>
      <c r="NRX10" s="316"/>
      <c r="NRY10" s="316"/>
      <c r="NRZ10" s="316"/>
      <c r="NSA10" s="316"/>
      <c r="NSB10" s="316"/>
      <c r="NSC10" s="316"/>
      <c r="NSD10" s="316"/>
      <c r="NSE10" s="316"/>
      <c r="NSF10" s="316"/>
      <c r="NSG10" s="316"/>
      <c r="NSH10" s="316"/>
      <c r="NSI10" s="316"/>
      <c r="NSJ10" s="316"/>
      <c r="NSK10" s="316"/>
      <c r="NSL10" s="316"/>
      <c r="NSM10" s="316"/>
      <c r="NSN10" s="316"/>
      <c r="NSO10" s="316"/>
      <c r="NSP10" s="316"/>
      <c r="NSQ10" s="316"/>
      <c r="NSR10" s="316"/>
      <c r="NSS10" s="316"/>
      <c r="NST10" s="316"/>
      <c r="NSU10" s="316"/>
      <c r="NSV10" s="316"/>
      <c r="NSW10" s="316"/>
      <c r="NSX10" s="316"/>
      <c r="NSY10" s="316"/>
      <c r="NSZ10" s="316"/>
      <c r="NTA10" s="316"/>
      <c r="NTB10" s="316"/>
      <c r="NTC10" s="316"/>
      <c r="NTD10" s="316"/>
      <c r="NTE10" s="316"/>
      <c r="NTF10" s="316"/>
      <c r="NTG10" s="316"/>
      <c r="NTH10" s="316"/>
      <c r="NTI10" s="316"/>
      <c r="NTJ10" s="316"/>
      <c r="NTK10" s="316"/>
      <c r="NTL10" s="316"/>
      <c r="NTM10" s="316"/>
      <c r="NTN10" s="316"/>
      <c r="NTO10" s="316"/>
      <c r="NTP10" s="316"/>
      <c r="NTQ10" s="316"/>
      <c r="NTR10" s="316"/>
      <c r="NTS10" s="316"/>
      <c r="NTT10" s="316"/>
      <c r="NTU10" s="316"/>
      <c r="NTV10" s="316"/>
      <c r="NTW10" s="316"/>
      <c r="NTX10" s="316"/>
      <c r="NTY10" s="316"/>
      <c r="NTZ10" s="316"/>
      <c r="NUA10" s="316"/>
      <c r="NUB10" s="316"/>
      <c r="NUC10" s="316"/>
      <c r="NUD10" s="316"/>
      <c r="NUE10" s="316"/>
      <c r="NUF10" s="316"/>
      <c r="NUG10" s="316"/>
      <c r="NUH10" s="316"/>
      <c r="NUI10" s="316"/>
      <c r="NUJ10" s="316"/>
      <c r="NUK10" s="316"/>
      <c r="NUL10" s="316"/>
      <c r="NUM10" s="316"/>
      <c r="NUN10" s="316"/>
      <c r="NUO10" s="316"/>
      <c r="NUP10" s="316"/>
      <c r="NUQ10" s="316"/>
      <c r="NUR10" s="316"/>
      <c r="NUS10" s="316"/>
      <c r="NUT10" s="316"/>
      <c r="NUU10" s="316"/>
      <c r="NUV10" s="316"/>
      <c r="NUW10" s="316"/>
      <c r="NUX10" s="316"/>
      <c r="NUY10" s="316"/>
      <c r="NUZ10" s="316"/>
      <c r="NVA10" s="316"/>
      <c r="NVB10" s="316"/>
      <c r="NVC10" s="316"/>
      <c r="NVD10" s="316"/>
      <c r="NVE10" s="316"/>
      <c r="NVF10" s="316"/>
      <c r="NVG10" s="316"/>
      <c r="NVH10" s="316"/>
      <c r="NVI10" s="316"/>
      <c r="NVJ10" s="316"/>
      <c r="NVK10" s="316"/>
      <c r="NVL10" s="316"/>
      <c r="NVM10" s="316"/>
      <c r="NVN10" s="316"/>
      <c r="NVO10" s="316"/>
      <c r="NVP10" s="316"/>
      <c r="NVQ10" s="316"/>
      <c r="NVR10" s="316"/>
      <c r="NVS10" s="316"/>
      <c r="NVT10" s="316"/>
      <c r="NVU10" s="316"/>
      <c r="NVV10" s="316"/>
      <c r="NVW10" s="316"/>
      <c r="NVX10" s="316"/>
      <c r="NVY10" s="316"/>
      <c r="NVZ10" s="316"/>
      <c r="NWA10" s="316"/>
      <c r="NWB10" s="316"/>
      <c r="NWC10" s="316"/>
      <c r="NWD10" s="316"/>
      <c r="NWE10" s="316"/>
      <c r="NWF10" s="316"/>
      <c r="NWG10" s="316"/>
      <c r="NWH10" s="316"/>
      <c r="NWI10" s="316"/>
      <c r="NWJ10" s="316"/>
      <c r="NWK10" s="316"/>
      <c r="NWL10" s="316"/>
      <c r="NWM10" s="316"/>
      <c r="NWN10" s="316"/>
      <c r="NWO10" s="316"/>
      <c r="NWP10" s="316"/>
      <c r="NWQ10" s="316"/>
      <c r="NWR10" s="316"/>
      <c r="NWS10" s="316"/>
      <c r="NWT10" s="316"/>
      <c r="NWU10" s="316"/>
      <c r="NWV10" s="316"/>
      <c r="NWW10" s="316"/>
      <c r="NWX10" s="316"/>
      <c r="NWY10" s="316"/>
      <c r="NWZ10" s="316"/>
      <c r="NXA10" s="316"/>
      <c r="NXB10" s="316"/>
      <c r="NXC10" s="316"/>
      <c r="NXD10" s="316"/>
      <c r="NXE10" s="316"/>
      <c r="NXF10" s="316"/>
      <c r="NXG10" s="316"/>
      <c r="NXH10" s="316"/>
      <c r="NXI10" s="316"/>
      <c r="NXJ10" s="316"/>
      <c r="NXK10" s="316"/>
      <c r="NXL10" s="316"/>
      <c r="NXM10" s="316"/>
      <c r="NXN10" s="316"/>
      <c r="NXO10" s="316"/>
      <c r="NXP10" s="316"/>
      <c r="NXQ10" s="316"/>
      <c r="NXR10" s="316"/>
      <c r="NXS10" s="316"/>
      <c r="NXT10" s="316"/>
      <c r="NXU10" s="316"/>
      <c r="NXV10" s="316"/>
      <c r="NXW10" s="316"/>
      <c r="NXX10" s="316"/>
      <c r="NXY10" s="316"/>
      <c r="NXZ10" s="316"/>
      <c r="NYA10" s="316"/>
      <c r="NYB10" s="316"/>
      <c r="NYC10" s="316"/>
      <c r="NYD10" s="316"/>
      <c r="NYE10" s="316"/>
      <c r="NYF10" s="316"/>
      <c r="NYG10" s="316"/>
      <c r="NYH10" s="316"/>
      <c r="NYI10" s="316"/>
      <c r="NYJ10" s="316"/>
      <c r="NYK10" s="316"/>
      <c r="NYL10" s="316"/>
      <c r="NYM10" s="316"/>
      <c r="NYN10" s="316"/>
      <c r="NYO10" s="316"/>
      <c r="NYP10" s="316"/>
      <c r="NYQ10" s="316"/>
      <c r="NYR10" s="316"/>
      <c r="NYS10" s="316"/>
      <c r="NYT10" s="316"/>
      <c r="NYU10" s="316"/>
      <c r="NYV10" s="316"/>
      <c r="NYW10" s="316"/>
      <c r="NYX10" s="316"/>
      <c r="NYY10" s="316"/>
      <c r="NYZ10" s="316"/>
      <c r="NZA10" s="316"/>
      <c r="NZB10" s="316"/>
      <c r="NZC10" s="316"/>
      <c r="NZD10" s="316"/>
      <c r="NZE10" s="316"/>
      <c r="NZF10" s="316"/>
      <c r="NZG10" s="316"/>
      <c r="NZH10" s="316"/>
      <c r="NZI10" s="316"/>
      <c r="NZJ10" s="316"/>
      <c r="NZK10" s="316"/>
      <c r="NZL10" s="316"/>
      <c r="NZM10" s="316"/>
      <c r="NZN10" s="316"/>
      <c r="NZO10" s="316"/>
      <c r="NZP10" s="316"/>
      <c r="NZQ10" s="316"/>
      <c r="NZR10" s="316"/>
      <c r="NZS10" s="316"/>
      <c r="NZT10" s="316"/>
      <c r="NZU10" s="316"/>
      <c r="NZV10" s="316"/>
      <c r="NZW10" s="316"/>
      <c r="NZX10" s="316"/>
      <c r="NZY10" s="316"/>
      <c r="NZZ10" s="316"/>
      <c r="OAA10" s="316"/>
      <c r="OAB10" s="316"/>
      <c r="OAC10" s="316"/>
      <c r="OAD10" s="316"/>
      <c r="OAE10" s="316"/>
      <c r="OAF10" s="316"/>
      <c r="OAG10" s="316"/>
      <c r="OAH10" s="316"/>
      <c r="OAI10" s="316"/>
      <c r="OAJ10" s="316"/>
      <c r="OAK10" s="316"/>
      <c r="OAL10" s="316"/>
      <c r="OAM10" s="316"/>
      <c r="OAN10" s="316"/>
      <c r="OAO10" s="316"/>
      <c r="OAP10" s="316"/>
      <c r="OAQ10" s="316"/>
      <c r="OAR10" s="316"/>
      <c r="OAS10" s="316"/>
      <c r="OAT10" s="316"/>
      <c r="OAU10" s="316"/>
      <c r="OAV10" s="316"/>
      <c r="OAW10" s="316"/>
      <c r="OAX10" s="316"/>
      <c r="OAY10" s="316"/>
      <c r="OAZ10" s="316"/>
      <c r="OBA10" s="316"/>
      <c r="OBB10" s="316"/>
      <c r="OBC10" s="316"/>
      <c r="OBD10" s="316"/>
      <c r="OBE10" s="316"/>
      <c r="OBF10" s="316"/>
      <c r="OBG10" s="316"/>
      <c r="OBH10" s="316"/>
      <c r="OBI10" s="316"/>
      <c r="OBJ10" s="316"/>
      <c r="OBK10" s="316"/>
      <c r="OBL10" s="316"/>
      <c r="OBM10" s="316"/>
      <c r="OBN10" s="316"/>
      <c r="OBO10" s="316"/>
      <c r="OBP10" s="316"/>
      <c r="OBQ10" s="316"/>
      <c r="OBR10" s="316"/>
      <c r="OBS10" s="316"/>
      <c r="OBT10" s="316"/>
      <c r="OBU10" s="316"/>
      <c r="OBV10" s="316"/>
      <c r="OBW10" s="316"/>
      <c r="OBX10" s="316"/>
      <c r="OBY10" s="316"/>
      <c r="OBZ10" s="316"/>
      <c r="OCA10" s="316"/>
      <c r="OCB10" s="316"/>
      <c r="OCC10" s="316"/>
      <c r="OCD10" s="316"/>
      <c r="OCE10" s="316"/>
      <c r="OCF10" s="316"/>
      <c r="OCG10" s="316"/>
      <c r="OCH10" s="316"/>
      <c r="OCI10" s="316"/>
      <c r="OCJ10" s="316"/>
      <c r="OCK10" s="316"/>
      <c r="OCL10" s="316"/>
      <c r="OCM10" s="316"/>
      <c r="OCN10" s="316"/>
      <c r="OCO10" s="316"/>
      <c r="OCP10" s="316"/>
      <c r="OCQ10" s="316"/>
      <c r="OCR10" s="316"/>
      <c r="OCS10" s="316"/>
      <c r="OCT10" s="316"/>
      <c r="OCU10" s="316"/>
      <c r="OCV10" s="316"/>
      <c r="OCW10" s="316"/>
      <c r="OCX10" s="316"/>
      <c r="OCY10" s="316"/>
      <c r="OCZ10" s="316"/>
      <c r="ODA10" s="316"/>
      <c r="ODB10" s="316"/>
      <c r="ODC10" s="316"/>
      <c r="ODD10" s="316"/>
      <c r="ODE10" s="316"/>
      <c r="ODF10" s="316"/>
      <c r="ODG10" s="316"/>
      <c r="ODH10" s="316"/>
      <c r="ODI10" s="316"/>
      <c r="ODJ10" s="316"/>
      <c r="ODK10" s="316"/>
      <c r="ODL10" s="316"/>
      <c r="ODM10" s="316"/>
      <c r="ODN10" s="316"/>
      <c r="ODO10" s="316"/>
      <c r="ODP10" s="316"/>
      <c r="ODQ10" s="316"/>
      <c r="ODR10" s="316"/>
      <c r="ODS10" s="316"/>
      <c r="ODT10" s="316"/>
      <c r="ODU10" s="316"/>
      <c r="ODV10" s="316"/>
      <c r="ODW10" s="316"/>
      <c r="ODX10" s="316"/>
      <c r="ODY10" s="316"/>
      <c r="ODZ10" s="316"/>
      <c r="OEA10" s="316"/>
      <c r="OEB10" s="316"/>
      <c r="OEC10" s="316"/>
      <c r="OED10" s="316"/>
      <c r="OEE10" s="316"/>
      <c r="OEF10" s="316"/>
      <c r="OEG10" s="316"/>
      <c r="OEH10" s="316"/>
      <c r="OEI10" s="316"/>
      <c r="OEJ10" s="316"/>
      <c r="OEK10" s="316"/>
      <c r="OEL10" s="316"/>
      <c r="OEM10" s="316"/>
      <c r="OEN10" s="316"/>
      <c r="OEO10" s="316"/>
      <c r="OEP10" s="316"/>
      <c r="OEQ10" s="316"/>
      <c r="OER10" s="316"/>
      <c r="OES10" s="316"/>
      <c r="OET10" s="316"/>
      <c r="OEU10" s="316"/>
      <c r="OEV10" s="316"/>
      <c r="OEW10" s="316"/>
      <c r="OEX10" s="316"/>
      <c r="OEY10" s="316"/>
      <c r="OEZ10" s="316"/>
      <c r="OFA10" s="316"/>
      <c r="OFB10" s="316"/>
      <c r="OFC10" s="316"/>
      <c r="OFD10" s="316"/>
      <c r="OFE10" s="316"/>
      <c r="OFF10" s="316"/>
      <c r="OFG10" s="316"/>
      <c r="OFH10" s="316"/>
      <c r="OFI10" s="316"/>
      <c r="OFJ10" s="316"/>
      <c r="OFK10" s="316"/>
      <c r="OFL10" s="316"/>
      <c r="OFM10" s="316"/>
      <c r="OFN10" s="316"/>
      <c r="OFO10" s="316"/>
      <c r="OFP10" s="316"/>
      <c r="OFQ10" s="316"/>
      <c r="OFR10" s="316"/>
      <c r="OFS10" s="316"/>
      <c r="OFT10" s="316"/>
      <c r="OFU10" s="316"/>
      <c r="OFV10" s="316"/>
      <c r="OFW10" s="316"/>
      <c r="OFX10" s="316"/>
      <c r="OFY10" s="316"/>
      <c r="OFZ10" s="316"/>
      <c r="OGA10" s="316"/>
      <c r="OGB10" s="316"/>
      <c r="OGC10" s="316"/>
      <c r="OGD10" s="316"/>
      <c r="OGE10" s="316"/>
      <c r="OGF10" s="316"/>
      <c r="OGG10" s="316"/>
      <c r="OGH10" s="316"/>
      <c r="OGI10" s="316"/>
      <c r="OGJ10" s="316"/>
      <c r="OGK10" s="316"/>
      <c r="OGL10" s="316"/>
      <c r="OGM10" s="316"/>
      <c r="OGN10" s="316"/>
      <c r="OGO10" s="316"/>
      <c r="OGP10" s="316"/>
      <c r="OGQ10" s="316"/>
      <c r="OGR10" s="316"/>
      <c r="OGS10" s="316"/>
      <c r="OGT10" s="316"/>
      <c r="OGU10" s="316"/>
      <c r="OGV10" s="316"/>
      <c r="OGW10" s="316"/>
      <c r="OGX10" s="316"/>
      <c r="OGY10" s="316"/>
      <c r="OGZ10" s="316"/>
      <c r="OHA10" s="316"/>
      <c r="OHB10" s="316"/>
      <c r="OHC10" s="316"/>
      <c r="OHD10" s="316"/>
      <c r="OHE10" s="316"/>
      <c r="OHF10" s="316"/>
      <c r="OHG10" s="316"/>
      <c r="OHH10" s="316"/>
      <c r="OHI10" s="316"/>
      <c r="OHJ10" s="316"/>
      <c r="OHK10" s="316"/>
      <c r="OHL10" s="316"/>
      <c r="OHM10" s="316"/>
      <c r="OHN10" s="316"/>
      <c r="OHO10" s="316"/>
      <c r="OHP10" s="316"/>
      <c r="OHQ10" s="316"/>
      <c r="OHR10" s="316"/>
      <c r="OHS10" s="316"/>
      <c r="OHT10" s="316"/>
      <c r="OHU10" s="316"/>
      <c r="OHV10" s="316"/>
      <c r="OHW10" s="316"/>
      <c r="OHX10" s="316"/>
      <c r="OHY10" s="316"/>
      <c r="OHZ10" s="316"/>
      <c r="OIA10" s="316"/>
      <c r="OIB10" s="316"/>
      <c r="OIC10" s="316"/>
      <c r="OID10" s="316"/>
      <c r="OIE10" s="316"/>
      <c r="OIF10" s="316"/>
      <c r="OIG10" s="316"/>
      <c r="OIH10" s="316"/>
      <c r="OII10" s="316"/>
      <c r="OIJ10" s="316"/>
      <c r="OIK10" s="316"/>
      <c r="OIL10" s="316"/>
      <c r="OIM10" s="316"/>
      <c r="OIN10" s="316"/>
      <c r="OIO10" s="316"/>
      <c r="OIP10" s="316"/>
      <c r="OIQ10" s="316"/>
      <c r="OIR10" s="316"/>
      <c r="OIS10" s="316"/>
      <c r="OIT10" s="316"/>
      <c r="OIU10" s="316"/>
      <c r="OIV10" s="316"/>
      <c r="OIW10" s="316"/>
      <c r="OIX10" s="316"/>
      <c r="OIY10" s="316"/>
      <c r="OIZ10" s="316"/>
      <c r="OJA10" s="316"/>
      <c r="OJB10" s="316"/>
      <c r="OJC10" s="316"/>
      <c r="OJD10" s="316"/>
      <c r="OJE10" s="316"/>
      <c r="OJF10" s="316"/>
      <c r="OJG10" s="316"/>
      <c r="OJH10" s="316"/>
      <c r="OJI10" s="316"/>
      <c r="OJJ10" s="316"/>
      <c r="OJK10" s="316"/>
      <c r="OJL10" s="316"/>
      <c r="OJM10" s="316"/>
      <c r="OJN10" s="316"/>
      <c r="OJO10" s="316"/>
      <c r="OJP10" s="316"/>
      <c r="OJQ10" s="316"/>
      <c r="OJR10" s="316"/>
      <c r="OJS10" s="316"/>
      <c r="OJT10" s="316"/>
      <c r="OJU10" s="316"/>
      <c r="OJV10" s="316"/>
      <c r="OJW10" s="316"/>
      <c r="OJX10" s="316"/>
      <c r="OJY10" s="316"/>
      <c r="OJZ10" s="316"/>
      <c r="OKA10" s="316"/>
      <c r="OKB10" s="316"/>
      <c r="OKC10" s="316"/>
      <c r="OKD10" s="316"/>
      <c r="OKE10" s="316"/>
      <c r="OKF10" s="316"/>
      <c r="OKG10" s="316"/>
      <c r="OKH10" s="316"/>
      <c r="OKI10" s="316"/>
      <c r="OKJ10" s="316"/>
      <c r="OKK10" s="316"/>
      <c r="OKL10" s="316"/>
      <c r="OKM10" s="316"/>
      <c r="OKN10" s="316"/>
      <c r="OKO10" s="316"/>
      <c r="OKP10" s="316"/>
      <c r="OKQ10" s="316"/>
      <c r="OKR10" s="316"/>
      <c r="OKS10" s="316"/>
      <c r="OKT10" s="316"/>
      <c r="OKU10" s="316"/>
      <c r="OKV10" s="316"/>
      <c r="OKW10" s="316"/>
      <c r="OKX10" s="316"/>
      <c r="OKY10" s="316"/>
      <c r="OKZ10" s="316"/>
      <c r="OLA10" s="316"/>
      <c r="OLB10" s="316"/>
      <c r="OLC10" s="316"/>
      <c r="OLD10" s="316"/>
      <c r="OLE10" s="316"/>
      <c r="OLF10" s="316"/>
      <c r="OLG10" s="316"/>
      <c r="OLH10" s="316"/>
      <c r="OLI10" s="316"/>
      <c r="OLJ10" s="316"/>
      <c r="OLK10" s="316"/>
      <c r="OLL10" s="316"/>
      <c r="OLM10" s="316"/>
      <c r="OLN10" s="316"/>
      <c r="OLO10" s="316"/>
      <c r="OLP10" s="316"/>
      <c r="OLQ10" s="316"/>
      <c r="OLR10" s="316"/>
      <c r="OLS10" s="316"/>
      <c r="OLT10" s="316"/>
      <c r="OLU10" s="316"/>
      <c r="OLV10" s="316"/>
      <c r="OLW10" s="316"/>
      <c r="OLX10" s="316"/>
      <c r="OLY10" s="316"/>
      <c r="OLZ10" s="316"/>
      <c r="OMA10" s="316"/>
      <c r="OMB10" s="316"/>
      <c r="OMC10" s="316"/>
      <c r="OMD10" s="316"/>
      <c r="OME10" s="316"/>
      <c r="OMF10" s="316"/>
      <c r="OMG10" s="316"/>
      <c r="OMH10" s="316"/>
      <c r="OMI10" s="316"/>
      <c r="OMJ10" s="316"/>
      <c r="OMK10" s="316"/>
      <c r="OML10" s="316"/>
      <c r="OMM10" s="316"/>
      <c r="OMN10" s="316"/>
      <c r="OMO10" s="316"/>
      <c r="OMP10" s="316"/>
      <c r="OMQ10" s="316"/>
      <c r="OMR10" s="316"/>
      <c r="OMS10" s="316"/>
      <c r="OMT10" s="316"/>
      <c r="OMU10" s="316"/>
      <c r="OMV10" s="316"/>
      <c r="OMW10" s="316"/>
      <c r="OMX10" s="316"/>
      <c r="OMY10" s="316"/>
      <c r="OMZ10" s="316"/>
      <c r="ONA10" s="316"/>
      <c r="ONB10" s="316"/>
      <c r="ONC10" s="316"/>
      <c r="OND10" s="316"/>
      <c r="ONE10" s="316"/>
      <c r="ONF10" s="316"/>
      <c r="ONG10" s="316"/>
      <c r="ONH10" s="316"/>
      <c r="ONI10" s="316"/>
      <c r="ONJ10" s="316"/>
      <c r="ONK10" s="316"/>
      <c r="ONL10" s="316"/>
      <c r="ONM10" s="316"/>
      <c r="ONN10" s="316"/>
      <c r="ONO10" s="316"/>
      <c r="ONP10" s="316"/>
      <c r="ONQ10" s="316"/>
      <c r="ONR10" s="316"/>
      <c r="ONS10" s="316"/>
      <c r="ONT10" s="316"/>
      <c r="ONU10" s="316"/>
      <c r="ONV10" s="316"/>
      <c r="ONW10" s="316"/>
      <c r="ONX10" s="316"/>
      <c r="ONY10" s="316"/>
      <c r="ONZ10" s="316"/>
      <c r="OOA10" s="316"/>
      <c r="OOB10" s="316"/>
      <c r="OOC10" s="316"/>
      <c r="OOD10" s="316"/>
      <c r="OOE10" s="316"/>
      <c r="OOF10" s="316"/>
      <c r="OOG10" s="316"/>
      <c r="OOH10" s="316"/>
      <c r="OOI10" s="316"/>
      <c r="OOJ10" s="316"/>
      <c r="OOK10" s="316"/>
      <c r="OOL10" s="316"/>
      <c r="OOM10" s="316"/>
      <c r="OON10" s="316"/>
      <c r="OOO10" s="316"/>
      <c r="OOP10" s="316"/>
      <c r="OOQ10" s="316"/>
      <c r="OOR10" s="316"/>
      <c r="OOS10" s="316"/>
      <c r="OOT10" s="316"/>
      <c r="OOU10" s="316"/>
      <c r="OOV10" s="316"/>
      <c r="OOW10" s="316"/>
      <c r="OOX10" s="316"/>
      <c r="OOY10" s="316"/>
      <c r="OOZ10" s="316"/>
      <c r="OPA10" s="316"/>
      <c r="OPB10" s="316"/>
      <c r="OPC10" s="316"/>
      <c r="OPD10" s="316"/>
      <c r="OPE10" s="316"/>
      <c r="OPF10" s="316"/>
      <c r="OPG10" s="316"/>
      <c r="OPH10" s="316"/>
      <c r="OPI10" s="316"/>
      <c r="OPJ10" s="316"/>
      <c r="OPK10" s="316"/>
      <c r="OPL10" s="316"/>
      <c r="OPM10" s="316"/>
      <c r="OPN10" s="316"/>
      <c r="OPO10" s="316"/>
      <c r="OPP10" s="316"/>
      <c r="OPQ10" s="316"/>
      <c r="OPR10" s="316"/>
      <c r="OPS10" s="316"/>
      <c r="OPT10" s="316"/>
      <c r="OPU10" s="316"/>
      <c r="OPV10" s="316"/>
      <c r="OPW10" s="316"/>
      <c r="OPX10" s="316"/>
      <c r="OPY10" s="316"/>
      <c r="OPZ10" s="316"/>
      <c r="OQA10" s="316"/>
      <c r="OQB10" s="316"/>
      <c r="OQC10" s="316"/>
      <c r="OQD10" s="316"/>
      <c r="OQE10" s="316"/>
      <c r="OQF10" s="316"/>
      <c r="OQG10" s="316"/>
      <c r="OQH10" s="316"/>
      <c r="OQI10" s="316"/>
      <c r="OQJ10" s="316"/>
      <c r="OQK10" s="316"/>
      <c r="OQL10" s="316"/>
      <c r="OQM10" s="316"/>
      <c r="OQN10" s="316"/>
      <c r="OQO10" s="316"/>
      <c r="OQP10" s="316"/>
      <c r="OQQ10" s="316"/>
      <c r="OQR10" s="316"/>
      <c r="OQS10" s="316"/>
      <c r="OQT10" s="316"/>
      <c r="OQU10" s="316"/>
      <c r="OQV10" s="316"/>
      <c r="OQW10" s="316"/>
      <c r="OQX10" s="316"/>
      <c r="OQY10" s="316"/>
      <c r="OQZ10" s="316"/>
      <c r="ORA10" s="316"/>
      <c r="ORB10" s="316"/>
      <c r="ORC10" s="316"/>
      <c r="ORD10" s="316"/>
      <c r="ORE10" s="316"/>
      <c r="ORF10" s="316"/>
      <c r="ORG10" s="316"/>
      <c r="ORH10" s="316"/>
      <c r="ORI10" s="316"/>
      <c r="ORJ10" s="316"/>
      <c r="ORK10" s="316"/>
      <c r="ORL10" s="316"/>
      <c r="ORM10" s="316"/>
      <c r="ORN10" s="316"/>
      <c r="ORO10" s="316"/>
      <c r="ORP10" s="316"/>
      <c r="ORQ10" s="316"/>
      <c r="ORR10" s="316"/>
      <c r="ORS10" s="316"/>
      <c r="ORT10" s="316"/>
      <c r="ORU10" s="316"/>
      <c r="ORV10" s="316"/>
      <c r="ORW10" s="316"/>
      <c r="ORX10" s="316"/>
      <c r="ORY10" s="316"/>
      <c r="ORZ10" s="316"/>
      <c r="OSA10" s="316"/>
      <c r="OSB10" s="316"/>
      <c r="OSC10" s="316"/>
      <c r="OSD10" s="316"/>
      <c r="OSE10" s="316"/>
      <c r="OSF10" s="316"/>
      <c r="OSG10" s="316"/>
      <c r="OSH10" s="316"/>
      <c r="OSI10" s="316"/>
      <c r="OSJ10" s="316"/>
      <c r="OSK10" s="316"/>
      <c r="OSL10" s="316"/>
      <c r="OSM10" s="316"/>
      <c r="OSN10" s="316"/>
      <c r="OSO10" s="316"/>
      <c r="OSP10" s="316"/>
      <c r="OSQ10" s="316"/>
      <c r="OSR10" s="316"/>
      <c r="OSS10" s="316"/>
      <c r="OST10" s="316"/>
      <c r="OSU10" s="316"/>
      <c r="OSV10" s="316"/>
      <c r="OSW10" s="316"/>
      <c r="OSX10" s="316"/>
      <c r="OSY10" s="316"/>
      <c r="OSZ10" s="316"/>
      <c r="OTA10" s="316"/>
      <c r="OTB10" s="316"/>
      <c r="OTC10" s="316"/>
      <c r="OTD10" s="316"/>
      <c r="OTE10" s="316"/>
      <c r="OTF10" s="316"/>
      <c r="OTG10" s="316"/>
      <c r="OTH10" s="316"/>
      <c r="OTI10" s="316"/>
      <c r="OTJ10" s="316"/>
      <c r="OTK10" s="316"/>
      <c r="OTL10" s="316"/>
      <c r="OTM10" s="316"/>
      <c r="OTN10" s="316"/>
      <c r="OTO10" s="316"/>
      <c r="OTP10" s="316"/>
      <c r="OTQ10" s="316"/>
      <c r="OTR10" s="316"/>
      <c r="OTS10" s="316"/>
      <c r="OTT10" s="316"/>
      <c r="OTU10" s="316"/>
      <c r="OTV10" s="316"/>
      <c r="OTW10" s="316"/>
      <c r="OTX10" s="316"/>
      <c r="OTY10" s="316"/>
      <c r="OTZ10" s="316"/>
      <c r="OUA10" s="316"/>
      <c r="OUB10" s="316"/>
      <c r="OUC10" s="316"/>
      <c r="OUD10" s="316"/>
      <c r="OUE10" s="316"/>
      <c r="OUF10" s="316"/>
      <c r="OUG10" s="316"/>
      <c r="OUH10" s="316"/>
      <c r="OUI10" s="316"/>
      <c r="OUJ10" s="316"/>
      <c r="OUK10" s="316"/>
      <c r="OUL10" s="316"/>
      <c r="OUM10" s="316"/>
      <c r="OUN10" s="316"/>
      <c r="OUO10" s="316"/>
      <c r="OUP10" s="316"/>
      <c r="OUQ10" s="316"/>
      <c r="OUR10" s="316"/>
      <c r="OUS10" s="316"/>
      <c r="OUT10" s="316"/>
      <c r="OUU10" s="316"/>
      <c r="OUV10" s="316"/>
      <c r="OUW10" s="316"/>
      <c r="OUX10" s="316"/>
      <c r="OUY10" s="316"/>
      <c r="OUZ10" s="316"/>
      <c r="OVA10" s="316"/>
      <c r="OVB10" s="316"/>
      <c r="OVC10" s="316"/>
      <c r="OVD10" s="316"/>
      <c r="OVE10" s="316"/>
      <c r="OVF10" s="316"/>
      <c r="OVG10" s="316"/>
      <c r="OVH10" s="316"/>
      <c r="OVI10" s="316"/>
      <c r="OVJ10" s="316"/>
      <c r="OVK10" s="316"/>
      <c r="OVL10" s="316"/>
      <c r="OVM10" s="316"/>
      <c r="OVN10" s="316"/>
      <c r="OVO10" s="316"/>
      <c r="OVP10" s="316"/>
      <c r="OVQ10" s="316"/>
      <c r="OVR10" s="316"/>
      <c r="OVS10" s="316"/>
      <c r="OVT10" s="316"/>
      <c r="OVU10" s="316"/>
      <c r="OVV10" s="316"/>
      <c r="OVW10" s="316"/>
      <c r="OVX10" s="316"/>
      <c r="OVY10" s="316"/>
      <c r="OVZ10" s="316"/>
      <c r="OWA10" s="316"/>
      <c r="OWB10" s="316"/>
      <c r="OWC10" s="316"/>
      <c r="OWD10" s="316"/>
      <c r="OWE10" s="316"/>
      <c r="OWF10" s="316"/>
      <c r="OWG10" s="316"/>
      <c r="OWH10" s="316"/>
      <c r="OWI10" s="316"/>
      <c r="OWJ10" s="316"/>
      <c r="OWK10" s="316"/>
      <c r="OWL10" s="316"/>
      <c r="OWM10" s="316"/>
      <c r="OWN10" s="316"/>
      <c r="OWO10" s="316"/>
      <c r="OWP10" s="316"/>
      <c r="OWQ10" s="316"/>
      <c r="OWR10" s="316"/>
      <c r="OWS10" s="316"/>
      <c r="OWT10" s="316"/>
      <c r="OWU10" s="316"/>
      <c r="OWV10" s="316"/>
      <c r="OWW10" s="316"/>
      <c r="OWX10" s="316"/>
      <c r="OWY10" s="316"/>
      <c r="OWZ10" s="316"/>
      <c r="OXA10" s="316"/>
      <c r="OXB10" s="316"/>
      <c r="OXC10" s="316"/>
      <c r="OXD10" s="316"/>
      <c r="OXE10" s="316"/>
      <c r="OXF10" s="316"/>
      <c r="OXG10" s="316"/>
      <c r="OXH10" s="316"/>
      <c r="OXI10" s="316"/>
      <c r="OXJ10" s="316"/>
      <c r="OXK10" s="316"/>
      <c r="OXL10" s="316"/>
      <c r="OXM10" s="316"/>
      <c r="OXN10" s="316"/>
      <c r="OXO10" s="316"/>
      <c r="OXP10" s="316"/>
      <c r="OXQ10" s="316"/>
      <c r="OXR10" s="316"/>
      <c r="OXS10" s="316"/>
      <c r="OXT10" s="316"/>
      <c r="OXU10" s="316"/>
      <c r="OXV10" s="316"/>
      <c r="OXW10" s="316"/>
      <c r="OXX10" s="316"/>
      <c r="OXY10" s="316"/>
      <c r="OXZ10" s="316"/>
      <c r="OYA10" s="316"/>
      <c r="OYB10" s="316"/>
      <c r="OYC10" s="316"/>
      <c r="OYD10" s="316"/>
      <c r="OYE10" s="316"/>
      <c r="OYF10" s="316"/>
      <c r="OYG10" s="316"/>
      <c r="OYH10" s="316"/>
      <c r="OYI10" s="316"/>
      <c r="OYJ10" s="316"/>
      <c r="OYK10" s="316"/>
      <c r="OYL10" s="316"/>
      <c r="OYM10" s="316"/>
      <c r="OYN10" s="316"/>
      <c r="OYO10" s="316"/>
      <c r="OYP10" s="316"/>
      <c r="OYQ10" s="316"/>
      <c r="OYR10" s="316"/>
      <c r="OYS10" s="316"/>
      <c r="OYT10" s="316"/>
      <c r="OYU10" s="316"/>
      <c r="OYV10" s="316"/>
      <c r="OYW10" s="316"/>
      <c r="OYX10" s="316"/>
      <c r="OYY10" s="316"/>
      <c r="OYZ10" s="316"/>
      <c r="OZA10" s="316"/>
      <c r="OZB10" s="316"/>
      <c r="OZC10" s="316"/>
      <c r="OZD10" s="316"/>
      <c r="OZE10" s="316"/>
      <c r="OZF10" s="316"/>
      <c r="OZG10" s="316"/>
      <c r="OZH10" s="316"/>
      <c r="OZI10" s="316"/>
      <c r="OZJ10" s="316"/>
      <c r="OZK10" s="316"/>
      <c r="OZL10" s="316"/>
      <c r="OZM10" s="316"/>
      <c r="OZN10" s="316"/>
      <c r="OZO10" s="316"/>
      <c r="OZP10" s="316"/>
      <c r="OZQ10" s="316"/>
      <c r="OZR10" s="316"/>
      <c r="OZS10" s="316"/>
      <c r="OZT10" s="316"/>
      <c r="OZU10" s="316"/>
      <c r="OZV10" s="316"/>
      <c r="OZW10" s="316"/>
      <c r="OZX10" s="316"/>
      <c r="OZY10" s="316"/>
      <c r="OZZ10" s="316"/>
      <c r="PAA10" s="316"/>
      <c r="PAB10" s="316"/>
      <c r="PAC10" s="316"/>
      <c r="PAD10" s="316"/>
      <c r="PAE10" s="316"/>
      <c r="PAF10" s="316"/>
      <c r="PAG10" s="316"/>
      <c r="PAH10" s="316"/>
      <c r="PAI10" s="316"/>
      <c r="PAJ10" s="316"/>
      <c r="PAK10" s="316"/>
      <c r="PAL10" s="316"/>
      <c r="PAM10" s="316"/>
      <c r="PAN10" s="316"/>
      <c r="PAO10" s="316"/>
      <c r="PAP10" s="316"/>
      <c r="PAQ10" s="316"/>
      <c r="PAR10" s="316"/>
      <c r="PAS10" s="316"/>
      <c r="PAT10" s="316"/>
      <c r="PAU10" s="316"/>
      <c r="PAV10" s="316"/>
      <c r="PAW10" s="316"/>
      <c r="PAX10" s="316"/>
      <c r="PAY10" s="316"/>
      <c r="PAZ10" s="316"/>
      <c r="PBA10" s="316"/>
      <c r="PBB10" s="316"/>
      <c r="PBC10" s="316"/>
      <c r="PBD10" s="316"/>
      <c r="PBE10" s="316"/>
      <c r="PBF10" s="316"/>
      <c r="PBG10" s="316"/>
      <c r="PBH10" s="316"/>
      <c r="PBI10" s="316"/>
      <c r="PBJ10" s="316"/>
      <c r="PBK10" s="316"/>
      <c r="PBL10" s="316"/>
      <c r="PBM10" s="316"/>
      <c r="PBN10" s="316"/>
      <c r="PBO10" s="316"/>
      <c r="PBP10" s="316"/>
      <c r="PBQ10" s="316"/>
      <c r="PBR10" s="316"/>
      <c r="PBS10" s="316"/>
      <c r="PBT10" s="316"/>
      <c r="PBU10" s="316"/>
      <c r="PBV10" s="316"/>
      <c r="PBW10" s="316"/>
      <c r="PBX10" s="316"/>
      <c r="PBY10" s="316"/>
      <c r="PBZ10" s="316"/>
      <c r="PCA10" s="316"/>
      <c r="PCB10" s="316"/>
      <c r="PCC10" s="316"/>
      <c r="PCD10" s="316"/>
      <c r="PCE10" s="316"/>
      <c r="PCF10" s="316"/>
      <c r="PCG10" s="316"/>
      <c r="PCH10" s="316"/>
      <c r="PCI10" s="316"/>
      <c r="PCJ10" s="316"/>
      <c r="PCK10" s="316"/>
      <c r="PCL10" s="316"/>
      <c r="PCM10" s="316"/>
      <c r="PCN10" s="316"/>
      <c r="PCO10" s="316"/>
      <c r="PCP10" s="316"/>
      <c r="PCQ10" s="316"/>
      <c r="PCR10" s="316"/>
      <c r="PCS10" s="316"/>
      <c r="PCT10" s="316"/>
      <c r="PCU10" s="316"/>
      <c r="PCV10" s="316"/>
      <c r="PCW10" s="316"/>
      <c r="PCX10" s="316"/>
      <c r="PCY10" s="316"/>
      <c r="PCZ10" s="316"/>
      <c r="PDA10" s="316"/>
      <c r="PDB10" s="316"/>
      <c r="PDC10" s="316"/>
      <c r="PDD10" s="316"/>
      <c r="PDE10" s="316"/>
      <c r="PDF10" s="316"/>
      <c r="PDG10" s="316"/>
      <c r="PDH10" s="316"/>
      <c r="PDI10" s="316"/>
      <c r="PDJ10" s="316"/>
      <c r="PDK10" s="316"/>
      <c r="PDL10" s="316"/>
      <c r="PDM10" s="316"/>
      <c r="PDN10" s="316"/>
      <c r="PDO10" s="316"/>
      <c r="PDP10" s="316"/>
      <c r="PDQ10" s="316"/>
      <c r="PDR10" s="316"/>
      <c r="PDS10" s="316"/>
      <c r="PDT10" s="316"/>
      <c r="PDU10" s="316"/>
      <c r="PDV10" s="316"/>
      <c r="PDW10" s="316"/>
      <c r="PDX10" s="316"/>
      <c r="PDY10" s="316"/>
      <c r="PDZ10" s="316"/>
      <c r="PEA10" s="316"/>
      <c r="PEB10" s="316"/>
      <c r="PEC10" s="316"/>
      <c r="PED10" s="316"/>
      <c r="PEE10" s="316"/>
      <c r="PEF10" s="316"/>
      <c r="PEG10" s="316"/>
      <c r="PEH10" s="316"/>
      <c r="PEI10" s="316"/>
      <c r="PEJ10" s="316"/>
      <c r="PEK10" s="316"/>
      <c r="PEL10" s="316"/>
      <c r="PEM10" s="316"/>
      <c r="PEN10" s="316"/>
      <c r="PEO10" s="316"/>
      <c r="PEP10" s="316"/>
      <c r="PEQ10" s="316"/>
      <c r="PER10" s="316"/>
      <c r="PES10" s="316"/>
      <c r="PET10" s="316"/>
      <c r="PEU10" s="316"/>
      <c r="PEV10" s="316"/>
      <c r="PEW10" s="316"/>
      <c r="PEX10" s="316"/>
      <c r="PEY10" s="316"/>
      <c r="PEZ10" s="316"/>
      <c r="PFA10" s="316"/>
      <c r="PFB10" s="316"/>
      <c r="PFC10" s="316"/>
      <c r="PFD10" s="316"/>
      <c r="PFE10" s="316"/>
      <c r="PFF10" s="316"/>
      <c r="PFG10" s="316"/>
      <c r="PFH10" s="316"/>
      <c r="PFI10" s="316"/>
      <c r="PFJ10" s="316"/>
      <c r="PFK10" s="316"/>
      <c r="PFL10" s="316"/>
      <c r="PFM10" s="316"/>
      <c r="PFN10" s="316"/>
      <c r="PFO10" s="316"/>
      <c r="PFP10" s="316"/>
      <c r="PFQ10" s="316"/>
      <c r="PFR10" s="316"/>
      <c r="PFS10" s="316"/>
      <c r="PFT10" s="316"/>
      <c r="PFU10" s="316"/>
      <c r="PFV10" s="316"/>
      <c r="PFW10" s="316"/>
      <c r="PFX10" s="316"/>
      <c r="PFY10" s="316"/>
      <c r="PFZ10" s="316"/>
      <c r="PGA10" s="316"/>
      <c r="PGB10" s="316"/>
      <c r="PGC10" s="316"/>
      <c r="PGD10" s="316"/>
      <c r="PGE10" s="316"/>
      <c r="PGF10" s="316"/>
      <c r="PGG10" s="316"/>
      <c r="PGH10" s="316"/>
      <c r="PGI10" s="316"/>
      <c r="PGJ10" s="316"/>
      <c r="PGK10" s="316"/>
      <c r="PGL10" s="316"/>
      <c r="PGM10" s="316"/>
      <c r="PGN10" s="316"/>
      <c r="PGO10" s="316"/>
      <c r="PGP10" s="316"/>
      <c r="PGQ10" s="316"/>
      <c r="PGR10" s="316"/>
      <c r="PGS10" s="316"/>
      <c r="PGT10" s="316"/>
      <c r="PGU10" s="316"/>
      <c r="PGV10" s="316"/>
      <c r="PGW10" s="316"/>
      <c r="PGX10" s="316"/>
      <c r="PGY10" s="316"/>
      <c r="PGZ10" s="316"/>
      <c r="PHA10" s="316"/>
      <c r="PHB10" s="316"/>
      <c r="PHC10" s="316"/>
      <c r="PHD10" s="316"/>
      <c r="PHE10" s="316"/>
      <c r="PHF10" s="316"/>
      <c r="PHG10" s="316"/>
      <c r="PHH10" s="316"/>
      <c r="PHI10" s="316"/>
      <c r="PHJ10" s="316"/>
      <c r="PHK10" s="316"/>
      <c r="PHL10" s="316"/>
      <c r="PHM10" s="316"/>
      <c r="PHN10" s="316"/>
      <c r="PHO10" s="316"/>
      <c r="PHP10" s="316"/>
      <c r="PHQ10" s="316"/>
      <c r="PHR10" s="316"/>
      <c r="PHS10" s="316"/>
      <c r="PHT10" s="316"/>
      <c r="PHU10" s="316"/>
      <c r="PHV10" s="316"/>
      <c r="PHW10" s="316"/>
      <c r="PHX10" s="316"/>
      <c r="PHY10" s="316"/>
      <c r="PHZ10" s="316"/>
      <c r="PIA10" s="316"/>
      <c r="PIB10" s="316"/>
      <c r="PIC10" s="316"/>
      <c r="PID10" s="316"/>
      <c r="PIE10" s="316"/>
      <c r="PIF10" s="316"/>
      <c r="PIG10" s="316"/>
      <c r="PIH10" s="316"/>
      <c r="PII10" s="316"/>
      <c r="PIJ10" s="316"/>
      <c r="PIK10" s="316"/>
      <c r="PIL10" s="316"/>
      <c r="PIM10" s="316"/>
      <c r="PIN10" s="316"/>
      <c r="PIO10" s="316"/>
      <c r="PIP10" s="316"/>
      <c r="PIQ10" s="316"/>
      <c r="PIR10" s="316"/>
      <c r="PIS10" s="316"/>
      <c r="PIT10" s="316"/>
      <c r="PIU10" s="316"/>
      <c r="PIV10" s="316"/>
      <c r="PIW10" s="316"/>
      <c r="PIX10" s="316"/>
      <c r="PIY10" s="316"/>
      <c r="PIZ10" s="316"/>
      <c r="PJA10" s="316"/>
      <c r="PJB10" s="316"/>
      <c r="PJC10" s="316"/>
      <c r="PJD10" s="316"/>
      <c r="PJE10" s="316"/>
      <c r="PJF10" s="316"/>
      <c r="PJG10" s="316"/>
      <c r="PJH10" s="316"/>
      <c r="PJI10" s="316"/>
      <c r="PJJ10" s="316"/>
      <c r="PJK10" s="316"/>
      <c r="PJL10" s="316"/>
      <c r="PJM10" s="316"/>
      <c r="PJN10" s="316"/>
      <c r="PJO10" s="316"/>
      <c r="PJP10" s="316"/>
      <c r="PJQ10" s="316"/>
      <c r="PJR10" s="316"/>
      <c r="PJS10" s="316"/>
      <c r="PJT10" s="316"/>
      <c r="PJU10" s="316"/>
      <c r="PJV10" s="316"/>
      <c r="PJW10" s="316"/>
      <c r="PJX10" s="316"/>
      <c r="PJY10" s="316"/>
      <c r="PJZ10" s="316"/>
      <c r="PKA10" s="316"/>
      <c r="PKB10" s="316"/>
      <c r="PKC10" s="316"/>
      <c r="PKD10" s="316"/>
      <c r="PKE10" s="316"/>
      <c r="PKF10" s="316"/>
      <c r="PKG10" s="316"/>
      <c r="PKH10" s="316"/>
      <c r="PKI10" s="316"/>
      <c r="PKJ10" s="316"/>
      <c r="PKK10" s="316"/>
      <c r="PKL10" s="316"/>
      <c r="PKM10" s="316"/>
      <c r="PKN10" s="316"/>
      <c r="PKO10" s="316"/>
      <c r="PKP10" s="316"/>
      <c r="PKQ10" s="316"/>
      <c r="PKR10" s="316"/>
      <c r="PKS10" s="316"/>
      <c r="PKT10" s="316"/>
      <c r="PKU10" s="316"/>
      <c r="PKV10" s="316"/>
      <c r="PKW10" s="316"/>
      <c r="PKX10" s="316"/>
      <c r="PKY10" s="316"/>
      <c r="PKZ10" s="316"/>
      <c r="PLA10" s="316"/>
      <c r="PLB10" s="316"/>
      <c r="PLC10" s="316"/>
      <c r="PLD10" s="316"/>
      <c r="PLE10" s="316"/>
      <c r="PLF10" s="316"/>
      <c r="PLG10" s="316"/>
      <c r="PLH10" s="316"/>
      <c r="PLI10" s="316"/>
      <c r="PLJ10" s="316"/>
      <c r="PLK10" s="316"/>
      <c r="PLL10" s="316"/>
      <c r="PLM10" s="316"/>
      <c r="PLN10" s="316"/>
      <c r="PLO10" s="316"/>
      <c r="PLP10" s="316"/>
      <c r="PLQ10" s="316"/>
      <c r="PLR10" s="316"/>
      <c r="PLS10" s="316"/>
      <c r="PLT10" s="316"/>
      <c r="PLU10" s="316"/>
      <c r="PLV10" s="316"/>
      <c r="PLW10" s="316"/>
      <c r="PLX10" s="316"/>
      <c r="PLY10" s="316"/>
      <c r="PLZ10" s="316"/>
      <c r="PMA10" s="316"/>
      <c r="PMB10" s="316"/>
      <c r="PMC10" s="316"/>
      <c r="PMD10" s="316"/>
      <c r="PME10" s="316"/>
      <c r="PMF10" s="316"/>
      <c r="PMG10" s="316"/>
      <c r="PMH10" s="316"/>
      <c r="PMI10" s="316"/>
      <c r="PMJ10" s="316"/>
      <c r="PMK10" s="316"/>
      <c r="PML10" s="316"/>
      <c r="PMM10" s="316"/>
      <c r="PMN10" s="316"/>
      <c r="PMO10" s="316"/>
      <c r="PMP10" s="316"/>
      <c r="PMQ10" s="316"/>
      <c r="PMR10" s="316"/>
      <c r="PMS10" s="316"/>
      <c r="PMT10" s="316"/>
      <c r="PMU10" s="316"/>
      <c r="PMV10" s="316"/>
      <c r="PMW10" s="316"/>
      <c r="PMX10" s="316"/>
      <c r="PMY10" s="316"/>
      <c r="PMZ10" s="316"/>
      <c r="PNA10" s="316"/>
      <c r="PNB10" s="316"/>
      <c r="PNC10" s="316"/>
      <c r="PND10" s="316"/>
      <c r="PNE10" s="316"/>
      <c r="PNF10" s="316"/>
      <c r="PNG10" s="316"/>
      <c r="PNH10" s="316"/>
      <c r="PNI10" s="316"/>
      <c r="PNJ10" s="316"/>
      <c r="PNK10" s="316"/>
      <c r="PNL10" s="316"/>
      <c r="PNM10" s="316"/>
      <c r="PNN10" s="316"/>
      <c r="PNO10" s="316"/>
      <c r="PNP10" s="316"/>
      <c r="PNQ10" s="316"/>
      <c r="PNR10" s="316"/>
      <c r="PNS10" s="316"/>
      <c r="PNT10" s="316"/>
      <c r="PNU10" s="316"/>
      <c r="PNV10" s="316"/>
      <c r="PNW10" s="316"/>
      <c r="PNX10" s="316"/>
      <c r="PNY10" s="316"/>
      <c r="PNZ10" s="316"/>
      <c r="POA10" s="316"/>
      <c r="POB10" s="316"/>
      <c r="POC10" s="316"/>
      <c r="POD10" s="316"/>
      <c r="POE10" s="316"/>
      <c r="POF10" s="316"/>
      <c r="POG10" s="316"/>
      <c r="POH10" s="316"/>
      <c r="POI10" s="316"/>
      <c r="POJ10" s="316"/>
      <c r="POK10" s="316"/>
      <c r="POL10" s="316"/>
      <c r="POM10" s="316"/>
      <c r="PON10" s="316"/>
      <c r="POO10" s="316"/>
      <c r="POP10" s="316"/>
      <c r="POQ10" s="316"/>
      <c r="POR10" s="316"/>
      <c r="POS10" s="316"/>
      <c r="POT10" s="316"/>
      <c r="POU10" s="316"/>
      <c r="POV10" s="316"/>
      <c r="POW10" s="316"/>
      <c r="POX10" s="316"/>
      <c r="POY10" s="316"/>
      <c r="POZ10" s="316"/>
      <c r="PPA10" s="316"/>
      <c r="PPB10" s="316"/>
      <c r="PPC10" s="316"/>
      <c r="PPD10" s="316"/>
      <c r="PPE10" s="316"/>
      <c r="PPF10" s="316"/>
      <c r="PPG10" s="316"/>
      <c r="PPH10" s="316"/>
      <c r="PPI10" s="316"/>
      <c r="PPJ10" s="316"/>
      <c r="PPK10" s="316"/>
      <c r="PPL10" s="316"/>
      <c r="PPM10" s="316"/>
      <c r="PPN10" s="316"/>
      <c r="PPO10" s="316"/>
      <c r="PPP10" s="316"/>
      <c r="PPQ10" s="316"/>
      <c r="PPR10" s="316"/>
      <c r="PPS10" s="316"/>
      <c r="PPT10" s="316"/>
      <c r="PPU10" s="316"/>
      <c r="PPV10" s="316"/>
      <c r="PPW10" s="316"/>
      <c r="PPX10" s="316"/>
      <c r="PPY10" s="316"/>
      <c r="PPZ10" s="316"/>
      <c r="PQA10" s="316"/>
      <c r="PQB10" s="316"/>
      <c r="PQC10" s="316"/>
      <c r="PQD10" s="316"/>
      <c r="PQE10" s="316"/>
      <c r="PQF10" s="316"/>
      <c r="PQG10" s="316"/>
      <c r="PQH10" s="316"/>
      <c r="PQI10" s="316"/>
      <c r="PQJ10" s="316"/>
      <c r="PQK10" s="316"/>
      <c r="PQL10" s="316"/>
      <c r="PQM10" s="316"/>
      <c r="PQN10" s="316"/>
      <c r="PQO10" s="316"/>
      <c r="PQP10" s="316"/>
      <c r="PQQ10" s="316"/>
      <c r="PQR10" s="316"/>
      <c r="PQS10" s="316"/>
      <c r="PQT10" s="316"/>
      <c r="PQU10" s="316"/>
      <c r="PQV10" s="316"/>
      <c r="PQW10" s="316"/>
      <c r="PQX10" s="316"/>
      <c r="PQY10" s="316"/>
      <c r="PQZ10" s="316"/>
      <c r="PRA10" s="316"/>
      <c r="PRB10" s="316"/>
      <c r="PRC10" s="316"/>
      <c r="PRD10" s="316"/>
      <c r="PRE10" s="316"/>
      <c r="PRF10" s="316"/>
      <c r="PRG10" s="316"/>
      <c r="PRH10" s="316"/>
      <c r="PRI10" s="316"/>
      <c r="PRJ10" s="316"/>
      <c r="PRK10" s="316"/>
      <c r="PRL10" s="316"/>
      <c r="PRM10" s="316"/>
      <c r="PRN10" s="316"/>
      <c r="PRO10" s="316"/>
      <c r="PRP10" s="316"/>
      <c r="PRQ10" s="316"/>
      <c r="PRR10" s="316"/>
      <c r="PRS10" s="316"/>
      <c r="PRT10" s="316"/>
      <c r="PRU10" s="316"/>
      <c r="PRV10" s="316"/>
      <c r="PRW10" s="316"/>
      <c r="PRX10" s="316"/>
      <c r="PRY10" s="316"/>
      <c r="PRZ10" s="316"/>
      <c r="PSA10" s="316"/>
      <c r="PSB10" s="316"/>
      <c r="PSC10" s="316"/>
      <c r="PSD10" s="316"/>
      <c r="PSE10" s="316"/>
      <c r="PSF10" s="316"/>
      <c r="PSG10" s="316"/>
      <c r="PSH10" s="316"/>
      <c r="PSI10" s="316"/>
      <c r="PSJ10" s="316"/>
      <c r="PSK10" s="316"/>
      <c r="PSL10" s="316"/>
      <c r="PSM10" s="316"/>
      <c r="PSN10" s="316"/>
      <c r="PSO10" s="316"/>
      <c r="PSP10" s="316"/>
      <c r="PSQ10" s="316"/>
      <c r="PSR10" s="316"/>
      <c r="PSS10" s="316"/>
      <c r="PST10" s="316"/>
      <c r="PSU10" s="316"/>
      <c r="PSV10" s="316"/>
      <c r="PSW10" s="316"/>
      <c r="PSX10" s="316"/>
      <c r="PSY10" s="316"/>
      <c r="PSZ10" s="316"/>
      <c r="PTA10" s="316"/>
      <c r="PTB10" s="316"/>
      <c r="PTC10" s="316"/>
      <c r="PTD10" s="316"/>
      <c r="PTE10" s="316"/>
      <c r="PTF10" s="316"/>
      <c r="PTG10" s="316"/>
      <c r="PTH10" s="316"/>
      <c r="PTI10" s="316"/>
      <c r="PTJ10" s="316"/>
      <c r="PTK10" s="316"/>
      <c r="PTL10" s="316"/>
      <c r="PTM10" s="316"/>
      <c r="PTN10" s="316"/>
      <c r="PTO10" s="316"/>
      <c r="PTP10" s="316"/>
      <c r="PTQ10" s="316"/>
      <c r="PTR10" s="316"/>
      <c r="PTS10" s="316"/>
      <c r="PTT10" s="316"/>
      <c r="PTU10" s="316"/>
      <c r="PTV10" s="316"/>
      <c r="PTW10" s="316"/>
      <c r="PTX10" s="316"/>
      <c r="PTY10" s="316"/>
      <c r="PTZ10" s="316"/>
      <c r="PUA10" s="316"/>
      <c r="PUB10" s="316"/>
      <c r="PUC10" s="316"/>
      <c r="PUD10" s="316"/>
      <c r="PUE10" s="316"/>
      <c r="PUF10" s="316"/>
      <c r="PUG10" s="316"/>
      <c r="PUH10" s="316"/>
      <c r="PUI10" s="316"/>
      <c r="PUJ10" s="316"/>
      <c r="PUK10" s="316"/>
      <c r="PUL10" s="316"/>
      <c r="PUM10" s="316"/>
      <c r="PUN10" s="316"/>
      <c r="PUO10" s="316"/>
      <c r="PUP10" s="316"/>
      <c r="PUQ10" s="316"/>
      <c r="PUR10" s="316"/>
      <c r="PUS10" s="316"/>
      <c r="PUT10" s="316"/>
      <c r="PUU10" s="316"/>
      <c r="PUV10" s="316"/>
      <c r="PUW10" s="316"/>
      <c r="PUX10" s="316"/>
      <c r="PUY10" s="316"/>
      <c r="PUZ10" s="316"/>
      <c r="PVA10" s="316"/>
      <c r="PVB10" s="316"/>
      <c r="PVC10" s="316"/>
      <c r="PVD10" s="316"/>
      <c r="PVE10" s="316"/>
      <c r="PVF10" s="316"/>
      <c r="PVG10" s="316"/>
      <c r="PVH10" s="316"/>
      <c r="PVI10" s="316"/>
      <c r="PVJ10" s="316"/>
      <c r="PVK10" s="316"/>
      <c r="PVL10" s="316"/>
      <c r="PVM10" s="316"/>
      <c r="PVN10" s="316"/>
      <c r="PVO10" s="316"/>
      <c r="PVP10" s="316"/>
      <c r="PVQ10" s="316"/>
      <c r="PVR10" s="316"/>
      <c r="PVS10" s="316"/>
      <c r="PVT10" s="316"/>
      <c r="PVU10" s="316"/>
      <c r="PVV10" s="316"/>
      <c r="PVW10" s="316"/>
      <c r="PVX10" s="316"/>
      <c r="PVY10" s="316"/>
      <c r="PVZ10" s="316"/>
      <c r="PWA10" s="316"/>
      <c r="PWB10" s="316"/>
      <c r="PWC10" s="316"/>
      <c r="PWD10" s="316"/>
      <c r="PWE10" s="316"/>
      <c r="PWF10" s="316"/>
      <c r="PWG10" s="316"/>
      <c r="PWH10" s="316"/>
      <c r="PWI10" s="316"/>
      <c r="PWJ10" s="316"/>
      <c r="PWK10" s="316"/>
      <c r="PWL10" s="316"/>
      <c r="PWM10" s="316"/>
      <c r="PWN10" s="316"/>
      <c r="PWO10" s="316"/>
      <c r="PWP10" s="316"/>
      <c r="PWQ10" s="316"/>
      <c r="PWR10" s="316"/>
      <c r="PWS10" s="316"/>
      <c r="PWT10" s="316"/>
      <c r="PWU10" s="316"/>
      <c r="PWV10" s="316"/>
      <c r="PWW10" s="316"/>
      <c r="PWX10" s="316"/>
      <c r="PWY10" s="316"/>
      <c r="PWZ10" s="316"/>
      <c r="PXA10" s="316"/>
      <c r="PXB10" s="316"/>
      <c r="PXC10" s="316"/>
      <c r="PXD10" s="316"/>
      <c r="PXE10" s="316"/>
      <c r="PXF10" s="316"/>
      <c r="PXG10" s="316"/>
      <c r="PXH10" s="316"/>
      <c r="PXI10" s="316"/>
      <c r="PXJ10" s="316"/>
      <c r="PXK10" s="316"/>
      <c r="PXL10" s="316"/>
      <c r="PXM10" s="316"/>
      <c r="PXN10" s="316"/>
      <c r="PXO10" s="316"/>
      <c r="PXP10" s="316"/>
      <c r="PXQ10" s="316"/>
      <c r="PXR10" s="316"/>
      <c r="PXS10" s="316"/>
      <c r="PXT10" s="316"/>
      <c r="PXU10" s="316"/>
      <c r="PXV10" s="316"/>
      <c r="PXW10" s="316"/>
      <c r="PXX10" s="316"/>
      <c r="PXY10" s="316"/>
      <c r="PXZ10" s="316"/>
      <c r="PYA10" s="316"/>
      <c r="PYB10" s="316"/>
      <c r="PYC10" s="316"/>
      <c r="PYD10" s="316"/>
      <c r="PYE10" s="316"/>
      <c r="PYF10" s="316"/>
      <c r="PYG10" s="316"/>
      <c r="PYH10" s="316"/>
      <c r="PYI10" s="316"/>
      <c r="PYJ10" s="316"/>
      <c r="PYK10" s="316"/>
      <c r="PYL10" s="316"/>
      <c r="PYM10" s="316"/>
      <c r="PYN10" s="316"/>
      <c r="PYO10" s="316"/>
      <c r="PYP10" s="316"/>
      <c r="PYQ10" s="316"/>
      <c r="PYR10" s="316"/>
      <c r="PYS10" s="316"/>
      <c r="PYT10" s="316"/>
      <c r="PYU10" s="316"/>
      <c r="PYV10" s="316"/>
      <c r="PYW10" s="316"/>
      <c r="PYX10" s="316"/>
      <c r="PYY10" s="316"/>
      <c r="PYZ10" s="316"/>
      <c r="PZA10" s="316"/>
      <c r="PZB10" s="316"/>
      <c r="PZC10" s="316"/>
      <c r="PZD10" s="316"/>
      <c r="PZE10" s="316"/>
      <c r="PZF10" s="316"/>
      <c r="PZG10" s="316"/>
      <c r="PZH10" s="316"/>
      <c r="PZI10" s="316"/>
      <c r="PZJ10" s="316"/>
      <c r="PZK10" s="316"/>
      <c r="PZL10" s="316"/>
      <c r="PZM10" s="316"/>
      <c r="PZN10" s="316"/>
      <c r="PZO10" s="316"/>
      <c r="PZP10" s="316"/>
      <c r="PZQ10" s="316"/>
      <c r="PZR10" s="316"/>
      <c r="PZS10" s="316"/>
      <c r="PZT10" s="316"/>
      <c r="PZU10" s="316"/>
      <c r="PZV10" s="316"/>
      <c r="PZW10" s="316"/>
      <c r="PZX10" s="316"/>
      <c r="PZY10" s="316"/>
      <c r="PZZ10" s="316"/>
      <c r="QAA10" s="316"/>
      <c r="QAB10" s="316"/>
      <c r="QAC10" s="316"/>
      <c r="QAD10" s="316"/>
      <c r="QAE10" s="316"/>
      <c r="QAF10" s="316"/>
      <c r="QAG10" s="316"/>
      <c r="QAH10" s="316"/>
      <c r="QAI10" s="316"/>
      <c r="QAJ10" s="316"/>
      <c r="QAK10" s="316"/>
      <c r="QAL10" s="316"/>
      <c r="QAM10" s="316"/>
      <c r="QAN10" s="316"/>
      <c r="QAO10" s="316"/>
      <c r="QAP10" s="316"/>
      <c r="QAQ10" s="316"/>
      <c r="QAR10" s="316"/>
      <c r="QAS10" s="316"/>
      <c r="QAT10" s="316"/>
      <c r="QAU10" s="316"/>
      <c r="QAV10" s="316"/>
      <c r="QAW10" s="316"/>
      <c r="QAX10" s="316"/>
      <c r="QAY10" s="316"/>
      <c r="QAZ10" s="316"/>
      <c r="QBA10" s="316"/>
      <c r="QBB10" s="316"/>
      <c r="QBC10" s="316"/>
      <c r="QBD10" s="316"/>
      <c r="QBE10" s="316"/>
      <c r="QBF10" s="316"/>
      <c r="QBG10" s="316"/>
      <c r="QBH10" s="316"/>
      <c r="QBI10" s="316"/>
      <c r="QBJ10" s="316"/>
      <c r="QBK10" s="316"/>
      <c r="QBL10" s="316"/>
      <c r="QBM10" s="316"/>
      <c r="QBN10" s="316"/>
      <c r="QBO10" s="316"/>
      <c r="QBP10" s="316"/>
      <c r="QBQ10" s="316"/>
      <c r="QBR10" s="316"/>
      <c r="QBS10" s="316"/>
      <c r="QBT10" s="316"/>
      <c r="QBU10" s="316"/>
      <c r="QBV10" s="316"/>
      <c r="QBW10" s="316"/>
      <c r="QBX10" s="316"/>
      <c r="QBY10" s="316"/>
      <c r="QBZ10" s="316"/>
      <c r="QCA10" s="316"/>
      <c r="QCB10" s="316"/>
      <c r="QCC10" s="316"/>
      <c r="QCD10" s="316"/>
      <c r="QCE10" s="316"/>
      <c r="QCF10" s="316"/>
      <c r="QCG10" s="316"/>
      <c r="QCH10" s="316"/>
      <c r="QCI10" s="316"/>
      <c r="QCJ10" s="316"/>
      <c r="QCK10" s="316"/>
      <c r="QCL10" s="316"/>
      <c r="QCM10" s="316"/>
      <c r="QCN10" s="316"/>
      <c r="QCO10" s="316"/>
      <c r="QCP10" s="316"/>
      <c r="QCQ10" s="316"/>
      <c r="QCR10" s="316"/>
      <c r="QCS10" s="316"/>
      <c r="QCT10" s="316"/>
      <c r="QCU10" s="316"/>
      <c r="QCV10" s="316"/>
      <c r="QCW10" s="316"/>
      <c r="QCX10" s="316"/>
      <c r="QCY10" s="316"/>
      <c r="QCZ10" s="316"/>
      <c r="QDA10" s="316"/>
      <c r="QDB10" s="316"/>
      <c r="QDC10" s="316"/>
      <c r="QDD10" s="316"/>
      <c r="QDE10" s="316"/>
      <c r="QDF10" s="316"/>
      <c r="QDG10" s="316"/>
      <c r="QDH10" s="316"/>
      <c r="QDI10" s="316"/>
      <c r="QDJ10" s="316"/>
      <c r="QDK10" s="316"/>
      <c r="QDL10" s="316"/>
      <c r="QDM10" s="316"/>
      <c r="QDN10" s="316"/>
      <c r="QDO10" s="316"/>
      <c r="QDP10" s="316"/>
      <c r="QDQ10" s="316"/>
      <c r="QDR10" s="316"/>
      <c r="QDS10" s="316"/>
      <c r="QDT10" s="316"/>
      <c r="QDU10" s="316"/>
      <c r="QDV10" s="316"/>
      <c r="QDW10" s="316"/>
      <c r="QDX10" s="316"/>
      <c r="QDY10" s="316"/>
      <c r="QDZ10" s="316"/>
      <c r="QEA10" s="316"/>
      <c r="QEB10" s="316"/>
      <c r="QEC10" s="316"/>
      <c r="QED10" s="316"/>
      <c r="QEE10" s="316"/>
      <c r="QEF10" s="316"/>
      <c r="QEG10" s="316"/>
      <c r="QEH10" s="316"/>
      <c r="QEI10" s="316"/>
      <c r="QEJ10" s="316"/>
      <c r="QEK10" s="316"/>
      <c r="QEL10" s="316"/>
      <c r="QEM10" s="316"/>
      <c r="QEN10" s="316"/>
      <c r="QEO10" s="316"/>
      <c r="QEP10" s="316"/>
      <c r="QEQ10" s="316"/>
      <c r="QER10" s="316"/>
      <c r="QES10" s="316"/>
      <c r="QET10" s="316"/>
      <c r="QEU10" s="316"/>
      <c r="QEV10" s="316"/>
      <c r="QEW10" s="316"/>
      <c r="QEX10" s="316"/>
      <c r="QEY10" s="316"/>
      <c r="QEZ10" s="316"/>
      <c r="QFA10" s="316"/>
      <c r="QFB10" s="316"/>
      <c r="QFC10" s="316"/>
      <c r="QFD10" s="316"/>
      <c r="QFE10" s="316"/>
      <c r="QFF10" s="316"/>
      <c r="QFG10" s="316"/>
      <c r="QFH10" s="316"/>
      <c r="QFI10" s="316"/>
      <c r="QFJ10" s="316"/>
      <c r="QFK10" s="316"/>
      <c r="QFL10" s="316"/>
      <c r="QFM10" s="316"/>
      <c r="QFN10" s="316"/>
      <c r="QFO10" s="316"/>
      <c r="QFP10" s="316"/>
      <c r="QFQ10" s="316"/>
      <c r="QFR10" s="316"/>
      <c r="QFS10" s="316"/>
      <c r="QFT10" s="316"/>
      <c r="QFU10" s="316"/>
      <c r="QFV10" s="316"/>
      <c r="QFW10" s="316"/>
      <c r="QFX10" s="316"/>
      <c r="QFY10" s="316"/>
      <c r="QFZ10" s="316"/>
      <c r="QGA10" s="316"/>
      <c r="QGB10" s="316"/>
      <c r="QGC10" s="316"/>
      <c r="QGD10" s="316"/>
      <c r="QGE10" s="316"/>
      <c r="QGF10" s="316"/>
      <c r="QGG10" s="316"/>
      <c r="QGH10" s="316"/>
      <c r="QGI10" s="316"/>
      <c r="QGJ10" s="316"/>
      <c r="QGK10" s="316"/>
      <c r="QGL10" s="316"/>
      <c r="QGM10" s="316"/>
      <c r="QGN10" s="316"/>
      <c r="QGO10" s="316"/>
      <c r="QGP10" s="316"/>
      <c r="QGQ10" s="316"/>
      <c r="QGR10" s="316"/>
      <c r="QGS10" s="316"/>
      <c r="QGT10" s="316"/>
      <c r="QGU10" s="316"/>
      <c r="QGV10" s="316"/>
      <c r="QGW10" s="316"/>
      <c r="QGX10" s="316"/>
      <c r="QGY10" s="316"/>
      <c r="QGZ10" s="316"/>
      <c r="QHA10" s="316"/>
      <c r="QHB10" s="316"/>
      <c r="QHC10" s="316"/>
      <c r="QHD10" s="316"/>
      <c r="QHE10" s="316"/>
      <c r="QHF10" s="316"/>
      <c r="QHG10" s="316"/>
      <c r="QHH10" s="316"/>
      <c r="QHI10" s="316"/>
      <c r="QHJ10" s="316"/>
      <c r="QHK10" s="316"/>
      <c r="QHL10" s="316"/>
      <c r="QHM10" s="316"/>
      <c r="QHN10" s="316"/>
      <c r="QHO10" s="316"/>
      <c r="QHP10" s="316"/>
      <c r="QHQ10" s="316"/>
      <c r="QHR10" s="316"/>
      <c r="QHS10" s="316"/>
      <c r="QHT10" s="316"/>
      <c r="QHU10" s="316"/>
      <c r="QHV10" s="316"/>
      <c r="QHW10" s="316"/>
      <c r="QHX10" s="316"/>
      <c r="QHY10" s="316"/>
      <c r="QHZ10" s="316"/>
      <c r="QIA10" s="316"/>
      <c r="QIB10" s="316"/>
      <c r="QIC10" s="316"/>
      <c r="QID10" s="316"/>
      <c r="QIE10" s="316"/>
      <c r="QIF10" s="316"/>
      <c r="QIG10" s="316"/>
      <c r="QIH10" s="316"/>
      <c r="QII10" s="316"/>
      <c r="QIJ10" s="316"/>
      <c r="QIK10" s="316"/>
      <c r="QIL10" s="316"/>
      <c r="QIM10" s="316"/>
      <c r="QIN10" s="316"/>
      <c r="QIO10" s="316"/>
      <c r="QIP10" s="316"/>
      <c r="QIQ10" s="316"/>
      <c r="QIR10" s="316"/>
      <c r="QIS10" s="316"/>
      <c r="QIT10" s="316"/>
      <c r="QIU10" s="316"/>
      <c r="QIV10" s="316"/>
      <c r="QIW10" s="316"/>
      <c r="QIX10" s="316"/>
      <c r="QIY10" s="316"/>
      <c r="QIZ10" s="316"/>
      <c r="QJA10" s="316"/>
      <c r="QJB10" s="316"/>
      <c r="QJC10" s="316"/>
      <c r="QJD10" s="316"/>
      <c r="QJE10" s="316"/>
      <c r="QJF10" s="316"/>
      <c r="QJG10" s="316"/>
      <c r="QJH10" s="316"/>
      <c r="QJI10" s="316"/>
      <c r="QJJ10" s="316"/>
      <c r="QJK10" s="316"/>
      <c r="QJL10" s="316"/>
      <c r="QJM10" s="316"/>
      <c r="QJN10" s="316"/>
      <c r="QJO10" s="316"/>
      <c r="QJP10" s="316"/>
      <c r="QJQ10" s="316"/>
      <c r="QJR10" s="316"/>
      <c r="QJS10" s="316"/>
      <c r="QJT10" s="316"/>
      <c r="QJU10" s="316"/>
      <c r="QJV10" s="316"/>
      <c r="QJW10" s="316"/>
      <c r="QJX10" s="316"/>
      <c r="QJY10" s="316"/>
      <c r="QJZ10" s="316"/>
      <c r="QKA10" s="316"/>
      <c r="QKB10" s="316"/>
      <c r="QKC10" s="316"/>
      <c r="QKD10" s="316"/>
      <c r="QKE10" s="316"/>
      <c r="QKF10" s="316"/>
      <c r="QKG10" s="316"/>
      <c r="QKH10" s="316"/>
      <c r="QKI10" s="316"/>
      <c r="QKJ10" s="316"/>
      <c r="QKK10" s="316"/>
      <c r="QKL10" s="316"/>
      <c r="QKM10" s="316"/>
      <c r="QKN10" s="316"/>
      <c r="QKO10" s="316"/>
      <c r="QKP10" s="316"/>
      <c r="QKQ10" s="316"/>
      <c r="QKR10" s="316"/>
      <c r="QKS10" s="316"/>
      <c r="QKT10" s="316"/>
      <c r="QKU10" s="316"/>
      <c r="QKV10" s="316"/>
      <c r="QKW10" s="316"/>
      <c r="QKX10" s="316"/>
      <c r="QKY10" s="316"/>
      <c r="QKZ10" s="316"/>
      <c r="QLA10" s="316"/>
      <c r="QLB10" s="316"/>
      <c r="QLC10" s="316"/>
      <c r="QLD10" s="316"/>
      <c r="QLE10" s="316"/>
      <c r="QLF10" s="316"/>
      <c r="QLG10" s="316"/>
      <c r="QLH10" s="316"/>
      <c r="QLI10" s="316"/>
      <c r="QLJ10" s="316"/>
      <c r="QLK10" s="316"/>
      <c r="QLL10" s="316"/>
      <c r="QLM10" s="316"/>
      <c r="QLN10" s="316"/>
      <c r="QLO10" s="316"/>
      <c r="QLP10" s="316"/>
      <c r="QLQ10" s="316"/>
      <c r="QLR10" s="316"/>
      <c r="QLS10" s="316"/>
      <c r="QLT10" s="316"/>
      <c r="QLU10" s="316"/>
      <c r="QLV10" s="316"/>
      <c r="QLW10" s="316"/>
      <c r="QLX10" s="316"/>
      <c r="QLY10" s="316"/>
      <c r="QLZ10" s="316"/>
      <c r="QMA10" s="316"/>
      <c r="QMB10" s="316"/>
      <c r="QMC10" s="316"/>
      <c r="QMD10" s="316"/>
      <c r="QME10" s="316"/>
      <c r="QMF10" s="316"/>
      <c r="QMG10" s="316"/>
      <c r="QMH10" s="316"/>
      <c r="QMI10" s="316"/>
      <c r="QMJ10" s="316"/>
      <c r="QMK10" s="316"/>
      <c r="QML10" s="316"/>
      <c r="QMM10" s="316"/>
      <c r="QMN10" s="316"/>
      <c r="QMO10" s="316"/>
      <c r="QMP10" s="316"/>
      <c r="QMQ10" s="316"/>
      <c r="QMR10" s="316"/>
      <c r="QMS10" s="316"/>
      <c r="QMT10" s="316"/>
      <c r="QMU10" s="316"/>
      <c r="QMV10" s="316"/>
      <c r="QMW10" s="316"/>
      <c r="QMX10" s="316"/>
      <c r="QMY10" s="316"/>
      <c r="QMZ10" s="316"/>
      <c r="QNA10" s="316"/>
      <c r="QNB10" s="316"/>
      <c r="QNC10" s="316"/>
      <c r="QND10" s="316"/>
      <c r="QNE10" s="316"/>
      <c r="QNF10" s="316"/>
      <c r="QNG10" s="316"/>
      <c r="QNH10" s="316"/>
      <c r="QNI10" s="316"/>
      <c r="QNJ10" s="316"/>
      <c r="QNK10" s="316"/>
      <c r="QNL10" s="316"/>
      <c r="QNM10" s="316"/>
      <c r="QNN10" s="316"/>
      <c r="QNO10" s="316"/>
      <c r="QNP10" s="316"/>
      <c r="QNQ10" s="316"/>
      <c r="QNR10" s="316"/>
      <c r="QNS10" s="316"/>
      <c r="QNT10" s="316"/>
      <c r="QNU10" s="316"/>
      <c r="QNV10" s="316"/>
      <c r="QNW10" s="316"/>
      <c r="QNX10" s="316"/>
      <c r="QNY10" s="316"/>
      <c r="QNZ10" s="316"/>
      <c r="QOA10" s="316"/>
      <c r="QOB10" s="316"/>
      <c r="QOC10" s="316"/>
      <c r="QOD10" s="316"/>
      <c r="QOE10" s="316"/>
      <c r="QOF10" s="316"/>
      <c r="QOG10" s="316"/>
      <c r="QOH10" s="316"/>
      <c r="QOI10" s="316"/>
      <c r="QOJ10" s="316"/>
      <c r="QOK10" s="316"/>
      <c r="QOL10" s="316"/>
      <c r="QOM10" s="316"/>
      <c r="QON10" s="316"/>
      <c r="QOO10" s="316"/>
      <c r="QOP10" s="316"/>
      <c r="QOQ10" s="316"/>
      <c r="QOR10" s="316"/>
      <c r="QOS10" s="316"/>
      <c r="QOT10" s="316"/>
      <c r="QOU10" s="316"/>
      <c r="QOV10" s="316"/>
      <c r="QOW10" s="316"/>
      <c r="QOX10" s="316"/>
      <c r="QOY10" s="316"/>
      <c r="QOZ10" s="316"/>
      <c r="QPA10" s="316"/>
      <c r="QPB10" s="316"/>
      <c r="QPC10" s="316"/>
      <c r="QPD10" s="316"/>
      <c r="QPE10" s="316"/>
      <c r="QPF10" s="316"/>
      <c r="QPG10" s="316"/>
      <c r="QPH10" s="316"/>
      <c r="QPI10" s="316"/>
      <c r="QPJ10" s="316"/>
      <c r="QPK10" s="316"/>
      <c r="QPL10" s="316"/>
      <c r="QPM10" s="316"/>
      <c r="QPN10" s="316"/>
      <c r="QPO10" s="316"/>
      <c r="QPP10" s="316"/>
      <c r="QPQ10" s="316"/>
      <c r="QPR10" s="316"/>
      <c r="QPS10" s="316"/>
      <c r="QPT10" s="316"/>
      <c r="QPU10" s="316"/>
      <c r="QPV10" s="316"/>
      <c r="QPW10" s="316"/>
      <c r="QPX10" s="316"/>
      <c r="QPY10" s="316"/>
      <c r="QPZ10" s="316"/>
      <c r="QQA10" s="316"/>
      <c r="QQB10" s="316"/>
      <c r="QQC10" s="316"/>
      <c r="QQD10" s="316"/>
      <c r="QQE10" s="316"/>
      <c r="QQF10" s="316"/>
      <c r="QQG10" s="316"/>
      <c r="QQH10" s="316"/>
      <c r="QQI10" s="316"/>
      <c r="QQJ10" s="316"/>
      <c r="QQK10" s="316"/>
      <c r="QQL10" s="316"/>
      <c r="QQM10" s="316"/>
      <c r="QQN10" s="316"/>
      <c r="QQO10" s="316"/>
      <c r="QQP10" s="316"/>
      <c r="QQQ10" s="316"/>
      <c r="QQR10" s="316"/>
      <c r="QQS10" s="316"/>
      <c r="QQT10" s="316"/>
      <c r="QQU10" s="316"/>
      <c r="QQV10" s="316"/>
      <c r="QQW10" s="316"/>
      <c r="QQX10" s="316"/>
      <c r="QQY10" s="316"/>
      <c r="QQZ10" s="316"/>
      <c r="QRA10" s="316"/>
      <c r="QRB10" s="316"/>
      <c r="QRC10" s="316"/>
      <c r="QRD10" s="316"/>
      <c r="QRE10" s="316"/>
      <c r="QRF10" s="316"/>
      <c r="QRG10" s="316"/>
      <c r="QRH10" s="316"/>
      <c r="QRI10" s="316"/>
      <c r="QRJ10" s="316"/>
      <c r="QRK10" s="316"/>
      <c r="QRL10" s="316"/>
      <c r="QRM10" s="316"/>
      <c r="QRN10" s="316"/>
      <c r="QRO10" s="316"/>
      <c r="QRP10" s="316"/>
      <c r="QRQ10" s="316"/>
      <c r="QRR10" s="316"/>
      <c r="QRS10" s="316"/>
      <c r="QRT10" s="316"/>
      <c r="QRU10" s="316"/>
      <c r="QRV10" s="316"/>
      <c r="QRW10" s="316"/>
      <c r="QRX10" s="316"/>
      <c r="QRY10" s="316"/>
      <c r="QRZ10" s="316"/>
      <c r="QSA10" s="316"/>
      <c r="QSB10" s="316"/>
      <c r="QSC10" s="316"/>
      <c r="QSD10" s="316"/>
      <c r="QSE10" s="316"/>
      <c r="QSF10" s="316"/>
      <c r="QSG10" s="316"/>
      <c r="QSH10" s="316"/>
      <c r="QSI10" s="316"/>
      <c r="QSJ10" s="316"/>
      <c r="QSK10" s="316"/>
      <c r="QSL10" s="316"/>
      <c r="QSM10" s="316"/>
      <c r="QSN10" s="316"/>
      <c r="QSO10" s="316"/>
      <c r="QSP10" s="316"/>
      <c r="QSQ10" s="316"/>
      <c r="QSR10" s="316"/>
      <c r="QSS10" s="316"/>
      <c r="QST10" s="316"/>
      <c r="QSU10" s="316"/>
      <c r="QSV10" s="316"/>
      <c r="QSW10" s="316"/>
      <c r="QSX10" s="316"/>
      <c r="QSY10" s="316"/>
      <c r="QSZ10" s="316"/>
      <c r="QTA10" s="316"/>
      <c r="QTB10" s="316"/>
      <c r="QTC10" s="316"/>
      <c r="QTD10" s="316"/>
      <c r="QTE10" s="316"/>
      <c r="QTF10" s="316"/>
      <c r="QTG10" s="316"/>
      <c r="QTH10" s="316"/>
      <c r="QTI10" s="316"/>
      <c r="QTJ10" s="316"/>
      <c r="QTK10" s="316"/>
      <c r="QTL10" s="316"/>
      <c r="QTM10" s="316"/>
      <c r="QTN10" s="316"/>
      <c r="QTO10" s="316"/>
      <c r="QTP10" s="316"/>
      <c r="QTQ10" s="316"/>
      <c r="QTR10" s="316"/>
      <c r="QTS10" s="316"/>
      <c r="QTT10" s="316"/>
      <c r="QTU10" s="316"/>
      <c r="QTV10" s="316"/>
      <c r="QTW10" s="316"/>
      <c r="QTX10" s="316"/>
      <c r="QTY10" s="316"/>
      <c r="QTZ10" s="316"/>
      <c r="QUA10" s="316"/>
      <c r="QUB10" s="316"/>
      <c r="QUC10" s="316"/>
      <c r="QUD10" s="316"/>
      <c r="QUE10" s="316"/>
      <c r="QUF10" s="316"/>
      <c r="QUG10" s="316"/>
      <c r="QUH10" s="316"/>
      <c r="QUI10" s="316"/>
      <c r="QUJ10" s="316"/>
      <c r="QUK10" s="316"/>
      <c r="QUL10" s="316"/>
      <c r="QUM10" s="316"/>
      <c r="QUN10" s="316"/>
      <c r="QUO10" s="316"/>
      <c r="QUP10" s="316"/>
      <c r="QUQ10" s="316"/>
      <c r="QUR10" s="316"/>
      <c r="QUS10" s="316"/>
      <c r="QUT10" s="316"/>
      <c r="QUU10" s="316"/>
      <c r="QUV10" s="316"/>
      <c r="QUW10" s="316"/>
      <c r="QUX10" s="316"/>
      <c r="QUY10" s="316"/>
      <c r="QUZ10" s="316"/>
      <c r="QVA10" s="316"/>
      <c r="QVB10" s="316"/>
      <c r="QVC10" s="316"/>
      <c r="QVD10" s="316"/>
      <c r="QVE10" s="316"/>
      <c r="QVF10" s="316"/>
      <c r="QVG10" s="316"/>
      <c r="QVH10" s="316"/>
      <c r="QVI10" s="316"/>
      <c r="QVJ10" s="316"/>
      <c r="QVK10" s="316"/>
      <c r="QVL10" s="316"/>
      <c r="QVM10" s="316"/>
      <c r="QVN10" s="316"/>
      <c r="QVO10" s="316"/>
      <c r="QVP10" s="316"/>
      <c r="QVQ10" s="316"/>
      <c r="QVR10" s="316"/>
      <c r="QVS10" s="316"/>
      <c r="QVT10" s="316"/>
      <c r="QVU10" s="316"/>
      <c r="QVV10" s="316"/>
      <c r="QVW10" s="316"/>
      <c r="QVX10" s="316"/>
      <c r="QVY10" s="316"/>
      <c r="QVZ10" s="316"/>
      <c r="QWA10" s="316"/>
      <c r="QWB10" s="316"/>
      <c r="QWC10" s="316"/>
      <c r="QWD10" s="316"/>
      <c r="QWE10" s="316"/>
      <c r="QWF10" s="316"/>
      <c r="QWG10" s="316"/>
      <c r="QWH10" s="316"/>
      <c r="QWI10" s="316"/>
      <c r="QWJ10" s="316"/>
      <c r="QWK10" s="316"/>
      <c r="QWL10" s="316"/>
      <c r="QWM10" s="316"/>
      <c r="QWN10" s="316"/>
      <c r="QWO10" s="316"/>
      <c r="QWP10" s="316"/>
      <c r="QWQ10" s="316"/>
      <c r="QWR10" s="316"/>
      <c r="QWS10" s="316"/>
      <c r="QWT10" s="316"/>
      <c r="QWU10" s="316"/>
      <c r="QWV10" s="316"/>
      <c r="QWW10" s="316"/>
      <c r="QWX10" s="316"/>
      <c r="QWY10" s="316"/>
      <c r="QWZ10" s="316"/>
      <c r="QXA10" s="316"/>
      <c r="QXB10" s="316"/>
      <c r="QXC10" s="316"/>
      <c r="QXD10" s="316"/>
      <c r="QXE10" s="316"/>
      <c r="QXF10" s="316"/>
      <c r="QXG10" s="316"/>
      <c r="QXH10" s="316"/>
      <c r="QXI10" s="316"/>
      <c r="QXJ10" s="316"/>
      <c r="QXK10" s="316"/>
      <c r="QXL10" s="316"/>
      <c r="QXM10" s="316"/>
      <c r="QXN10" s="316"/>
      <c r="QXO10" s="316"/>
      <c r="QXP10" s="316"/>
      <c r="QXQ10" s="316"/>
      <c r="QXR10" s="316"/>
      <c r="QXS10" s="316"/>
      <c r="QXT10" s="316"/>
      <c r="QXU10" s="316"/>
      <c r="QXV10" s="316"/>
      <c r="QXW10" s="316"/>
      <c r="QXX10" s="316"/>
      <c r="QXY10" s="316"/>
      <c r="QXZ10" s="316"/>
      <c r="QYA10" s="316"/>
      <c r="QYB10" s="316"/>
      <c r="QYC10" s="316"/>
      <c r="QYD10" s="316"/>
      <c r="QYE10" s="316"/>
      <c r="QYF10" s="316"/>
      <c r="QYG10" s="316"/>
      <c r="QYH10" s="316"/>
      <c r="QYI10" s="316"/>
      <c r="QYJ10" s="316"/>
      <c r="QYK10" s="316"/>
      <c r="QYL10" s="316"/>
      <c r="QYM10" s="316"/>
      <c r="QYN10" s="316"/>
      <c r="QYO10" s="316"/>
      <c r="QYP10" s="316"/>
      <c r="QYQ10" s="316"/>
      <c r="QYR10" s="316"/>
      <c r="QYS10" s="316"/>
      <c r="QYT10" s="316"/>
      <c r="QYU10" s="316"/>
      <c r="QYV10" s="316"/>
      <c r="QYW10" s="316"/>
      <c r="QYX10" s="316"/>
      <c r="QYY10" s="316"/>
      <c r="QYZ10" s="316"/>
      <c r="QZA10" s="316"/>
      <c r="QZB10" s="316"/>
      <c r="QZC10" s="316"/>
      <c r="QZD10" s="316"/>
      <c r="QZE10" s="316"/>
      <c r="QZF10" s="316"/>
      <c r="QZG10" s="316"/>
      <c r="QZH10" s="316"/>
      <c r="QZI10" s="316"/>
      <c r="QZJ10" s="316"/>
      <c r="QZK10" s="316"/>
      <c r="QZL10" s="316"/>
      <c r="QZM10" s="316"/>
      <c r="QZN10" s="316"/>
      <c r="QZO10" s="316"/>
      <c r="QZP10" s="316"/>
      <c r="QZQ10" s="316"/>
      <c r="QZR10" s="316"/>
      <c r="QZS10" s="316"/>
      <c r="QZT10" s="316"/>
      <c r="QZU10" s="316"/>
      <c r="QZV10" s="316"/>
      <c r="QZW10" s="316"/>
      <c r="QZX10" s="316"/>
      <c r="QZY10" s="316"/>
      <c r="QZZ10" s="316"/>
      <c r="RAA10" s="316"/>
      <c r="RAB10" s="316"/>
      <c r="RAC10" s="316"/>
      <c r="RAD10" s="316"/>
      <c r="RAE10" s="316"/>
      <c r="RAF10" s="316"/>
      <c r="RAG10" s="316"/>
      <c r="RAH10" s="316"/>
      <c r="RAI10" s="316"/>
      <c r="RAJ10" s="316"/>
      <c r="RAK10" s="316"/>
      <c r="RAL10" s="316"/>
      <c r="RAM10" s="316"/>
      <c r="RAN10" s="316"/>
      <c r="RAO10" s="316"/>
      <c r="RAP10" s="316"/>
      <c r="RAQ10" s="316"/>
      <c r="RAR10" s="316"/>
      <c r="RAS10" s="316"/>
      <c r="RAT10" s="316"/>
      <c r="RAU10" s="316"/>
      <c r="RAV10" s="316"/>
      <c r="RAW10" s="316"/>
      <c r="RAX10" s="316"/>
      <c r="RAY10" s="316"/>
      <c r="RAZ10" s="316"/>
      <c r="RBA10" s="316"/>
      <c r="RBB10" s="316"/>
      <c r="RBC10" s="316"/>
      <c r="RBD10" s="316"/>
      <c r="RBE10" s="316"/>
      <c r="RBF10" s="316"/>
      <c r="RBG10" s="316"/>
      <c r="RBH10" s="316"/>
      <c r="RBI10" s="316"/>
      <c r="RBJ10" s="316"/>
      <c r="RBK10" s="316"/>
      <c r="RBL10" s="316"/>
      <c r="RBM10" s="316"/>
      <c r="RBN10" s="316"/>
      <c r="RBO10" s="316"/>
      <c r="RBP10" s="316"/>
      <c r="RBQ10" s="316"/>
      <c r="RBR10" s="316"/>
      <c r="RBS10" s="316"/>
      <c r="RBT10" s="316"/>
      <c r="RBU10" s="316"/>
      <c r="RBV10" s="316"/>
      <c r="RBW10" s="316"/>
      <c r="RBX10" s="316"/>
      <c r="RBY10" s="316"/>
      <c r="RBZ10" s="316"/>
      <c r="RCA10" s="316"/>
      <c r="RCB10" s="316"/>
      <c r="RCC10" s="316"/>
      <c r="RCD10" s="316"/>
      <c r="RCE10" s="316"/>
      <c r="RCF10" s="316"/>
      <c r="RCG10" s="316"/>
      <c r="RCH10" s="316"/>
      <c r="RCI10" s="316"/>
      <c r="RCJ10" s="316"/>
      <c r="RCK10" s="316"/>
      <c r="RCL10" s="316"/>
      <c r="RCM10" s="316"/>
      <c r="RCN10" s="316"/>
      <c r="RCO10" s="316"/>
      <c r="RCP10" s="316"/>
      <c r="RCQ10" s="316"/>
      <c r="RCR10" s="316"/>
      <c r="RCS10" s="316"/>
      <c r="RCT10" s="316"/>
      <c r="RCU10" s="316"/>
      <c r="RCV10" s="316"/>
      <c r="RCW10" s="316"/>
      <c r="RCX10" s="316"/>
      <c r="RCY10" s="316"/>
      <c r="RCZ10" s="316"/>
      <c r="RDA10" s="316"/>
      <c r="RDB10" s="316"/>
      <c r="RDC10" s="316"/>
      <c r="RDD10" s="316"/>
      <c r="RDE10" s="316"/>
      <c r="RDF10" s="316"/>
      <c r="RDG10" s="316"/>
      <c r="RDH10" s="316"/>
      <c r="RDI10" s="316"/>
      <c r="RDJ10" s="316"/>
      <c r="RDK10" s="316"/>
      <c r="RDL10" s="316"/>
      <c r="RDM10" s="316"/>
      <c r="RDN10" s="316"/>
      <c r="RDO10" s="316"/>
      <c r="RDP10" s="316"/>
      <c r="RDQ10" s="316"/>
      <c r="RDR10" s="316"/>
      <c r="RDS10" s="316"/>
      <c r="RDT10" s="316"/>
      <c r="RDU10" s="316"/>
      <c r="RDV10" s="316"/>
      <c r="RDW10" s="316"/>
      <c r="RDX10" s="316"/>
      <c r="RDY10" s="316"/>
      <c r="RDZ10" s="316"/>
      <c r="REA10" s="316"/>
      <c r="REB10" s="316"/>
      <c r="REC10" s="316"/>
      <c r="RED10" s="316"/>
      <c r="REE10" s="316"/>
      <c r="REF10" s="316"/>
      <c r="REG10" s="316"/>
      <c r="REH10" s="316"/>
      <c r="REI10" s="316"/>
      <c r="REJ10" s="316"/>
      <c r="REK10" s="316"/>
      <c r="REL10" s="316"/>
      <c r="REM10" s="316"/>
      <c r="REN10" s="316"/>
      <c r="REO10" s="316"/>
      <c r="REP10" s="316"/>
      <c r="REQ10" s="316"/>
      <c r="RER10" s="316"/>
      <c r="RES10" s="316"/>
      <c r="RET10" s="316"/>
      <c r="REU10" s="316"/>
      <c r="REV10" s="316"/>
      <c r="REW10" s="316"/>
      <c r="REX10" s="316"/>
      <c r="REY10" s="316"/>
      <c r="REZ10" s="316"/>
      <c r="RFA10" s="316"/>
      <c r="RFB10" s="316"/>
      <c r="RFC10" s="316"/>
      <c r="RFD10" s="316"/>
      <c r="RFE10" s="316"/>
      <c r="RFF10" s="316"/>
      <c r="RFG10" s="316"/>
      <c r="RFH10" s="316"/>
      <c r="RFI10" s="316"/>
      <c r="RFJ10" s="316"/>
      <c r="RFK10" s="316"/>
      <c r="RFL10" s="316"/>
      <c r="RFM10" s="316"/>
      <c r="RFN10" s="316"/>
      <c r="RFO10" s="316"/>
      <c r="RFP10" s="316"/>
      <c r="RFQ10" s="316"/>
      <c r="RFR10" s="316"/>
      <c r="RFS10" s="316"/>
      <c r="RFT10" s="316"/>
      <c r="RFU10" s="316"/>
      <c r="RFV10" s="316"/>
      <c r="RFW10" s="316"/>
      <c r="RFX10" s="316"/>
      <c r="RFY10" s="316"/>
      <c r="RFZ10" s="316"/>
      <c r="RGA10" s="316"/>
      <c r="RGB10" s="316"/>
      <c r="RGC10" s="316"/>
      <c r="RGD10" s="316"/>
      <c r="RGE10" s="316"/>
      <c r="RGF10" s="316"/>
      <c r="RGG10" s="316"/>
      <c r="RGH10" s="316"/>
      <c r="RGI10" s="316"/>
      <c r="RGJ10" s="316"/>
      <c r="RGK10" s="316"/>
      <c r="RGL10" s="316"/>
      <c r="RGM10" s="316"/>
      <c r="RGN10" s="316"/>
      <c r="RGO10" s="316"/>
      <c r="RGP10" s="316"/>
      <c r="RGQ10" s="316"/>
      <c r="RGR10" s="316"/>
      <c r="RGS10" s="316"/>
      <c r="RGT10" s="316"/>
      <c r="RGU10" s="316"/>
      <c r="RGV10" s="316"/>
      <c r="RGW10" s="316"/>
      <c r="RGX10" s="316"/>
      <c r="RGY10" s="316"/>
      <c r="RGZ10" s="316"/>
      <c r="RHA10" s="316"/>
      <c r="RHB10" s="316"/>
      <c r="RHC10" s="316"/>
      <c r="RHD10" s="316"/>
      <c r="RHE10" s="316"/>
      <c r="RHF10" s="316"/>
      <c r="RHG10" s="316"/>
      <c r="RHH10" s="316"/>
      <c r="RHI10" s="316"/>
      <c r="RHJ10" s="316"/>
      <c r="RHK10" s="316"/>
      <c r="RHL10" s="316"/>
      <c r="RHM10" s="316"/>
      <c r="RHN10" s="316"/>
      <c r="RHO10" s="316"/>
      <c r="RHP10" s="316"/>
      <c r="RHQ10" s="316"/>
      <c r="RHR10" s="316"/>
      <c r="RHS10" s="316"/>
      <c r="RHT10" s="316"/>
      <c r="RHU10" s="316"/>
      <c r="RHV10" s="316"/>
      <c r="RHW10" s="316"/>
      <c r="RHX10" s="316"/>
      <c r="RHY10" s="316"/>
      <c r="RHZ10" s="316"/>
      <c r="RIA10" s="316"/>
      <c r="RIB10" s="316"/>
      <c r="RIC10" s="316"/>
      <c r="RID10" s="316"/>
      <c r="RIE10" s="316"/>
      <c r="RIF10" s="316"/>
      <c r="RIG10" s="316"/>
      <c r="RIH10" s="316"/>
      <c r="RII10" s="316"/>
      <c r="RIJ10" s="316"/>
      <c r="RIK10" s="316"/>
      <c r="RIL10" s="316"/>
      <c r="RIM10" s="316"/>
      <c r="RIN10" s="316"/>
      <c r="RIO10" s="316"/>
      <c r="RIP10" s="316"/>
      <c r="RIQ10" s="316"/>
      <c r="RIR10" s="316"/>
      <c r="RIS10" s="316"/>
      <c r="RIT10" s="316"/>
      <c r="RIU10" s="316"/>
      <c r="RIV10" s="316"/>
      <c r="RIW10" s="316"/>
      <c r="RIX10" s="316"/>
      <c r="RIY10" s="316"/>
      <c r="RIZ10" s="316"/>
      <c r="RJA10" s="316"/>
      <c r="RJB10" s="316"/>
      <c r="RJC10" s="316"/>
      <c r="RJD10" s="316"/>
      <c r="RJE10" s="316"/>
      <c r="RJF10" s="316"/>
      <c r="RJG10" s="316"/>
      <c r="RJH10" s="316"/>
      <c r="RJI10" s="316"/>
      <c r="RJJ10" s="316"/>
      <c r="RJK10" s="316"/>
      <c r="RJL10" s="316"/>
      <c r="RJM10" s="316"/>
      <c r="RJN10" s="316"/>
      <c r="RJO10" s="316"/>
      <c r="RJP10" s="316"/>
      <c r="RJQ10" s="316"/>
      <c r="RJR10" s="316"/>
      <c r="RJS10" s="316"/>
      <c r="RJT10" s="316"/>
      <c r="RJU10" s="316"/>
      <c r="RJV10" s="316"/>
      <c r="RJW10" s="316"/>
      <c r="RJX10" s="316"/>
      <c r="RJY10" s="316"/>
      <c r="RJZ10" s="316"/>
      <c r="RKA10" s="316"/>
      <c r="RKB10" s="316"/>
      <c r="RKC10" s="316"/>
      <c r="RKD10" s="316"/>
      <c r="RKE10" s="316"/>
      <c r="RKF10" s="316"/>
      <c r="RKG10" s="316"/>
      <c r="RKH10" s="316"/>
      <c r="RKI10" s="316"/>
      <c r="RKJ10" s="316"/>
      <c r="RKK10" s="316"/>
      <c r="RKL10" s="316"/>
      <c r="RKM10" s="316"/>
      <c r="RKN10" s="316"/>
      <c r="RKO10" s="316"/>
      <c r="RKP10" s="316"/>
      <c r="RKQ10" s="316"/>
      <c r="RKR10" s="316"/>
      <c r="RKS10" s="316"/>
      <c r="RKT10" s="316"/>
      <c r="RKU10" s="316"/>
      <c r="RKV10" s="316"/>
      <c r="RKW10" s="316"/>
      <c r="RKX10" s="316"/>
      <c r="RKY10" s="316"/>
      <c r="RKZ10" s="316"/>
      <c r="RLA10" s="316"/>
      <c r="RLB10" s="316"/>
      <c r="RLC10" s="316"/>
      <c r="RLD10" s="316"/>
      <c r="RLE10" s="316"/>
      <c r="RLF10" s="316"/>
      <c r="RLG10" s="316"/>
      <c r="RLH10" s="316"/>
      <c r="RLI10" s="316"/>
      <c r="RLJ10" s="316"/>
      <c r="RLK10" s="316"/>
      <c r="RLL10" s="316"/>
      <c r="RLM10" s="316"/>
      <c r="RLN10" s="316"/>
      <c r="RLO10" s="316"/>
      <c r="RLP10" s="316"/>
      <c r="RLQ10" s="316"/>
      <c r="RLR10" s="316"/>
      <c r="RLS10" s="316"/>
      <c r="RLT10" s="316"/>
      <c r="RLU10" s="316"/>
      <c r="RLV10" s="316"/>
      <c r="RLW10" s="316"/>
      <c r="RLX10" s="316"/>
      <c r="RLY10" s="316"/>
      <c r="RLZ10" s="316"/>
      <c r="RMA10" s="316"/>
      <c r="RMB10" s="316"/>
      <c r="RMC10" s="316"/>
      <c r="RMD10" s="316"/>
      <c r="RME10" s="316"/>
      <c r="RMF10" s="316"/>
      <c r="RMG10" s="316"/>
      <c r="RMH10" s="316"/>
      <c r="RMI10" s="316"/>
      <c r="RMJ10" s="316"/>
      <c r="RMK10" s="316"/>
      <c r="RML10" s="316"/>
      <c r="RMM10" s="316"/>
      <c r="RMN10" s="316"/>
      <c r="RMO10" s="316"/>
      <c r="RMP10" s="316"/>
      <c r="RMQ10" s="316"/>
      <c r="RMR10" s="316"/>
      <c r="RMS10" s="316"/>
      <c r="RMT10" s="316"/>
      <c r="RMU10" s="316"/>
      <c r="RMV10" s="316"/>
      <c r="RMW10" s="316"/>
      <c r="RMX10" s="316"/>
      <c r="RMY10" s="316"/>
      <c r="RMZ10" s="316"/>
      <c r="RNA10" s="316"/>
      <c r="RNB10" s="316"/>
      <c r="RNC10" s="316"/>
      <c r="RND10" s="316"/>
      <c r="RNE10" s="316"/>
      <c r="RNF10" s="316"/>
      <c r="RNG10" s="316"/>
      <c r="RNH10" s="316"/>
      <c r="RNI10" s="316"/>
      <c r="RNJ10" s="316"/>
      <c r="RNK10" s="316"/>
      <c r="RNL10" s="316"/>
      <c r="RNM10" s="316"/>
      <c r="RNN10" s="316"/>
      <c r="RNO10" s="316"/>
      <c r="RNP10" s="316"/>
      <c r="RNQ10" s="316"/>
      <c r="RNR10" s="316"/>
      <c r="RNS10" s="316"/>
      <c r="RNT10" s="316"/>
      <c r="RNU10" s="316"/>
      <c r="RNV10" s="316"/>
      <c r="RNW10" s="316"/>
      <c r="RNX10" s="316"/>
      <c r="RNY10" s="316"/>
      <c r="RNZ10" s="316"/>
      <c r="ROA10" s="316"/>
      <c r="ROB10" s="316"/>
      <c r="ROC10" s="316"/>
      <c r="ROD10" s="316"/>
      <c r="ROE10" s="316"/>
      <c r="ROF10" s="316"/>
      <c r="ROG10" s="316"/>
      <c r="ROH10" s="316"/>
      <c r="ROI10" s="316"/>
      <c r="ROJ10" s="316"/>
      <c r="ROK10" s="316"/>
      <c r="ROL10" s="316"/>
      <c r="ROM10" s="316"/>
      <c r="RON10" s="316"/>
      <c r="ROO10" s="316"/>
      <c r="ROP10" s="316"/>
      <c r="ROQ10" s="316"/>
      <c r="ROR10" s="316"/>
      <c r="ROS10" s="316"/>
      <c r="ROT10" s="316"/>
      <c r="ROU10" s="316"/>
      <c r="ROV10" s="316"/>
      <c r="ROW10" s="316"/>
      <c r="ROX10" s="316"/>
      <c r="ROY10" s="316"/>
      <c r="ROZ10" s="316"/>
      <c r="RPA10" s="316"/>
      <c r="RPB10" s="316"/>
      <c r="RPC10" s="316"/>
      <c r="RPD10" s="316"/>
      <c r="RPE10" s="316"/>
      <c r="RPF10" s="316"/>
      <c r="RPG10" s="316"/>
      <c r="RPH10" s="316"/>
      <c r="RPI10" s="316"/>
      <c r="RPJ10" s="316"/>
      <c r="RPK10" s="316"/>
      <c r="RPL10" s="316"/>
      <c r="RPM10" s="316"/>
      <c r="RPN10" s="316"/>
      <c r="RPO10" s="316"/>
      <c r="RPP10" s="316"/>
      <c r="RPQ10" s="316"/>
      <c r="RPR10" s="316"/>
      <c r="RPS10" s="316"/>
      <c r="RPT10" s="316"/>
      <c r="RPU10" s="316"/>
      <c r="RPV10" s="316"/>
      <c r="RPW10" s="316"/>
      <c r="RPX10" s="316"/>
      <c r="RPY10" s="316"/>
      <c r="RPZ10" s="316"/>
      <c r="RQA10" s="316"/>
      <c r="RQB10" s="316"/>
      <c r="RQC10" s="316"/>
      <c r="RQD10" s="316"/>
      <c r="RQE10" s="316"/>
      <c r="RQF10" s="316"/>
      <c r="RQG10" s="316"/>
      <c r="RQH10" s="316"/>
      <c r="RQI10" s="316"/>
      <c r="RQJ10" s="316"/>
      <c r="RQK10" s="316"/>
      <c r="RQL10" s="316"/>
      <c r="RQM10" s="316"/>
      <c r="RQN10" s="316"/>
      <c r="RQO10" s="316"/>
      <c r="RQP10" s="316"/>
      <c r="RQQ10" s="316"/>
      <c r="RQR10" s="316"/>
      <c r="RQS10" s="316"/>
      <c r="RQT10" s="316"/>
      <c r="RQU10" s="316"/>
      <c r="RQV10" s="316"/>
      <c r="RQW10" s="316"/>
      <c r="RQX10" s="316"/>
      <c r="RQY10" s="316"/>
      <c r="RQZ10" s="316"/>
      <c r="RRA10" s="316"/>
      <c r="RRB10" s="316"/>
      <c r="RRC10" s="316"/>
      <c r="RRD10" s="316"/>
      <c r="RRE10" s="316"/>
      <c r="RRF10" s="316"/>
      <c r="RRG10" s="316"/>
      <c r="RRH10" s="316"/>
      <c r="RRI10" s="316"/>
      <c r="RRJ10" s="316"/>
      <c r="RRK10" s="316"/>
      <c r="RRL10" s="316"/>
      <c r="RRM10" s="316"/>
      <c r="RRN10" s="316"/>
      <c r="RRO10" s="316"/>
      <c r="RRP10" s="316"/>
      <c r="RRQ10" s="316"/>
      <c r="RRR10" s="316"/>
      <c r="RRS10" s="316"/>
      <c r="RRT10" s="316"/>
      <c r="RRU10" s="316"/>
      <c r="RRV10" s="316"/>
      <c r="RRW10" s="316"/>
      <c r="RRX10" s="316"/>
      <c r="RRY10" s="316"/>
      <c r="RRZ10" s="316"/>
      <c r="RSA10" s="316"/>
      <c r="RSB10" s="316"/>
      <c r="RSC10" s="316"/>
      <c r="RSD10" s="316"/>
      <c r="RSE10" s="316"/>
      <c r="RSF10" s="316"/>
      <c r="RSG10" s="316"/>
      <c r="RSH10" s="316"/>
      <c r="RSI10" s="316"/>
      <c r="RSJ10" s="316"/>
      <c r="RSK10" s="316"/>
      <c r="RSL10" s="316"/>
      <c r="RSM10" s="316"/>
      <c r="RSN10" s="316"/>
      <c r="RSO10" s="316"/>
      <c r="RSP10" s="316"/>
      <c r="RSQ10" s="316"/>
      <c r="RSR10" s="316"/>
      <c r="RSS10" s="316"/>
      <c r="RST10" s="316"/>
      <c r="RSU10" s="316"/>
      <c r="RSV10" s="316"/>
      <c r="RSW10" s="316"/>
      <c r="RSX10" s="316"/>
      <c r="RSY10" s="316"/>
      <c r="RSZ10" s="316"/>
      <c r="RTA10" s="316"/>
      <c r="RTB10" s="316"/>
      <c r="RTC10" s="316"/>
      <c r="RTD10" s="316"/>
      <c r="RTE10" s="316"/>
      <c r="RTF10" s="316"/>
      <c r="RTG10" s="316"/>
      <c r="RTH10" s="316"/>
      <c r="RTI10" s="316"/>
      <c r="RTJ10" s="316"/>
      <c r="RTK10" s="316"/>
      <c r="RTL10" s="316"/>
      <c r="RTM10" s="316"/>
      <c r="RTN10" s="316"/>
      <c r="RTO10" s="316"/>
      <c r="RTP10" s="316"/>
      <c r="RTQ10" s="316"/>
      <c r="RTR10" s="316"/>
      <c r="RTS10" s="316"/>
      <c r="RTT10" s="316"/>
      <c r="RTU10" s="316"/>
      <c r="RTV10" s="316"/>
      <c r="RTW10" s="316"/>
      <c r="RTX10" s="316"/>
      <c r="RTY10" s="316"/>
      <c r="RTZ10" s="316"/>
      <c r="RUA10" s="316"/>
      <c r="RUB10" s="316"/>
      <c r="RUC10" s="316"/>
      <c r="RUD10" s="316"/>
      <c r="RUE10" s="316"/>
      <c r="RUF10" s="316"/>
      <c r="RUG10" s="316"/>
      <c r="RUH10" s="316"/>
      <c r="RUI10" s="316"/>
      <c r="RUJ10" s="316"/>
      <c r="RUK10" s="316"/>
      <c r="RUL10" s="316"/>
      <c r="RUM10" s="316"/>
      <c r="RUN10" s="316"/>
      <c r="RUO10" s="316"/>
      <c r="RUP10" s="316"/>
      <c r="RUQ10" s="316"/>
      <c r="RUR10" s="316"/>
      <c r="RUS10" s="316"/>
      <c r="RUT10" s="316"/>
      <c r="RUU10" s="316"/>
      <c r="RUV10" s="316"/>
      <c r="RUW10" s="316"/>
      <c r="RUX10" s="316"/>
      <c r="RUY10" s="316"/>
      <c r="RUZ10" s="316"/>
      <c r="RVA10" s="316"/>
      <c r="RVB10" s="316"/>
      <c r="RVC10" s="316"/>
      <c r="RVD10" s="316"/>
      <c r="RVE10" s="316"/>
      <c r="RVF10" s="316"/>
      <c r="RVG10" s="316"/>
      <c r="RVH10" s="316"/>
      <c r="RVI10" s="316"/>
      <c r="RVJ10" s="316"/>
      <c r="RVK10" s="316"/>
      <c r="RVL10" s="316"/>
      <c r="RVM10" s="316"/>
      <c r="RVN10" s="316"/>
      <c r="RVO10" s="316"/>
      <c r="RVP10" s="316"/>
      <c r="RVQ10" s="316"/>
      <c r="RVR10" s="316"/>
      <c r="RVS10" s="316"/>
      <c r="RVT10" s="316"/>
      <c r="RVU10" s="316"/>
      <c r="RVV10" s="316"/>
      <c r="RVW10" s="316"/>
      <c r="RVX10" s="316"/>
      <c r="RVY10" s="316"/>
      <c r="RVZ10" s="316"/>
      <c r="RWA10" s="316"/>
      <c r="RWB10" s="316"/>
      <c r="RWC10" s="316"/>
      <c r="RWD10" s="316"/>
      <c r="RWE10" s="316"/>
      <c r="RWF10" s="316"/>
      <c r="RWG10" s="316"/>
      <c r="RWH10" s="316"/>
      <c r="RWI10" s="316"/>
      <c r="RWJ10" s="316"/>
      <c r="RWK10" s="316"/>
      <c r="RWL10" s="316"/>
      <c r="RWM10" s="316"/>
      <c r="RWN10" s="316"/>
      <c r="RWO10" s="316"/>
      <c r="RWP10" s="316"/>
      <c r="RWQ10" s="316"/>
      <c r="RWR10" s="316"/>
      <c r="RWS10" s="316"/>
      <c r="RWT10" s="316"/>
      <c r="RWU10" s="316"/>
      <c r="RWV10" s="316"/>
      <c r="RWW10" s="316"/>
      <c r="RWX10" s="316"/>
      <c r="RWY10" s="316"/>
      <c r="RWZ10" s="316"/>
      <c r="RXA10" s="316"/>
      <c r="RXB10" s="316"/>
      <c r="RXC10" s="316"/>
      <c r="RXD10" s="316"/>
      <c r="RXE10" s="316"/>
      <c r="RXF10" s="316"/>
      <c r="RXG10" s="316"/>
      <c r="RXH10" s="316"/>
      <c r="RXI10" s="316"/>
      <c r="RXJ10" s="316"/>
      <c r="RXK10" s="316"/>
      <c r="RXL10" s="316"/>
      <c r="RXM10" s="316"/>
      <c r="RXN10" s="316"/>
      <c r="RXO10" s="316"/>
      <c r="RXP10" s="316"/>
      <c r="RXQ10" s="316"/>
      <c r="RXR10" s="316"/>
      <c r="RXS10" s="316"/>
      <c r="RXT10" s="316"/>
      <c r="RXU10" s="316"/>
      <c r="RXV10" s="316"/>
      <c r="RXW10" s="316"/>
      <c r="RXX10" s="316"/>
      <c r="RXY10" s="316"/>
      <c r="RXZ10" s="316"/>
      <c r="RYA10" s="316"/>
      <c r="RYB10" s="316"/>
      <c r="RYC10" s="316"/>
      <c r="RYD10" s="316"/>
      <c r="RYE10" s="316"/>
      <c r="RYF10" s="316"/>
      <c r="RYG10" s="316"/>
      <c r="RYH10" s="316"/>
      <c r="RYI10" s="316"/>
      <c r="RYJ10" s="316"/>
      <c r="RYK10" s="316"/>
      <c r="RYL10" s="316"/>
      <c r="RYM10" s="316"/>
      <c r="RYN10" s="316"/>
      <c r="RYO10" s="316"/>
      <c r="RYP10" s="316"/>
      <c r="RYQ10" s="316"/>
      <c r="RYR10" s="316"/>
      <c r="RYS10" s="316"/>
      <c r="RYT10" s="316"/>
      <c r="RYU10" s="316"/>
      <c r="RYV10" s="316"/>
      <c r="RYW10" s="316"/>
      <c r="RYX10" s="316"/>
      <c r="RYY10" s="316"/>
      <c r="RYZ10" s="316"/>
      <c r="RZA10" s="316"/>
      <c r="RZB10" s="316"/>
      <c r="RZC10" s="316"/>
      <c r="RZD10" s="316"/>
      <c r="RZE10" s="316"/>
      <c r="RZF10" s="316"/>
      <c r="RZG10" s="316"/>
      <c r="RZH10" s="316"/>
      <c r="RZI10" s="316"/>
      <c r="RZJ10" s="316"/>
      <c r="RZK10" s="316"/>
      <c r="RZL10" s="316"/>
      <c r="RZM10" s="316"/>
      <c r="RZN10" s="316"/>
      <c r="RZO10" s="316"/>
      <c r="RZP10" s="316"/>
      <c r="RZQ10" s="316"/>
      <c r="RZR10" s="316"/>
      <c r="RZS10" s="316"/>
      <c r="RZT10" s="316"/>
      <c r="RZU10" s="316"/>
      <c r="RZV10" s="316"/>
      <c r="RZW10" s="316"/>
      <c r="RZX10" s="316"/>
      <c r="RZY10" s="316"/>
      <c r="RZZ10" s="316"/>
      <c r="SAA10" s="316"/>
      <c r="SAB10" s="316"/>
      <c r="SAC10" s="316"/>
      <c r="SAD10" s="316"/>
      <c r="SAE10" s="316"/>
      <c r="SAF10" s="316"/>
      <c r="SAG10" s="316"/>
      <c r="SAH10" s="316"/>
      <c r="SAI10" s="316"/>
      <c r="SAJ10" s="316"/>
      <c r="SAK10" s="316"/>
      <c r="SAL10" s="316"/>
      <c r="SAM10" s="316"/>
      <c r="SAN10" s="316"/>
      <c r="SAO10" s="316"/>
      <c r="SAP10" s="316"/>
      <c r="SAQ10" s="316"/>
      <c r="SAR10" s="316"/>
      <c r="SAS10" s="316"/>
      <c r="SAT10" s="316"/>
      <c r="SAU10" s="316"/>
      <c r="SAV10" s="316"/>
      <c r="SAW10" s="316"/>
      <c r="SAX10" s="316"/>
      <c r="SAY10" s="316"/>
      <c r="SAZ10" s="316"/>
      <c r="SBA10" s="316"/>
      <c r="SBB10" s="316"/>
      <c r="SBC10" s="316"/>
      <c r="SBD10" s="316"/>
      <c r="SBE10" s="316"/>
      <c r="SBF10" s="316"/>
      <c r="SBG10" s="316"/>
      <c r="SBH10" s="316"/>
      <c r="SBI10" s="316"/>
      <c r="SBJ10" s="316"/>
      <c r="SBK10" s="316"/>
      <c r="SBL10" s="316"/>
      <c r="SBM10" s="316"/>
      <c r="SBN10" s="316"/>
      <c r="SBO10" s="316"/>
      <c r="SBP10" s="316"/>
      <c r="SBQ10" s="316"/>
      <c r="SBR10" s="316"/>
      <c r="SBS10" s="316"/>
      <c r="SBT10" s="316"/>
      <c r="SBU10" s="316"/>
      <c r="SBV10" s="316"/>
      <c r="SBW10" s="316"/>
      <c r="SBX10" s="316"/>
      <c r="SBY10" s="316"/>
      <c r="SBZ10" s="316"/>
      <c r="SCA10" s="316"/>
      <c r="SCB10" s="316"/>
      <c r="SCC10" s="316"/>
      <c r="SCD10" s="316"/>
      <c r="SCE10" s="316"/>
      <c r="SCF10" s="316"/>
      <c r="SCG10" s="316"/>
      <c r="SCH10" s="316"/>
      <c r="SCI10" s="316"/>
      <c r="SCJ10" s="316"/>
      <c r="SCK10" s="316"/>
      <c r="SCL10" s="316"/>
      <c r="SCM10" s="316"/>
      <c r="SCN10" s="316"/>
      <c r="SCO10" s="316"/>
      <c r="SCP10" s="316"/>
      <c r="SCQ10" s="316"/>
      <c r="SCR10" s="316"/>
      <c r="SCS10" s="316"/>
      <c r="SCT10" s="316"/>
      <c r="SCU10" s="316"/>
      <c r="SCV10" s="316"/>
      <c r="SCW10" s="316"/>
      <c r="SCX10" s="316"/>
      <c r="SCY10" s="316"/>
      <c r="SCZ10" s="316"/>
      <c r="SDA10" s="316"/>
      <c r="SDB10" s="316"/>
      <c r="SDC10" s="316"/>
      <c r="SDD10" s="316"/>
      <c r="SDE10" s="316"/>
      <c r="SDF10" s="316"/>
      <c r="SDG10" s="316"/>
      <c r="SDH10" s="316"/>
      <c r="SDI10" s="316"/>
      <c r="SDJ10" s="316"/>
      <c r="SDK10" s="316"/>
      <c r="SDL10" s="316"/>
      <c r="SDM10" s="316"/>
      <c r="SDN10" s="316"/>
      <c r="SDO10" s="316"/>
      <c r="SDP10" s="316"/>
      <c r="SDQ10" s="316"/>
      <c r="SDR10" s="316"/>
      <c r="SDS10" s="316"/>
      <c r="SDT10" s="316"/>
      <c r="SDU10" s="316"/>
      <c r="SDV10" s="316"/>
      <c r="SDW10" s="316"/>
      <c r="SDX10" s="316"/>
      <c r="SDY10" s="316"/>
      <c r="SDZ10" s="316"/>
      <c r="SEA10" s="316"/>
      <c r="SEB10" s="316"/>
      <c r="SEC10" s="316"/>
      <c r="SED10" s="316"/>
      <c r="SEE10" s="316"/>
      <c r="SEF10" s="316"/>
      <c r="SEG10" s="316"/>
      <c r="SEH10" s="316"/>
      <c r="SEI10" s="316"/>
      <c r="SEJ10" s="316"/>
      <c r="SEK10" s="316"/>
      <c r="SEL10" s="316"/>
      <c r="SEM10" s="316"/>
      <c r="SEN10" s="316"/>
      <c r="SEO10" s="316"/>
      <c r="SEP10" s="316"/>
      <c r="SEQ10" s="316"/>
      <c r="SER10" s="316"/>
      <c r="SES10" s="316"/>
      <c r="SET10" s="316"/>
      <c r="SEU10" s="316"/>
      <c r="SEV10" s="316"/>
      <c r="SEW10" s="316"/>
      <c r="SEX10" s="316"/>
      <c r="SEY10" s="316"/>
      <c r="SEZ10" s="316"/>
      <c r="SFA10" s="316"/>
      <c r="SFB10" s="316"/>
      <c r="SFC10" s="316"/>
      <c r="SFD10" s="316"/>
      <c r="SFE10" s="316"/>
      <c r="SFF10" s="316"/>
      <c r="SFG10" s="316"/>
      <c r="SFH10" s="316"/>
      <c r="SFI10" s="316"/>
      <c r="SFJ10" s="316"/>
      <c r="SFK10" s="316"/>
      <c r="SFL10" s="316"/>
      <c r="SFM10" s="316"/>
      <c r="SFN10" s="316"/>
      <c r="SFO10" s="316"/>
      <c r="SFP10" s="316"/>
      <c r="SFQ10" s="316"/>
      <c r="SFR10" s="316"/>
      <c r="SFS10" s="316"/>
      <c r="SFT10" s="316"/>
      <c r="SFU10" s="316"/>
      <c r="SFV10" s="316"/>
      <c r="SFW10" s="316"/>
      <c r="SFX10" s="316"/>
      <c r="SFY10" s="316"/>
      <c r="SFZ10" s="316"/>
      <c r="SGA10" s="316"/>
      <c r="SGB10" s="316"/>
      <c r="SGC10" s="316"/>
      <c r="SGD10" s="316"/>
      <c r="SGE10" s="316"/>
      <c r="SGF10" s="316"/>
      <c r="SGG10" s="316"/>
      <c r="SGH10" s="316"/>
      <c r="SGI10" s="316"/>
      <c r="SGJ10" s="316"/>
      <c r="SGK10" s="316"/>
      <c r="SGL10" s="316"/>
      <c r="SGM10" s="316"/>
      <c r="SGN10" s="316"/>
      <c r="SGO10" s="316"/>
      <c r="SGP10" s="316"/>
      <c r="SGQ10" s="316"/>
      <c r="SGR10" s="316"/>
      <c r="SGS10" s="316"/>
      <c r="SGT10" s="316"/>
      <c r="SGU10" s="316"/>
      <c r="SGV10" s="316"/>
      <c r="SGW10" s="316"/>
      <c r="SGX10" s="316"/>
      <c r="SGY10" s="316"/>
      <c r="SGZ10" s="316"/>
      <c r="SHA10" s="316"/>
      <c r="SHB10" s="316"/>
      <c r="SHC10" s="316"/>
      <c r="SHD10" s="316"/>
      <c r="SHE10" s="316"/>
      <c r="SHF10" s="316"/>
      <c r="SHG10" s="316"/>
      <c r="SHH10" s="316"/>
      <c r="SHI10" s="316"/>
      <c r="SHJ10" s="316"/>
      <c r="SHK10" s="316"/>
      <c r="SHL10" s="316"/>
      <c r="SHM10" s="316"/>
      <c r="SHN10" s="316"/>
      <c r="SHO10" s="316"/>
      <c r="SHP10" s="316"/>
      <c r="SHQ10" s="316"/>
      <c r="SHR10" s="316"/>
      <c r="SHS10" s="316"/>
      <c r="SHT10" s="316"/>
      <c r="SHU10" s="316"/>
      <c r="SHV10" s="316"/>
      <c r="SHW10" s="316"/>
      <c r="SHX10" s="316"/>
      <c r="SHY10" s="316"/>
      <c r="SHZ10" s="316"/>
      <c r="SIA10" s="316"/>
      <c r="SIB10" s="316"/>
      <c r="SIC10" s="316"/>
      <c r="SID10" s="316"/>
      <c r="SIE10" s="316"/>
      <c r="SIF10" s="316"/>
      <c r="SIG10" s="316"/>
      <c r="SIH10" s="316"/>
      <c r="SII10" s="316"/>
      <c r="SIJ10" s="316"/>
      <c r="SIK10" s="316"/>
      <c r="SIL10" s="316"/>
      <c r="SIM10" s="316"/>
      <c r="SIN10" s="316"/>
      <c r="SIO10" s="316"/>
      <c r="SIP10" s="316"/>
      <c r="SIQ10" s="316"/>
      <c r="SIR10" s="316"/>
      <c r="SIS10" s="316"/>
      <c r="SIT10" s="316"/>
      <c r="SIU10" s="316"/>
      <c r="SIV10" s="316"/>
      <c r="SIW10" s="316"/>
      <c r="SIX10" s="316"/>
      <c r="SIY10" s="316"/>
      <c r="SIZ10" s="316"/>
      <c r="SJA10" s="316"/>
      <c r="SJB10" s="316"/>
      <c r="SJC10" s="316"/>
      <c r="SJD10" s="316"/>
      <c r="SJE10" s="316"/>
      <c r="SJF10" s="316"/>
      <c r="SJG10" s="316"/>
      <c r="SJH10" s="316"/>
      <c r="SJI10" s="316"/>
      <c r="SJJ10" s="316"/>
      <c r="SJK10" s="316"/>
      <c r="SJL10" s="316"/>
      <c r="SJM10" s="316"/>
      <c r="SJN10" s="316"/>
      <c r="SJO10" s="316"/>
      <c r="SJP10" s="316"/>
      <c r="SJQ10" s="316"/>
      <c r="SJR10" s="316"/>
      <c r="SJS10" s="316"/>
      <c r="SJT10" s="316"/>
      <c r="SJU10" s="316"/>
      <c r="SJV10" s="316"/>
      <c r="SJW10" s="316"/>
      <c r="SJX10" s="316"/>
      <c r="SJY10" s="316"/>
      <c r="SJZ10" s="316"/>
      <c r="SKA10" s="316"/>
      <c r="SKB10" s="316"/>
      <c r="SKC10" s="316"/>
      <c r="SKD10" s="316"/>
      <c r="SKE10" s="316"/>
      <c r="SKF10" s="316"/>
      <c r="SKG10" s="316"/>
      <c r="SKH10" s="316"/>
      <c r="SKI10" s="316"/>
      <c r="SKJ10" s="316"/>
      <c r="SKK10" s="316"/>
      <c r="SKL10" s="316"/>
      <c r="SKM10" s="316"/>
      <c r="SKN10" s="316"/>
      <c r="SKO10" s="316"/>
      <c r="SKP10" s="316"/>
      <c r="SKQ10" s="316"/>
      <c r="SKR10" s="316"/>
      <c r="SKS10" s="316"/>
      <c r="SKT10" s="316"/>
      <c r="SKU10" s="316"/>
      <c r="SKV10" s="316"/>
      <c r="SKW10" s="316"/>
      <c r="SKX10" s="316"/>
      <c r="SKY10" s="316"/>
      <c r="SKZ10" s="316"/>
      <c r="SLA10" s="316"/>
      <c r="SLB10" s="316"/>
      <c r="SLC10" s="316"/>
      <c r="SLD10" s="316"/>
      <c r="SLE10" s="316"/>
      <c r="SLF10" s="316"/>
      <c r="SLG10" s="316"/>
      <c r="SLH10" s="316"/>
      <c r="SLI10" s="316"/>
      <c r="SLJ10" s="316"/>
      <c r="SLK10" s="316"/>
      <c r="SLL10" s="316"/>
      <c r="SLM10" s="316"/>
      <c r="SLN10" s="316"/>
      <c r="SLO10" s="316"/>
      <c r="SLP10" s="316"/>
      <c r="SLQ10" s="316"/>
      <c r="SLR10" s="316"/>
      <c r="SLS10" s="316"/>
      <c r="SLT10" s="316"/>
      <c r="SLU10" s="316"/>
      <c r="SLV10" s="316"/>
      <c r="SLW10" s="316"/>
      <c r="SLX10" s="316"/>
      <c r="SLY10" s="316"/>
      <c r="SLZ10" s="316"/>
      <c r="SMA10" s="316"/>
      <c r="SMB10" s="316"/>
      <c r="SMC10" s="316"/>
      <c r="SMD10" s="316"/>
      <c r="SME10" s="316"/>
      <c r="SMF10" s="316"/>
      <c r="SMG10" s="316"/>
      <c r="SMH10" s="316"/>
      <c r="SMI10" s="316"/>
      <c r="SMJ10" s="316"/>
      <c r="SMK10" s="316"/>
      <c r="SML10" s="316"/>
      <c r="SMM10" s="316"/>
      <c r="SMN10" s="316"/>
      <c r="SMO10" s="316"/>
      <c r="SMP10" s="316"/>
      <c r="SMQ10" s="316"/>
      <c r="SMR10" s="316"/>
      <c r="SMS10" s="316"/>
      <c r="SMT10" s="316"/>
      <c r="SMU10" s="316"/>
      <c r="SMV10" s="316"/>
      <c r="SMW10" s="316"/>
      <c r="SMX10" s="316"/>
      <c r="SMY10" s="316"/>
      <c r="SMZ10" s="316"/>
      <c r="SNA10" s="316"/>
      <c r="SNB10" s="316"/>
      <c r="SNC10" s="316"/>
      <c r="SND10" s="316"/>
      <c r="SNE10" s="316"/>
      <c r="SNF10" s="316"/>
      <c r="SNG10" s="316"/>
      <c r="SNH10" s="316"/>
      <c r="SNI10" s="316"/>
      <c r="SNJ10" s="316"/>
      <c r="SNK10" s="316"/>
      <c r="SNL10" s="316"/>
      <c r="SNM10" s="316"/>
      <c r="SNN10" s="316"/>
      <c r="SNO10" s="316"/>
      <c r="SNP10" s="316"/>
      <c r="SNQ10" s="316"/>
      <c r="SNR10" s="316"/>
      <c r="SNS10" s="316"/>
      <c r="SNT10" s="316"/>
      <c r="SNU10" s="316"/>
      <c r="SNV10" s="316"/>
      <c r="SNW10" s="316"/>
      <c r="SNX10" s="316"/>
      <c r="SNY10" s="316"/>
      <c r="SNZ10" s="316"/>
      <c r="SOA10" s="316"/>
      <c r="SOB10" s="316"/>
      <c r="SOC10" s="316"/>
      <c r="SOD10" s="316"/>
      <c r="SOE10" s="316"/>
      <c r="SOF10" s="316"/>
      <c r="SOG10" s="316"/>
      <c r="SOH10" s="316"/>
      <c r="SOI10" s="316"/>
      <c r="SOJ10" s="316"/>
      <c r="SOK10" s="316"/>
      <c r="SOL10" s="316"/>
      <c r="SOM10" s="316"/>
      <c r="SON10" s="316"/>
      <c r="SOO10" s="316"/>
      <c r="SOP10" s="316"/>
      <c r="SOQ10" s="316"/>
      <c r="SOR10" s="316"/>
      <c r="SOS10" s="316"/>
      <c r="SOT10" s="316"/>
      <c r="SOU10" s="316"/>
      <c r="SOV10" s="316"/>
      <c r="SOW10" s="316"/>
      <c r="SOX10" s="316"/>
      <c r="SOY10" s="316"/>
      <c r="SOZ10" s="316"/>
      <c r="SPA10" s="316"/>
      <c r="SPB10" s="316"/>
      <c r="SPC10" s="316"/>
      <c r="SPD10" s="316"/>
      <c r="SPE10" s="316"/>
      <c r="SPF10" s="316"/>
      <c r="SPG10" s="316"/>
      <c r="SPH10" s="316"/>
      <c r="SPI10" s="316"/>
      <c r="SPJ10" s="316"/>
      <c r="SPK10" s="316"/>
      <c r="SPL10" s="316"/>
      <c r="SPM10" s="316"/>
      <c r="SPN10" s="316"/>
      <c r="SPO10" s="316"/>
      <c r="SPP10" s="316"/>
      <c r="SPQ10" s="316"/>
      <c r="SPR10" s="316"/>
      <c r="SPS10" s="316"/>
      <c r="SPT10" s="316"/>
      <c r="SPU10" s="316"/>
      <c r="SPV10" s="316"/>
      <c r="SPW10" s="316"/>
      <c r="SPX10" s="316"/>
      <c r="SPY10" s="316"/>
      <c r="SPZ10" s="316"/>
      <c r="SQA10" s="316"/>
      <c r="SQB10" s="316"/>
      <c r="SQC10" s="316"/>
      <c r="SQD10" s="316"/>
      <c r="SQE10" s="316"/>
      <c r="SQF10" s="316"/>
      <c r="SQG10" s="316"/>
      <c r="SQH10" s="316"/>
      <c r="SQI10" s="316"/>
      <c r="SQJ10" s="316"/>
      <c r="SQK10" s="316"/>
      <c r="SQL10" s="316"/>
      <c r="SQM10" s="316"/>
      <c r="SQN10" s="316"/>
      <c r="SQO10" s="316"/>
      <c r="SQP10" s="316"/>
      <c r="SQQ10" s="316"/>
      <c r="SQR10" s="316"/>
      <c r="SQS10" s="316"/>
      <c r="SQT10" s="316"/>
      <c r="SQU10" s="316"/>
      <c r="SQV10" s="316"/>
      <c r="SQW10" s="316"/>
      <c r="SQX10" s="316"/>
      <c r="SQY10" s="316"/>
      <c r="SQZ10" s="316"/>
      <c r="SRA10" s="316"/>
      <c r="SRB10" s="316"/>
      <c r="SRC10" s="316"/>
      <c r="SRD10" s="316"/>
      <c r="SRE10" s="316"/>
      <c r="SRF10" s="316"/>
      <c r="SRG10" s="316"/>
      <c r="SRH10" s="316"/>
      <c r="SRI10" s="316"/>
      <c r="SRJ10" s="316"/>
      <c r="SRK10" s="316"/>
      <c r="SRL10" s="316"/>
      <c r="SRM10" s="316"/>
      <c r="SRN10" s="316"/>
      <c r="SRO10" s="316"/>
      <c r="SRP10" s="316"/>
      <c r="SRQ10" s="316"/>
      <c r="SRR10" s="316"/>
      <c r="SRS10" s="316"/>
      <c r="SRT10" s="316"/>
      <c r="SRU10" s="316"/>
      <c r="SRV10" s="316"/>
      <c r="SRW10" s="316"/>
      <c r="SRX10" s="316"/>
      <c r="SRY10" s="316"/>
      <c r="SRZ10" s="316"/>
      <c r="SSA10" s="316"/>
      <c r="SSB10" s="316"/>
      <c r="SSC10" s="316"/>
      <c r="SSD10" s="316"/>
      <c r="SSE10" s="316"/>
      <c r="SSF10" s="316"/>
      <c r="SSG10" s="316"/>
      <c r="SSH10" s="316"/>
      <c r="SSI10" s="316"/>
      <c r="SSJ10" s="316"/>
      <c r="SSK10" s="316"/>
      <c r="SSL10" s="316"/>
      <c r="SSM10" s="316"/>
      <c r="SSN10" s="316"/>
      <c r="SSO10" s="316"/>
      <c r="SSP10" s="316"/>
      <c r="SSQ10" s="316"/>
      <c r="SSR10" s="316"/>
      <c r="SSS10" s="316"/>
      <c r="SST10" s="316"/>
      <c r="SSU10" s="316"/>
      <c r="SSV10" s="316"/>
      <c r="SSW10" s="316"/>
      <c r="SSX10" s="316"/>
      <c r="SSY10" s="316"/>
      <c r="SSZ10" s="316"/>
      <c r="STA10" s="316"/>
      <c r="STB10" s="316"/>
      <c r="STC10" s="316"/>
      <c r="STD10" s="316"/>
      <c r="STE10" s="316"/>
      <c r="STF10" s="316"/>
      <c r="STG10" s="316"/>
      <c r="STH10" s="316"/>
      <c r="STI10" s="316"/>
      <c r="STJ10" s="316"/>
      <c r="STK10" s="316"/>
      <c r="STL10" s="316"/>
      <c r="STM10" s="316"/>
      <c r="STN10" s="316"/>
      <c r="STO10" s="316"/>
      <c r="STP10" s="316"/>
      <c r="STQ10" s="316"/>
      <c r="STR10" s="316"/>
      <c r="STS10" s="316"/>
      <c r="STT10" s="316"/>
      <c r="STU10" s="316"/>
      <c r="STV10" s="316"/>
      <c r="STW10" s="316"/>
      <c r="STX10" s="316"/>
      <c r="STY10" s="316"/>
      <c r="STZ10" s="316"/>
      <c r="SUA10" s="316"/>
      <c r="SUB10" s="316"/>
      <c r="SUC10" s="316"/>
      <c r="SUD10" s="316"/>
      <c r="SUE10" s="316"/>
      <c r="SUF10" s="316"/>
      <c r="SUG10" s="316"/>
      <c r="SUH10" s="316"/>
      <c r="SUI10" s="316"/>
      <c r="SUJ10" s="316"/>
      <c r="SUK10" s="316"/>
      <c r="SUL10" s="316"/>
      <c r="SUM10" s="316"/>
      <c r="SUN10" s="316"/>
      <c r="SUO10" s="316"/>
      <c r="SUP10" s="316"/>
      <c r="SUQ10" s="316"/>
      <c r="SUR10" s="316"/>
      <c r="SUS10" s="316"/>
      <c r="SUT10" s="316"/>
      <c r="SUU10" s="316"/>
      <c r="SUV10" s="316"/>
      <c r="SUW10" s="316"/>
      <c r="SUX10" s="316"/>
      <c r="SUY10" s="316"/>
      <c r="SUZ10" s="316"/>
      <c r="SVA10" s="316"/>
      <c r="SVB10" s="316"/>
      <c r="SVC10" s="316"/>
      <c r="SVD10" s="316"/>
      <c r="SVE10" s="316"/>
      <c r="SVF10" s="316"/>
      <c r="SVG10" s="316"/>
      <c r="SVH10" s="316"/>
      <c r="SVI10" s="316"/>
      <c r="SVJ10" s="316"/>
      <c r="SVK10" s="316"/>
      <c r="SVL10" s="316"/>
      <c r="SVM10" s="316"/>
      <c r="SVN10" s="316"/>
      <c r="SVO10" s="316"/>
      <c r="SVP10" s="316"/>
      <c r="SVQ10" s="316"/>
      <c r="SVR10" s="316"/>
      <c r="SVS10" s="316"/>
      <c r="SVT10" s="316"/>
      <c r="SVU10" s="316"/>
      <c r="SVV10" s="316"/>
      <c r="SVW10" s="316"/>
      <c r="SVX10" s="316"/>
      <c r="SVY10" s="316"/>
      <c r="SVZ10" s="316"/>
      <c r="SWA10" s="316"/>
      <c r="SWB10" s="316"/>
      <c r="SWC10" s="316"/>
      <c r="SWD10" s="316"/>
      <c r="SWE10" s="316"/>
      <c r="SWF10" s="316"/>
      <c r="SWG10" s="316"/>
      <c r="SWH10" s="316"/>
      <c r="SWI10" s="316"/>
      <c r="SWJ10" s="316"/>
      <c r="SWK10" s="316"/>
      <c r="SWL10" s="316"/>
      <c r="SWM10" s="316"/>
      <c r="SWN10" s="316"/>
      <c r="SWO10" s="316"/>
      <c r="SWP10" s="316"/>
      <c r="SWQ10" s="316"/>
      <c r="SWR10" s="316"/>
      <c r="SWS10" s="316"/>
      <c r="SWT10" s="316"/>
      <c r="SWU10" s="316"/>
      <c r="SWV10" s="316"/>
      <c r="SWW10" s="316"/>
      <c r="SWX10" s="316"/>
      <c r="SWY10" s="316"/>
      <c r="SWZ10" s="316"/>
      <c r="SXA10" s="316"/>
      <c r="SXB10" s="316"/>
      <c r="SXC10" s="316"/>
      <c r="SXD10" s="316"/>
      <c r="SXE10" s="316"/>
      <c r="SXF10" s="316"/>
      <c r="SXG10" s="316"/>
      <c r="SXH10" s="316"/>
      <c r="SXI10" s="316"/>
      <c r="SXJ10" s="316"/>
      <c r="SXK10" s="316"/>
      <c r="SXL10" s="316"/>
      <c r="SXM10" s="316"/>
      <c r="SXN10" s="316"/>
      <c r="SXO10" s="316"/>
      <c r="SXP10" s="316"/>
      <c r="SXQ10" s="316"/>
      <c r="SXR10" s="316"/>
      <c r="SXS10" s="316"/>
      <c r="SXT10" s="316"/>
      <c r="SXU10" s="316"/>
      <c r="SXV10" s="316"/>
      <c r="SXW10" s="316"/>
      <c r="SXX10" s="316"/>
      <c r="SXY10" s="316"/>
      <c r="SXZ10" s="316"/>
      <c r="SYA10" s="316"/>
      <c r="SYB10" s="316"/>
      <c r="SYC10" s="316"/>
      <c r="SYD10" s="316"/>
      <c r="SYE10" s="316"/>
      <c r="SYF10" s="316"/>
      <c r="SYG10" s="316"/>
      <c r="SYH10" s="316"/>
      <c r="SYI10" s="316"/>
      <c r="SYJ10" s="316"/>
      <c r="SYK10" s="316"/>
      <c r="SYL10" s="316"/>
      <c r="SYM10" s="316"/>
      <c r="SYN10" s="316"/>
      <c r="SYO10" s="316"/>
      <c r="SYP10" s="316"/>
      <c r="SYQ10" s="316"/>
      <c r="SYR10" s="316"/>
      <c r="SYS10" s="316"/>
      <c r="SYT10" s="316"/>
      <c r="SYU10" s="316"/>
      <c r="SYV10" s="316"/>
      <c r="SYW10" s="316"/>
      <c r="SYX10" s="316"/>
      <c r="SYY10" s="316"/>
      <c r="SYZ10" s="316"/>
      <c r="SZA10" s="316"/>
      <c r="SZB10" s="316"/>
      <c r="SZC10" s="316"/>
      <c r="SZD10" s="316"/>
      <c r="SZE10" s="316"/>
      <c r="SZF10" s="316"/>
      <c r="SZG10" s="316"/>
      <c r="SZH10" s="316"/>
      <c r="SZI10" s="316"/>
      <c r="SZJ10" s="316"/>
      <c r="SZK10" s="316"/>
      <c r="SZL10" s="316"/>
      <c r="SZM10" s="316"/>
      <c r="SZN10" s="316"/>
      <c r="SZO10" s="316"/>
      <c r="SZP10" s="316"/>
      <c r="SZQ10" s="316"/>
      <c r="SZR10" s="316"/>
      <c r="SZS10" s="316"/>
      <c r="SZT10" s="316"/>
      <c r="SZU10" s="316"/>
      <c r="SZV10" s="316"/>
      <c r="SZW10" s="316"/>
      <c r="SZX10" s="316"/>
      <c r="SZY10" s="316"/>
      <c r="SZZ10" s="316"/>
      <c r="TAA10" s="316"/>
      <c r="TAB10" s="316"/>
      <c r="TAC10" s="316"/>
      <c r="TAD10" s="316"/>
      <c r="TAE10" s="316"/>
      <c r="TAF10" s="316"/>
      <c r="TAG10" s="316"/>
      <c r="TAH10" s="316"/>
      <c r="TAI10" s="316"/>
      <c r="TAJ10" s="316"/>
      <c r="TAK10" s="316"/>
      <c r="TAL10" s="316"/>
      <c r="TAM10" s="316"/>
      <c r="TAN10" s="316"/>
      <c r="TAO10" s="316"/>
      <c r="TAP10" s="316"/>
      <c r="TAQ10" s="316"/>
      <c r="TAR10" s="316"/>
      <c r="TAS10" s="316"/>
      <c r="TAT10" s="316"/>
      <c r="TAU10" s="316"/>
      <c r="TAV10" s="316"/>
      <c r="TAW10" s="316"/>
      <c r="TAX10" s="316"/>
      <c r="TAY10" s="316"/>
      <c r="TAZ10" s="316"/>
      <c r="TBA10" s="316"/>
      <c r="TBB10" s="316"/>
      <c r="TBC10" s="316"/>
      <c r="TBD10" s="316"/>
      <c r="TBE10" s="316"/>
      <c r="TBF10" s="316"/>
      <c r="TBG10" s="316"/>
      <c r="TBH10" s="316"/>
      <c r="TBI10" s="316"/>
      <c r="TBJ10" s="316"/>
      <c r="TBK10" s="316"/>
      <c r="TBL10" s="316"/>
      <c r="TBM10" s="316"/>
      <c r="TBN10" s="316"/>
      <c r="TBO10" s="316"/>
      <c r="TBP10" s="316"/>
      <c r="TBQ10" s="316"/>
      <c r="TBR10" s="316"/>
      <c r="TBS10" s="316"/>
      <c r="TBT10" s="316"/>
      <c r="TBU10" s="316"/>
      <c r="TBV10" s="316"/>
      <c r="TBW10" s="316"/>
      <c r="TBX10" s="316"/>
      <c r="TBY10" s="316"/>
      <c r="TBZ10" s="316"/>
      <c r="TCA10" s="316"/>
      <c r="TCB10" s="316"/>
      <c r="TCC10" s="316"/>
      <c r="TCD10" s="316"/>
      <c r="TCE10" s="316"/>
      <c r="TCF10" s="316"/>
      <c r="TCG10" s="316"/>
      <c r="TCH10" s="316"/>
      <c r="TCI10" s="316"/>
      <c r="TCJ10" s="316"/>
      <c r="TCK10" s="316"/>
      <c r="TCL10" s="316"/>
      <c r="TCM10" s="316"/>
      <c r="TCN10" s="316"/>
      <c r="TCO10" s="316"/>
      <c r="TCP10" s="316"/>
      <c r="TCQ10" s="316"/>
      <c r="TCR10" s="316"/>
      <c r="TCS10" s="316"/>
      <c r="TCT10" s="316"/>
      <c r="TCU10" s="316"/>
      <c r="TCV10" s="316"/>
      <c r="TCW10" s="316"/>
      <c r="TCX10" s="316"/>
      <c r="TCY10" s="316"/>
      <c r="TCZ10" s="316"/>
      <c r="TDA10" s="316"/>
      <c r="TDB10" s="316"/>
      <c r="TDC10" s="316"/>
      <c r="TDD10" s="316"/>
      <c r="TDE10" s="316"/>
      <c r="TDF10" s="316"/>
      <c r="TDG10" s="316"/>
      <c r="TDH10" s="316"/>
      <c r="TDI10" s="316"/>
      <c r="TDJ10" s="316"/>
      <c r="TDK10" s="316"/>
      <c r="TDL10" s="316"/>
      <c r="TDM10" s="316"/>
      <c r="TDN10" s="316"/>
      <c r="TDO10" s="316"/>
      <c r="TDP10" s="316"/>
      <c r="TDQ10" s="316"/>
      <c r="TDR10" s="316"/>
      <c r="TDS10" s="316"/>
      <c r="TDT10" s="316"/>
      <c r="TDU10" s="316"/>
      <c r="TDV10" s="316"/>
      <c r="TDW10" s="316"/>
      <c r="TDX10" s="316"/>
      <c r="TDY10" s="316"/>
      <c r="TDZ10" s="316"/>
      <c r="TEA10" s="316"/>
      <c r="TEB10" s="316"/>
      <c r="TEC10" s="316"/>
      <c r="TED10" s="316"/>
      <c r="TEE10" s="316"/>
      <c r="TEF10" s="316"/>
      <c r="TEG10" s="316"/>
      <c r="TEH10" s="316"/>
      <c r="TEI10" s="316"/>
      <c r="TEJ10" s="316"/>
      <c r="TEK10" s="316"/>
      <c r="TEL10" s="316"/>
      <c r="TEM10" s="316"/>
      <c r="TEN10" s="316"/>
      <c r="TEO10" s="316"/>
      <c r="TEP10" s="316"/>
      <c r="TEQ10" s="316"/>
      <c r="TER10" s="316"/>
      <c r="TES10" s="316"/>
      <c r="TET10" s="316"/>
      <c r="TEU10" s="316"/>
      <c r="TEV10" s="316"/>
      <c r="TEW10" s="316"/>
      <c r="TEX10" s="316"/>
      <c r="TEY10" s="316"/>
      <c r="TEZ10" s="316"/>
      <c r="TFA10" s="316"/>
      <c r="TFB10" s="316"/>
      <c r="TFC10" s="316"/>
      <c r="TFD10" s="316"/>
      <c r="TFE10" s="316"/>
      <c r="TFF10" s="316"/>
      <c r="TFG10" s="316"/>
      <c r="TFH10" s="316"/>
      <c r="TFI10" s="316"/>
      <c r="TFJ10" s="316"/>
      <c r="TFK10" s="316"/>
      <c r="TFL10" s="316"/>
      <c r="TFM10" s="316"/>
      <c r="TFN10" s="316"/>
      <c r="TFO10" s="316"/>
      <c r="TFP10" s="316"/>
      <c r="TFQ10" s="316"/>
      <c r="TFR10" s="316"/>
      <c r="TFS10" s="316"/>
      <c r="TFT10" s="316"/>
      <c r="TFU10" s="316"/>
      <c r="TFV10" s="316"/>
      <c r="TFW10" s="316"/>
      <c r="TFX10" s="316"/>
      <c r="TFY10" s="316"/>
      <c r="TFZ10" s="316"/>
      <c r="TGA10" s="316"/>
      <c r="TGB10" s="316"/>
      <c r="TGC10" s="316"/>
      <c r="TGD10" s="316"/>
      <c r="TGE10" s="316"/>
      <c r="TGF10" s="316"/>
      <c r="TGG10" s="316"/>
      <c r="TGH10" s="316"/>
      <c r="TGI10" s="316"/>
      <c r="TGJ10" s="316"/>
      <c r="TGK10" s="316"/>
      <c r="TGL10" s="316"/>
      <c r="TGM10" s="316"/>
      <c r="TGN10" s="316"/>
      <c r="TGO10" s="316"/>
      <c r="TGP10" s="316"/>
      <c r="TGQ10" s="316"/>
      <c r="TGR10" s="316"/>
      <c r="TGS10" s="316"/>
      <c r="TGT10" s="316"/>
      <c r="TGU10" s="316"/>
      <c r="TGV10" s="316"/>
      <c r="TGW10" s="316"/>
      <c r="TGX10" s="316"/>
      <c r="TGY10" s="316"/>
      <c r="TGZ10" s="316"/>
      <c r="THA10" s="316"/>
      <c r="THB10" s="316"/>
      <c r="THC10" s="316"/>
      <c r="THD10" s="316"/>
      <c r="THE10" s="316"/>
      <c r="THF10" s="316"/>
      <c r="THG10" s="316"/>
      <c r="THH10" s="316"/>
      <c r="THI10" s="316"/>
      <c r="THJ10" s="316"/>
      <c r="THK10" s="316"/>
      <c r="THL10" s="316"/>
      <c r="THM10" s="316"/>
      <c r="THN10" s="316"/>
      <c r="THO10" s="316"/>
      <c r="THP10" s="316"/>
      <c r="THQ10" s="316"/>
      <c r="THR10" s="316"/>
      <c r="THS10" s="316"/>
      <c r="THT10" s="316"/>
      <c r="THU10" s="316"/>
      <c r="THV10" s="316"/>
      <c r="THW10" s="316"/>
      <c r="THX10" s="316"/>
      <c r="THY10" s="316"/>
      <c r="THZ10" s="316"/>
      <c r="TIA10" s="316"/>
      <c r="TIB10" s="316"/>
      <c r="TIC10" s="316"/>
      <c r="TID10" s="316"/>
      <c r="TIE10" s="316"/>
      <c r="TIF10" s="316"/>
      <c r="TIG10" s="316"/>
      <c r="TIH10" s="316"/>
      <c r="TII10" s="316"/>
      <c r="TIJ10" s="316"/>
      <c r="TIK10" s="316"/>
      <c r="TIL10" s="316"/>
      <c r="TIM10" s="316"/>
      <c r="TIN10" s="316"/>
      <c r="TIO10" s="316"/>
      <c r="TIP10" s="316"/>
      <c r="TIQ10" s="316"/>
      <c r="TIR10" s="316"/>
      <c r="TIS10" s="316"/>
      <c r="TIT10" s="316"/>
      <c r="TIU10" s="316"/>
      <c r="TIV10" s="316"/>
      <c r="TIW10" s="316"/>
      <c r="TIX10" s="316"/>
      <c r="TIY10" s="316"/>
      <c r="TIZ10" s="316"/>
      <c r="TJA10" s="316"/>
      <c r="TJB10" s="316"/>
      <c r="TJC10" s="316"/>
      <c r="TJD10" s="316"/>
      <c r="TJE10" s="316"/>
      <c r="TJF10" s="316"/>
      <c r="TJG10" s="316"/>
      <c r="TJH10" s="316"/>
      <c r="TJI10" s="316"/>
      <c r="TJJ10" s="316"/>
      <c r="TJK10" s="316"/>
      <c r="TJL10" s="316"/>
      <c r="TJM10" s="316"/>
      <c r="TJN10" s="316"/>
      <c r="TJO10" s="316"/>
      <c r="TJP10" s="316"/>
      <c r="TJQ10" s="316"/>
      <c r="TJR10" s="316"/>
      <c r="TJS10" s="316"/>
      <c r="TJT10" s="316"/>
      <c r="TJU10" s="316"/>
      <c r="TJV10" s="316"/>
      <c r="TJW10" s="316"/>
      <c r="TJX10" s="316"/>
      <c r="TJY10" s="316"/>
      <c r="TJZ10" s="316"/>
      <c r="TKA10" s="316"/>
      <c r="TKB10" s="316"/>
      <c r="TKC10" s="316"/>
      <c r="TKD10" s="316"/>
      <c r="TKE10" s="316"/>
      <c r="TKF10" s="316"/>
      <c r="TKG10" s="316"/>
      <c r="TKH10" s="316"/>
      <c r="TKI10" s="316"/>
      <c r="TKJ10" s="316"/>
      <c r="TKK10" s="316"/>
      <c r="TKL10" s="316"/>
      <c r="TKM10" s="316"/>
      <c r="TKN10" s="316"/>
      <c r="TKO10" s="316"/>
      <c r="TKP10" s="316"/>
      <c r="TKQ10" s="316"/>
      <c r="TKR10" s="316"/>
      <c r="TKS10" s="316"/>
      <c r="TKT10" s="316"/>
      <c r="TKU10" s="316"/>
      <c r="TKV10" s="316"/>
      <c r="TKW10" s="316"/>
      <c r="TKX10" s="316"/>
      <c r="TKY10" s="316"/>
      <c r="TKZ10" s="316"/>
      <c r="TLA10" s="316"/>
      <c r="TLB10" s="316"/>
      <c r="TLC10" s="316"/>
      <c r="TLD10" s="316"/>
      <c r="TLE10" s="316"/>
      <c r="TLF10" s="316"/>
      <c r="TLG10" s="316"/>
      <c r="TLH10" s="316"/>
      <c r="TLI10" s="316"/>
      <c r="TLJ10" s="316"/>
      <c r="TLK10" s="316"/>
      <c r="TLL10" s="316"/>
      <c r="TLM10" s="316"/>
      <c r="TLN10" s="316"/>
      <c r="TLO10" s="316"/>
      <c r="TLP10" s="316"/>
      <c r="TLQ10" s="316"/>
      <c r="TLR10" s="316"/>
      <c r="TLS10" s="316"/>
      <c r="TLT10" s="316"/>
      <c r="TLU10" s="316"/>
      <c r="TLV10" s="316"/>
      <c r="TLW10" s="316"/>
      <c r="TLX10" s="316"/>
      <c r="TLY10" s="316"/>
      <c r="TLZ10" s="316"/>
      <c r="TMA10" s="316"/>
      <c r="TMB10" s="316"/>
      <c r="TMC10" s="316"/>
      <c r="TMD10" s="316"/>
      <c r="TME10" s="316"/>
      <c r="TMF10" s="316"/>
      <c r="TMG10" s="316"/>
      <c r="TMH10" s="316"/>
      <c r="TMI10" s="316"/>
      <c r="TMJ10" s="316"/>
      <c r="TMK10" s="316"/>
      <c r="TML10" s="316"/>
      <c r="TMM10" s="316"/>
      <c r="TMN10" s="316"/>
      <c r="TMO10" s="316"/>
      <c r="TMP10" s="316"/>
      <c r="TMQ10" s="316"/>
      <c r="TMR10" s="316"/>
      <c r="TMS10" s="316"/>
      <c r="TMT10" s="316"/>
      <c r="TMU10" s="316"/>
      <c r="TMV10" s="316"/>
      <c r="TMW10" s="316"/>
      <c r="TMX10" s="316"/>
      <c r="TMY10" s="316"/>
      <c r="TMZ10" s="316"/>
      <c r="TNA10" s="316"/>
      <c r="TNB10" s="316"/>
      <c r="TNC10" s="316"/>
      <c r="TND10" s="316"/>
      <c r="TNE10" s="316"/>
      <c r="TNF10" s="316"/>
      <c r="TNG10" s="316"/>
      <c r="TNH10" s="316"/>
      <c r="TNI10" s="316"/>
      <c r="TNJ10" s="316"/>
      <c r="TNK10" s="316"/>
      <c r="TNL10" s="316"/>
      <c r="TNM10" s="316"/>
      <c r="TNN10" s="316"/>
      <c r="TNO10" s="316"/>
      <c r="TNP10" s="316"/>
      <c r="TNQ10" s="316"/>
      <c r="TNR10" s="316"/>
      <c r="TNS10" s="316"/>
      <c r="TNT10" s="316"/>
      <c r="TNU10" s="316"/>
      <c r="TNV10" s="316"/>
      <c r="TNW10" s="316"/>
      <c r="TNX10" s="316"/>
      <c r="TNY10" s="316"/>
      <c r="TNZ10" s="316"/>
      <c r="TOA10" s="316"/>
      <c r="TOB10" s="316"/>
      <c r="TOC10" s="316"/>
      <c r="TOD10" s="316"/>
      <c r="TOE10" s="316"/>
      <c r="TOF10" s="316"/>
      <c r="TOG10" s="316"/>
      <c r="TOH10" s="316"/>
      <c r="TOI10" s="316"/>
      <c r="TOJ10" s="316"/>
      <c r="TOK10" s="316"/>
      <c r="TOL10" s="316"/>
      <c r="TOM10" s="316"/>
      <c r="TON10" s="316"/>
      <c r="TOO10" s="316"/>
      <c r="TOP10" s="316"/>
      <c r="TOQ10" s="316"/>
      <c r="TOR10" s="316"/>
      <c r="TOS10" s="316"/>
      <c r="TOT10" s="316"/>
      <c r="TOU10" s="316"/>
      <c r="TOV10" s="316"/>
      <c r="TOW10" s="316"/>
      <c r="TOX10" s="316"/>
      <c r="TOY10" s="316"/>
      <c r="TOZ10" s="316"/>
      <c r="TPA10" s="316"/>
      <c r="TPB10" s="316"/>
      <c r="TPC10" s="316"/>
      <c r="TPD10" s="316"/>
      <c r="TPE10" s="316"/>
      <c r="TPF10" s="316"/>
      <c r="TPG10" s="316"/>
      <c r="TPH10" s="316"/>
      <c r="TPI10" s="316"/>
      <c r="TPJ10" s="316"/>
      <c r="TPK10" s="316"/>
      <c r="TPL10" s="316"/>
      <c r="TPM10" s="316"/>
      <c r="TPN10" s="316"/>
      <c r="TPO10" s="316"/>
      <c r="TPP10" s="316"/>
      <c r="TPQ10" s="316"/>
      <c r="TPR10" s="316"/>
      <c r="TPS10" s="316"/>
      <c r="TPT10" s="316"/>
      <c r="TPU10" s="316"/>
      <c r="TPV10" s="316"/>
      <c r="TPW10" s="316"/>
      <c r="TPX10" s="316"/>
      <c r="TPY10" s="316"/>
      <c r="TPZ10" s="316"/>
      <c r="TQA10" s="316"/>
      <c r="TQB10" s="316"/>
      <c r="TQC10" s="316"/>
      <c r="TQD10" s="316"/>
      <c r="TQE10" s="316"/>
      <c r="TQF10" s="316"/>
      <c r="TQG10" s="316"/>
      <c r="TQH10" s="316"/>
      <c r="TQI10" s="316"/>
      <c r="TQJ10" s="316"/>
      <c r="TQK10" s="316"/>
      <c r="TQL10" s="316"/>
      <c r="TQM10" s="316"/>
      <c r="TQN10" s="316"/>
      <c r="TQO10" s="316"/>
      <c r="TQP10" s="316"/>
      <c r="TQQ10" s="316"/>
      <c r="TQR10" s="316"/>
      <c r="TQS10" s="316"/>
      <c r="TQT10" s="316"/>
      <c r="TQU10" s="316"/>
      <c r="TQV10" s="316"/>
      <c r="TQW10" s="316"/>
      <c r="TQX10" s="316"/>
      <c r="TQY10" s="316"/>
      <c r="TQZ10" s="316"/>
      <c r="TRA10" s="316"/>
      <c r="TRB10" s="316"/>
      <c r="TRC10" s="316"/>
      <c r="TRD10" s="316"/>
      <c r="TRE10" s="316"/>
      <c r="TRF10" s="316"/>
      <c r="TRG10" s="316"/>
      <c r="TRH10" s="316"/>
      <c r="TRI10" s="316"/>
      <c r="TRJ10" s="316"/>
      <c r="TRK10" s="316"/>
      <c r="TRL10" s="316"/>
      <c r="TRM10" s="316"/>
      <c r="TRN10" s="316"/>
      <c r="TRO10" s="316"/>
      <c r="TRP10" s="316"/>
      <c r="TRQ10" s="316"/>
      <c r="TRR10" s="316"/>
      <c r="TRS10" s="316"/>
      <c r="TRT10" s="316"/>
      <c r="TRU10" s="316"/>
      <c r="TRV10" s="316"/>
      <c r="TRW10" s="316"/>
      <c r="TRX10" s="316"/>
      <c r="TRY10" s="316"/>
      <c r="TRZ10" s="316"/>
      <c r="TSA10" s="316"/>
      <c r="TSB10" s="316"/>
      <c r="TSC10" s="316"/>
      <c r="TSD10" s="316"/>
      <c r="TSE10" s="316"/>
      <c r="TSF10" s="316"/>
      <c r="TSG10" s="316"/>
      <c r="TSH10" s="316"/>
      <c r="TSI10" s="316"/>
      <c r="TSJ10" s="316"/>
      <c r="TSK10" s="316"/>
      <c r="TSL10" s="316"/>
      <c r="TSM10" s="316"/>
      <c r="TSN10" s="316"/>
      <c r="TSO10" s="316"/>
      <c r="TSP10" s="316"/>
      <c r="TSQ10" s="316"/>
      <c r="TSR10" s="316"/>
      <c r="TSS10" s="316"/>
      <c r="TST10" s="316"/>
      <c r="TSU10" s="316"/>
      <c r="TSV10" s="316"/>
      <c r="TSW10" s="316"/>
      <c r="TSX10" s="316"/>
      <c r="TSY10" s="316"/>
      <c r="TSZ10" s="316"/>
      <c r="TTA10" s="316"/>
      <c r="TTB10" s="316"/>
      <c r="TTC10" s="316"/>
      <c r="TTD10" s="316"/>
      <c r="TTE10" s="316"/>
      <c r="TTF10" s="316"/>
      <c r="TTG10" s="316"/>
      <c r="TTH10" s="316"/>
      <c r="TTI10" s="316"/>
      <c r="TTJ10" s="316"/>
      <c r="TTK10" s="316"/>
      <c r="TTL10" s="316"/>
      <c r="TTM10" s="316"/>
      <c r="TTN10" s="316"/>
      <c r="TTO10" s="316"/>
      <c r="TTP10" s="316"/>
      <c r="TTQ10" s="316"/>
      <c r="TTR10" s="316"/>
      <c r="TTS10" s="316"/>
      <c r="TTT10" s="316"/>
      <c r="TTU10" s="316"/>
      <c r="TTV10" s="316"/>
      <c r="TTW10" s="316"/>
      <c r="TTX10" s="316"/>
      <c r="TTY10" s="316"/>
      <c r="TTZ10" s="316"/>
      <c r="TUA10" s="316"/>
      <c r="TUB10" s="316"/>
      <c r="TUC10" s="316"/>
      <c r="TUD10" s="316"/>
      <c r="TUE10" s="316"/>
      <c r="TUF10" s="316"/>
      <c r="TUG10" s="316"/>
      <c r="TUH10" s="316"/>
      <c r="TUI10" s="316"/>
      <c r="TUJ10" s="316"/>
      <c r="TUK10" s="316"/>
      <c r="TUL10" s="316"/>
      <c r="TUM10" s="316"/>
      <c r="TUN10" s="316"/>
      <c r="TUO10" s="316"/>
      <c r="TUP10" s="316"/>
      <c r="TUQ10" s="316"/>
      <c r="TUR10" s="316"/>
      <c r="TUS10" s="316"/>
      <c r="TUT10" s="316"/>
      <c r="TUU10" s="316"/>
      <c r="TUV10" s="316"/>
      <c r="TUW10" s="316"/>
      <c r="TUX10" s="316"/>
      <c r="TUY10" s="316"/>
      <c r="TUZ10" s="316"/>
      <c r="TVA10" s="316"/>
      <c r="TVB10" s="316"/>
      <c r="TVC10" s="316"/>
      <c r="TVD10" s="316"/>
      <c r="TVE10" s="316"/>
      <c r="TVF10" s="316"/>
      <c r="TVG10" s="316"/>
      <c r="TVH10" s="316"/>
      <c r="TVI10" s="316"/>
      <c r="TVJ10" s="316"/>
      <c r="TVK10" s="316"/>
      <c r="TVL10" s="316"/>
      <c r="TVM10" s="316"/>
      <c r="TVN10" s="316"/>
      <c r="TVO10" s="316"/>
      <c r="TVP10" s="316"/>
      <c r="TVQ10" s="316"/>
      <c r="TVR10" s="316"/>
      <c r="TVS10" s="316"/>
      <c r="TVT10" s="316"/>
      <c r="TVU10" s="316"/>
      <c r="TVV10" s="316"/>
      <c r="TVW10" s="316"/>
      <c r="TVX10" s="316"/>
      <c r="TVY10" s="316"/>
      <c r="TVZ10" s="316"/>
      <c r="TWA10" s="316"/>
      <c r="TWB10" s="316"/>
      <c r="TWC10" s="316"/>
      <c r="TWD10" s="316"/>
      <c r="TWE10" s="316"/>
      <c r="TWF10" s="316"/>
      <c r="TWG10" s="316"/>
      <c r="TWH10" s="316"/>
      <c r="TWI10" s="316"/>
      <c r="TWJ10" s="316"/>
      <c r="TWK10" s="316"/>
      <c r="TWL10" s="316"/>
      <c r="TWM10" s="316"/>
      <c r="TWN10" s="316"/>
      <c r="TWO10" s="316"/>
      <c r="TWP10" s="316"/>
      <c r="TWQ10" s="316"/>
      <c r="TWR10" s="316"/>
      <c r="TWS10" s="316"/>
      <c r="TWT10" s="316"/>
      <c r="TWU10" s="316"/>
      <c r="TWV10" s="316"/>
      <c r="TWW10" s="316"/>
      <c r="TWX10" s="316"/>
      <c r="TWY10" s="316"/>
      <c r="TWZ10" s="316"/>
      <c r="TXA10" s="316"/>
      <c r="TXB10" s="316"/>
      <c r="TXC10" s="316"/>
      <c r="TXD10" s="316"/>
      <c r="TXE10" s="316"/>
      <c r="TXF10" s="316"/>
      <c r="TXG10" s="316"/>
      <c r="TXH10" s="316"/>
      <c r="TXI10" s="316"/>
      <c r="TXJ10" s="316"/>
      <c r="TXK10" s="316"/>
      <c r="TXL10" s="316"/>
      <c r="TXM10" s="316"/>
      <c r="TXN10" s="316"/>
      <c r="TXO10" s="316"/>
      <c r="TXP10" s="316"/>
      <c r="TXQ10" s="316"/>
      <c r="TXR10" s="316"/>
      <c r="TXS10" s="316"/>
      <c r="TXT10" s="316"/>
      <c r="TXU10" s="316"/>
      <c r="TXV10" s="316"/>
      <c r="TXW10" s="316"/>
      <c r="TXX10" s="316"/>
      <c r="TXY10" s="316"/>
      <c r="TXZ10" s="316"/>
      <c r="TYA10" s="316"/>
      <c r="TYB10" s="316"/>
      <c r="TYC10" s="316"/>
      <c r="TYD10" s="316"/>
      <c r="TYE10" s="316"/>
      <c r="TYF10" s="316"/>
      <c r="TYG10" s="316"/>
      <c r="TYH10" s="316"/>
      <c r="TYI10" s="316"/>
      <c r="TYJ10" s="316"/>
      <c r="TYK10" s="316"/>
      <c r="TYL10" s="316"/>
      <c r="TYM10" s="316"/>
      <c r="TYN10" s="316"/>
      <c r="TYO10" s="316"/>
      <c r="TYP10" s="316"/>
      <c r="TYQ10" s="316"/>
      <c r="TYR10" s="316"/>
      <c r="TYS10" s="316"/>
      <c r="TYT10" s="316"/>
      <c r="TYU10" s="316"/>
      <c r="TYV10" s="316"/>
      <c r="TYW10" s="316"/>
      <c r="TYX10" s="316"/>
      <c r="TYY10" s="316"/>
      <c r="TYZ10" s="316"/>
      <c r="TZA10" s="316"/>
      <c r="TZB10" s="316"/>
      <c r="TZC10" s="316"/>
      <c r="TZD10" s="316"/>
      <c r="TZE10" s="316"/>
      <c r="TZF10" s="316"/>
      <c r="TZG10" s="316"/>
      <c r="TZH10" s="316"/>
      <c r="TZI10" s="316"/>
      <c r="TZJ10" s="316"/>
      <c r="TZK10" s="316"/>
      <c r="TZL10" s="316"/>
      <c r="TZM10" s="316"/>
      <c r="TZN10" s="316"/>
      <c r="TZO10" s="316"/>
      <c r="TZP10" s="316"/>
      <c r="TZQ10" s="316"/>
      <c r="TZR10" s="316"/>
      <c r="TZS10" s="316"/>
      <c r="TZT10" s="316"/>
      <c r="TZU10" s="316"/>
      <c r="TZV10" s="316"/>
      <c r="TZW10" s="316"/>
      <c r="TZX10" s="316"/>
      <c r="TZY10" s="316"/>
      <c r="TZZ10" s="316"/>
      <c r="UAA10" s="316"/>
      <c r="UAB10" s="316"/>
      <c r="UAC10" s="316"/>
      <c r="UAD10" s="316"/>
      <c r="UAE10" s="316"/>
      <c r="UAF10" s="316"/>
      <c r="UAG10" s="316"/>
      <c r="UAH10" s="316"/>
      <c r="UAI10" s="316"/>
      <c r="UAJ10" s="316"/>
      <c r="UAK10" s="316"/>
      <c r="UAL10" s="316"/>
      <c r="UAM10" s="316"/>
      <c r="UAN10" s="316"/>
      <c r="UAO10" s="316"/>
      <c r="UAP10" s="316"/>
      <c r="UAQ10" s="316"/>
      <c r="UAR10" s="316"/>
      <c r="UAS10" s="316"/>
      <c r="UAT10" s="316"/>
      <c r="UAU10" s="316"/>
      <c r="UAV10" s="316"/>
      <c r="UAW10" s="316"/>
      <c r="UAX10" s="316"/>
      <c r="UAY10" s="316"/>
      <c r="UAZ10" s="316"/>
      <c r="UBA10" s="316"/>
      <c r="UBB10" s="316"/>
      <c r="UBC10" s="316"/>
      <c r="UBD10" s="316"/>
      <c r="UBE10" s="316"/>
      <c r="UBF10" s="316"/>
      <c r="UBG10" s="316"/>
      <c r="UBH10" s="316"/>
      <c r="UBI10" s="316"/>
      <c r="UBJ10" s="316"/>
      <c r="UBK10" s="316"/>
      <c r="UBL10" s="316"/>
      <c r="UBM10" s="316"/>
      <c r="UBN10" s="316"/>
      <c r="UBO10" s="316"/>
      <c r="UBP10" s="316"/>
      <c r="UBQ10" s="316"/>
      <c r="UBR10" s="316"/>
      <c r="UBS10" s="316"/>
      <c r="UBT10" s="316"/>
      <c r="UBU10" s="316"/>
      <c r="UBV10" s="316"/>
      <c r="UBW10" s="316"/>
      <c r="UBX10" s="316"/>
      <c r="UBY10" s="316"/>
      <c r="UBZ10" s="316"/>
      <c r="UCA10" s="316"/>
      <c r="UCB10" s="316"/>
      <c r="UCC10" s="316"/>
      <c r="UCD10" s="316"/>
      <c r="UCE10" s="316"/>
      <c r="UCF10" s="316"/>
      <c r="UCG10" s="316"/>
      <c r="UCH10" s="316"/>
      <c r="UCI10" s="316"/>
      <c r="UCJ10" s="316"/>
      <c r="UCK10" s="316"/>
      <c r="UCL10" s="316"/>
      <c r="UCM10" s="316"/>
      <c r="UCN10" s="316"/>
      <c r="UCO10" s="316"/>
      <c r="UCP10" s="316"/>
      <c r="UCQ10" s="316"/>
      <c r="UCR10" s="316"/>
      <c r="UCS10" s="316"/>
      <c r="UCT10" s="316"/>
      <c r="UCU10" s="316"/>
      <c r="UCV10" s="316"/>
      <c r="UCW10" s="316"/>
      <c r="UCX10" s="316"/>
      <c r="UCY10" s="316"/>
      <c r="UCZ10" s="316"/>
      <c r="UDA10" s="316"/>
      <c r="UDB10" s="316"/>
      <c r="UDC10" s="316"/>
      <c r="UDD10" s="316"/>
      <c r="UDE10" s="316"/>
      <c r="UDF10" s="316"/>
      <c r="UDG10" s="316"/>
      <c r="UDH10" s="316"/>
      <c r="UDI10" s="316"/>
      <c r="UDJ10" s="316"/>
      <c r="UDK10" s="316"/>
      <c r="UDL10" s="316"/>
      <c r="UDM10" s="316"/>
      <c r="UDN10" s="316"/>
      <c r="UDO10" s="316"/>
      <c r="UDP10" s="316"/>
      <c r="UDQ10" s="316"/>
      <c r="UDR10" s="316"/>
      <c r="UDS10" s="316"/>
      <c r="UDT10" s="316"/>
      <c r="UDU10" s="316"/>
      <c r="UDV10" s="316"/>
      <c r="UDW10" s="316"/>
      <c r="UDX10" s="316"/>
      <c r="UDY10" s="316"/>
      <c r="UDZ10" s="316"/>
      <c r="UEA10" s="316"/>
      <c r="UEB10" s="316"/>
      <c r="UEC10" s="316"/>
      <c r="UED10" s="316"/>
      <c r="UEE10" s="316"/>
      <c r="UEF10" s="316"/>
      <c r="UEG10" s="316"/>
      <c r="UEH10" s="316"/>
      <c r="UEI10" s="316"/>
      <c r="UEJ10" s="316"/>
      <c r="UEK10" s="316"/>
      <c r="UEL10" s="316"/>
      <c r="UEM10" s="316"/>
      <c r="UEN10" s="316"/>
      <c r="UEO10" s="316"/>
      <c r="UEP10" s="316"/>
      <c r="UEQ10" s="316"/>
      <c r="UER10" s="316"/>
      <c r="UES10" s="316"/>
      <c r="UET10" s="316"/>
      <c r="UEU10" s="316"/>
      <c r="UEV10" s="316"/>
      <c r="UEW10" s="316"/>
      <c r="UEX10" s="316"/>
      <c r="UEY10" s="316"/>
      <c r="UEZ10" s="316"/>
      <c r="UFA10" s="316"/>
      <c r="UFB10" s="316"/>
      <c r="UFC10" s="316"/>
      <c r="UFD10" s="316"/>
      <c r="UFE10" s="316"/>
      <c r="UFF10" s="316"/>
      <c r="UFG10" s="316"/>
      <c r="UFH10" s="316"/>
      <c r="UFI10" s="316"/>
      <c r="UFJ10" s="316"/>
      <c r="UFK10" s="316"/>
      <c r="UFL10" s="316"/>
      <c r="UFM10" s="316"/>
      <c r="UFN10" s="316"/>
      <c r="UFO10" s="316"/>
      <c r="UFP10" s="316"/>
      <c r="UFQ10" s="316"/>
      <c r="UFR10" s="316"/>
      <c r="UFS10" s="316"/>
      <c r="UFT10" s="316"/>
      <c r="UFU10" s="316"/>
      <c r="UFV10" s="316"/>
      <c r="UFW10" s="316"/>
      <c r="UFX10" s="316"/>
      <c r="UFY10" s="316"/>
      <c r="UFZ10" s="316"/>
      <c r="UGA10" s="316"/>
      <c r="UGB10" s="316"/>
      <c r="UGC10" s="316"/>
      <c r="UGD10" s="316"/>
      <c r="UGE10" s="316"/>
      <c r="UGF10" s="316"/>
      <c r="UGG10" s="316"/>
      <c r="UGH10" s="316"/>
      <c r="UGI10" s="316"/>
      <c r="UGJ10" s="316"/>
      <c r="UGK10" s="316"/>
      <c r="UGL10" s="316"/>
      <c r="UGM10" s="316"/>
      <c r="UGN10" s="316"/>
      <c r="UGO10" s="316"/>
      <c r="UGP10" s="316"/>
      <c r="UGQ10" s="316"/>
      <c r="UGR10" s="316"/>
      <c r="UGS10" s="316"/>
      <c r="UGT10" s="316"/>
      <c r="UGU10" s="316"/>
      <c r="UGV10" s="316"/>
      <c r="UGW10" s="316"/>
      <c r="UGX10" s="316"/>
      <c r="UGY10" s="316"/>
      <c r="UGZ10" s="316"/>
      <c r="UHA10" s="316"/>
      <c r="UHB10" s="316"/>
      <c r="UHC10" s="316"/>
      <c r="UHD10" s="316"/>
      <c r="UHE10" s="316"/>
      <c r="UHF10" s="316"/>
      <c r="UHG10" s="316"/>
      <c r="UHH10" s="316"/>
      <c r="UHI10" s="316"/>
      <c r="UHJ10" s="316"/>
      <c r="UHK10" s="316"/>
      <c r="UHL10" s="316"/>
      <c r="UHM10" s="316"/>
      <c r="UHN10" s="316"/>
      <c r="UHO10" s="316"/>
      <c r="UHP10" s="316"/>
      <c r="UHQ10" s="316"/>
      <c r="UHR10" s="316"/>
      <c r="UHS10" s="316"/>
      <c r="UHT10" s="316"/>
      <c r="UHU10" s="316"/>
      <c r="UHV10" s="316"/>
      <c r="UHW10" s="316"/>
      <c r="UHX10" s="316"/>
      <c r="UHY10" s="316"/>
      <c r="UHZ10" s="316"/>
      <c r="UIA10" s="316"/>
      <c r="UIB10" s="316"/>
      <c r="UIC10" s="316"/>
      <c r="UID10" s="316"/>
      <c r="UIE10" s="316"/>
      <c r="UIF10" s="316"/>
      <c r="UIG10" s="316"/>
      <c r="UIH10" s="316"/>
      <c r="UII10" s="316"/>
      <c r="UIJ10" s="316"/>
      <c r="UIK10" s="316"/>
      <c r="UIL10" s="316"/>
      <c r="UIM10" s="316"/>
      <c r="UIN10" s="316"/>
      <c r="UIO10" s="316"/>
      <c r="UIP10" s="316"/>
      <c r="UIQ10" s="316"/>
      <c r="UIR10" s="316"/>
      <c r="UIS10" s="316"/>
      <c r="UIT10" s="316"/>
      <c r="UIU10" s="316"/>
      <c r="UIV10" s="316"/>
      <c r="UIW10" s="316"/>
      <c r="UIX10" s="316"/>
      <c r="UIY10" s="316"/>
      <c r="UIZ10" s="316"/>
      <c r="UJA10" s="316"/>
      <c r="UJB10" s="316"/>
      <c r="UJC10" s="316"/>
      <c r="UJD10" s="316"/>
      <c r="UJE10" s="316"/>
      <c r="UJF10" s="316"/>
      <c r="UJG10" s="316"/>
      <c r="UJH10" s="316"/>
      <c r="UJI10" s="316"/>
      <c r="UJJ10" s="316"/>
      <c r="UJK10" s="316"/>
      <c r="UJL10" s="316"/>
      <c r="UJM10" s="316"/>
      <c r="UJN10" s="316"/>
      <c r="UJO10" s="316"/>
      <c r="UJP10" s="316"/>
      <c r="UJQ10" s="316"/>
      <c r="UJR10" s="316"/>
      <c r="UJS10" s="316"/>
      <c r="UJT10" s="316"/>
      <c r="UJU10" s="316"/>
      <c r="UJV10" s="316"/>
      <c r="UJW10" s="316"/>
      <c r="UJX10" s="316"/>
      <c r="UJY10" s="316"/>
      <c r="UJZ10" s="316"/>
      <c r="UKA10" s="316"/>
      <c r="UKB10" s="316"/>
      <c r="UKC10" s="316"/>
      <c r="UKD10" s="316"/>
      <c r="UKE10" s="316"/>
      <c r="UKF10" s="316"/>
      <c r="UKG10" s="316"/>
      <c r="UKH10" s="316"/>
      <c r="UKI10" s="316"/>
      <c r="UKJ10" s="316"/>
      <c r="UKK10" s="316"/>
      <c r="UKL10" s="316"/>
      <c r="UKM10" s="316"/>
      <c r="UKN10" s="316"/>
      <c r="UKO10" s="316"/>
      <c r="UKP10" s="316"/>
      <c r="UKQ10" s="316"/>
      <c r="UKR10" s="316"/>
      <c r="UKS10" s="316"/>
      <c r="UKT10" s="316"/>
      <c r="UKU10" s="316"/>
      <c r="UKV10" s="316"/>
      <c r="UKW10" s="316"/>
      <c r="UKX10" s="316"/>
      <c r="UKY10" s="316"/>
      <c r="UKZ10" s="316"/>
      <c r="ULA10" s="316"/>
      <c r="ULB10" s="316"/>
      <c r="ULC10" s="316"/>
      <c r="ULD10" s="316"/>
      <c r="ULE10" s="316"/>
      <c r="ULF10" s="316"/>
      <c r="ULG10" s="316"/>
      <c r="ULH10" s="316"/>
      <c r="ULI10" s="316"/>
      <c r="ULJ10" s="316"/>
      <c r="ULK10" s="316"/>
      <c r="ULL10" s="316"/>
      <c r="ULM10" s="316"/>
      <c r="ULN10" s="316"/>
      <c r="ULO10" s="316"/>
      <c r="ULP10" s="316"/>
      <c r="ULQ10" s="316"/>
      <c r="ULR10" s="316"/>
      <c r="ULS10" s="316"/>
      <c r="ULT10" s="316"/>
      <c r="ULU10" s="316"/>
      <c r="ULV10" s="316"/>
      <c r="ULW10" s="316"/>
      <c r="ULX10" s="316"/>
      <c r="ULY10" s="316"/>
      <c r="ULZ10" s="316"/>
      <c r="UMA10" s="316"/>
      <c r="UMB10" s="316"/>
      <c r="UMC10" s="316"/>
      <c r="UMD10" s="316"/>
      <c r="UME10" s="316"/>
      <c r="UMF10" s="316"/>
      <c r="UMG10" s="316"/>
      <c r="UMH10" s="316"/>
      <c r="UMI10" s="316"/>
      <c r="UMJ10" s="316"/>
      <c r="UMK10" s="316"/>
      <c r="UML10" s="316"/>
      <c r="UMM10" s="316"/>
      <c r="UMN10" s="316"/>
      <c r="UMO10" s="316"/>
      <c r="UMP10" s="316"/>
      <c r="UMQ10" s="316"/>
      <c r="UMR10" s="316"/>
      <c r="UMS10" s="316"/>
      <c r="UMT10" s="316"/>
      <c r="UMU10" s="316"/>
      <c r="UMV10" s="316"/>
      <c r="UMW10" s="316"/>
      <c r="UMX10" s="316"/>
      <c r="UMY10" s="316"/>
      <c r="UMZ10" s="316"/>
      <c r="UNA10" s="316"/>
      <c r="UNB10" s="316"/>
      <c r="UNC10" s="316"/>
      <c r="UND10" s="316"/>
      <c r="UNE10" s="316"/>
      <c r="UNF10" s="316"/>
      <c r="UNG10" s="316"/>
      <c r="UNH10" s="316"/>
      <c r="UNI10" s="316"/>
      <c r="UNJ10" s="316"/>
      <c r="UNK10" s="316"/>
      <c r="UNL10" s="316"/>
      <c r="UNM10" s="316"/>
      <c r="UNN10" s="316"/>
      <c r="UNO10" s="316"/>
      <c r="UNP10" s="316"/>
      <c r="UNQ10" s="316"/>
      <c r="UNR10" s="316"/>
      <c r="UNS10" s="316"/>
      <c r="UNT10" s="316"/>
      <c r="UNU10" s="316"/>
      <c r="UNV10" s="316"/>
      <c r="UNW10" s="316"/>
      <c r="UNX10" s="316"/>
      <c r="UNY10" s="316"/>
      <c r="UNZ10" s="316"/>
      <c r="UOA10" s="316"/>
      <c r="UOB10" s="316"/>
      <c r="UOC10" s="316"/>
      <c r="UOD10" s="316"/>
      <c r="UOE10" s="316"/>
      <c r="UOF10" s="316"/>
      <c r="UOG10" s="316"/>
      <c r="UOH10" s="316"/>
      <c r="UOI10" s="316"/>
      <c r="UOJ10" s="316"/>
      <c r="UOK10" s="316"/>
      <c r="UOL10" s="316"/>
      <c r="UOM10" s="316"/>
      <c r="UON10" s="316"/>
      <c r="UOO10" s="316"/>
      <c r="UOP10" s="316"/>
      <c r="UOQ10" s="316"/>
      <c r="UOR10" s="316"/>
      <c r="UOS10" s="316"/>
      <c r="UOT10" s="316"/>
      <c r="UOU10" s="316"/>
      <c r="UOV10" s="316"/>
      <c r="UOW10" s="316"/>
      <c r="UOX10" s="316"/>
      <c r="UOY10" s="316"/>
      <c r="UOZ10" s="316"/>
      <c r="UPA10" s="316"/>
      <c r="UPB10" s="316"/>
      <c r="UPC10" s="316"/>
      <c r="UPD10" s="316"/>
      <c r="UPE10" s="316"/>
      <c r="UPF10" s="316"/>
      <c r="UPG10" s="316"/>
      <c r="UPH10" s="316"/>
      <c r="UPI10" s="316"/>
      <c r="UPJ10" s="316"/>
      <c r="UPK10" s="316"/>
      <c r="UPL10" s="316"/>
      <c r="UPM10" s="316"/>
      <c r="UPN10" s="316"/>
      <c r="UPO10" s="316"/>
      <c r="UPP10" s="316"/>
      <c r="UPQ10" s="316"/>
      <c r="UPR10" s="316"/>
      <c r="UPS10" s="316"/>
      <c r="UPT10" s="316"/>
      <c r="UPU10" s="316"/>
      <c r="UPV10" s="316"/>
      <c r="UPW10" s="316"/>
      <c r="UPX10" s="316"/>
      <c r="UPY10" s="316"/>
      <c r="UPZ10" s="316"/>
      <c r="UQA10" s="316"/>
      <c r="UQB10" s="316"/>
      <c r="UQC10" s="316"/>
      <c r="UQD10" s="316"/>
      <c r="UQE10" s="316"/>
      <c r="UQF10" s="316"/>
      <c r="UQG10" s="316"/>
      <c r="UQH10" s="316"/>
      <c r="UQI10" s="316"/>
      <c r="UQJ10" s="316"/>
      <c r="UQK10" s="316"/>
      <c r="UQL10" s="316"/>
      <c r="UQM10" s="316"/>
      <c r="UQN10" s="316"/>
      <c r="UQO10" s="316"/>
      <c r="UQP10" s="316"/>
      <c r="UQQ10" s="316"/>
      <c r="UQR10" s="316"/>
      <c r="UQS10" s="316"/>
      <c r="UQT10" s="316"/>
      <c r="UQU10" s="316"/>
      <c r="UQV10" s="316"/>
      <c r="UQW10" s="316"/>
      <c r="UQX10" s="316"/>
      <c r="UQY10" s="316"/>
      <c r="UQZ10" s="316"/>
      <c r="URA10" s="316"/>
      <c r="URB10" s="316"/>
      <c r="URC10" s="316"/>
      <c r="URD10" s="316"/>
      <c r="URE10" s="316"/>
      <c r="URF10" s="316"/>
      <c r="URG10" s="316"/>
      <c r="URH10" s="316"/>
      <c r="URI10" s="316"/>
      <c r="URJ10" s="316"/>
      <c r="URK10" s="316"/>
      <c r="URL10" s="316"/>
      <c r="URM10" s="316"/>
      <c r="URN10" s="316"/>
      <c r="URO10" s="316"/>
      <c r="URP10" s="316"/>
      <c r="URQ10" s="316"/>
      <c r="URR10" s="316"/>
      <c r="URS10" s="316"/>
      <c r="URT10" s="316"/>
      <c r="URU10" s="316"/>
      <c r="URV10" s="316"/>
      <c r="URW10" s="316"/>
      <c r="URX10" s="316"/>
      <c r="URY10" s="316"/>
      <c r="URZ10" s="316"/>
      <c r="USA10" s="316"/>
      <c r="USB10" s="316"/>
      <c r="USC10" s="316"/>
      <c r="USD10" s="316"/>
      <c r="USE10" s="316"/>
      <c r="USF10" s="316"/>
      <c r="USG10" s="316"/>
      <c r="USH10" s="316"/>
      <c r="USI10" s="316"/>
      <c r="USJ10" s="316"/>
      <c r="USK10" s="316"/>
      <c r="USL10" s="316"/>
      <c r="USM10" s="316"/>
      <c r="USN10" s="316"/>
      <c r="USO10" s="316"/>
      <c r="USP10" s="316"/>
      <c r="USQ10" s="316"/>
      <c r="USR10" s="316"/>
      <c r="USS10" s="316"/>
      <c r="UST10" s="316"/>
      <c r="USU10" s="316"/>
      <c r="USV10" s="316"/>
      <c r="USW10" s="316"/>
      <c r="USX10" s="316"/>
      <c r="USY10" s="316"/>
      <c r="USZ10" s="316"/>
      <c r="UTA10" s="316"/>
      <c r="UTB10" s="316"/>
      <c r="UTC10" s="316"/>
      <c r="UTD10" s="316"/>
      <c r="UTE10" s="316"/>
      <c r="UTF10" s="316"/>
      <c r="UTG10" s="316"/>
      <c r="UTH10" s="316"/>
      <c r="UTI10" s="316"/>
      <c r="UTJ10" s="316"/>
      <c r="UTK10" s="316"/>
      <c r="UTL10" s="316"/>
      <c r="UTM10" s="316"/>
      <c r="UTN10" s="316"/>
      <c r="UTO10" s="316"/>
      <c r="UTP10" s="316"/>
      <c r="UTQ10" s="316"/>
      <c r="UTR10" s="316"/>
      <c r="UTS10" s="316"/>
      <c r="UTT10" s="316"/>
      <c r="UTU10" s="316"/>
      <c r="UTV10" s="316"/>
      <c r="UTW10" s="316"/>
      <c r="UTX10" s="316"/>
      <c r="UTY10" s="316"/>
      <c r="UTZ10" s="316"/>
      <c r="UUA10" s="316"/>
      <c r="UUB10" s="316"/>
      <c r="UUC10" s="316"/>
      <c r="UUD10" s="316"/>
      <c r="UUE10" s="316"/>
      <c r="UUF10" s="316"/>
      <c r="UUG10" s="316"/>
      <c r="UUH10" s="316"/>
      <c r="UUI10" s="316"/>
      <c r="UUJ10" s="316"/>
      <c r="UUK10" s="316"/>
      <c r="UUL10" s="316"/>
      <c r="UUM10" s="316"/>
      <c r="UUN10" s="316"/>
      <c r="UUO10" s="316"/>
      <c r="UUP10" s="316"/>
      <c r="UUQ10" s="316"/>
      <c r="UUR10" s="316"/>
      <c r="UUS10" s="316"/>
      <c r="UUT10" s="316"/>
      <c r="UUU10" s="316"/>
      <c r="UUV10" s="316"/>
      <c r="UUW10" s="316"/>
      <c r="UUX10" s="316"/>
      <c r="UUY10" s="316"/>
      <c r="UUZ10" s="316"/>
      <c r="UVA10" s="316"/>
      <c r="UVB10" s="316"/>
      <c r="UVC10" s="316"/>
      <c r="UVD10" s="316"/>
      <c r="UVE10" s="316"/>
      <c r="UVF10" s="316"/>
      <c r="UVG10" s="316"/>
      <c r="UVH10" s="316"/>
      <c r="UVI10" s="316"/>
      <c r="UVJ10" s="316"/>
      <c r="UVK10" s="316"/>
      <c r="UVL10" s="316"/>
      <c r="UVM10" s="316"/>
      <c r="UVN10" s="316"/>
      <c r="UVO10" s="316"/>
      <c r="UVP10" s="316"/>
      <c r="UVQ10" s="316"/>
      <c r="UVR10" s="316"/>
      <c r="UVS10" s="316"/>
      <c r="UVT10" s="316"/>
      <c r="UVU10" s="316"/>
      <c r="UVV10" s="316"/>
      <c r="UVW10" s="316"/>
      <c r="UVX10" s="316"/>
      <c r="UVY10" s="316"/>
      <c r="UVZ10" s="316"/>
      <c r="UWA10" s="316"/>
      <c r="UWB10" s="316"/>
      <c r="UWC10" s="316"/>
      <c r="UWD10" s="316"/>
      <c r="UWE10" s="316"/>
      <c r="UWF10" s="316"/>
      <c r="UWG10" s="316"/>
      <c r="UWH10" s="316"/>
      <c r="UWI10" s="316"/>
      <c r="UWJ10" s="316"/>
      <c r="UWK10" s="316"/>
      <c r="UWL10" s="316"/>
      <c r="UWM10" s="316"/>
      <c r="UWN10" s="316"/>
      <c r="UWO10" s="316"/>
      <c r="UWP10" s="316"/>
      <c r="UWQ10" s="316"/>
      <c r="UWR10" s="316"/>
      <c r="UWS10" s="316"/>
      <c r="UWT10" s="316"/>
      <c r="UWU10" s="316"/>
      <c r="UWV10" s="316"/>
      <c r="UWW10" s="316"/>
      <c r="UWX10" s="316"/>
      <c r="UWY10" s="316"/>
      <c r="UWZ10" s="316"/>
      <c r="UXA10" s="316"/>
      <c r="UXB10" s="316"/>
      <c r="UXC10" s="316"/>
      <c r="UXD10" s="316"/>
      <c r="UXE10" s="316"/>
      <c r="UXF10" s="316"/>
      <c r="UXG10" s="316"/>
      <c r="UXH10" s="316"/>
      <c r="UXI10" s="316"/>
      <c r="UXJ10" s="316"/>
      <c r="UXK10" s="316"/>
      <c r="UXL10" s="316"/>
      <c r="UXM10" s="316"/>
      <c r="UXN10" s="316"/>
      <c r="UXO10" s="316"/>
      <c r="UXP10" s="316"/>
      <c r="UXQ10" s="316"/>
      <c r="UXR10" s="316"/>
      <c r="UXS10" s="316"/>
      <c r="UXT10" s="316"/>
      <c r="UXU10" s="316"/>
      <c r="UXV10" s="316"/>
      <c r="UXW10" s="316"/>
      <c r="UXX10" s="316"/>
      <c r="UXY10" s="316"/>
      <c r="UXZ10" s="316"/>
      <c r="UYA10" s="316"/>
      <c r="UYB10" s="316"/>
      <c r="UYC10" s="316"/>
      <c r="UYD10" s="316"/>
      <c r="UYE10" s="316"/>
      <c r="UYF10" s="316"/>
      <c r="UYG10" s="316"/>
      <c r="UYH10" s="316"/>
      <c r="UYI10" s="316"/>
      <c r="UYJ10" s="316"/>
      <c r="UYK10" s="316"/>
      <c r="UYL10" s="316"/>
      <c r="UYM10" s="316"/>
      <c r="UYN10" s="316"/>
      <c r="UYO10" s="316"/>
      <c r="UYP10" s="316"/>
      <c r="UYQ10" s="316"/>
      <c r="UYR10" s="316"/>
      <c r="UYS10" s="316"/>
      <c r="UYT10" s="316"/>
      <c r="UYU10" s="316"/>
      <c r="UYV10" s="316"/>
      <c r="UYW10" s="316"/>
      <c r="UYX10" s="316"/>
      <c r="UYY10" s="316"/>
      <c r="UYZ10" s="316"/>
      <c r="UZA10" s="316"/>
      <c r="UZB10" s="316"/>
      <c r="UZC10" s="316"/>
      <c r="UZD10" s="316"/>
      <c r="UZE10" s="316"/>
      <c r="UZF10" s="316"/>
      <c r="UZG10" s="316"/>
      <c r="UZH10" s="316"/>
      <c r="UZI10" s="316"/>
      <c r="UZJ10" s="316"/>
      <c r="UZK10" s="316"/>
      <c r="UZL10" s="316"/>
      <c r="UZM10" s="316"/>
      <c r="UZN10" s="316"/>
      <c r="UZO10" s="316"/>
      <c r="UZP10" s="316"/>
      <c r="UZQ10" s="316"/>
      <c r="UZR10" s="316"/>
      <c r="UZS10" s="316"/>
      <c r="UZT10" s="316"/>
      <c r="UZU10" s="316"/>
      <c r="UZV10" s="316"/>
      <c r="UZW10" s="316"/>
      <c r="UZX10" s="316"/>
      <c r="UZY10" s="316"/>
      <c r="UZZ10" s="316"/>
      <c r="VAA10" s="316"/>
      <c r="VAB10" s="316"/>
      <c r="VAC10" s="316"/>
      <c r="VAD10" s="316"/>
      <c r="VAE10" s="316"/>
      <c r="VAF10" s="316"/>
      <c r="VAG10" s="316"/>
      <c r="VAH10" s="316"/>
      <c r="VAI10" s="316"/>
      <c r="VAJ10" s="316"/>
      <c r="VAK10" s="316"/>
      <c r="VAL10" s="316"/>
      <c r="VAM10" s="316"/>
      <c r="VAN10" s="316"/>
      <c r="VAO10" s="316"/>
      <c r="VAP10" s="316"/>
      <c r="VAQ10" s="316"/>
      <c r="VAR10" s="316"/>
      <c r="VAS10" s="316"/>
      <c r="VAT10" s="316"/>
      <c r="VAU10" s="316"/>
      <c r="VAV10" s="316"/>
      <c r="VAW10" s="316"/>
      <c r="VAX10" s="316"/>
      <c r="VAY10" s="316"/>
      <c r="VAZ10" s="316"/>
      <c r="VBA10" s="316"/>
      <c r="VBB10" s="316"/>
      <c r="VBC10" s="316"/>
      <c r="VBD10" s="316"/>
      <c r="VBE10" s="316"/>
      <c r="VBF10" s="316"/>
      <c r="VBG10" s="316"/>
      <c r="VBH10" s="316"/>
      <c r="VBI10" s="316"/>
      <c r="VBJ10" s="316"/>
      <c r="VBK10" s="316"/>
      <c r="VBL10" s="316"/>
      <c r="VBM10" s="316"/>
      <c r="VBN10" s="316"/>
      <c r="VBO10" s="316"/>
      <c r="VBP10" s="316"/>
      <c r="VBQ10" s="316"/>
      <c r="VBR10" s="316"/>
      <c r="VBS10" s="316"/>
      <c r="VBT10" s="316"/>
      <c r="VBU10" s="316"/>
      <c r="VBV10" s="316"/>
      <c r="VBW10" s="316"/>
      <c r="VBX10" s="316"/>
      <c r="VBY10" s="316"/>
      <c r="VBZ10" s="316"/>
      <c r="VCA10" s="316"/>
      <c r="VCB10" s="316"/>
      <c r="VCC10" s="316"/>
      <c r="VCD10" s="316"/>
      <c r="VCE10" s="316"/>
      <c r="VCF10" s="316"/>
      <c r="VCG10" s="316"/>
      <c r="VCH10" s="316"/>
      <c r="VCI10" s="316"/>
      <c r="VCJ10" s="316"/>
      <c r="VCK10" s="316"/>
      <c r="VCL10" s="316"/>
      <c r="VCM10" s="316"/>
      <c r="VCN10" s="316"/>
      <c r="VCO10" s="316"/>
      <c r="VCP10" s="316"/>
      <c r="VCQ10" s="316"/>
      <c r="VCR10" s="316"/>
      <c r="VCS10" s="316"/>
      <c r="VCT10" s="316"/>
      <c r="VCU10" s="316"/>
      <c r="VCV10" s="316"/>
      <c r="VCW10" s="316"/>
      <c r="VCX10" s="316"/>
      <c r="VCY10" s="316"/>
      <c r="VCZ10" s="316"/>
      <c r="VDA10" s="316"/>
      <c r="VDB10" s="316"/>
      <c r="VDC10" s="316"/>
      <c r="VDD10" s="316"/>
      <c r="VDE10" s="316"/>
      <c r="VDF10" s="316"/>
      <c r="VDG10" s="316"/>
      <c r="VDH10" s="316"/>
      <c r="VDI10" s="316"/>
      <c r="VDJ10" s="316"/>
      <c r="VDK10" s="316"/>
      <c r="VDL10" s="316"/>
      <c r="VDM10" s="316"/>
      <c r="VDN10" s="316"/>
      <c r="VDO10" s="316"/>
      <c r="VDP10" s="316"/>
      <c r="VDQ10" s="316"/>
      <c r="VDR10" s="316"/>
      <c r="VDS10" s="316"/>
      <c r="VDT10" s="316"/>
      <c r="VDU10" s="316"/>
      <c r="VDV10" s="316"/>
      <c r="VDW10" s="316"/>
      <c r="VDX10" s="316"/>
      <c r="VDY10" s="316"/>
      <c r="VDZ10" s="316"/>
      <c r="VEA10" s="316"/>
      <c r="VEB10" s="316"/>
      <c r="VEC10" s="316"/>
      <c r="VED10" s="316"/>
      <c r="VEE10" s="316"/>
      <c r="VEF10" s="316"/>
      <c r="VEG10" s="316"/>
      <c r="VEH10" s="316"/>
      <c r="VEI10" s="316"/>
      <c r="VEJ10" s="316"/>
      <c r="VEK10" s="316"/>
      <c r="VEL10" s="316"/>
      <c r="VEM10" s="316"/>
      <c r="VEN10" s="316"/>
      <c r="VEO10" s="316"/>
      <c r="VEP10" s="316"/>
      <c r="VEQ10" s="316"/>
      <c r="VER10" s="316"/>
      <c r="VES10" s="316"/>
      <c r="VET10" s="316"/>
      <c r="VEU10" s="316"/>
      <c r="VEV10" s="316"/>
      <c r="VEW10" s="316"/>
      <c r="VEX10" s="316"/>
      <c r="VEY10" s="316"/>
      <c r="VEZ10" s="316"/>
      <c r="VFA10" s="316"/>
      <c r="VFB10" s="316"/>
      <c r="VFC10" s="316"/>
      <c r="VFD10" s="316"/>
      <c r="VFE10" s="316"/>
      <c r="VFF10" s="316"/>
      <c r="VFG10" s="316"/>
      <c r="VFH10" s="316"/>
      <c r="VFI10" s="316"/>
      <c r="VFJ10" s="316"/>
      <c r="VFK10" s="316"/>
      <c r="VFL10" s="316"/>
      <c r="VFM10" s="316"/>
      <c r="VFN10" s="316"/>
      <c r="VFO10" s="316"/>
      <c r="VFP10" s="316"/>
      <c r="VFQ10" s="316"/>
      <c r="VFR10" s="316"/>
      <c r="VFS10" s="316"/>
      <c r="VFT10" s="316"/>
      <c r="VFU10" s="316"/>
      <c r="VFV10" s="316"/>
      <c r="VFW10" s="316"/>
      <c r="VFX10" s="316"/>
      <c r="VFY10" s="316"/>
      <c r="VFZ10" s="316"/>
      <c r="VGA10" s="316"/>
      <c r="VGB10" s="316"/>
      <c r="VGC10" s="316"/>
      <c r="VGD10" s="316"/>
      <c r="VGE10" s="316"/>
      <c r="VGF10" s="316"/>
      <c r="VGG10" s="316"/>
      <c r="VGH10" s="316"/>
      <c r="VGI10" s="316"/>
      <c r="VGJ10" s="316"/>
      <c r="VGK10" s="316"/>
      <c r="VGL10" s="316"/>
      <c r="VGM10" s="316"/>
      <c r="VGN10" s="316"/>
      <c r="VGO10" s="316"/>
      <c r="VGP10" s="316"/>
      <c r="VGQ10" s="316"/>
      <c r="VGR10" s="316"/>
      <c r="VGS10" s="316"/>
      <c r="VGT10" s="316"/>
      <c r="VGU10" s="316"/>
      <c r="VGV10" s="316"/>
      <c r="VGW10" s="316"/>
      <c r="VGX10" s="316"/>
      <c r="VGY10" s="316"/>
      <c r="VGZ10" s="316"/>
      <c r="VHA10" s="316"/>
      <c r="VHB10" s="316"/>
      <c r="VHC10" s="316"/>
      <c r="VHD10" s="316"/>
      <c r="VHE10" s="316"/>
      <c r="VHF10" s="316"/>
      <c r="VHG10" s="316"/>
      <c r="VHH10" s="316"/>
      <c r="VHI10" s="316"/>
      <c r="VHJ10" s="316"/>
      <c r="VHK10" s="316"/>
      <c r="VHL10" s="316"/>
      <c r="VHM10" s="316"/>
      <c r="VHN10" s="316"/>
      <c r="VHO10" s="316"/>
      <c r="VHP10" s="316"/>
      <c r="VHQ10" s="316"/>
      <c r="VHR10" s="316"/>
      <c r="VHS10" s="316"/>
      <c r="VHT10" s="316"/>
      <c r="VHU10" s="316"/>
      <c r="VHV10" s="316"/>
      <c r="VHW10" s="316"/>
      <c r="VHX10" s="316"/>
      <c r="VHY10" s="316"/>
      <c r="VHZ10" s="316"/>
      <c r="VIA10" s="316"/>
      <c r="VIB10" s="316"/>
      <c r="VIC10" s="316"/>
      <c r="VID10" s="316"/>
      <c r="VIE10" s="316"/>
      <c r="VIF10" s="316"/>
      <c r="VIG10" s="316"/>
      <c r="VIH10" s="316"/>
      <c r="VII10" s="316"/>
      <c r="VIJ10" s="316"/>
      <c r="VIK10" s="316"/>
      <c r="VIL10" s="316"/>
      <c r="VIM10" s="316"/>
      <c r="VIN10" s="316"/>
      <c r="VIO10" s="316"/>
      <c r="VIP10" s="316"/>
      <c r="VIQ10" s="316"/>
      <c r="VIR10" s="316"/>
      <c r="VIS10" s="316"/>
      <c r="VIT10" s="316"/>
      <c r="VIU10" s="316"/>
      <c r="VIV10" s="316"/>
      <c r="VIW10" s="316"/>
      <c r="VIX10" s="316"/>
      <c r="VIY10" s="316"/>
      <c r="VIZ10" s="316"/>
      <c r="VJA10" s="316"/>
      <c r="VJB10" s="316"/>
      <c r="VJC10" s="316"/>
      <c r="VJD10" s="316"/>
      <c r="VJE10" s="316"/>
      <c r="VJF10" s="316"/>
      <c r="VJG10" s="316"/>
      <c r="VJH10" s="316"/>
      <c r="VJI10" s="316"/>
      <c r="VJJ10" s="316"/>
      <c r="VJK10" s="316"/>
      <c r="VJL10" s="316"/>
      <c r="VJM10" s="316"/>
      <c r="VJN10" s="316"/>
      <c r="VJO10" s="316"/>
      <c r="VJP10" s="316"/>
      <c r="VJQ10" s="316"/>
      <c r="VJR10" s="316"/>
      <c r="VJS10" s="316"/>
      <c r="VJT10" s="316"/>
      <c r="VJU10" s="316"/>
      <c r="VJV10" s="316"/>
      <c r="VJW10" s="316"/>
      <c r="VJX10" s="316"/>
      <c r="VJY10" s="316"/>
      <c r="VJZ10" s="316"/>
      <c r="VKA10" s="316"/>
      <c r="VKB10" s="316"/>
      <c r="VKC10" s="316"/>
      <c r="VKD10" s="316"/>
      <c r="VKE10" s="316"/>
      <c r="VKF10" s="316"/>
      <c r="VKG10" s="316"/>
      <c r="VKH10" s="316"/>
      <c r="VKI10" s="316"/>
      <c r="VKJ10" s="316"/>
      <c r="VKK10" s="316"/>
      <c r="VKL10" s="316"/>
      <c r="VKM10" s="316"/>
      <c r="VKN10" s="316"/>
      <c r="VKO10" s="316"/>
      <c r="VKP10" s="316"/>
      <c r="VKQ10" s="316"/>
      <c r="VKR10" s="316"/>
      <c r="VKS10" s="316"/>
      <c r="VKT10" s="316"/>
      <c r="VKU10" s="316"/>
      <c r="VKV10" s="316"/>
      <c r="VKW10" s="316"/>
      <c r="VKX10" s="316"/>
      <c r="VKY10" s="316"/>
      <c r="VKZ10" s="316"/>
      <c r="VLA10" s="316"/>
      <c r="VLB10" s="316"/>
      <c r="VLC10" s="316"/>
      <c r="VLD10" s="316"/>
      <c r="VLE10" s="316"/>
      <c r="VLF10" s="316"/>
      <c r="VLG10" s="316"/>
      <c r="VLH10" s="316"/>
      <c r="VLI10" s="316"/>
      <c r="VLJ10" s="316"/>
      <c r="VLK10" s="316"/>
      <c r="VLL10" s="316"/>
      <c r="VLM10" s="316"/>
      <c r="VLN10" s="316"/>
      <c r="VLO10" s="316"/>
      <c r="VLP10" s="316"/>
      <c r="VLQ10" s="316"/>
      <c r="VLR10" s="316"/>
      <c r="VLS10" s="316"/>
      <c r="VLT10" s="316"/>
      <c r="VLU10" s="316"/>
      <c r="VLV10" s="316"/>
      <c r="VLW10" s="316"/>
      <c r="VLX10" s="316"/>
      <c r="VLY10" s="316"/>
      <c r="VLZ10" s="316"/>
      <c r="VMA10" s="316"/>
      <c r="VMB10" s="316"/>
      <c r="VMC10" s="316"/>
      <c r="VMD10" s="316"/>
      <c r="VME10" s="316"/>
      <c r="VMF10" s="316"/>
      <c r="VMG10" s="316"/>
      <c r="VMH10" s="316"/>
      <c r="VMI10" s="316"/>
      <c r="VMJ10" s="316"/>
      <c r="VMK10" s="316"/>
      <c r="VML10" s="316"/>
      <c r="VMM10" s="316"/>
      <c r="VMN10" s="316"/>
      <c r="VMO10" s="316"/>
      <c r="VMP10" s="316"/>
      <c r="VMQ10" s="316"/>
      <c r="VMR10" s="316"/>
      <c r="VMS10" s="316"/>
      <c r="VMT10" s="316"/>
      <c r="VMU10" s="316"/>
      <c r="VMV10" s="316"/>
      <c r="VMW10" s="316"/>
      <c r="VMX10" s="316"/>
      <c r="VMY10" s="316"/>
      <c r="VMZ10" s="316"/>
      <c r="VNA10" s="316"/>
      <c r="VNB10" s="316"/>
      <c r="VNC10" s="316"/>
      <c r="VND10" s="316"/>
      <c r="VNE10" s="316"/>
      <c r="VNF10" s="316"/>
      <c r="VNG10" s="316"/>
      <c r="VNH10" s="316"/>
      <c r="VNI10" s="316"/>
      <c r="VNJ10" s="316"/>
      <c r="VNK10" s="316"/>
      <c r="VNL10" s="316"/>
      <c r="VNM10" s="316"/>
      <c r="VNN10" s="316"/>
      <c r="VNO10" s="316"/>
      <c r="VNP10" s="316"/>
      <c r="VNQ10" s="316"/>
      <c r="VNR10" s="316"/>
      <c r="VNS10" s="316"/>
      <c r="VNT10" s="316"/>
      <c r="VNU10" s="316"/>
      <c r="VNV10" s="316"/>
      <c r="VNW10" s="316"/>
      <c r="VNX10" s="316"/>
      <c r="VNY10" s="316"/>
      <c r="VNZ10" s="316"/>
      <c r="VOA10" s="316"/>
      <c r="VOB10" s="316"/>
      <c r="VOC10" s="316"/>
      <c r="VOD10" s="316"/>
      <c r="VOE10" s="316"/>
      <c r="VOF10" s="316"/>
      <c r="VOG10" s="316"/>
      <c r="VOH10" s="316"/>
      <c r="VOI10" s="316"/>
      <c r="VOJ10" s="316"/>
      <c r="VOK10" s="316"/>
      <c r="VOL10" s="316"/>
      <c r="VOM10" s="316"/>
      <c r="VON10" s="316"/>
      <c r="VOO10" s="316"/>
      <c r="VOP10" s="316"/>
      <c r="VOQ10" s="316"/>
      <c r="VOR10" s="316"/>
      <c r="VOS10" s="316"/>
      <c r="VOT10" s="316"/>
      <c r="VOU10" s="316"/>
      <c r="VOV10" s="316"/>
      <c r="VOW10" s="316"/>
      <c r="VOX10" s="316"/>
      <c r="VOY10" s="316"/>
      <c r="VOZ10" s="316"/>
      <c r="VPA10" s="316"/>
      <c r="VPB10" s="316"/>
      <c r="VPC10" s="316"/>
      <c r="VPD10" s="316"/>
      <c r="VPE10" s="316"/>
      <c r="VPF10" s="316"/>
      <c r="VPG10" s="316"/>
      <c r="VPH10" s="316"/>
      <c r="VPI10" s="316"/>
      <c r="VPJ10" s="316"/>
      <c r="VPK10" s="316"/>
      <c r="VPL10" s="316"/>
      <c r="VPM10" s="316"/>
      <c r="VPN10" s="316"/>
      <c r="VPO10" s="316"/>
      <c r="VPP10" s="316"/>
      <c r="VPQ10" s="316"/>
      <c r="VPR10" s="316"/>
      <c r="VPS10" s="316"/>
      <c r="VPT10" s="316"/>
      <c r="VPU10" s="316"/>
      <c r="VPV10" s="316"/>
      <c r="VPW10" s="316"/>
      <c r="VPX10" s="316"/>
      <c r="VPY10" s="316"/>
      <c r="VPZ10" s="316"/>
      <c r="VQA10" s="316"/>
      <c r="VQB10" s="316"/>
      <c r="VQC10" s="316"/>
      <c r="VQD10" s="316"/>
      <c r="VQE10" s="316"/>
      <c r="VQF10" s="316"/>
      <c r="VQG10" s="316"/>
      <c r="VQH10" s="316"/>
      <c r="VQI10" s="316"/>
      <c r="VQJ10" s="316"/>
      <c r="VQK10" s="316"/>
      <c r="VQL10" s="316"/>
      <c r="VQM10" s="316"/>
      <c r="VQN10" s="316"/>
      <c r="VQO10" s="316"/>
      <c r="VQP10" s="316"/>
      <c r="VQQ10" s="316"/>
      <c r="VQR10" s="316"/>
      <c r="VQS10" s="316"/>
      <c r="VQT10" s="316"/>
      <c r="VQU10" s="316"/>
      <c r="VQV10" s="316"/>
      <c r="VQW10" s="316"/>
      <c r="VQX10" s="316"/>
      <c r="VQY10" s="316"/>
      <c r="VQZ10" s="316"/>
      <c r="VRA10" s="316"/>
      <c r="VRB10" s="316"/>
      <c r="VRC10" s="316"/>
      <c r="VRD10" s="316"/>
      <c r="VRE10" s="316"/>
      <c r="VRF10" s="316"/>
      <c r="VRG10" s="316"/>
      <c r="VRH10" s="316"/>
      <c r="VRI10" s="316"/>
      <c r="VRJ10" s="316"/>
      <c r="VRK10" s="316"/>
      <c r="VRL10" s="316"/>
      <c r="VRM10" s="316"/>
      <c r="VRN10" s="316"/>
      <c r="VRO10" s="316"/>
      <c r="VRP10" s="316"/>
      <c r="VRQ10" s="316"/>
      <c r="VRR10" s="316"/>
      <c r="VRS10" s="316"/>
      <c r="VRT10" s="316"/>
      <c r="VRU10" s="316"/>
      <c r="VRV10" s="316"/>
      <c r="VRW10" s="316"/>
      <c r="VRX10" s="316"/>
      <c r="VRY10" s="316"/>
      <c r="VRZ10" s="316"/>
      <c r="VSA10" s="316"/>
      <c r="VSB10" s="316"/>
      <c r="VSC10" s="316"/>
      <c r="VSD10" s="316"/>
      <c r="VSE10" s="316"/>
      <c r="VSF10" s="316"/>
      <c r="VSG10" s="316"/>
      <c r="VSH10" s="316"/>
      <c r="VSI10" s="316"/>
      <c r="VSJ10" s="316"/>
      <c r="VSK10" s="316"/>
      <c r="VSL10" s="316"/>
      <c r="VSM10" s="316"/>
      <c r="VSN10" s="316"/>
      <c r="VSO10" s="316"/>
      <c r="VSP10" s="316"/>
      <c r="VSQ10" s="316"/>
      <c r="VSR10" s="316"/>
      <c r="VSS10" s="316"/>
      <c r="VST10" s="316"/>
      <c r="VSU10" s="316"/>
      <c r="VSV10" s="316"/>
      <c r="VSW10" s="316"/>
      <c r="VSX10" s="316"/>
      <c r="VSY10" s="316"/>
      <c r="VSZ10" s="316"/>
      <c r="VTA10" s="316"/>
      <c r="VTB10" s="316"/>
      <c r="VTC10" s="316"/>
      <c r="VTD10" s="316"/>
      <c r="VTE10" s="316"/>
      <c r="VTF10" s="316"/>
      <c r="VTG10" s="316"/>
      <c r="VTH10" s="316"/>
      <c r="VTI10" s="316"/>
      <c r="VTJ10" s="316"/>
      <c r="VTK10" s="316"/>
      <c r="VTL10" s="316"/>
      <c r="VTM10" s="316"/>
      <c r="VTN10" s="316"/>
      <c r="VTO10" s="316"/>
      <c r="VTP10" s="316"/>
      <c r="VTQ10" s="316"/>
      <c r="VTR10" s="316"/>
      <c r="VTS10" s="316"/>
      <c r="VTT10" s="316"/>
      <c r="VTU10" s="316"/>
      <c r="VTV10" s="316"/>
      <c r="VTW10" s="316"/>
      <c r="VTX10" s="316"/>
      <c r="VTY10" s="316"/>
      <c r="VTZ10" s="316"/>
      <c r="VUA10" s="316"/>
      <c r="VUB10" s="316"/>
      <c r="VUC10" s="316"/>
      <c r="VUD10" s="316"/>
      <c r="VUE10" s="316"/>
      <c r="VUF10" s="316"/>
      <c r="VUG10" s="316"/>
      <c r="VUH10" s="316"/>
      <c r="VUI10" s="316"/>
      <c r="VUJ10" s="316"/>
      <c r="VUK10" s="316"/>
      <c r="VUL10" s="316"/>
      <c r="VUM10" s="316"/>
      <c r="VUN10" s="316"/>
      <c r="VUO10" s="316"/>
      <c r="VUP10" s="316"/>
      <c r="VUQ10" s="316"/>
      <c r="VUR10" s="316"/>
      <c r="VUS10" s="316"/>
      <c r="VUT10" s="316"/>
      <c r="VUU10" s="316"/>
      <c r="VUV10" s="316"/>
      <c r="VUW10" s="316"/>
      <c r="VUX10" s="316"/>
      <c r="VUY10" s="316"/>
      <c r="VUZ10" s="316"/>
      <c r="VVA10" s="316"/>
      <c r="VVB10" s="316"/>
      <c r="VVC10" s="316"/>
      <c r="VVD10" s="316"/>
      <c r="VVE10" s="316"/>
      <c r="VVF10" s="316"/>
      <c r="VVG10" s="316"/>
      <c r="VVH10" s="316"/>
      <c r="VVI10" s="316"/>
      <c r="VVJ10" s="316"/>
      <c r="VVK10" s="316"/>
      <c r="VVL10" s="316"/>
      <c r="VVM10" s="316"/>
      <c r="VVN10" s="316"/>
      <c r="VVO10" s="316"/>
      <c r="VVP10" s="316"/>
      <c r="VVQ10" s="316"/>
      <c r="VVR10" s="316"/>
      <c r="VVS10" s="316"/>
      <c r="VVT10" s="316"/>
      <c r="VVU10" s="316"/>
      <c r="VVV10" s="316"/>
      <c r="VVW10" s="316"/>
      <c r="VVX10" s="316"/>
      <c r="VVY10" s="316"/>
      <c r="VVZ10" s="316"/>
      <c r="VWA10" s="316"/>
      <c r="VWB10" s="316"/>
      <c r="VWC10" s="316"/>
      <c r="VWD10" s="316"/>
      <c r="VWE10" s="316"/>
      <c r="VWF10" s="316"/>
      <c r="VWG10" s="316"/>
      <c r="VWH10" s="316"/>
      <c r="VWI10" s="316"/>
      <c r="VWJ10" s="316"/>
      <c r="VWK10" s="316"/>
      <c r="VWL10" s="316"/>
      <c r="VWM10" s="316"/>
      <c r="VWN10" s="316"/>
      <c r="VWO10" s="316"/>
      <c r="VWP10" s="316"/>
      <c r="VWQ10" s="316"/>
      <c r="VWR10" s="316"/>
      <c r="VWS10" s="316"/>
      <c r="VWT10" s="316"/>
      <c r="VWU10" s="316"/>
      <c r="VWV10" s="316"/>
      <c r="VWW10" s="316"/>
      <c r="VWX10" s="316"/>
      <c r="VWY10" s="316"/>
      <c r="VWZ10" s="316"/>
      <c r="VXA10" s="316"/>
      <c r="VXB10" s="316"/>
      <c r="VXC10" s="316"/>
      <c r="VXD10" s="316"/>
      <c r="VXE10" s="316"/>
      <c r="VXF10" s="316"/>
      <c r="VXG10" s="316"/>
      <c r="VXH10" s="316"/>
      <c r="VXI10" s="316"/>
      <c r="VXJ10" s="316"/>
      <c r="VXK10" s="316"/>
      <c r="VXL10" s="316"/>
      <c r="VXM10" s="316"/>
      <c r="VXN10" s="316"/>
      <c r="VXO10" s="316"/>
      <c r="VXP10" s="316"/>
      <c r="VXQ10" s="316"/>
      <c r="VXR10" s="316"/>
      <c r="VXS10" s="316"/>
      <c r="VXT10" s="316"/>
      <c r="VXU10" s="316"/>
      <c r="VXV10" s="316"/>
      <c r="VXW10" s="316"/>
      <c r="VXX10" s="316"/>
      <c r="VXY10" s="316"/>
      <c r="VXZ10" s="316"/>
      <c r="VYA10" s="316"/>
      <c r="VYB10" s="316"/>
      <c r="VYC10" s="316"/>
      <c r="VYD10" s="316"/>
      <c r="VYE10" s="316"/>
      <c r="VYF10" s="316"/>
      <c r="VYG10" s="316"/>
      <c r="VYH10" s="316"/>
      <c r="VYI10" s="316"/>
      <c r="VYJ10" s="316"/>
      <c r="VYK10" s="316"/>
      <c r="VYL10" s="316"/>
      <c r="VYM10" s="316"/>
      <c r="VYN10" s="316"/>
      <c r="VYO10" s="316"/>
      <c r="VYP10" s="316"/>
      <c r="VYQ10" s="316"/>
      <c r="VYR10" s="316"/>
      <c r="VYS10" s="316"/>
      <c r="VYT10" s="316"/>
      <c r="VYU10" s="316"/>
      <c r="VYV10" s="316"/>
      <c r="VYW10" s="316"/>
      <c r="VYX10" s="316"/>
      <c r="VYY10" s="316"/>
      <c r="VYZ10" s="316"/>
      <c r="VZA10" s="316"/>
      <c r="VZB10" s="316"/>
      <c r="VZC10" s="316"/>
      <c r="VZD10" s="316"/>
      <c r="VZE10" s="316"/>
      <c r="VZF10" s="316"/>
      <c r="VZG10" s="316"/>
      <c r="VZH10" s="316"/>
      <c r="VZI10" s="316"/>
      <c r="VZJ10" s="316"/>
      <c r="VZK10" s="316"/>
      <c r="VZL10" s="316"/>
      <c r="VZM10" s="316"/>
      <c r="VZN10" s="316"/>
      <c r="VZO10" s="316"/>
      <c r="VZP10" s="316"/>
      <c r="VZQ10" s="316"/>
      <c r="VZR10" s="316"/>
      <c r="VZS10" s="316"/>
      <c r="VZT10" s="316"/>
      <c r="VZU10" s="316"/>
      <c r="VZV10" s="316"/>
      <c r="VZW10" s="316"/>
      <c r="VZX10" s="316"/>
      <c r="VZY10" s="316"/>
      <c r="VZZ10" s="316"/>
      <c r="WAA10" s="316"/>
      <c r="WAB10" s="316"/>
      <c r="WAC10" s="316"/>
      <c r="WAD10" s="316"/>
      <c r="WAE10" s="316"/>
      <c r="WAF10" s="316"/>
      <c r="WAG10" s="316"/>
      <c r="WAH10" s="316"/>
      <c r="WAI10" s="316"/>
      <c r="WAJ10" s="316"/>
      <c r="WAK10" s="316"/>
      <c r="WAL10" s="316"/>
      <c r="WAM10" s="316"/>
      <c r="WAN10" s="316"/>
      <c r="WAO10" s="316"/>
      <c r="WAP10" s="316"/>
      <c r="WAQ10" s="316"/>
      <c r="WAR10" s="316"/>
      <c r="WAS10" s="316"/>
      <c r="WAT10" s="316"/>
      <c r="WAU10" s="316"/>
      <c r="WAV10" s="316"/>
      <c r="WAW10" s="316"/>
      <c r="WAX10" s="316"/>
      <c r="WAY10" s="316"/>
      <c r="WAZ10" s="316"/>
      <c r="WBA10" s="316"/>
      <c r="WBB10" s="316"/>
      <c r="WBC10" s="316"/>
      <c r="WBD10" s="316"/>
      <c r="WBE10" s="316"/>
      <c r="WBF10" s="316"/>
      <c r="WBG10" s="316"/>
      <c r="WBH10" s="316"/>
      <c r="WBI10" s="316"/>
      <c r="WBJ10" s="316"/>
      <c r="WBK10" s="316"/>
      <c r="WBL10" s="316"/>
      <c r="WBM10" s="316"/>
      <c r="WBN10" s="316"/>
      <c r="WBO10" s="316"/>
      <c r="WBP10" s="316"/>
      <c r="WBQ10" s="316"/>
      <c r="WBR10" s="316"/>
      <c r="WBS10" s="316"/>
      <c r="WBT10" s="316"/>
      <c r="WBU10" s="316"/>
      <c r="WBV10" s="316"/>
      <c r="WBW10" s="316"/>
      <c r="WBX10" s="316"/>
      <c r="WBY10" s="316"/>
      <c r="WBZ10" s="316"/>
      <c r="WCA10" s="316"/>
      <c r="WCB10" s="316"/>
      <c r="WCC10" s="316"/>
      <c r="WCD10" s="316"/>
      <c r="WCE10" s="316"/>
      <c r="WCF10" s="316"/>
      <c r="WCG10" s="316"/>
      <c r="WCH10" s="316"/>
      <c r="WCI10" s="316"/>
      <c r="WCJ10" s="316"/>
      <c r="WCK10" s="316"/>
      <c r="WCL10" s="316"/>
      <c r="WCM10" s="316"/>
      <c r="WCN10" s="316"/>
      <c r="WCO10" s="316"/>
      <c r="WCP10" s="316"/>
      <c r="WCQ10" s="316"/>
      <c r="WCR10" s="316"/>
      <c r="WCS10" s="316"/>
      <c r="WCT10" s="316"/>
      <c r="WCU10" s="316"/>
      <c r="WCV10" s="316"/>
      <c r="WCW10" s="316"/>
      <c r="WCX10" s="316"/>
      <c r="WCY10" s="316"/>
      <c r="WCZ10" s="316"/>
      <c r="WDA10" s="316"/>
      <c r="WDB10" s="316"/>
      <c r="WDC10" s="316"/>
      <c r="WDD10" s="316"/>
      <c r="WDE10" s="316"/>
      <c r="WDF10" s="316"/>
      <c r="WDG10" s="316"/>
      <c r="WDH10" s="316"/>
      <c r="WDI10" s="316"/>
      <c r="WDJ10" s="316"/>
      <c r="WDK10" s="316"/>
      <c r="WDL10" s="316"/>
      <c r="WDM10" s="316"/>
      <c r="WDN10" s="316"/>
      <c r="WDO10" s="316"/>
      <c r="WDP10" s="316"/>
      <c r="WDQ10" s="316"/>
      <c r="WDR10" s="316"/>
      <c r="WDS10" s="316"/>
      <c r="WDT10" s="316"/>
      <c r="WDU10" s="316"/>
      <c r="WDV10" s="316"/>
      <c r="WDW10" s="316"/>
      <c r="WDX10" s="316"/>
      <c r="WDY10" s="316"/>
      <c r="WDZ10" s="316"/>
      <c r="WEA10" s="316"/>
      <c r="WEB10" s="316"/>
      <c r="WEC10" s="316"/>
      <c r="WED10" s="316"/>
      <c r="WEE10" s="316"/>
      <c r="WEF10" s="316"/>
      <c r="WEG10" s="316"/>
      <c r="WEH10" s="316"/>
      <c r="WEI10" s="316"/>
      <c r="WEJ10" s="316"/>
      <c r="WEK10" s="316"/>
      <c r="WEL10" s="316"/>
      <c r="WEM10" s="316"/>
      <c r="WEN10" s="316"/>
      <c r="WEO10" s="316"/>
      <c r="WEP10" s="316"/>
      <c r="WEQ10" s="316"/>
      <c r="WER10" s="316"/>
      <c r="WES10" s="316"/>
      <c r="WET10" s="316"/>
      <c r="WEU10" s="316"/>
      <c r="WEV10" s="316"/>
      <c r="WEW10" s="316"/>
      <c r="WEX10" s="316"/>
      <c r="WEY10" s="316"/>
      <c r="WEZ10" s="316"/>
      <c r="WFA10" s="316"/>
      <c r="WFB10" s="316"/>
      <c r="WFC10" s="316"/>
      <c r="WFD10" s="316"/>
      <c r="WFE10" s="316"/>
      <c r="WFF10" s="316"/>
      <c r="WFG10" s="316"/>
      <c r="WFH10" s="316"/>
      <c r="WFI10" s="316"/>
      <c r="WFJ10" s="316"/>
      <c r="WFK10" s="316"/>
      <c r="WFL10" s="316"/>
      <c r="WFM10" s="316"/>
      <c r="WFN10" s="316"/>
      <c r="WFO10" s="316"/>
      <c r="WFP10" s="316"/>
      <c r="WFQ10" s="316"/>
      <c r="WFR10" s="316"/>
      <c r="WFS10" s="316"/>
      <c r="WFT10" s="316"/>
      <c r="WFU10" s="316"/>
      <c r="WFV10" s="316"/>
      <c r="WFW10" s="316"/>
      <c r="WFX10" s="316"/>
      <c r="WFY10" s="316"/>
      <c r="WFZ10" s="316"/>
      <c r="WGA10" s="316"/>
      <c r="WGB10" s="316"/>
      <c r="WGC10" s="316"/>
      <c r="WGD10" s="316"/>
      <c r="WGE10" s="316"/>
      <c r="WGF10" s="316"/>
      <c r="WGG10" s="316"/>
      <c r="WGH10" s="316"/>
      <c r="WGI10" s="316"/>
      <c r="WGJ10" s="316"/>
      <c r="WGK10" s="316"/>
      <c r="WGL10" s="316"/>
      <c r="WGM10" s="316"/>
      <c r="WGN10" s="316"/>
      <c r="WGO10" s="316"/>
      <c r="WGP10" s="316"/>
      <c r="WGQ10" s="316"/>
      <c r="WGR10" s="316"/>
      <c r="WGS10" s="316"/>
      <c r="WGT10" s="316"/>
      <c r="WGU10" s="316"/>
      <c r="WGV10" s="316"/>
      <c r="WGW10" s="316"/>
      <c r="WGX10" s="316"/>
      <c r="WGY10" s="316"/>
      <c r="WGZ10" s="316"/>
      <c r="WHA10" s="316"/>
      <c r="WHB10" s="316"/>
      <c r="WHC10" s="316"/>
      <c r="WHD10" s="316"/>
      <c r="WHE10" s="316"/>
      <c r="WHF10" s="316"/>
      <c r="WHG10" s="316"/>
      <c r="WHH10" s="316"/>
      <c r="WHI10" s="316"/>
      <c r="WHJ10" s="316"/>
      <c r="WHK10" s="316"/>
      <c r="WHL10" s="316"/>
      <c r="WHM10" s="316"/>
      <c r="WHN10" s="316"/>
      <c r="WHO10" s="316"/>
      <c r="WHP10" s="316"/>
      <c r="WHQ10" s="316"/>
      <c r="WHR10" s="316"/>
      <c r="WHS10" s="316"/>
      <c r="WHT10" s="316"/>
      <c r="WHU10" s="316"/>
      <c r="WHV10" s="316"/>
      <c r="WHW10" s="316"/>
      <c r="WHX10" s="316"/>
      <c r="WHY10" s="316"/>
      <c r="WHZ10" s="316"/>
      <c r="WIA10" s="316"/>
      <c r="WIB10" s="316"/>
      <c r="WIC10" s="316"/>
      <c r="WID10" s="316"/>
      <c r="WIE10" s="316"/>
      <c r="WIF10" s="316"/>
      <c r="WIG10" s="316"/>
      <c r="WIH10" s="316"/>
      <c r="WII10" s="316"/>
      <c r="WIJ10" s="316"/>
      <c r="WIK10" s="316"/>
      <c r="WIL10" s="316"/>
      <c r="WIM10" s="316"/>
      <c r="WIN10" s="316"/>
      <c r="WIO10" s="316"/>
      <c r="WIP10" s="316"/>
      <c r="WIQ10" s="316"/>
      <c r="WIR10" s="316"/>
      <c r="WIS10" s="316"/>
      <c r="WIT10" s="316"/>
      <c r="WIU10" s="316"/>
      <c r="WIV10" s="316"/>
      <c r="WIW10" s="316"/>
      <c r="WIX10" s="316"/>
      <c r="WIY10" s="316"/>
      <c r="WIZ10" s="316"/>
      <c r="WJA10" s="316"/>
      <c r="WJB10" s="316"/>
      <c r="WJC10" s="316"/>
      <c r="WJD10" s="316"/>
      <c r="WJE10" s="316"/>
      <c r="WJF10" s="316"/>
      <c r="WJG10" s="316"/>
      <c r="WJH10" s="316"/>
      <c r="WJI10" s="316"/>
      <c r="WJJ10" s="316"/>
      <c r="WJK10" s="316"/>
      <c r="WJL10" s="316"/>
      <c r="WJM10" s="316"/>
      <c r="WJN10" s="316"/>
      <c r="WJO10" s="316"/>
      <c r="WJP10" s="316"/>
      <c r="WJQ10" s="316"/>
      <c r="WJR10" s="316"/>
      <c r="WJS10" s="316"/>
      <c r="WJT10" s="316"/>
      <c r="WJU10" s="316"/>
      <c r="WJV10" s="316"/>
      <c r="WJW10" s="316"/>
      <c r="WJX10" s="316"/>
      <c r="WJY10" s="316"/>
      <c r="WJZ10" s="316"/>
      <c r="WKA10" s="316"/>
      <c r="WKB10" s="316"/>
      <c r="WKC10" s="316"/>
      <c r="WKD10" s="316"/>
      <c r="WKE10" s="316"/>
      <c r="WKF10" s="316"/>
      <c r="WKG10" s="316"/>
      <c r="WKH10" s="316"/>
      <c r="WKI10" s="316"/>
      <c r="WKJ10" s="316"/>
      <c r="WKK10" s="316"/>
      <c r="WKL10" s="316"/>
      <c r="WKM10" s="316"/>
      <c r="WKN10" s="316"/>
      <c r="WKO10" s="316"/>
      <c r="WKP10" s="316"/>
      <c r="WKQ10" s="316"/>
      <c r="WKR10" s="316"/>
      <c r="WKS10" s="316"/>
      <c r="WKT10" s="316"/>
      <c r="WKU10" s="316"/>
      <c r="WKV10" s="316"/>
      <c r="WKW10" s="316"/>
      <c r="WKX10" s="316"/>
      <c r="WKY10" s="316"/>
      <c r="WKZ10" s="316"/>
      <c r="WLA10" s="316"/>
      <c r="WLB10" s="316"/>
      <c r="WLC10" s="316"/>
      <c r="WLD10" s="316"/>
      <c r="WLE10" s="316"/>
      <c r="WLF10" s="316"/>
      <c r="WLG10" s="316"/>
      <c r="WLH10" s="316"/>
      <c r="WLI10" s="316"/>
      <c r="WLJ10" s="316"/>
      <c r="WLK10" s="316"/>
      <c r="WLL10" s="316"/>
      <c r="WLM10" s="316"/>
      <c r="WLN10" s="316"/>
      <c r="WLO10" s="316"/>
      <c r="WLP10" s="316"/>
      <c r="WLQ10" s="316"/>
      <c r="WLR10" s="316"/>
      <c r="WLS10" s="316"/>
      <c r="WLT10" s="316"/>
      <c r="WLU10" s="316"/>
      <c r="WLV10" s="316"/>
      <c r="WLW10" s="316"/>
      <c r="WLX10" s="316"/>
      <c r="WLY10" s="316"/>
      <c r="WLZ10" s="316"/>
      <c r="WMA10" s="316"/>
      <c r="WMB10" s="316"/>
      <c r="WMC10" s="316"/>
      <c r="WMD10" s="316"/>
      <c r="WME10" s="316"/>
      <c r="WMF10" s="316"/>
      <c r="WMG10" s="316"/>
      <c r="WMH10" s="316"/>
      <c r="WMI10" s="316"/>
      <c r="WMJ10" s="316"/>
      <c r="WMK10" s="316"/>
      <c r="WML10" s="316"/>
      <c r="WMM10" s="316"/>
      <c r="WMN10" s="316"/>
      <c r="WMO10" s="316"/>
      <c r="WMP10" s="316"/>
      <c r="WMQ10" s="316"/>
      <c r="WMR10" s="316"/>
      <c r="WMS10" s="316"/>
      <c r="WMT10" s="316"/>
      <c r="WMU10" s="316"/>
      <c r="WMV10" s="316"/>
      <c r="WMW10" s="316"/>
      <c r="WMX10" s="316"/>
      <c r="WMY10" s="316"/>
      <c r="WMZ10" s="316"/>
      <c r="WNA10" s="316"/>
      <c r="WNB10" s="316"/>
      <c r="WNC10" s="316"/>
      <c r="WND10" s="316"/>
      <c r="WNE10" s="316"/>
      <c r="WNF10" s="316"/>
      <c r="WNG10" s="316"/>
      <c r="WNH10" s="316"/>
      <c r="WNI10" s="316"/>
      <c r="WNJ10" s="316"/>
      <c r="WNK10" s="316"/>
      <c r="WNL10" s="316"/>
      <c r="WNM10" s="316"/>
      <c r="WNN10" s="316"/>
      <c r="WNO10" s="316"/>
      <c r="WNP10" s="316"/>
      <c r="WNQ10" s="316"/>
      <c r="WNR10" s="316"/>
      <c r="WNS10" s="316"/>
      <c r="WNT10" s="316"/>
      <c r="WNU10" s="316"/>
      <c r="WNV10" s="316"/>
      <c r="WNW10" s="316"/>
      <c r="WNX10" s="316"/>
      <c r="WNY10" s="316"/>
      <c r="WNZ10" s="316"/>
      <c r="WOA10" s="316"/>
      <c r="WOB10" s="316"/>
      <c r="WOC10" s="316"/>
      <c r="WOD10" s="316"/>
      <c r="WOE10" s="316"/>
      <c r="WOF10" s="316"/>
      <c r="WOG10" s="316"/>
      <c r="WOH10" s="316"/>
      <c r="WOI10" s="316"/>
      <c r="WOJ10" s="316"/>
      <c r="WOK10" s="316"/>
      <c r="WOL10" s="316"/>
      <c r="WOM10" s="316"/>
      <c r="WON10" s="316"/>
      <c r="WOO10" s="316"/>
      <c r="WOP10" s="316"/>
      <c r="WOQ10" s="316"/>
      <c r="WOR10" s="316"/>
      <c r="WOS10" s="316"/>
      <c r="WOT10" s="316"/>
      <c r="WOU10" s="316"/>
      <c r="WOV10" s="316"/>
      <c r="WOW10" s="316"/>
      <c r="WOX10" s="316"/>
      <c r="WOY10" s="316"/>
      <c r="WOZ10" s="316"/>
      <c r="WPA10" s="316"/>
      <c r="WPB10" s="316"/>
      <c r="WPC10" s="316"/>
      <c r="WPD10" s="316"/>
      <c r="WPE10" s="316"/>
      <c r="WPF10" s="316"/>
      <c r="WPG10" s="316"/>
      <c r="WPH10" s="316"/>
      <c r="WPI10" s="316"/>
      <c r="WPJ10" s="316"/>
      <c r="WPK10" s="316"/>
      <c r="WPL10" s="316"/>
      <c r="WPM10" s="316"/>
      <c r="WPN10" s="316"/>
      <c r="WPO10" s="316"/>
      <c r="WPP10" s="316"/>
      <c r="WPQ10" s="316"/>
      <c r="WPR10" s="316"/>
      <c r="WPS10" s="316"/>
      <c r="WPT10" s="316"/>
      <c r="WPU10" s="316"/>
      <c r="WPV10" s="316"/>
      <c r="WPW10" s="316"/>
      <c r="WPX10" s="316"/>
      <c r="WPY10" s="316"/>
      <c r="WPZ10" s="316"/>
      <c r="WQA10" s="316"/>
      <c r="WQB10" s="316"/>
      <c r="WQC10" s="316"/>
      <c r="WQD10" s="316"/>
      <c r="WQE10" s="316"/>
      <c r="WQF10" s="316"/>
      <c r="WQG10" s="316"/>
      <c r="WQH10" s="316"/>
      <c r="WQI10" s="316"/>
      <c r="WQJ10" s="316"/>
      <c r="WQK10" s="316"/>
      <c r="WQL10" s="316"/>
      <c r="WQM10" s="316"/>
      <c r="WQN10" s="316"/>
      <c r="WQO10" s="316"/>
      <c r="WQP10" s="316"/>
      <c r="WQQ10" s="316"/>
      <c r="WQR10" s="316"/>
      <c r="WQS10" s="316"/>
      <c r="WQT10" s="316"/>
      <c r="WQU10" s="316"/>
      <c r="WQV10" s="316"/>
      <c r="WQW10" s="316"/>
      <c r="WQX10" s="316"/>
      <c r="WQY10" s="316"/>
      <c r="WQZ10" s="316"/>
      <c r="WRA10" s="316"/>
      <c r="WRB10" s="316"/>
      <c r="WRC10" s="316"/>
      <c r="WRD10" s="316"/>
      <c r="WRE10" s="316"/>
      <c r="WRF10" s="316"/>
      <c r="WRG10" s="316"/>
      <c r="WRH10" s="316"/>
      <c r="WRI10" s="316"/>
      <c r="WRJ10" s="316"/>
      <c r="WRK10" s="316"/>
      <c r="WRL10" s="316"/>
      <c r="WRM10" s="316"/>
      <c r="WRN10" s="316"/>
      <c r="WRO10" s="316"/>
      <c r="WRP10" s="316"/>
      <c r="WRQ10" s="316"/>
      <c r="WRR10" s="316"/>
      <c r="WRS10" s="316"/>
      <c r="WRT10" s="316"/>
      <c r="WRU10" s="316"/>
      <c r="WRV10" s="316"/>
      <c r="WRW10" s="316"/>
      <c r="WRX10" s="316"/>
      <c r="WRY10" s="316"/>
      <c r="WRZ10" s="316"/>
      <c r="WSA10" s="316"/>
      <c r="WSB10" s="316"/>
      <c r="WSC10" s="316"/>
      <c r="WSD10" s="316"/>
      <c r="WSE10" s="316"/>
      <c r="WSF10" s="316"/>
      <c r="WSG10" s="316"/>
      <c r="WSH10" s="316"/>
      <c r="WSI10" s="316"/>
      <c r="WSJ10" s="316"/>
      <c r="WSK10" s="316"/>
      <c r="WSL10" s="316"/>
      <c r="WSM10" s="316"/>
      <c r="WSN10" s="316"/>
      <c r="WSO10" s="316"/>
      <c r="WSP10" s="316"/>
      <c r="WSQ10" s="316"/>
      <c r="WSR10" s="316"/>
      <c r="WSS10" s="316"/>
      <c r="WST10" s="316"/>
      <c r="WSU10" s="316"/>
      <c r="WSV10" s="316"/>
      <c r="WSW10" s="316"/>
      <c r="WSX10" s="316"/>
      <c r="WSY10" s="316"/>
      <c r="WSZ10" s="316"/>
      <c r="WTA10" s="316"/>
      <c r="WTB10" s="316"/>
      <c r="WTC10" s="316"/>
      <c r="WTD10" s="316"/>
      <c r="WTE10" s="316"/>
      <c r="WTF10" s="316"/>
      <c r="WTG10" s="316"/>
      <c r="WTH10" s="316"/>
      <c r="WTI10" s="316"/>
      <c r="WTJ10" s="316"/>
      <c r="WTK10" s="316"/>
      <c r="WTL10" s="316"/>
      <c r="WTM10" s="316"/>
      <c r="WTN10" s="316"/>
      <c r="WTO10" s="316"/>
      <c r="WTP10" s="316"/>
      <c r="WTQ10" s="316"/>
      <c r="WTR10" s="316"/>
      <c r="WTS10" s="316"/>
      <c r="WTT10" s="316"/>
      <c r="WTU10" s="316"/>
      <c r="WTV10" s="316"/>
      <c r="WTW10" s="316"/>
      <c r="WTX10" s="316"/>
      <c r="WTY10" s="316"/>
      <c r="WTZ10" s="316"/>
      <c r="WUA10" s="316"/>
      <c r="WUB10" s="316"/>
      <c r="WUC10" s="316"/>
      <c r="WUD10" s="316"/>
      <c r="WUE10" s="316"/>
      <c r="WUF10" s="316"/>
      <c r="WUG10" s="316"/>
      <c r="WUH10" s="316"/>
      <c r="WUI10" s="316"/>
      <c r="WUJ10" s="316"/>
      <c r="WUK10" s="316"/>
      <c r="WUL10" s="316"/>
      <c r="WUM10" s="316"/>
      <c r="WUN10" s="316"/>
      <c r="WUO10" s="316"/>
      <c r="WUP10" s="316"/>
      <c r="WUQ10" s="316"/>
      <c r="WUR10" s="316"/>
      <c r="WUS10" s="316"/>
      <c r="WUT10" s="316"/>
      <c r="WUU10" s="316"/>
      <c r="WUV10" s="316"/>
      <c r="WUW10" s="316"/>
      <c r="WUX10" s="316"/>
      <c r="WUY10" s="316"/>
      <c r="WUZ10" s="316"/>
      <c r="WVA10" s="316"/>
      <c r="WVB10" s="316"/>
      <c r="WVC10" s="316"/>
      <c r="WVD10" s="316"/>
      <c r="WVE10" s="316"/>
      <c r="WVF10" s="316"/>
      <c r="WVG10" s="316"/>
      <c r="WVH10" s="316"/>
      <c r="WVI10" s="316"/>
      <c r="WVJ10" s="316"/>
      <c r="WVK10" s="316"/>
      <c r="WVL10" s="316"/>
      <c r="WVM10" s="316"/>
      <c r="WVN10" s="316"/>
      <c r="WVO10" s="316"/>
      <c r="WVP10" s="316"/>
      <c r="WVQ10" s="316"/>
      <c r="WVR10" s="316"/>
      <c r="WVS10" s="316"/>
      <c r="WVT10" s="316"/>
      <c r="WVU10" s="316"/>
      <c r="WVV10" s="316"/>
      <c r="WVW10" s="316"/>
      <c r="WVX10" s="316"/>
      <c r="WVY10" s="316"/>
      <c r="WVZ10" s="316"/>
      <c r="WWA10" s="316"/>
      <c r="WWB10" s="316"/>
      <c r="WWC10" s="316"/>
      <c r="WWD10" s="316"/>
      <c r="WWE10" s="316"/>
      <c r="WWF10" s="316"/>
      <c r="WWG10" s="316"/>
      <c r="WWH10" s="316"/>
      <c r="WWI10" s="316"/>
      <c r="WWJ10" s="316"/>
      <c r="WWK10" s="316"/>
      <c r="WWL10" s="316"/>
      <c r="WWM10" s="316"/>
      <c r="WWN10" s="316"/>
      <c r="WWO10" s="316"/>
      <c r="WWP10" s="316"/>
      <c r="WWQ10" s="316"/>
      <c r="WWR10" s="316"/>
      <c r="WWS10" s="316"/>
      <c r="WWT10" s="316"/>
      <c r="WWU10" s="316"/>
      <c r="WWV10" s="316"/>
      <c r="WWW10" s="316"/>
      <c r="WWX10" s="316"/>
      <c r="WWY10" s="316"/>
      <c r="WWZ10" s="316"/>
      <c r="WXA10" s="316"/>
      <c r="WXB10" s="316"/>
      <c r="WXC10" s="316"/>
      <c r="WXD10" s="316"/>
      <c r="WXE10" s="316"/>
      <c r="WXF10" s="316"/>
      <c r="WXG10" s="316"/>
      <c r="WXH10" s="316"/>
      <c r="WXI10" s="316"/>
      <c r="WXJ10" s="316"/>
      <c r="WXK10" s="316"/>
      <c r="WXL10" s="316"/>
      <c r="WXM10" s="316"/>
      <c r="WXN10" s="316"/>
      <c r="WXO10" s="316"/>
      <c r="WXP10" s="316"/>
      <c r="WXQ10" s="316"/>
      <c r="WXR10" s="316"/>
      <c r="WXS10" s="316"/>
      <c r="WXT10" s="316"/>
      <c r="WXU10" s="316"/>
      <c r="WXV10" s="316"/>
      <c r="WXW10" s="316"/>
      <c r="WXX10" s="316"/>
      <c r="WXY10" s="316"/>
      <c r="WXZ10" s="316"/>
      <c r="WYA10" s="316"/>
      <c r="WYB10" s="316"/>
      <c r="WYC10" s="316"/>
      <c r="WYD10" s="316"/>
      <c r="WYE10" s="316"/>
      <c r="WYF10" s="316"/>
      <c r="WYG10" s="316"/>
      <c r="WYH10" s="316"/>
      <c r="WYI10" s="316"/>
      <c r="WYJ10" s="316"/>
      <c r="WYK10" s="316"/>
      <c r="WYL10" s="316"/>
      <c r="WYM10" s="316"/>
      <c r="WYN10" s="316"/>
      <c r="WYO10" s="316"/>
      <c r="WYP10" s="316"/>
      <c r="WYQ10" s="316"/>
      <c r="WYR10" s="316"/>
      <c r="WYS10" s="316"/>
      <c r="WYT10" s="316"/>
      <c r="WYU10" s="316"/>
      <c r="WYV10" s="316"/>
      <c r="WYW10" s="316"/>
      <c r="WYX10" s="316"/>
      <c r="WYY10" s="316"/>
      <c r="WYZ10" s="316"/>
      <c r="WZA10" s="316"/>
      <c r="WZB10" s="316"/>
      <c r="WZC10" s="316"/>
      <c r="WZD10" s="316"/>
      <c r="WZE10" s="316"/>
      <c r="WZF10" s="316"/>
      <c r="WZG10" s="316"/>
      <c r="WZH10" s="316"/>
      <c r="WZI10" s="316"/>
      <c r="WZJ10" s="316"/>
      <c r="WZK10" s="316"/>
      <c r="WZL10" s="316"/>
      <c r="WZM10" s="316"/>
      <c r="WZN10" s="316"/>
      <c r="WZO10" s="316"/>
      <c r="WZP10" s="316"/>
      <c r="WZQ10" s="316"/>
      <c r="WZR10" s="316"/>
      <c r="WZS10" s="316"/>
      <c r="WZT10" s="316"/>
      <c r="WZU10" s="316"/>
      <c r="WZV10" s="316"/>
      <c r="WZW10" s="316"/>
      <c r="WZX10" s="316"/>
      <c r="WZY10" s="316"/>
      <c r="WZZ10" s="316"/>
      <c r="XAA10" s="316"/>
      <c r="XAB10" s="316"/>
      <c r="XAC10" s="316"/>
      <c r="XAD10" s="316"/>
      <c r="XAE10" s="316"/>
      <c r="XAF10" s="316"/>
      <c r="XAG10" s="316"/>
      <c r="XAH10" s="316"/>
      <c r="XAI10" s="316"/>
      <c r="XAJ10" s="316"/>
      <c r="XAK10" s="316"/>
      <c r="XAL10" s="316"/>
      <c r="XAM10" s="316"/>
      <c r="XAN10" s="316"/>
      <c r="XAO10" s="316"/>
      <c r="XAP10" s="316"/>
      <c r="XAQ10" s="316"/>
      <c r="XAR10" s="316"/>
      <c r="XAS10" s="316"/>
      <c r="XAT10" s="316"/>
      <c r="XAU10" s="316"/>
      <c r="XAV10" s="316"/>
      <c r="XAW10" s="316"/>
      <c r="XAX10" s="316"/>
      <c r="XAY10" s="316"/>
      <c r="XAZ10" s="316"/>
      <c r="XBA10" s="316"/>
      <c r="XBB10" s="316"/>
      <c r="XBC10" s="316"/>
      <c r="XBD10" s="316"/>
      <c r="XBE10" s="316"/>
      <c r="XBF10" s="316"/>
      <c r="XBG10" s="316"/>
      <c r="XBH10" s="316"/>
      <c r="XBI10" s="316"/>
      <c r="XBJ10" s="316"/>
      <c r="XBK10" s="316"/>
      <c r="XBL10" s="316"/>
      <c r="XBM10" s="316"/>
      <c r="XBN10" s="316"/>
      <c r="XBO10" s="316"/>
      <c r="XBP10" s="316"/>
      <c r="XBQ10" s="316"/>
      <c r="XBR10" s="316"/>
      <c r="XBS10" s="316"/>
      <c r="XBT10" s="316"/>
      <c r="XBU10" s="316"/>
      <c r="XBV10" s="316"/>
      <c r="XBW10" s="316"/>
      <c r="XBX10" s="316"/>
      <c r="XBY10" s="316"/>
      <c r="XBZ10" s="316"/>
      <c r="XCA10" s="316"/>
      <c r="XCB10" s="316"/>
      <c r="XCC10" s="316"/>
      <c r="XCD10" s="316"/>
      <c r="XCE10" s="316"/>
      <c r="XCF10" s="316"/>
      <c r="XCG10" s="316"/>
      <c r="XCH10" s="316"/>
      <c r="XCI10" s="316"/>
      <c r="XCJ10" s="316"/>
      <c r="XCK10" s="316"/>
      <c r="XCL10" s="316"/>
      <c r="XCM10" s="316"/>
      <c r="XCN10" s="316"/>
      <c r="XCO10" s="316"/>
      <c r="XCP10" s="316"/>
      <c r="XCQ10" s="316"/>
      <c r="XCR10" s="316"/>
      <c r="XCS10" s="316"/>
      <c r="XCT10" s="316"/>
      <c r="XCU10" s="316"/>
      <c r="XCV10" s="316"/>
      <c r="XCW10" s="316"/>
      <c r="XCX10" s="316"/>
      <c r="XCY10" s="316"/>
      <c r="XCZ10" s="316"/>
      <c r="XDA10" s="316"/>
      <c r="XDB10" s="316"/>
      <c r="XDC10" s="316"/>
      <c r="XDD10" s="316"/>
      <c r="XDE10" s="316"/>
      <c r="XDF10" s="316"/>
      <c r="XDG10" s="316"/>
      <c r="XDH10" s="316"/>
      <c r="XDI10" s="316"/>
      <c r="XDJ10" s="316"/>
      <c r="XDK10" s="316"/>
      <c r="XDL10" s="316"/>
      <c r="XDM10" s="316"/>
      <c r="XDN10" s="316"/>
      <c r="XDO10" s="316"/>
      <c r="XDP10" s="316"/>
      <c r="XDQ10" s="316"/>
      <c r="XDR10" s="316"/>
      <c r="XDS10" s="316"/>
      <c r="XDT10" s="316"/>
      <c r="XDU10" s="316"/>
      <c r="XDV10" s="316"/>
      <c r="XDW10" s="316"/>
      <c r="XDX10" s="316"/>
      <c r="XDY10" s="316"/>
      <c r="XDZ10" s="316"/>
      <c r="XEA10" s="316"/>
      <c r="XEB10" s="316"/>
      <c r="XEC10" s="316"/>
      <c r="XED10" s="316"/>
      <c r="XEE10" s="316"/>
      <c r="XEF10" s="316"/>
      <c r="XEG10" s="316"/>
    </row>
    <row r="11" spans="1:16361" ht="18" customHeight="1">
      <c r="A11" s="402"/>
      <c r="B11" s="402"/>
      <c r="C11" s="408" t="s">
        <v>963</v>
      </c>
      <c r="D11" s="408"/>
      <c r="E11" s="408"/>
      <c r="F11" s="409" t="s">
        <v>960</v>
      </c>
      <c r="G11" s="412">
        <v>1</v>
      </c>
      <c r="H11" s="404">
        <f>I10*0.1</f>
        <v>22408.100000000002</v>
      </c>
      <c r="I11" s="405">
        <f>G11*H11</f>
        <v>22408.100000000002</v>
      </c>
      <c r="J11" s="434"/>
    </row>
    <row r="12" spans="1:16361" ht="18" customHeight="1">
      <c r="A12" s="402"/>
      <c r="B12" s="402"/>
      <c r="C12" s="408" t="s">
        <v>964</v>
      </c>
      <c r="D12" s="408"/>
      <c r="E12" s="408"/>
      <c r="F12" s="410"/>
      <c r="G12" s="413"/>
      <c r="H12" s="404"/>
      <c r="I12" s="406"/>
      <c r="J12" s="434"/>
    </row>
    <row r="13" spans="1:16361" ht="18" customHeight="1">
      <c r="A13" s="402"/>
      <c r="B13" s="402"/>
      <c r="C13" s="408" t="s">
        <v>965</v>
      </c>
      <c r="D13" s="408"/>
      <c r="E13" s="408"/>
      <c r="F13" s="411"/>
      <c r="G13" s="414"/>
      <c r="H13" s="404"/>
      <c r="I13" s="407"/>
      <c r="J13" s="434"/>
    </row>
    <row r="14" spans="1:16361" ht="18" customHeight="1">
      <c r="A14" s="402"/>
      <c r="B14" s="402"/>
      <c r="C14" s="408" t="s">
        <v>967</v>
      </c>
      <c r="D14" s="408"/>
      <c r="E14" s="408"/>
      <c r="F14" s="330" t="s">
        <v>960</v>
      </c>
      <c r="G14" s="319">
        <v>1</v>
      </c>
      <c r="H14" s="326">
        <v>5400</v>
      </c>
      <c r="I14" s="334">
        <f>H14</f>
        <v>5400</v>
      </c>
      <c r="J14" s="434"/>
    </row>
    <row r="15" spans="1:16361" ht="18" customHeight="1">
      <c r="A15" s="402"/>
      <c r="B15" s="402"/>
      <c r="C15" s="403" t="s">
        <v>973</v>
      </c>
      <c r="D15" s="403"/>
      <c r="E15" s="403"/>
      <c r="F15" s="330"/>
      <c r="G15" s="315"/>
      <c r="H15" s="315"/>
      <c r="I15" s="333">
        <f>SUM(I11:I14)</f>
        <v>27808.100000000002</v>
      </c>
      <c r="J15" s="434"/>
    </row>
    <row r="16" spans="1:16361" ht="18" customHeight="1">
      <c r="A16" s="317"/>
      <c r="B16" s="317"/>
      <c r="C16" s="403" t="s">
        <v>974</v>
      </c>
      <c r="D16" s="403"/>
      <c r="E16" s="403"/>
      <c r="F16" s="330"/>
      <c r="G16" s="315"/>
      <c r="H16" s="315"/>
      <c r="I16" s="333">
        <f>I10+I15</f>
        <v>251889.1</v>
      </c>
      <c r="J16" s="434"/>
    </row>
    <row r="17" spans="1:16362" ht="18" customHeight="1">
      <c r="A17" s="402">
        <v>2</v>
      </c>
      <c r="B17" s="402" t="s">
        <v>991</v>
      </c>
      <c r="C17" s="317" t="s">
        <v>983</v>
      </c>
      <c r="D17" s="402" t="s">
        <v>992</v>
      </c>
      <c r="E17" s="402"/>
      <c r="F17" s="330" t="s">
        <v>959</v>
      </c>
      <c r="G17" s="318">
        <v>2160</v>
      </c>
      <c r="H17" s="319">
        <v>200</v>
      </c>
      <c r="I17" s="331">
        <f>G17*H17</f>
        <v>432000</v>
      </c>
      <c r="J17" s="401">
        <f>ROUND(I25*0.8,0)</f>
        <v>380160</v>
      </c>
    </row>
    <row r="18" spans="1:16362" ht="18" customHeight="1">
      <c r="A18" s="402"/>
      <c r="B18" s="402"/>
      <c r="C18" s="317" t="s">
        <v>993</v>
      </c>
      <c r="D18" s="402" t="s">
        <v>994</v>
      </c>
      <c r="E18" s="402"/>
      <c r="F18" s="330" t="s">
        <v>960</v>
      </c>
      <c r="G18" s="318">
        <v>0</v>
      </c>
      <c r="H18" s="318">
        <v>0</v>
      </c>
      <c r="I18" s="331">
        <v>0</v>
      </c>
      <c r="J18" s="434"/>
    </row>
    <row r="19" spans="1:16362" ht="18" customHeight="1">
      <c r="A19" s="402"/>
      <c r="B19" s="402"/>
      <c r="C19" s="403" t="s">
        <v>971</v>
      </c>
      <c r="D19" s="403"/>
      <c r="E19" s="403"/>
      <c r="F19" s="330"/>
      <c r="G19" s="318"/>
      <c r="H19" s="318"/>
      <c r="I19" s="333">
        <f>I17+I18</f>
        <v>432000</v>
      </c>
      <c r="J19" s="434"/>
    </row>
    <row r="20" spans="1:16362" ht="18" customHeight="1">
      <c r="A20" s="402"/>
      <c r="B20" s="402"/>
      <c r="C20" s="408" t="s">
        <v>963</v>
      </c>
      <c r="D20" s="408"/>
      <c r="E20" s="408"/>
      <c r="F20" s="409" t="s">
        <v>960</v>
      </c>
      <c r="G20" s="412">
        <v>1</v>
      </c>
      <c r="H20" s="415">
        <f>I19*0.1</f>
        <v>43200</v>
      </c>
      <c r="I20" s="418">
        <f>G20*H20</f>
        <v>43200</v>
      </c>
      <c r="J20" s="434"/>
    </row>
    <row r="21" spans="1:16362" ht="18" customHeight="1">
      <c r="A21" s="402"/>
      <c r="B21" s="402"/>
      <c r="C21" s="408" t="s">
        <v>964</v>
      </c>
      <c r="D21" s="408"/>
      <c r="E21" s="408"/>
      <c r="F21" s="410"/>
      <c r="G21" s="413"/>
      <c r="H21" s="416"/>
      <c r="I21" s="419"/>
      <c r="J21" s="434"/>
    </row>
    <row r="22" spans="1:16362" ht="18" customHeight="1">
      <c r="A22" s="402"/>
      <c r="B22" s="402"/>
      <c r="C22" s="408" t="s">
        <v>965</v>
      </c>
      <c r="D22" s="408"/>
      <c r="E22" s="408"/>
      <c r="F22" s="410"/>
      <c r="G22" s="413"/>
      <c r="H22" s="416"/>
      <c r="I22" s="419"/>
      <c r="J22" s="434"/>
    </row>
    <row r="23" spans="1:16362" s="323" customFormat="1" ht="18" customHeight="1">
      <c r="A23" s="402"/>
      <c r="B23" s="402"/>
      <c r="C23" s="421" t="s">
        <v>966</v>
      </c>
      <c r="D23" s="422"/>
      <c r="E23" s="423"/>
      <c r="F23" s="411"/>
      <c r="G23" s="414"/>
      <c r="H23" s="417"/>
      <c r="I23" s="420"/>
      <c r="J23" s="434"/>
      <c r="K23" s="311"/>
      <c r="L23" s="311"/>
      <c r="M23" s="311"/>
      <c r="N23" s="311"/>
      <c r="O23" s="311"/>
      <c r="P23" s="311"/>
      <c r="Q23" s="311"/>
      <c r="R23" s="311"/>
      <c r="S23" s="311"/>
      <c r="T23" s="311"/>
      <c r="U23" s="311"/>
      <c r="V23" s="311"/>
      <c r="W23" s="311"/>
      <c r="X23" s="311"/>
      <c r="Y23" s="311"/>
      <c r="Z23" s="311"/>
      <c r="AA23" s="311"/>
      <c r="AB23" s="311"/>
      <c r="AC23" s="311"/>
      <c r="AD23" s="311"/>
      <c r="AE23" s="311"/>
      <c r="AF23" s="311"/>
      <c r="AG23" s="311"/>
      <c r="AH23" s="311"/>
      <c r="AI23" s="311"/>
      <c r="AJ23" s="311"/>
      <c r="AK23" s="311"/>
      <c r="AL23" s="311"/>
      <c r="AM23" s="311"/>
      <c r="AN23" s="311"/>
      <c r="AO23" s="311"/>
      <c r="AP23" s="311"/>
      <c r="AQ23" s="311"/>
      <c r="AR23" s="311"/>
      <c r="AS23" s="311"/>
      <c r="AT23" s="311"/>
      <c r="AU23" s="311"/>
      <c r="AV23" s="311"/>
      <c r="AW23" s="311"/>
      <c r="AX23" s="311"/>
      <c r="AY23" s="311"/>
      <c r="AZ23" s="311"/>
      <c r="BA23" s="311"/>
      <c r="BB23" s="311"/>
      <c r="BC23" s="311"/>
      <c r="BD23" s="311"/>
      <c r="BE23" s="311"/>
      <c r="BF23" s="311"/>
      <c r="BG23" s="311"/>
      <c r="BH23" s="311"/>
      <c r="BI23" s="311"/>
      <c r="BJ23" s="311"/>
      <c r="BK23" s="311"/>
      <c r="BL23" s="311"/>
      <c r="BM23" s="311"/>
      <c r="BN23" s="311"/>
      <c r="BO23" s="311"/>
      <c r="BP23" s="311"/>
      <c r="BQ23" s="311"/>
      <c r="BR23" s="311"/>
      <c r="BS23" s="311"/>
      <c r="BT23" s="311"/>
      <c r="BU23" s="311"/>
      <c r="BV23" s="311"/>
      <c r="BW23" s="311"/>
      <c r="BX23" s="311"/>
      <c r="BY23" s="311"/>
      <c r="BZ23" s="311"/>
      <c r="CA23" s="311"/>
      <c r="CB23" s="311"/>
      <c r="CC23" s="311"/>
      <c r="CD23" s="311"/>
      <c r="CE23" s="311"/>
      <c r="CF23" s="311"/>
      <c r="CG23" s="311"/>
      <c r="CH23" s="311"/>
      <c r="CI23" s="311"/>
      <c r="CJ23" s="311"/>
      <c r="CK23" s="311"/>
      <c r="CL23" s="311"/>
      <c r="CM23" s="311"/>
      <c r="CN23" s="311"/>
      <c r="CO23" s="311"/>
      <c r="CP23" s="311"/>
      <c r="CQ23" s="311"/>
      <c r="CR23" s="311"/>
      <c r="CS23" s="311"/>
      <c r="CT23" s="311"/>
      <c r="CU23" s="311"/>
      <c r="CV23" s="311"/>
      <c r="CW23" s="311"/>
      <c r="CX23" s="311"/>
      <c r="CY23" s="311"/>
      <c r="CZ23" s="311"/>
      <c r="DA23" s="311"/>
      <c r="DB23" s="311"/>
      <c r="DC23" s="311"/>
      <c r="DD23" s="311"/>
      <c r="DE23" s="311"/>
      <c r="DF23" s="311"/>
      <c r="DG23" s="311"/>
      <c r="DH23" s="311"/>
      <c r="DI23" s="311"/>
      <c r="DJ23" s="311"/>
      <c r="DK23" s="311"/>
      <c r="DL23" s="311"/>
      <c r="DM23" s="311"/>
      <c r="DN23" s="311"/>
      <c r="DO23" s="311"/>
      <c r="DP23" s="311"/>
      <c r="DQ23" s="311"/>
      <c r="DR23" s="311"/>
      <c r="DS23" s="311"/>
      <c r="DT23" s="311"/>
      <c r="DU23" s="311"/>
      <c r="DV23" s="311"/>
      <c r="DW23" s="311"/>
      <c r="DX23" s="311"/>
      <c r="DY23" s="311"/>
      <c r="DZ23" s="311"/>
      <c r="EA23" s="311"/>
      <c r="EB23" s="311"/>
      <c r="EC23" s="311"/>
      <c r="ED23" s="311"/>
      <c r="EE23" s="311"/>
      <c r="EF23" s="311"/>
      <c r="EG23" s="311"/>
      <c r="EH23" s="311"/>
      <c r="EI23" s="311"/>
      <c r="EJ23" s="311"/>
      <c r="EK23" s="311"/>
      <c r="EL23" s="311"/>
      <c r="EM23" s="311"/>
      <c r="EN23" s="311"/>
      <c r="EO23" s="311"/>
      <c r="EP23" s="311"/>
      <c r="EQ23" s="311"/>
      <c r="ER23" s="311"/>
      <c r="ES23" s="311"/>
      <c r="ET23" s="311"/>
      <c r="EU23" s="311"/>
      <c r="EV23" s="311"/>
      <c r="EW23" s="311"/>
      <c r="EX23" s="311"/>
      <c r="EY23" s="311"/>
      <c r="EZ23" s="311"/>
      <c r="FA23" s="311"/>
      <c r="FB23" s="311"/>
      <c r="FC23" s="311"/>
      <c r="FD23" s="311"/>
      <c r="FE23" s="311"/>
      <c r="FF23" s="311"/>
      <c r="FG23" s="311"/>
      <c r="FH23" s="311"/>
      <c r="FI23" s="311"/>
      <c r="FJ23" s="311"/>
      <c r="FK23" s="311"/>
      <c r="FL23" s="311"/>
      <c r="FM23" s="311"/>
      <c r="FN23" s="311"/>
      <c r="FO23" s="311"/>
      <c r="FP23" s="311"/>
      <c r="FQ23" s="311"/>
      <c r="FR23" s="311"/>
      <c r="FS23" s="311"/>
      <c r="FT23" s="311"/>
      <c r="FU23" s="311"/>
      <c r="FV23" s="311"/>
      <c r="FW23" s="311"/>
      <c r="FX23" s="311"/>
      <c r="FY23" s="311"/>
      <c r="FZ23" s="311"/>
      <c r="GA23" s="311"/>
      <c r="GB23" s="311"/>
      <c r="GC23" s="311"/>
      <c r="GD23" s="311"/>
      <c r="GE23" s="311"/>
      <c r="GF23" s="311"/>
      <c r="GG23" s="311"/>
      <c r="GH23" s="311"/>
      <c r="GI23" s="311"/>
      <c r="GJ23" s="311"/>
      <c r="GK23" s="311"/>
      <c r="GL23" s="311"/>
      <c r="GM23" s="311"/>
      <c r="GN23" s="311"/>
      <c r="GO23" s="311"/>
      <c r="GP23" s="311"/>
      <c r="GQ23" s="311"/>
      <c r="GR23" s="311"/>
      <c r="GS23" s="311"/>
      <c r="GT23" s="311"/>
      <c r="GU23" s="311"/>
      <c r="GV23" s="311"/>
      <c r="GW23" s="311"/>
      <c r="GX23" s="311"/>
      <c r="GY23" s="311"/>
      <c r="GZ23" s="311"/>
      <c r="HA23" s="311"/>
      <c r="HB23" s="311"/>
      <c r="HC23" s="311"/>
      <c r="HD23" s="311"/>
      <c r="HE23" s="311"/>
      <c r="HF23" s="311"/>
      <c r="HG23" s="311"/>
      <c r="HH23" s="311"/>
      <c r="HI23" s="311"/>
      <c r="HJ23" s="311"/>
      <c r="HK23" s="311"/>
      <c r="HL23" s="311"/>
      <c r="HM23" s="311"/>
      <c r="HN23" s="311"/>
      <c r="HO23" s="311"/>
      <c r="HP23" s="311"/>
      <c r="HQ23" s="311"/>
      <c r="HR23" s="311"/>
      <c r="HS23" s="311"/>
      <c r="HT23" s="311"/>
      <c r="HU23" s="311"/>
      <c r="HV23" s="311"/>
      <c r="HW23" s="311"/>
      <c r="HX23" s="311"/>
      <c r="HY23" s="311"/>
      <c r="HZ23" s="311"/>
      <c r="IA23" s="311"/>
      <c r="IB23" s="311"/>
      <c r="IC23" s="311"/>
      <c r="ID23" s="311"/>
      <c r="IE23" s="311"/>
      <c r="IF23" s="311"/>
      <c r="IG23" s="311"/>
      <c r="IH23" s="311"/>
      <c r="II23" s="311"/>
      <c r="IJ23" s="311"/>
      <c r="IK23" s="311"/>
      <c r="IL23" s="311"/>
      <c r="IM23" s="311"/>
      <c r="IN23" s="311"/>
      <c r="IO23" s="311"/>
      <c r="IP23" s="311"/>
      <c r="IQ23" s="311"/>
      <c r="IR23" s="311"/>
      <c r="IS23" s="311"/>
      <c r="IT23" s="311"/>
      <c r="IU23" s="311"/>
      <c r="IV23" s="311"/>
      <c r="IW23" s="311"/>
      <c r="IX23" s="311"/>
      <c r="IY23" s="311"/>
      <c r="IZ23" s="311"/>
      <c r="JA23" s="311"/>
      <c r="JB23" s="311"/>
      <c r="JC23" s="311"/>
      <c r="JD23" s="311"/>
      <c r="JE23" s="311"/>
      <c r="JF23" s="311"/>
      <c r="JG23" s="311"/>
      <c r="JH23" s="311"/>
      <c r="JI23" s="311"/>
      <c r="JJ23" s="311"/>
      <c r="JK23" s="311"/>
      <c r="JL23" s="311"/>
      <c r="JM23" s="311"/>
      <c r="JN23" s="311"/>
      <c r="JO23" s="311"/>
      <c r="JP23" s="311"/>
      <c r="JQ23" s="311"/>
      <c r="JR23" s="311"/>
      <c r="JS23" s="311"/>
      <c r="JT23" s="311"/>
      <c r="JU23" s="311"/>
      <c r="JV23" s="311"/>
      <c r="JW23" s="311"/>
      <c r="JX23" s="311"/>
      <c r="JY23" s="311"/>
      <c r="JZ23" s="311"/>
      <c r="KA23" s="311"/>
      <c r="KB23" s="311"/>
      <c r="KC23" s="311"/>
      <c r="KD23" s="311"/>
      <c r="KE23" s="311"/>
      <c r="KF23" s="311"/>
      <c r="KG23" s="311"/>
      <c r="KH23" s="311"/>
      <c r="KI23" s="311"/>
      <c r="KJ23" s="311"/>
      <c r="KK23" s="311"/>
      <c r="KL23" s="311"/>
      <c r="KM23" s="311"/>
      <c r="KN23" s="311"/>
      <c r="KO23" s="311"/>
      <c r="KP23" s="311"/>
      <c r="KQ23" s="311"/>
      <c r="KR23" s="311"/>
      <c r="KS23" s="311"/>
      <c r="KT23" s="311"/>
      <c r="KU23" s="311"/>
      <c r="KV23" s="311"/>
      <c r="KW23" s="311"/>
      <c r="KX23" s="311"/>
      <c r="KY23" s="311"/>
      <c r="KZ23" s="311"/>
      <c r="LA23" s="311"/>
      <c r="LB23" s="311"/>
      <c r="LC23" s="311"/>
      <c r="LD23" s="311"/>
      <c r="LE23" s="311"/>
      <c r="LF23" s="311"/>
      <c r="LG23" s="311"/>
      <c r="LH23" s="311"/>
      <c r="LI23" s="311"/>
      <c r="LJ23" s="311"/>
      <c r="LK23" s="311"/>
      <c r="LL23" s="311"/>
      <c r="LM23" s="311"/>
      <c r="LN23" s="311"/>
      <c r="LO23" s="311"/>
      <c r="LP23" s="311"/>
      <c r="LQ23" s="311"/>
      <c r="LR23" s="311"/>
      <c r="LS23" s="311"/>
      <c r="LT23" s="311"/>
      <c r="LU23" s="311"/>
      <c r="LV23" s="311"/>
      <c r="LW23" s="311"/>
      <c r="LX23" s="311"/>
      <c r="LY23" s="311"/>
      <c r="LZ23" s="311"/>
      <c r="MA23" s="311"/>
      <c r="MB23" s="311"/>
      <c r="MC23" s="311"/>
      <c r="MD23" s="311"/>
      <c r="ME23" s="311"/>
      <c r="MF23" s="311"/>
      <c r="MG23" s="311"/>
      <c r="MH23" s="311"/>
      <c r="MI23" s="311"/>
      <c r="MJ23" s="311"/>
      <c r="MK23" s="311"/>
      <c r="ML23" s="311"/>
      <c r="MM23" s="311"/>
      <c r="MN23" s="311"/>
      <c r="MO23" s="311"/>
      <c r="MP23" s="311"/>
      <c r="MQ23" s="311"/>
      <c r="MR23" s="311"/>
      <c r="MS23" s="311"/>
      <c r="MT23" s="311"/>
      <c r="MU23" s="311"/>
      <c r="MV23" s="311"/>
      <c r="MW23" s="311"/>
      <c r="MX23" s="311"/>
      <c r="MY23" s="311"/>
      <c r="MZ23" s="311"/>
      <c r="NA23" s="311"/>
      <c r="NB23" s="311"/>
      <c r="NC23" s="311"/>
      <c r="ND23" s="311"/>
      <c r="NE23" s="311"/>
      <c r="NF23" s="311"/>
      <c r="NG23" s="311"/>
      <c r="NH23" s="311"/>
      <c r="NI23" s="311"/>
      <c r="NJ23" s="311"/>
      <c r="NK23" s="311"/>
      <c r="NL23" s="311"/>
      <c r="NM23" s="311"/>
      <c r="NN23" s="311"/>
      <c r="NO23" s="311"/>
      <c r="NP23" s="311"/>
      <c r="NQ23" s="311"/>
      <c r="NR23" s="311"/>
      <c r="NS23" s="311"/>
      <c r="NT23" s="311"/>
      <c r="NU23" s="311"/>
      <c r="NV23" s="311"/>
      <c r="NW23" s="311"/>
      <c r="NX23" s="311"/>
      <c r="NY23" s="311"/>
      <c r="NZ23" s="311"/>
      <c r="OA23" s="311"/>
      <c r="OB23" s="311"/>
      <c r="OC23" s="311"/>
      <c r="OD23" s="311"/>
      <c r="OE23" s="311"/>
      <c r="OF23" s="311"/>
      <c r="OG23" s="311"/>
      <c r="OH23" s="311"/>
      <c r="OI23" s="311"/>
      <c r="OJ23" s="311"/>
      <c r="OK23" s="311"/>
      <c r="OL23" s="311"/>
      <c r="OM23" s="311"/>
      <c r="ON23" s="311"/>
      <c r="OO23" s="311"/>
      <c r="OP23" s="311"/>
      <c r="OQ23" s="311"/>
      <c r="OR23" s="311"/>
      <c r="OS23" s="311"/>
      <c r="OT23" s="311"/>
      <c r="OU23" s="311"/>
      <c r="OV23" s="311"/>
      <c r="OW23" s="311"/>
      <c r="OX23" s="311"/>
      <c r="OY23" s="311"/>
      <c r="OZ23" s="311"/>
      <c r="PA23" s="311"/>
      <c r="PB23" s="311"/>
      <c r="PC23" s="311"/>
      <c r="PD23" s="311"/>
      <c r="PE23" s="311"/>
      <c r="PF23" s="311"/>
      <c r="PG23" s="311"/>
      <c r="PH23" s="311"/>
      <c r="PI23" s="311"/>
      <c r="PJ23" s="311"/>
      <c r="PK23" s="311"/>
      <c r="PL23" s="311"/>
      <c r="PM23" s="311"/>
      <c r="PN23" s="311"/>
      <c r="PO23" s="311"/>
      <c r="PP23" s="311"/>
      <c r="PQ23" s="311"/>
      <c r="PR23" s="311"/>
      <c r="PS23" s="311"/>
      <c r="PT23" s="311"/>
      <c r="PU23" s="311"/>
      <c r="PV23" s="311"/>
      <c r="PW23" s="311"/>
      <c r="PX23" s="311"/>
      <c r="PY23" s="311"/>
      <c r="PZ23" s="311"/>
      <c r="QA23" s="311"/>
      <c r="QB23" s="311"/>
      <c r="QC23" s="311"/>
      <c r="QD23" s="311"/>
      <c r="QE23" s="311"/>
      <c r="QF23" s="311"/>
      <c r="QG23" s="311"/>
      <c r="QH23" s="311"/>
      <c r="QI23" s="311"/>
      <c r="QJ23" s="311"/>
      <c r="QK23" s="311"/>
      <c r="QL23" s="311"/>
      <c r="QM23" s="311"/>
      <c r="QN23" s="311"/>
      <c r="QO23" s="311"/>
      <c r="QP23" s="311"/>
      <c r="QQ23" s="311"/>
      <c r="QR23" s="311"/>
      <c r="QS23" s="311"/>
      <c r="QT23" s="311"/>
      <c r="QU23" s="311"/>
      <c r="QV23" s="311"/>
      <c r="QW23" s="311"/>
      <c r="QX23" s="311"/>
      <c r="QY23" s="311"/>
      <c r="QZ23" s="311"/>
      <c r="RA23" s="311"/>
      <c r="RB23" s="311"/>
      <c r="RC23" s="311"/>
      <c r="RD23" s="311"/>
      <c r="RE23" s="311"/>
      <c r="RF23" s="311"/>
      <c r="RG23" s="311"/>
      <c r="RH23" s="311"/>
      <c r="RI23" s="311"/>
      <c r="RJ23" s="311"/>
      <c r="RK23" s="311"/>
      <c r="RL23" s="311"/>
      <c r="RM23" s="311"/>
      <c r="RN23" s="311"/>
      <c r="RO23" s="311"/>
      <c r="RP23" s="311"/>
      <c r="RQ23" s="311"/>
      <c r="RR23" s="311"/>
      <c r="RS23" s="311"/>
      <c r="RT23" s="311"/>
      <c r="RU23" s="311"/>
      <c r="RV23" s="311"/>
      <c r="RW23" s="311"/>
      <c r="RX23" s="311"/>
      <c r="RY23" s="311"/>
      <c r="RZ23" s="311"/>
      <c r="SA23" s="311"/>
      <c r="SB23" s="311"/>
      <c r="SC23" s="311"/>
      <c r="SD23" s="311"/>
      <c r="SE23" s="311"/>
      <c r="SF23" s="311"/>
      <c r="SG23" s="311"/>
      <c r="SH23" s="311"/>
      <c r="SI23" s="311"/>
      <c r="SJ23" s="311"/>
      <c r="SK23" s="311"/>
      <c r="SL23" s="311"/>
      <c r="SM23" s="311"/>
      <c r="SN23" s="311"/>
      <c r="SO23" s="311"/>
      <c r="SP23" s="311"/>
      <c r="SQ23" s="311"/>
      <c r="SR23" s="311"/>
      <c r="SS23" s="311"/>
      <c r="ST23" s="311"/>
      <c r="SU23" s="311"/>
      <c r="SV23" s="311"/>
      <c r="SW23" s="311"/>
      <c r="SX23" s="311"/>
      <c r="SY23" s="311"/>
      <c r="SZ23" s="311"/>
      <c r="TA23" s="311"/>
      <c r="TB23" s="311"/>
      <c r="TC23" s="311"/>
      <c r="TD23" s="311"/>
      <c r="TE23" s="311"/>
      <c r="TF23" s="311"/>
      <c r="TG23" s="311"/>
      <c r="TH23" s="311"/>
      <c r="TI23" s="311"/>
      <c r="TJ23" s="311"/>
      <c r="TK23" s="311"/>
      <c r="TL23" s="311"/>
      <c r="TM23" s="311"/>
      <c r="TN23" s="311"/>
      <c r="TO23" s="311"/>
      <c r="TP23" s="311"/>
      <c r="TQ23" s="311"/>
      <c r="TR23" s="311"/>
      <c r="TS23" s="311"/>
      <c r="TT23" s="311"/>
      <c r="TU23" s="311"/>
      <c r="TV23" s="311"/>
      <c r="TW23" s="311"/>
      <c r="TX23" s="311"/>
      <c r="TY23" s="311"/>
      <c r="TZ23" s="311"/>
      <c r="UA23" s="311"/>
      <c r="UB23" s="311"/>
      <c r="UC23" s="311"/>
      <c r="UD23" s="311"/>
      <c r="UE23" s="311"/>
      <c r="UF23" s="311"/>
      <c r="UG23" s="311"/>
      <c r="UH23" s="311"/>
      <c r="UI23" s="311"/>
      <c r="UJ23" s="311"/>
      <c r="UK23" s="311"/>
      <c r="UL23" s="311"/>
      <c r="UM23" s="311"/>
      <c r="UN23" s="311"/>
      <c r="UO23" s="311"/>
      <c r="UP23" s="311"/>
      <c r="UQ23" s="311"/>
      <c r="UR23" s="311"/>
      <c r="US23" s="311"/>
      <c r="UT23" s="311"/>
      <c r="UU23" s="311"/>
      <c r="UV23" s="311"/>
      <c r="UW23" s="311"/>
      <c r="UX23" s="311"/>
      <c r="UY23" s="311"/>
      <c r="UZ23" s="311"/>
      <c r="VA23" s="311"/>
      <c r="VB23" s="311"/>
      <c r="VC23" s="311"/>
      <c r="VD23" s="311"/>
      <c r="VE23" s="311"/>
      <c r="VF23" s="311"/>
      <c r="VG23" s="311"/>
      <c r="VH23" s="311"/>
      <c r="VI23" s="311"/>
      <c r="VJ23" s="311"/>
      <c r="VK23" s="311"/>
      <c r="VL23" s="311"/>
      <c r="VM23" s="311"/>
      <c r="VN23" s="311"/>
      <c r="VO23" s="311"/>
      <c r="VP23" s="311"/>
      <c r="VQ23" s="311"/>
      <c r="VR23" s="311"/>
      <c r="VS23" s="311"/>
      <c r="VT23" s="311"/>
      <c r="VU23" s="311"/>
      <c r="VV23" s="311"/>
      <c r="VW23" s="311"/>
      <c r="VX23" s="311"/>
      <c r="VY23" s="311"/>
      <c r="VZ23" s="311"/>
      <c r="WA23" s="311"/>
      <c r="WB23" s="311"/>
      <c r="WC23" s="311"/>
      <c r="WD23" s="311"/>
      <c r="WE23" s="311"/>
      <c r="WF23" s="311"/>
      <c r="WG23" s="311"/>
      <c r="WH23" s="311"/>
      <c r="WI23" s="311"/>
      <c r="WJ23" s="311"/>
      <c r="WK23" s="311"/>
      <c r="WL23" s="311"/>
      <c r="WM23" s="311"/>
      <c r="WN23" s="311"/>
      <c r="WO23" s="311"/>
      <c r="WP23" s="311"/>
      <c r="WQ23" s="311"/>
      <c r="WR23" s="311"/>
      <c r="WS23" s="311"/>
      <c r="WT23" s="311"/>
      <c r="WU23" s="311"/>
      <c r="WV23" s="311"/>
      <c r="WW23" s="311"/>
      <c r="WX23" s="311"/>
      <c r="WY23" s="311"/>
      <c r="WZ23" s="311"/>
      <c r="XA23" s="311"/>
      <c r="XB23" s="311"/>
      <c r="XC23" s="311"/>
      <c r="XD23" s="311"/>
      <c r="XE23" s="311"/>
      <c r="XF23" s="311"/>
      <c r="XG23" s="311"/>
      <c r="XH23" s="311"/>
      <c r="XI23" s="311"/>
      <c r="XJ23" s="311"/>
      <c r="XK23" s="311"/>
      <c r="XL23" s="311"/>
      <c r="XM23" s="311"/>
      <c r="XN23" s="311"/>
      <c r="XO23" s="311"/>
      <c r="XP23" s="311"/>
      <c r="XQ23" s="311"/>
      <c r="XR23" s="311"/>
      <c r="XS23" s="311"/>
      <c r="XT23" s="311"/>
      <c r="XU23" s="311"/>
      <c r="XV23" s="311"/>
      <c r="XW23" s="311"/>
      <c r="XX23" s="311"/>
      <c r="XY23" s="311"/>
      <c r="XZ23" s="311"/>
      <c r="YA23" s="311"/>
      <c r="YB23" s="311"/>
      <c r="YC23" s="311"/>
      <c r="YD23" s="311"/>
      <c r="YE23" s="311"/>
      <c r="YF23" s="311"/>
      <c r="YG23" s="311"/>
      <c r="YH23" s="311"/>
      <c r="YI23" s="311"/>
      <c r="YJ23" s="311"/>
      <c r="YK23" s="311"/>
      <c r="YL23" s="311"/>
      <c r="YM23" s="311"/>
      <c r="YN23" s="311"/>
      <c r="YO23" s="311"/>
      <c r="YP23" s="311"/>
      <c r="YQ23" s="311"/>
      <c r="YR23" s="311"/>
      <c r="YS23" s="311"/>
      <c r="YT23" s="311"/>
      <c r="YU23" s="311"/>
      <c r="YV23" s="311"/>
      <c r="YW23" s="311"/>
      <c r="YX23" s="311"/>
      <c r="YY23" s="311"/>
      <c r="YZ23" s="311"/>
      <c r="ZA23" s="311"/>
      <c r="ZB23" s="311"/>
      <c r="ZC23" s="311"/>
      <c r="ZD23" s="311"/>
      <c r="ZE23" s="311"/>
      <c r="ZF23" s="311"/>
      <c r="ZG23" s="311"/>
      <c r="ZH23" s="311"/>
      <c r="ZI23" s="311"/>
      <c r="ZJ23" s="311"/>
      <c r="ZK23" s="311"/>
      <c r="ZL23" s="311"/>
      <c r="ZM23" s="311"/>
      <c r="ZN23" s="311"/>
      <c r="ZO23" s="311"/>
      <c r="ZP23" s="311"/>
      <c r="ZQ23" s="311"/>
      <c r="ZR23" s="311"/>
      <c r="ZS23" s="311"/>
      <c r="ZT23" s="311"/>
      <c r="ZU23" s="311"/>
      <c r="ZV23" s="311"/>
      <c r="ZW23" s="311"/>
      <c r="ZX23" s="311"/>
      <c r="ZY23" s="311"/>
      <c r="ZZ23" s="311"/>
      <c r="AAA23" s="311"/>
      <c r="AAB23" s="311"/>
      <c r="AAC23" s="311"/>
      <c r="AAD23" s="311"/>
      <c r="AAE23" s="311"/>
      <c r="AAF23" s="311"/>
      <c r="AAG23" s="311"/>
      <c r="AAH23" s="311"/>
      <c r="AAI23" s="311"/>
      <c r="AAJ23" s="311"/>
      <c r="AAK23" s="311"/>
      <c r="AAL23" s="311"/>
      <c r="AAM23" s="311"/>
      <c r="AAN23" s="311"/>
      <c r="AAO23" s="311"/>
      <c r="AAP23" s="311"/>
      <c r="AAQ23" s="311"/>
      <c r="AAR23" s="311"/>
      <c r="AAS23" s="311"/>
      <c r="AAT23" s="311"/>
      <c r="AAU23" s="311"/>
      <c r="AAV23" s="311"/>
      <c r="AAW23" s="311"/>
      <c r="AAX23" s="311"/>
      <c r="AAY23" s="311"/>
      <c r="AAZ23" s="311"/>
      <c r="ABA23" s="311"/>
      <c r="ABB23" s="311"/>
      <c r="ABC23" s="311"/>
      <c r="ABD23" s="311"/>
      <c r="ABE23" s="311"/>
      <c r="ABF23" s="311"/>
      <c r="ABG23" s="311"/>
      <c r="ABH23" s="311"/>
      <c r="ABI23" s="311"/>
      <c r="ABJ23" s="311"/>
      <c r="ABK23" s="311"/>
      <c r="ABL23" s="311"/>
      <c r="ABM23" s="311"/>
      <c r="ABN23" s="311"/>
      <c r="ABO23" s="311"/>
      <c r="ABP23" s="311"/>
      <c r="ABQ23" s="311"/>
      <c r="ABR23" s="311"/>
      <c r="ABS23" s="311"/>
      <c r="ABT23" s="311"/>
      <c r="ABU23" s="311"/>
      <c r="ABV23" s="311"/>
      <c r="ABW23" s="311"/>
      <c r="ABX23" s="311"/>
      <c r="ABY23" s="311"/>
      <c r="ABZ23" s="311"/>
      <c r="ACA23" s="311"/>
      <c r="ACB23" s="311"/>
      <c r="ACC23" s="311"/>
      <c r="ACD23" s="311"/>
      <c r="ACE23" s="311"/>
      <c r="ACF23" s="311"/>
      <c r="ACG23" s="311"/>
      <c r="ACH23" s="311"/>
      <c r="ACI23" s="311"/>
      <c r="ACJ23" s="311"/>
      <c r="ACK23" s="311"/>
      <c r="ACL23" s="311"/>
      <c r="ACM23" s="311"/>
      <c r="ACN23" s="311"/>
      <c r="ACO23" s="311"/>
      <c r="ACP23" s="311"/>
      <c r="ACQ23" s="311"/>
      <c r="ACR23" s="311"/>
      <c r="ACS23" s="311"/>
      <c r="ACT23" s="311"/>
      <c r="ACU23" s="311"/>
      <c r="ACV23" s="311"/>
      <c r="ACW23" s="311"/>
      <c r="ACX23" s="311"/>
      <c r="ACY23" s="311"/>
      <c r="ACZ23" s="311"/>
      <c r="ADA23" s="311"/>
      <c r="ADB23" s="311"/>
      <c r="ADC23" s="311"/>
      <c r="ADD23" s="311"/>
      <c r="ADE23" s="311"/>
      <c r="ADF23" s="311"/>
      <c r="ADG23" s="311"/>
      <c r="ADH23" s="311"/>
      <c r="ADI23" s="311"/>
      <c r="ADJ23" s="311"/>
      <c r="ADK23" s="311"/>
      <c r="ADL23" s="311"/>
      <c r="ADM23" s="311"/>
      <c r="ADN23" s="311"/>
      <c r="ADO23" s="311"/>
      <c r="ADP23" s="311"/>
      <c r="ADQ23" s="311"/>
      <c r="ADR23" s="311"/>
      <c r="ADS23" s="311"/>
      <c r="ADT23" s="311"/>
      <c r="ADU23" s="311"/>
      <c r="ADV23" s="311"/>
      <c r="ADW23" s="311"/>
      <c r="ADX23" s="311"/>
      <c r="ADY23" s="311"/>
      <c r="ADZ23" s="311"/>
      <c r="AEA23" s="311"/>
      <c r="AEB23" s="311"/>
      <c r="AEC23" s="311"/>
      <c r="AED23" s="311"/>
      <c r="AEE23" s="311"/>
      <c r="AEF23" s="311"/>
      <c r="AEG23" s="311"/>
      <c r="AEH23" s="311"/>
      <c r="AEI23" s="311"/>
      <c r="AEJ23" s="311"/>
      <c r="AEK23" s="311"/>
      <c r="AEL23" s="311"/>
      <c r="AEM23" s="311"/>
      <c r="AEN23" s="311"/>
      <c r="AEO23" s="311"/>
      <c r="AEP23" s="311"/>
      <c r="AEQ23" s="311"/>
      <c r="AER23" s="311"/>
      <c r="AES23" s="311"/>
      <c r="AET23" s="311"/>
      <c r="AEU23" s="311"/>
      <c r="AEV23" s="311"/>
      <c r="AEW23" s="311"/>
      <c r="AEX23" s="311"/>
      <c r="AEY23" s="311"/>
      <c r="AEZ23" s="311"/>
      <c r="AFA23" s="311"/>
      <c r="AFB23" s="311"/>
      <c r="AFC23" s="311"/>
      <c r="AFD23" s="311"/>
      <c r="AFE23" s="311"/>
      <c r="AFF23" s="311"/>
      <c r="AFG23" s="311"/>
      <c r="AFH23" s="311"/>
      <c r="AFI23" s="311"/>
      <c r="AFJ23" s="311"/>
      <c r="AFK23" s="311"/>
      <c r="AFL23" s="311"/>
      <c r="AFM23" s="311"/>
      <c r="AFN23" s="311"/>
      <c r="AFO23" s="311"/>
      <c r="AFP23" s="311"/>
      <c r="AFQ23" s="311"/>
      <c r="AFR23" s="311"/>
      <c r="AFS23" s="311"/>
      <c r="AFT23" s="311"/>
      <c r="AFU23" s="311"/>
      <c r="AFV23" s="311"/>
      <c r="AFW23" s="311"/>
      <c r="AFX23" s="311"/>
      <c r="AFY23" s="311"/>
      <c r="AFZ23" s="311"/>
      <c r="AGA23" s="311"/>
      <c r="AGB23" s="311"/>
      <c r="AGC23" s="311"/>
      <c r="AGD23" s="311"/>
      <c r="AGE23" s="311"/>
      <c r="AGF23" s="311"/>
      <c r="AGG23" s="311"/>
      <c r="AGH23" s="311"/>
      <c r="AGI23" s="311"/>
      <c r="AGJ23" s="311"/>
      <c r="AGK23" s="311"/>
      <c r="AGL23" s="311"/>
      <c r="AGM23" s="311"/>
      <c r="AGN23" s="311"/>
      <c r="AGO23" s="311"/>
      <c r="AGP23" s="311"/>
      <c r="AGQ23" s="311"/>
      <c r="AGR23" s="311"/>
      <c r="AGS23" s="311"/>
      <c r="AGT23" s="311"/>
      <c r="AGU23" s="311"/>
      <c r="AGV23" s="311"/>
      <c r="AGW23" s="311"/>
      <c r="AGX23" s="311"/>
      <c r="AGY23" s="311"/>
      <c r="AGZ23" s="311"/>
      <c r="AHA23" s="311"/>
      <c r="AHB23" s="311"/>
      <c r="AHC23" s="311"/>
      <c r="AHD23" s="311"/>
      <c r="AHE23" s="311"/>
      <c r="AHF23" s="311"/>
      <c r="AHG23" s="311"/>
      <c r="AHH23" s="311"/>
      <c r="AHI23" s="311"/>
      <c r="AHJ23" s="311"/>
      <c r="AHK23" s="311"/>
      <c r="AHL23" s="311"/>
      <c r="AHM23" s="311"/>
      <c r="AHN23" s="311"/>
      <c r="AHO23" s="311"/>
      <c r="AHP23" s="311"/>
      <c r="AHQ23" s="311"/>
      <c r="AHR23" s="311"/>
      <c r="AHS23" s="311"/>
      <c r="AHT23" s="311"/>
      <c r="AHU23" s="311"/>
      <c r="AHV23" s="311"/>
      <c r="AHW23" s="311"/>
      <c r="AHX23" s="311"/>
      <c r="AHY23" s="311"/>
      <c r="AHZ23" s="311"/>
      <c r="AIA23" s="311"/>
      <c r="AIB23" s="311"/>
      <c r="AIC23" s="311"/>
      <c r="AID23" s="311"/>
      <c r="AIE23" s="311"/>
      <c r="AIF23" s="311"/>
      <c r="AIG23" s="311"/>
      <c r="AIH23" s="311"/>
      <c r="AII23" s="311"/>
      <c r="AIJ23" s="311"/>
      <c r="AIK23" s="311"/>
      <c r="AIL23" s="311"/>
      <c r="AIM23" s="311"/>
      <c r="AIN23" s="311"/>
      <c r="AIO23" s="311"/>
      <c r="AIP23" s="311"/>
      <c r="AIQ23" s="311"/>
      <c r="AIR23" s="311"/>
      <c r="AIS23" s="311"/>
      <c r="AIT23" s="311"/>
      <c r="AIU23" s="311"/>
      <c r="AIV23" s="311"/>
      <c r="AIW23" s="311"/>
      <c r="AIX23" s="311"/>
      <c r="AIY23" s="311"/>
      <c r="AIZ23" s="311"/>
      <c r="AJA23" s="311"/>
      <c r="AJB23" s="311"/>
      <c r="AJC23" s="311"/>
      <c r="AJD23" s="311"/>
      <c r="AJE23" s="311"/>
      <c r="AJF23" s="311"/>
      <c r="AJG23" s="311"/>
      <c r="AJH23" s="311"/>
      <c r="AJI23" s="311"/>
      <c r="AJJ23" s="311"/>
      <c r="AJK23" s="311"/>
      <c r="AJL23" s="311"/>
      <c r="AJM23" s="311"/>
      <c r="AJN23" s="311"/>
      <c r="AJO23" s="311"/>
      <c r="AJP23" s="311"/>
      <c r="AJQ23" s="311"/>
      <c r="AJR23" s="311"/>
      <c r="AJS23" s="311"/>
      <c r="AJT23" s="311"/>
      <c r="AJU23" s="311"/>
      <c r="AJV23" s="311"/>
      <c r="AJW23" s="311"/>
      <c r="AJX23" s="311"/>
      <c r="AJY23" s="311"/>
      <c r="AJZ23" s="311"/>
      <c r="AKA23" s="311"/>
      <c r="AKB23" s="311"/>
      <c r="AKC23" s="311"/>
      <c r="AKD23" s="311"/>
      <c r="AKE23" s="311"/>
      <c r="AKF23" s="311"/>
      <c r="AKG23" s="311"/>
      <c r="AKH23" s="311"/>
      <c r="AKI23" s="311"/>
      <c r="AKJ23" s="311"/>
      <c r="AKK23" s="311"/>
      <c r="AKL23" s="311"/>
      <c r="AKM23" s="311"/>
      <c r="AKN23" s="311"/>
      <c r="AKO23" s="311"/>
      <c r="AKP23" s="311"/>
      <c r="AKQ23" s="311"/>
      <c r="AKR23" s="311"/>
      <c r="AKS23" s="311"/>
      <c r="AKT23" s="311"/>
      <c r="AKU23" s="311"/>
      <c r="AKV23" s="311"/>
      <c r="AKW23" s="311"/>
      <c r="AKX23" s="311"/>
      <c r="AKY23" s="311"/>
      <c r="AKZ23" s="311"/>
      <c r="ALA23" s="311"/>
      <c r="ALB23" s="311"/>
      <c r="ALC23" s="311"/>
      <c r="ALD23" s="311"/>
      <c r="ALE23" s="311"/>
      <c r="ALF23" s="311"/>
      <c r="ALG23" s="311"/>
      <c r="ALH23" s="311"/>
      <c r="ALI23" s="311"/>
      <c r="ALJ23" s="311"/>
      <c r="ALK23" s="311"/>
      <c r="ALL23" s="311"/>
      <c r="ALM23" s="311"/>
      <c r="ALN23" s="311"/>
      <c r="ALO23" s="311"/>
      <c r="ALP23" s="311"/>
      <c r="ALQ23" s="311"/>
      <c r="ALR23" s="311"/>
      <c r="ALS23" s="311"/>
      <c r="ALT23" s="311"/>
      <c r="ALU23" s="311"/>
      <c r="ALV23" s="311"/>
      <c r="ALW23" s="311"/>
      <c r="ALX23" s="311"/>
      <c r="ALY23" s="311"/>
      <c r="ALZ23" s="311"/>
      <c r="AMA23" s="311"/>
      <c r="AMB23" s="311"/>
      <c r="AMC23" s="311"/>
      <c r="AMD23" s="311"/>
      <c r="AME23" s="311"/>
      <c r="AMF23" s="311"/>
      <c r="AMG23" s="311"/>
      <c r="AMH23" s="311"/>
      <c r="AMI23" s="311"/>
      <c r="AMJ23" s="311"/>
      <c r="AMK23" s="311"/>
      <c r="AML23" s="311"/>
      <c r="AMM23" s="311"/>
      <c r="AMN23" s="311"/>
      <c r="AMO23" s="311"/>
      <c r="AMP23" s="311"/>
      <c r="AMQ23" s="311"/>
      <c r="AMR23" s="311"/>
      <c r="AMS23" s="311"/>
      <c r="AMT23" s="311"/>
      <c r="AMU23" s="311"/>
      <c r="AMV23" s="311"/>
      <c r="AMW23" s="311"/>
      <c r="AMX23" s="311"/>
      <c r="AMY23" s="311"/>
      <c r="AMZ23" s="311"/>
      <c r="ANA23" s="311"/>
      <c r="ANB23" s="311"/>
      <c r="ANC23" s="311"/>
      <c r="AND23" s="311"/>
      <c r="ANE23" s="311"/>
      <c r="ANF23" s="311"/>
      <c r="ANG23" s="311"/>
      <c r="ANH23" s="311"/>
      <c r="ANI23" s="311"/>
      <c r="ANJ23" s="311"/>
      <c r="ANK23" s="311"/>
      <c r="ANL23" s="311"/>
      <c r="ANM23" s="311"/>
      <c r="ANN23" s="311"/>
      <c r="ANO23" s="311"/>
      <c r="ANP23" s="311"/>
      <c r="ANQ23" s="311"/>
      <c r="ANR23" s="311"/>
      <c r="ANS23" s="311"/>
      <c r="ANT23" s="311"/>
      <c r="ANU23" s="311"/>
      <c r="ANV23" s="311"/>
      <c r="ANW23" s="311"/>
      <c r="ANX23" s="311"/>
      <c r="ANY23" s="311"/>
      <c r="ANZ23" s="311"/>
      <c r="AOA23" s="311"/>
      <c r="AOB23" s="311"/>
      <c r="AOC23" s="311"/>
      <c r="AOD23" s="311"/>
      <c r="AOE23" s="311"/>
      <c r="AOF23" s="311"/>
      <c r="AOG23" s="311"/>
      <c r="AOH23" s="311"/>
      <c r="AOI23" s="311"/>
      <c r="AOJ23" s="311"/>
      <c r="AOK23" s="311"/>
      <c r="AOL23" s="311"/>
      <c r="AOM23" s="311"/>
      <c r="AON23" s="311"/>
      <c r="AOO23" s="311"/>
      <c r="AOP23" s="311"/>
      <c r="AOQ23" s="311"/>
      <c r="AOR23" s="311"/>
      <c r="AOS23" s="311"/>
      <c r="AOT23" s="311"/>
      <c r="AOU23" s="311"/>
      <c r="AOV23" s="311"/>
      <c r="AOW23" s="311"/>
      <c r="AOX23" s="311"/>
      <c r="AOY23" s="311"/>
      <c r="AOZ23" s="311"/>
      <c r="APA23" s="311"/>
      <c r="APB23" s="311"/>
      <c r="APC23" s="311"/>
      <c r="APD23" s="311"/>
      <c r="APE23" s="311"/>
      <c r="APF23" s="311"/>
      <c r="APG23" s="311"/>
      <c r="APH23" s="311"/>
      <c r="API23" s="311"/>
      <c r="APJ23" s="311"/>
      <c r="APK23" s="311"/>
      <c r="APL23" s="311"/>
      <c r="APM23" s="311"/>
      <c r="APN23" s="311"/>
      <c r="APO23" s="311"/>
      <c r="APP23" s="311"/>
      <c r="APQ23" s="311"/>
      <c r="APR23" s="311"/>
      <c r="APS23" s="311"/>
      <c r="APT23" s="311"/>
      <c r="APU23" s="311"/>
      <c r="APV23" s="311"/>
      <c r="APW23" s="311"/>
      <c r="APX23" s="311"/>
      <c r="APY23" s="311"/>
      <c r="APZ23" s="311"/>
      <c r="AQA23" s="311"/>
      <c r="AQB23" s="311"/>
      <c r="AQC23" s="311"/>
      <c r="AQD23" s="311"/>
      <c r="AQE23" s="311"/>
      <c r="AQF23" s="311"/>
      <c r="AQG23" s="311"/>
      <c r="AQH23" s="311"/>
      <c r="AQI23" s="311"/>
      <c r="AQJ23" s="311"/>
      <c r="AQK23" s="311"/>
      <c r="AQL23" s="311"/>
      <c r="AQM23" s="311"/>
      <c r="AQN23" s="311"/>
      <c r="AQO23" s="311"/>
      <c r="AQP23" s="311"/>
      <c r="AQQ23" s="311"/>
      <c r="AQR23" s="311"/>
      <c r="AQS23" s="311"/>
      <c r="AQT23" s="311"/>
      <c r="AQU23" s="311"/>
      <c r="AQV23" s="311"/>
      <c r="AQW23" s="311"/>
      <c r="AQX23" s="311"/>
      <c r="AQY23" s="311"/>
      <c r="AQZ23" s="311"/>
      <c r="ARA23" s="311"/>
      <c r="ARB23" s="311"/>
      <c r="ARC23" s="311"/>
      <c r="ARD23" s="311"/>
      <c r="ARE23" s="311"/>
      <c r="ARF23" s="311"/>
      <c r="ARG23" s="311"/>
      <c r="ARH23" s="311"/>
      <c r="ARI23" s="311"/>
      <c r="ARJ23" s="311"/>
      <c r="ARK23" s="311"/>
      <c r="ARL23" s="311"/>
      <c r="ARM23" s="311"/>
      <c r="ARN23" s="311"/>
      <c r="ARO23" s="311"/>
      <c r="ARP23" s="311"/>
      <c r="ARQ23" s="311"/>
      <c r="ARR23" s="311"/>
      <c r="ARS23" s="311"/>
      <c r="ART23" s="311"/>
      <c r="ARU23" s="311"/>
      <c r="ARV23" s="311"/>
      <c r="ARW23" s="311"/>
      <c r="ARX23" s="311"/>
      <c r="ARY23" s="311"/>
      <c r="ARZ23" s="311"/>
      <c r="ASA23" s="311"/>
      <c r="ASB23" s="311"/>
      <c r="ASC23" s="311"/>
      <c r="ASD23" s="311"/>
      <c r="ASE23" s="311"/>
      <c r="ASF23" s="311"/>
      <c r="ASG23" s="311"/>
      <c r="ASH23" s="311"/>
      <c r="ASI23" s="311"/>
      <c r="ASJ23" s="311"/>
      <c r="ASK23" s="311"/>
      <c r="ASL23" s="311"/>
      <c r="ASM23" s="311"/>
      <c r="ASN23" s="311"/>
      <c r="ASO23" s="311"/>
      <c r="ASP23" s="311"/>
      <c r="ASQ23" s="311"/>
      <c r="ASR23" s="311"/>
      <c r="ASS23" s="311"/>
      <c r="AST23" s="311"/>
      <c r="ASU23" s="311"/>
      <c r="ASV23" s="311"/>
      <c r="ASW23" s="311"/>
      <c r="ASX23" s="311"/>
      <c r="ASY23" s="311"/>
      <c r="ASZ23" s="311"/>
      <c r="ATA23" s="311"/>
      <c r="ATB23" s="311"/>
      <c r="ATC23" s="311"/>
      <c r="ATD23" s="311"/>
      <c r="ATE23" s="311"/>
      <c r="ATF23" s="311"/>
      <c r="ATG23" s="311"/>
      <c r="ATH23" s="311"/>
      <c r="ATI23" s="311"/>
      <c r="ATJ23" s="311"/>
      <c r="ATK23" s="311"/>
      <c r="ATL23" s="311"/>
      <c r="ATM23" s="311"/>
      <c r="ATN23" s="311"/>
      <c r="ATO23" s="311"/>
      <c r="ATP23" s="311"/>
      <c r="ATQ23" s="311"/>
      <c r="ATR23" s="311"/>
      <c r="ATS23" s="311"/>
      <c r="ATT23" s="311"/>
      <c r="ATU23" s="311"/>
      <c r="ATV23" s="311"/>
      <c r="ATW23" s="311"/>
      <c r="ATX23" s="311"/>
      <c r="ATY23" s="311"/>
      <c r="ATZ23" s="311"/>
      <c r="AUA23" s="311"/>
      <c r="AUB23" s="311"/>
      <c r="AUC23" s="311"/>
      <c r="AUD23" s="311"/>
      <c r="AUE23" s="311"/>
      <c r="AUF23" s="311"/>
      <c r="AUG23" s="311"/>
      <c r="AUH23" s="311"/>
      <c r="AUI23" s="311"/>
      <c r="AUJ23" s="311"/>
      <c r="AUK23" s="311"/>
      <c r="AUL23" s="311"/>
      <c r="AUM23" s="311"/>
      <c r="AUN23" s="311"/>
      <c r="AUO23" s="311"/>
      <c r="AUP23" s="311"/>
      <c r="AUQ23" s="311"/>
      <c r="AUR23" s="311"/>
      <c r="AUS23" s="311"/>
      <c r="AUT23" s="311"/>
      <c r="AUU23" s="311"/>
      <c r="AUV23" s="311"/>
      <c r="AUW23" s="311"/>
      <c r="AUX23" s="311"/>
      <c r="AUY23" s="311"/>
      <c r="AUZ23" s="311"/>
      <c r="AVA23" s="311"/>
      <c r="AVB23" s="311"/>
      <c r="AVC23" s="311"/>
      <c r="AVD23" s="311"/>
      <c r="AVE23" s="311"/>
      <c r="AVF23" s="311"/>
      <c r="AVG23" s="311"/>
      <c r="AVH23" s="311"/>
      <c r="AVI23" s="311"/>
      <c r="AVJ23" s="311"/>
      <c r="AVK23" s="311"/>
      <c r="AVL23" s="311"/>
      <c r="AVM23" s="311"/>
      <c r="AVN23" s="311"/>
      <c r="AVO23" s="311"/>
      <c r="AVP23" s="311"/>
      <c r="AVQ23" s="311"/>
      <c r="AVR23" s="311"/>
      <c r="AVS23" s="311"/>
      <c r="AVT23" s="311"/>
      <c r="AVU23" s="311"/>
      <c r="AVV23" s="311"/>
      <c r="AVW23" s="311"/>
      <c r="AVX23" s="311"/>
      <c r="AVY23" s="311"/>
      <c r="AVZ23" s="311"/>
      <c r="AWA23" s="311"/>
      <c r="AWB23" s="311"/>
      <c r="AWC23" s="311"/>
      <c r="AWD23" s="311"/>
      <c r="AWE23" s="311"/>
      <c r="AWF23" s="311"/>
      <c r="AWG23" s="311"/>
      <c r="AWH23" s="311"/>
      <c r="AWI23" s="311"/>
      <c r="AWJ23" s="311"/>
      <c r="AWK23" s="311"/>
      <c r="AWL23" s="311"/>
      <c r="AWM23" s="311"/>
      <c r="AWN23" s="311"/>
      <c r="AWO23" s="311"/>
      <c r="AWP23" s="311"/>
      <c r="AWQ23" s="311"/>
      <c r="AWR23" s="311"/>
      <c r="AWS23" s="311"/>
      <c r="AWT23" s="311"/>
      <c r="AWU23" s="311"/>
      <c r="AWV23" s="311"/>
      <c r="AWW23" s="311"/>
      <c r="AWX23" s="311"/>
      <c r="AWY23" s="311"/>
      <c r="AWZ23" s="311"/>
      <c r="AXA23" s="311"/>
      <c r="AXB23" s="311"/>
      <c r="AXC23" s="311"/>
      <c r="AXD23" s="311"/>
      <c r="AXE23" s="311"/>
      <c r="AXF23" s="311"/>
      <c r="AXG23" s="311"/>
      <c r="AXH23" s="311"/>
      <c r="AXI23" s="311"/>
      <c r="AXJ23" s="311"/>
      <c r="AXK23" s="311"/>
      <c r="AXL23" s="311"/>
      <c r="AXM23" s="311"/>
      <c r="AXN23" s="311"/>
      <c r="AXO23" s="311"/>
      <c r="AXP23" s="311"/>
      <c r="AXQ23" s="311"/>
      <c r="AXR23" s="311"/>
      <c r="AXS23" s="311"/>
      <c r="AXT23" s="311"/>
      <c r="AXU23" s="311"/>
      <c r="AXV23" s="311"/>
      <c r="AXW23" s="311"/>
      <c r="AXX23" s="311"/>
      <c r="AXY23" s="311"/>
      <c r="AXZ23" s="311"/>
      <c r="AYA23" s="311"/>
      <c r="AYB23" s="311"/>
      <c r="AYC23" s="311"/>
      <c r="AYD23" s="311"/>
      <c r="AYE23" s="311"/>
      <c r="AYF23" s="311"/>
      <c r="AYG23" s="311"/>
      <c r="AYH23" s="311"/>
      <c r="AYI23" s="311"/>
      <c r="AYJ23" s="311"/>
      <c r="AYK23" s="311"/>
      <c r="AYL23" s="311"/>
      <c r="AYM23" s="311"/>
      <c r="AYN23" s="311"/>
      <c r="AYO23" s="311"/>
      <c r="AYP23" s="311"/>
      <c r="AYQ23" s="311"/>
      <c r="AYR23" s="311"/>
      <c r="AYS23" s="311"/>
      <c r="AYT23" s="311"/>
      <c r="AYU23" s="311"/>
      <c r="AYV23" s="311"/>
      <c r="AYW23" s="311"/>
      <c r="AYX23" s="311"/>
      <c r="AYY23" s="311"/>
      <c r="AYZ23" s="311"/>
      <c r="AZA23" s="311"/>
      <c r="AZB23" s="311"/>
      <c r="AZC23" s="311"/>
      <c r="AZD23" s="311"/>
      <c r="AZE23" s="311"/>
      <c r="AZF23" s="311"/>
      <c r="AZG23" s="311"/>
      <c r="AZH23" s="311"/>
      <c r="AZI23" s="311"/>
      <c r="AZJ23" s="311"/>
      <c r="AZK23" s="311"/>
      <c r="AZL23" s="311"/>
      <c r="AZM23" s="311"/>
      <c r="AZN23" s="311"/>
      <c r="AZO23" s="311"/>
      <c r="AZP23" s="311"/>
      <c r="AZQ23" s="311"/>
      <c r="AZR23" s="311"/>
      <c r="AZS23" s="311"/>
      <c r="AZT23" s="311"/>
      <c r="AZU23" s="311"/>
      <c r="AZV23" s="311"/>
      <c r="AZW23" s="311"/>
      <c r="AZX23" s="311"/>
      <c r="AZY23" s="311"/>
      <c r="AZZ23" s="311"/>
      <c r="BAA23" s="311"/>
      <c r="BAB23" s="311"/>
      <c r="BAC23" s="311"/>
      <c r="BAD23" s="311"/>
      <c r="BAE23" s="311"/>
      <c r="BAF23" s="311"/>
      <c r="BAG23" s="311"/>
      <c r="BAH23" s="311"/>
      <c r="BAI23" s="311"/>
      <c r="BAJ23" s="311"/>
      <c r="BAK23" s="311"/>
      <c r="BAL23" s="311"/>
      <c r="BAM23" s="311"/>
      <c r="BAN23" s="311"/>
      <c r="BAO23" s="311"/>
      <c r="BAP23" s="311"/>
      <c r="BAQ23" s="311"/>
      <c r="BAR23" s="311"/>
      <c r="BAS23" s="311"/>
      <c r="BAT23" s="311"/>
      <c r="BAU23" s="311"/>
      <c r="BAV23" s="311"/>
      <c r="BAW23" s="311"/>
      <c r="BAX23" s="311"/>
      <c r="BAY23" s="311"/>
      <c r="BAZ23" s="311"/>
      <c r="BBA23" s="311"/>
      <c r="BBB23" s="311"/>
      <c r="BBC23" s="311"/>
      <c r="BBD23" s="311"/>
      <c r="BBE23" s="311"/>
      <c r="BBF23" s="311"/>
      <c r="BBG23" s="311"/>
      <c r="BBH23" s="311"/>
      <c r="BBI23" s="311"/>
      <c r="BBJ23" s="311"/>
      <c r="BBK23" s="311"/>
      <c r="BBL23" s="311"/>
      <c r="BBM23" s="311"/>
      <c r="BBN23" s="311"/>
      <c r="BBO23" s="311"/>
      <c r="BBP23" s="311"/>
      <c r="BBQ23" s="311"/>
      <c r="BBR23" s="311"/>
      <c r="BBS23" s="311"/>
      <c r="BBT23" s="311"/>
      <c r="BBU23" s="311"/>
      <c r="BBV23" s="311"/>
      <c r="BBW23" s="311"/>
      <c r="BBX23" s="311"/>
      <c r="BBY23" s="311"/>
      <c r="BBZ23" s="311"/>
      <c r="BCA23" s="311"/>
      <c r="BCB23" s="311"/>
      <c r="BCC23" s="311"/>
      <c r="BCD23" s="311"/>
      <c r="BCE23" s="311"/>
      <c r="BCF23" s="311"/>
      <c r="BCG23" s="311"/>
      <c r="BCH23" s="311"/>
      <c r="BCI23" s="311"/>
      <c r="BCJ23" s="311"/>
      <c r="BCK23" s="311"/>
      <c r="BCL23" s="311"/>
      <c r="BCM23" s="311"/>
      <c r="BCN23" s="311"/>
      <c r="BCO23" s="311"/>
      <c r="BCP23" s="311"/>
      <c r="BCQ23" s="311"/>
      <c r="BCR23" s="311"/>
      <c r="BCS23" s="311"/>
      <c r="BCT23" s="311"/>
      <c r="BCU23" s="311"/>
      <c r="BCV23" s="311"/>
      <c r="BCW23" s="311"/>
      <c r="BCX23" s="311"/>
      <c r="BCY23" s="311"/>
      <c r="BCZ23" s="311"/>
      <c r="BDA23" s="311"/>
      <c r="BDB23" s="311"/>
      <c r="BDC23" s="311"/>
      <c r="BDD23" s="311"/>
      <c r="BDE23" s="311"/>
      <c r="BDF23" s="311"/>
      <c r="BDG23" s="311"/>
      <c r="BDH23" s="311"/>
      <c r="BDI23" s="311"/>
      <c r="BDJ23" s="311"/>
      <c r="BDK23" s="311"/>
      <c r="BDL23" s="311"/>
      <c r="BDM23" s="311"/>
      <c r="BDN23" s="311"/>
      <c r="BDO23" s="311"/>
      <c r="BDP23" s="311"/>
      <c r="BDQ23" s="311"/>
      <c r="BDR23" s="311"/>
      <c r="BDS23" s="311"/>
      <c r="BDT23" s="311"/>
      <c r="BDU23" s="311"/>
      <c r="BDV23" s="311"/>
      <c r="BDW23" s="311"/>
      <c r="BDX23" s="311"/>
      <c r="BDY23" s="311"/>
      <c r="BDZ23" s="311"/>
      <c r="BEA23" s="311"/>
      <c r="BEB23" s="311"/>
      <c r="BEC23" s="311"/>
      <c r="BED23" s="311"/>
      <c r="BEE23" s="311"/>
      <c r="BEF23" s="311"/>
      <c r="BEG23" s="311"/>
      <c r="BEH23" s="311"/>
      <c r="BEI23" s="311"/>
      <c r="BEJ23" s="311"/>
      <c r="BEK23" s="311"/>
      <c r="BEL23" s="311"/>
      <c r="BEM23" s="311"/>
      <c r="BEN23" s="311"/>
      <c r="BEO23" s="311"/>
      <c r="BEP23" s="311"/>
      <c r="BEQ23" s="311"/>
      <c r="BER23" s="311"/>
      <c r="BES23" s="311"/>
      <c r="BET23" s="311"/>
      <c r="BEU23" s="311"/>
      <c r="BEV23" s="311"/>
      <c r="BEW23" s="311"/>
      <c r="BEX23" s="311"/>
      <c r="BEY23" s="311"/>
      <c r="BEZ23" s="311"/>
      <c r="BFA23" s="311"/>
      <c r="BFB23" s="311"/>
      <c r="BFC23" s="311"/>
      <c r="BFD23" s="311"/>
      <c r="BFE23" s="311"/>
      <c r="BFF23" s="311"/>
      <c r="BFG23" s="311"/>
      <c r="BFH23" s="311"/>
      <c r="BFI23" s="311"/>
      <c r="BFJ23" s="311"/>
      <c r="BFK23" s="311"/>
      <c r="BFL23" s="311"/>
      <c r="BFM23" s="311"/>
      <c r="BFN23" s="311"/>
      <c r="BFO23" s="311"/>
      <c r="BFP23" s="311"/>
      <c r="BFQ23" s="311"/>
      <c r="BFR23" s="311"/>
      <c r="BFS23" s="311"/>
      <c r="BFT23" s="311"/>
      <c r="BFU23" s="311"/>
      <c r="BFV23" s="311"/>
      <c r="BFW23" s="311"/>
      <c r="BFX23" s="311"/>
      <c r="BFY23" s="311"/>
      <c r="BFZ23" s="311"/>
      <c r="BGA23" s="311"/>
      <c r="BGB23" s="311"/>
      <c r="BGC23" s="311"/>
      <c r="BGD23" s="311"/>
      <c r="BGE23" s="311"/>
      <c r="BGF23" s="311"/>
      <c r="BGG23" s="311"/>
      <c r="BGH23" s="311"/>
      <c r="BGI23" s="311"/>
      <c r="BGJ23" s="311"/>
      <c r="BGK23" s="311"/>
      <c r="BGL23" s="311"/>
      <c r="BGM23" s="311"/>
      <c r="BGN23" s="311"/>
      <c r="BGO23" s="311"/>
      <c r="BGP23" s="311"/>
      <c r="BGQ23" s="311"/>
      <c r="BGR23" s="311"/>
      <c r="BGS23" s="311"/>
      <c r="BGT23" s="311"/>
      <c r="BGU23" s="311"/>
      <c r="BGV23" s="311"/>
      <c r="BGW23" s="311"/>
      <c r="BGX23" s="311"/>
      <c r="BGY23" s="311"/>
      <c r="BGZ23" s="311"/>
      <c r="BHA23" s="311"/>
      <c r="BHB23" s="311"/>
      <c r="BHC23" s="311"/>
      <c r="BHD23" s="311"/>
      <c r="BHE23" s="311"/>
      <c r="BHF23" s="311"/>
      <c r="BHG23" s="311"/>
      <c r="BHH23" s="311"/>
      <c r="BHI23" s="311"/>
      <c r="BHJ23" s="311"/>
      <c r="BHK23" s="311"/>
      <c r="BHL23" s="311"/>
      <c r="BHM23" s="311"/>
      <c r="BHN23" s="311"/>
      <c r="BHO23" s="311"/>
      <c r="BHP23" s="311"/>
      <c r="BHQ23" s="311"/>
      <c r="BHR23" s="311"/>
      <c r="BHS23" s="311"/>
      <c r="BHT23" s="311"/>
      <c r="BHU23" s="311"/>
      <c r="BHV23" s="311"/>
      <c r="BHW23" s="311"/>
      <c r="BHX23" s="311"/>
      <c r="BHY23" s="311"/>
      <c r="BHZ23" s="311"/>
      <c r="BIA23" s="311"/>
      <c r="BIB23" s="311"/>
      <c r="BIC23" s="311"/>
      <c r="BID23" s="311"/>
      <c r="BIE23" s="311"/>
      <c r="BIF23" s="311"/>
      <c r="BIG23" s="311"/>
      <c r="BIH23" s="311"/>
      <c r="BII23" s="311"/>
      <c r="BIJ23" s="311"/>
      <c r="BIK23" s="311"/>
      <c r="BIL23" s="311"/>
      <c r="BIM23" s="311"/>
      <c r="BIN23" s="311"/>
      <c r="BIO23" s="311"/>
      <c r="BIP23" s="311"/>
      <c r="BIQ23" s="311"/>
      <c r="BIR23" s="311"/>
      <c r="BIS23" s="311"/>
      <c r="BIT23" s="311"/>
      <c r="BIU23" s="311"/>
      <c r="BIV23" s="311"/>
      <c r="BIW23" s="311"/>
      <c r="BIX23" s="311"/>
      <c r="BIY23" s="311"/>
      <c r="BIZ23" s="311"/>
      <c r="BJA23" s="311"/>
      <c r="BJB23" s="311"/>
      <c r="BJC23" s="311"/>
      <c r="BJD23" s="311"/>
      <c r="BJE23" s="311"/>
      <c r="BJF23" s="311"/>
      <c r="BJG23" s="311"/>
      <c r="BJH23" s="311"/>
      <c r="BJI23" s="311"/>
      <c r="BJJ23" s="311"/>
      <c r="BJK23" s="311"/>
      <c r="BJL23" s="311"/>
      <c r="BJM23" s="311"/>
      <c r="BJN23" s="311"/>
      <c r="BJO23" s="311"/>
      <c r="BJP23" s="311"/>
      <c r="BJQ23" s="311"/>
      <c r="BJR23" s="311"/>
      <c r="BJS23" s="311"/>
      <c r="BJT23" s="311"/>
      <c r="BJU23" s="311"/>
      <c r="BJV23" s="311"/>
      <c r="BJW23" s="311"/>
      <c r="BJX23" s="311"/>
      <c r="BJY23" s="311"/>
      <c r="BJZ23" s="311"/>
      <c r="BKA23" s="311"/>
      <c r="BKB23" s="311"/>
      <c r="BKC23" s="311"/>
      <c r="BKD23" s="311"/>
      <c r="BKE23" s="311"/>
      <c r="BKF23" s="311"/>
      <c r="BKG23" s="311"/>
      <c r="BKH23" s="311"/>
      <c r="BKI23" s="311"/>
      <c r="BKJ23" s="311"/>
      <c r="BKK23" s="311"/>
      <c r="BKL23" s="311"/>
      <c r="BKM23" s="311"/>
      <c r="BKN23" s="311"/>
      <c r="BKO23" s="311"/>
      <c r="BKP23" s="311"/>
      <c r="BKQ23" s="311"/>
      <c r="BKR23" s="311"/>
      <c r="BKS23" s="311"/>
      <c r="BKT23" s="311"/>
      <c r="BKU23" s="311"/>
      <c r="BKV23" s="311"/>
      <c r="BKW23" s="311"/>
      <c r="BKX23" s="311"/>
      <c r="BKY23" s="311"/>
      <c r="BKZ23" s="311"/>
      <c r="BLA23" s="311"/>
      <c r="BLB23" s="311"/>
      <c r="BLC23" s="311"/>
      <c r="BLD23" s="311"/>
      <c r="BLE23" s="311"/>
      <c r="BLF23" s="311"/>
      <c r="BLG23" s="311"/>
      <c r="BLH23" s="311"/>
      <c r="BLI23" s="311"/>
      <c r="BLJ23" s="311"/>
      <c r="BLK23" s="311"/>
      <c r="BLL23" s="311"/>
      <c r="BLM23" s="311"/>
      <c r="BLN23" s="311"/>
      <c r="BLO23" s="311"/>
      <c r="BLP23" s="311"/>
      <c r="BLQ23" s="311"/>
      <c r="BLR23" s="311"/>
      <c r="BLS23" s="311"/>
      <c r="BLT23" s="311"/>
      <c r="BLU23" s="311"/>
      <c r="BLV23" s="311"/>
      <c r="BLW23" s="311"/>
      <c r="BLX23" s="311"/>
      <c r="BLY23" s="311"/>
      <c r="BLZ23" s="311"/>
      <c r="BMA23" s="311"/>
      <c r="BMB23" s="311"/>
      <c r="BMC23" s="311"/>
      <c r="BMD23" s="311"/>
      <c r="BME23" s="311"/>
      <c r="BMF23" s="311"/>
      <c r="BMG23" s="311"/>
      <c r="BMH23" s="311"/>
      <c r="BMI23" s="311"/>
      <c r="BMJ23" s="311"/>
      <c r="BMK23" s="311"/>
      <c r="BML23" s="311"/>
      <c r="BMM23" s="311"/>
      <c r="BMN23" s="311"/>
      <c r="BMO23" s="311"/>
      <c r="BMP23" s="311"/>
      <c r="BMQ23" s="311"/>
      <c r="BMR23" s="311"/>
      <c r="BMS23" s="311"/>
      <c r="BMT23" s="311"/>
      <c r="BMU23" s="311"/>
      <c r="BMV23" s="311"/>
      <c r="BMW23" s="311"/>
      <c r="BMX23" s="311"/>
      <c r="BMY23" s="311"/>
      <c r="BMZ23" s="311"/>
      <c r="BNA23" s="311"/>
      <c r="BNB23" s="311"/>
      <c r="BNC23" s="311"/>
      <c r="BND23" s="311"/>
      <c r="BNE23" s="311"/>
      <c r="BNF23" s="311"/>
      <c r="BNG23" s="311"/>
      <c r="BNH23" s="311"/>
      <c r="BNI23" s="311"/>
      <c r="BNJ23" s="311"/>
      <c r="BNK23" s="311"/>
      <c r="BNL23" s="311"/>
      <c r="BNM23" s="311"/>
      <c r="BNN23" s="311"/>
      <c r="BNO23" s="311"/>
      <c r="BNP23" s="311"/>
      <c r="BNQ23" s="311"/>
      <c r="BNR23" s="311"/>
      <c r="BNS23" s="311"/>
      <c r="BNT23" s="311"/>
      <c r="BNU23" s="311"/>
      <c r="BNV23" s="311"/>
      <c r="BNW23" s="311"/>
      <c r="BNX23" s="311"/>
      <c r="BNY23" s="311"/>
      <c r="BNZ23" s="311"/>
      <c r="BOA23" s="311"/>
      <c r="BOB23" s="311"/>
      <c r="BOC23" s="311"/>
      <c r="BOD23" s="311"/>
      <c r="BOE23" s="311"/>
      <c r="BOF23" s="311"/>
      <c r="BOG23" s="311"/>
      <c r="BOH23" s="311"/>
      <c r="BOI23" s="311"/>
      <c r="BOJ23" s="311"/>
      <c r="BOK23" s="311"/>
      <c r="BOL23" s="311"/>
      <c r="BOM23" s="311"/>
      <c r="BON23" s="311"/>
      <c r="BOO23" s="311"/>
      <c r="BOP23" s="311"/>
      <c r="BOQ23" s="311"/>
      <c r="BOR23" s="311"/>
      <c r="BOS23" s="311"/>
      <c r="BOT23" s="311"/>
      <c r="BOU23" s="311"/>
      <c r="BOV23" s="311"/>
      <c r="BOW23" s="311"/>
      <c r="BOX23" s="311"/>
      <c r="BOY23" s="311"/>
      <c r="BOZ23" s="311"/>
      <c r="BPA23" s="311"/>
      <c r="BPB23" s="311"/>
      <c r="BPC23" s="311"/>
      <c r="BPD23" s="311"/>
      <c r="BPE23" s="311"/>
      <c r="BPF23" s="311"/>
      <c r="BPG23" s="311"/>
      <c r="BPH23" s="311"/>
      <c r="BPI23" s="311"/>
      <c r="BPJ23" s="311"/>
      <c r="BPK23" s="311"/>
      <c r="BPL23" s="311"/>
      <c r="BPM23" s="311"/>
      <c r="BPN23" s="311"/>
      <c r="BPO23" s="311"/>
      <c r="BPP23" s="311"/>
      <c r="BPQ23" s="311"/>
      <c r="BPR23" s="311"/>
      <c r="BPS23" s="311"/>
      <c r="BPT23" s="311"/>
      <c r="BPU23" s="311"/>
      <c r="BPV23" s="311"/>
      <c r="BPW23" s="311"/>
      <c r="BPX23" s="311"/>
      <c r="BPY23" s="311"/>
      <c r="BPZ23" s="311"/>
      <c r="BQA23" s="311"/>
      <c r="BQB23" s="311"/>
      <c r="BQC23" s="311"/>
      <c r="BQD23" s="311"/>
      <c r="BQE23" s="311"/>
      <c r="BQF23" s="311"/>
      <c r="BQG23" s="311"/>
      <c r="BQH23" s="311"/>
      <c r="BQI23" s="311"/>
      <c r="BQJ23" s="311"/>
      <c r="BQK23" s="311"/>
      <c r="BQL23" s="311"/>
      <c r="BQM23" s="311"/>
      <c r="BQN23" s="311"/>
      <c r="BQO23" s="311"/>
      <c r="BQP23" s="311"/>
      <c r="BQQ23" s="311"/>
      <c r="BQR23" s="311"/>
      <c r="BQS23" s="311"/>
      <c r="BQT23" s="311"/>
      <c r="BQU23" s="311"/>
      <c r="BQV23" s="311"/>
      <c r="BQW23" s="311"/>
      <c r="BQX23" s="311"/>
      <c r="BQY23" s="311"/>
      <c r="BQZ23" s="311"/>
      <c r="BRA23" s="311"/>
      <c r="BRB23" s="311"/>
      <c r="BRC23" s="311"/>
      <c r="BRD23" s="311"/>
      <c r="BRE23" s="311"/>
      <c r="BRF23" s="311"/>
      <c r="BRG23" s="311"/>
      <c r="BRH23" s="311"/>
      <c r="BRI23" s="311"/>
      <c r="BRJ23" s="311"/>
      <c r="BRK23" s="311"/>
      <c r="BRL23" s="311"/>
      <c r="BRM23" s="311"/>
      <c r="BRN23" s="311"/>
      <c r="BRO23" s="311"/>
      <c r="BRP23" s="311"/>
      <c r="BRQ23" s="311"/>
      <c r="BRR23" s="311"/>
      <c r="BRS23" s="311"/>
      <c r="BRT23" s="311"/>
      <c r="BRU23" s="311"/>
      <c r="BRV23" s="311"/>
      <c r="BRW23" s="311"/>
      <c r="BRX23" s="311"/>
      <c r="BRY23" s="311"/>
      <c r="BRZ23" s="311"/>
      <c r="BSA23" s="311"/>
      <c r="BSB23" s="311"/>
      <c r="BSC23" s="311"/>
      <c r="BSD23" s="311"/>
      <c r="BSE23" s="311"/>
      <c r="BSF23" s="311"/>
      <c r="BSG23" s="311"/>
      <c r="BSH23" s="311"/>
      <c r="BSI23" s="311"/>
      <c r="BSJ23" s="311"/>
      <c r="BSK23" s="311"/>
      <c r="BSL23" s="311"/>
      <c r="BSM23" s="311"/>
      <c r="BSN23" s="311"/>
      <c r="BSO23" s="311"/>
      <c r="BSP23" s="311"/>
      <c r="BSQ23" s="311"/>
      <c r="BSR23" s="311"/>
      <c r="BSS23" s="311"/>
      <c r="BST23" s="311"/>
      <c r="BSU23" s="311"/>
      <c r="BSV23" s="311"/>
      <c r="BSW23" s="311"/>
      <c r="BSX23" s="311"/>
      <c r="BSY23" s="311"/>
      <c r="BSZ23" s="311"/>
      <c r="BTA23" s="311"/>
      <c r="BTB23" s="311"/>
      <c r="BTC23" s="311"/>
      <c r="BTD23" s="311"/>
      <c r="BTE23" s="311"/>
      <c r="BTF23" s="311"/>
      <c r="BTG23" s="311"/>
      <c r="BTH23" s="311"/>
      <c r="BTI23" s="311"/>
      <c r="BTJ23" s="311"/>
      <c r="BTK23" s="311"/>
      <c r="BTL23" s="311"/>
      <c r="BTM23" s="311"/>
      <c r="BTN23" s="311"/>
      <c r="BTO23" s="311"/>
      <c r="BTP23" s="311"/>
      <c r="BTQ23" s="311"/>
      <c r="BTR23" s="311"/>
      <c r="BTS23" s="311"/>
      <c r="BTT23" s="311"/>
      <c r="BTU23" s="311"/>
      <c r="BTV23" s="311"/>
      <c r="BTW23" s="311"/>
      <c r="BTX23" s="311"/>
      <c r="BTY23" s="311"/>
      <c r="BTZ23" s="311"/>
      <c r="BUA23" s="311"/>
      <c r="BUB23" s="311"/>
      <c r="BUC23" s="311"/>
      <c r="BUD23" s="311"/>
      <c r="BUE23" s="311"/>
      <c r="BUF23" s="311"/>
      <c r="BUG23" s="311"/>
      <c r="BUH23" s="311"/>
      <c r="BUI23" s="311"/>
      <c r="BUJ23" s="311"/>
      <c r="BUK23" s="311"/>
      <c r="BUL23" s="311"/>
      <c r="BUM23" s="311"/>
      <c r="BUN23" s="311"/>
      <c r="BUO23" s="311"/>
      <c r="BUP23" s="311"/>
      <c r="BUQ23" s="311"/>
      <c r="BUR23" s="311"/>
      <c r="BUS23" s="311"/>
      <c r="BUT23" s="311"/>
      <c r="BUU23" s="311"/>
      <c r="BUV23" s="311"/>
      <c r="BUW23" s="311"/>
      <c r="BUX23" s="311"/>
      <c r="BUY23" s="311"/>
      <c r="BUZ23" s="311"/>
      <c r="BVA23" s="311"/>
      <c r="BVB23" s="311"/>
      <c r="BVC23" s="311"/>
      <c r="BVD23" s="311"/>
      <c r="BVE23" s="311"/>
      <c r="BVF23" s="311"/>
      <c r="BVG23" s="311"/>
      <c r="BVH23" s="311"/>
      <c r="BVI23" s="311"/>
      <c r="BVJ23" s="311"/>
      <c r="BVK23" s="311"/>
      <c r="BVL23" s="311"/>
      <c r="BVM23" s="311"/>
      <c r="BVN23" s="311"/>
      <c r="BVO23" s="311"/>
      <c r="BVP23" s="311"/>
      <c r="BVQ23" s="311"/>
      <c r="BVR23" s="311"/>
      <c r="BVS23" s="311"/>
      <c r="BVT23" s="311"/>
      <c r="BVU23" s="311"/>
      <c r="BVV23" s="311"/>
      <c r="BVW23" s="311"/>
      <c r="BVX23" s="311"/>
      <c r="BVY23" s="311"/>
      <c r="BVZ23" s="311"/>
      <c r="BWA23" s="311"/>
      <c r="BWB23" s="311"/>
      <c r="BWC23" s="311"/>
      <c r="BWD23" s="311"/>
      <c r="BWE23" s="311"/>
      <c r="BWF23" s="311"/>
      <c r="BWG23" s="311"/>
      <c r="BWH23" s="311"/>
      <c r="BWI23" s="311"/>
      <c r="BWJ23" s="311"/>
      <c r="BWK23" s="311"/>
      <c r="BWL23" s="311"/>
      <c r="BWM23" s="311"/>
      <c r="BWN23" s="311"/>
      <c r="BWO23" s="311"/>
      <c r="BWP23" s="311"/>
      <c r="BWQ23" s="311"/>
      <c r="BWR23" s="311"/>
      <c r="BWS23" s="311"/>
      <c r="BWT23" s="311"/>
      <c r="BWU23" s="311"/>
      <c r="BWV23" s="311"/>
      <c r="BWW23" s="311"/>
      <c r="BWX23" s="311"/>
      <c r="BWY23" s="311"/>
      <c r="BWZ23" s="311"/>
      <c r="BXA23" s="311"/>
      <c r="BXB23" s="311"/>
      <c r="BXC23" s="311"/>
      <c r="BXD23" s="311"/>
      <c r="BXE23" s="311"/>
      <c r="BXF23" s="311"/>
      <c r="BXG23" s="311"/>
      <c r="BXH23" s="311"/>
      <c r="BXI23" s="311"/>
      <c r="BXJ23" s="311"/>
      <c r="BXK23" s="311"/>
      <c r="BXL23" s="311"/>
      <c r="BXM23" s="311"/>
      <c r="BXN23" s="311"/>
      <c r="BXO23" s="311"/>
      <c r="BXP23" s="311"/>
      <c r="BXQ23" s="311"/>
      <c r="BXR23" s="311"/>
      <c r="BXS23" s="311"/>
      <c r="BXT23" s="311"/>
      <c r="BXU23" s="311"/>
      <c r="BXV23" s="311"/>
      <c r="BXW23" s="311"/>
      <c r="BXX23" s="311"/>
      <c r="BXY23" s="311"/>
      <c r="BXZ23" s="311"/>
      <c r="BYA23" s="311"/>
      <c r="BYB23" s="311"/>
      <c r="BYC23" s="311"/>
      <c r="BYD23" s="311"/>
      <c r="BYE23" s="311"/>
      <c r="BYF23" s="311"/>
      <c r="BYG23" s="311"/>
      <c r="BYH23" s="311"/>
      <c r="BYI23" s="311"/>
      <c r="BYJ23" s="311"/>
      <c r="BYK23" s="311"/>
      <c r="BYL23" s="311"/>
      <c r="BYM23" s="311"/>
      <c r="BYN23" s="311"/>
      <c r="BYO23" s="311"/>
      <c r="BYP23" s="311"/>
      <c r="BYQ23" s="311"/>
      <c r="BYR23" s="311"/>
      <c r="BYS23" s="311"/>
      <c r="BYT23" s="311"/>
      <c r="BYU23" s="311"/>
      <c r="BYV23" s="311"/>
      <c r="BYW23" s="311"/>
      <c r="BYX23" s="311"/>
      <c r="BYY23" s="311"/>
      <c r="BYZ23" s="311"/>
      <c r="BZA23" s="311"/>
      <c r="BZB23" s="311"/>
      <c r="BZC23" s="311"/>
      <c r="BZD23" s="311"/>
      <c r="BZE23" s="311"/>
      <c r="BZF23" s="311"/>
      <c r="BZG23" s="311"/>
      <c r="BZH23" s="311"/>
      <c r="BZI23" s="311"/>
      <c r="BZJ23" s="311"/>
      <c r="BZK23" s="311"/>
      <c r="BZL23" s="311"/>
      <c r="BZM23" s="311"/>
      <c r="BZN23" s="311"/>
      <c r="BZO23" s="311"/>
      <c r="BZP23" s="311"/>
      <c r="BZQ23" s="311"/>
      <c r="BZR23" s="311"/>
      <c r="BZS23" s="311"/>
      <c r="BZT23" s="311"/>
      <c r="BZU23" s="311"/>
      <c r="BZV23" s="311"/>
      <c r="BZW23" s="311"/>
      <c r="BZX23" s="311"/>
      <c r="BZY23" s="311"/>
      <c r="BZZ23" s="311"/>
      <c r="CAA23" s="311"/>
      <c r="CAB23" s="311"/>
      <c r="CAC23" s="311"/>
      <c r="CAD23" s="311"/>
      <c r="CAE23" s="311"/>
      <c r="CAF23" s="311"/>
      <c r="CAG23" s="311"/>
      <c r="CAH23" s="311"/>
      <c r="CAI23" s="311"/>
      <c r="CAJ23" s="311"/>
      <c r="CAK23" s="311"/>
      <c r="CAL23" s="311"/>
      <c r="CAM23" s="311"/>
      <c r="CAN23" s="311"/>
      <c r="CAO23" s="311"/>
      <c r="CAP23" s="311"/>
      <c r="CAQ23" s="311"/>
      <c r="CAR23" s="311"/>
      <c r="CAS23" s="311"/>
      <c r="CAT23" s="311"/>
      <c r="CAU23" s="311"/>
      <c r="CAV23" s="311"/>
      <c r="CAW23" s="311"/>
      <c r="CAX23" s="311"/>
      <c r="CAY23" s="311"/>
      <c r="CAZ23" s="311"/>
      <c r="CBA23" s="311"/>
      <c r="CBB23" s="311"/>
      <c r="CBC23" s="311"/>
      <c r="CBD23" s="311"/>
      <c r="CBE23" s="311"/>
      <c r="CBF23" s="311"/>
      <c r="CBG23" s="311"/>
      <c r="CBH23" s="311"/>
      <c r="CBI23" s="311"/>
      <c r="CBJ23" s="311"/>
      <c r="CBK23" s="311"/>
      <c r="CBL23" s="311"/>
      <c r="CBM23" s="311"/>
      <c r="CBN23" s="311"/>
      <c r="CBO23" s="311"/>
      <c r="CBP23" s="311"/>
      <c r="CBQ23" s="311"/>
      <c r="CBR23" s="311"/>
      <c r="CBS23" s="311"/>
      <c r="CBT23" s="311"/>
      <c r="CBU23" s="311"/>
      <c r="CBV23" s="311"/>
      <c r="CBW23" s="311"/>
      <c r="CBX23" s="311"/>
      <c r="CBY23" s="311"/>
      <c r="CBZ23" s="311"/>
      <c r="CCA23" s="311"/>
      <c r="CCB23" s="311"/>
      <c r="CCC23" s="311"/>
      <c r="CCD23" s="311"/>
      <c r="CCE23" s="311"/>
      <c r="CCF23" s="311"/>
      <c r="CCG23" s="311"/>
      <c r="CCH23" s="311"/>
      <c r="CCI23" s="311"/>
      <c r="CCJ23" s="311"/>
      <c r="CCK23" s="311"/>
      <c r="CCL23" s="311"/>
      <c r="CCM23" s="311"/>
      <c r="CCN23" s="311"/>
      <c r="CCO23" s="311"/>
      <c r="CCP23" s="311"/>
      <c r="CCQ23" s="311"/>
      <c r="CCR23" s="311"/>
      <c r="CCS23" s="311"/>
      <c r="CCT23" s="311"/>
      <c r="CCU23" s="311"/>
      <c r="CCV23" s="311"/>
      <c r="CCW23" s="311"/>
      <c r="CCX23" s="311"/>
      <c r="CCY23" s="311"/>
      <c r="CCZ23" s="311"/>
      <c r="CDA23" s="311"/>
      <c r="CDB23" s="311"/>
      <c r="CDC23" s="311"/>
      <c r="CDD23" s="311"/>
      <c r="CDE23" s="311"/>
      <c r="CDF23" s="311"/>
      <c r="CDG23" s="311"/>
      <c r="CDH23" s="311"/>
      <c r="CDI23" s="311"/>
      <c r="CDJ23" s="311"/>
      <c r="CDK23" s="311"/>
      <c r="CDL23" s="311"/>
      <c r="CDM23" s="311"/>
      <c r="CDN23" s="311"/>
      <c r="CDO23" s="311"/>
      <c r="CDP23" s="311"/>
      <c r="CDQ23" s="311"/>
      <c r="CDR23" s="311"/>
      <c r="CDS23" s="311"/>
      <c r="CDT23" s="311"/>
      <c r="CDU23" s="311"/>
      <c r="CDV23" s="311"/>
      <c r="CDW23" s="311"/>
      <c r="CDX23" s="311"/>
      <c r="CDY23" s="311"/>
      <c r="CDZ23" s="311"/>
      <c r="CEA23" s="311"/>
      <c r="CEB23" s="311"/>
      <c r="CEC23" s="311"/>
      <c r="CED23" s="311"/>
      <c r="CEE23" s="311"/>
      <c r="CEF23" s="311"/>
      <c r="CEG23" s="311"/>
      <c r="CEH23" s="311"/>
      <c r="CEI23" s="311"/>
      <c r="CEJ23" s="311"/>
      <c r="CEK23" s="311"/>
      <c r="CEL23" s="311"/>
      <c r="CEM23" s="311"/>
      <c r="CEN23" s="311"/>
      <c r="CEO23" s="311"/>
      <c r="CEP23" s="311"/>
      <c r="CEQ23" s="311"/>
      <c r="CER23" s="311"/>
      <c r="CES23" s="311"/>
      <c r="CET23" s="311"/>
      <c r="CEU23" s="311"/>
      <c r="CEV23" s="311"/>
      <c r="CEW23" s="311"/>
      <c r="CEX23" s="311"/>
      <c r="CEY23" s="311"/>
      <c r="CEZ23" s="311"/>
      <c r="CFA23" s="311"/>
      <c r="CFB23" s="311"/>
      <c r="CFC23" s="311"/>
      <c r="CFD23" s="311"/>
      <c r="CFE23" s="311"/>
      <c r="CFF23" s="311"/>
      <c r="CFG23" s="311"/>
      <c r="CFH23" s="311"/>
      <c r="CFI23" s="311"/>
      <c r="CFJ23" s="311"/>
      <c r="CFK23" s="311"/>
      <c r="CFL23" s="311"/>
      <c r="CFM23" s="311"/>
      <c r="CFN23" s="311"/>
      <c r="CFO23" s="311"/>
      <c r="CFP23" s="311"/>
      <c r="CFQ23" s="311"/>
      <c r="CFR23" s="311"/>
      <c r="CFS23" s="311"/>
      <c r="CFT23" s="311"/>
      <c r="CFU23" s="311"/>
      <c r="CFV23" s="311"/>
      <c r="CFW23" s="311"/>
      <c r="CFX23" s="311"/>
      <c r="CFY23" s="311"/>
      <c r="CFZ23" s="311"/>
      <c r="CGA23" s="311"/>
      <c r="CGB23" s="311"/>
      <c r="CGC23" s="311"/>
      <c r="CGD23" s="311"/>
      <c r="CGE23" s="311"/>
      <c r="CGF23" s="311"/>
      <c r="CGG23" s="311"/>
      <c r="CGH23" s="311"/>
      <c r="CGI23" s="311"/>
      <c r="CGJ23" s="311"/>
      <c r="CGK23" s="311"/>
      <c r="CGL23" s="311"/>
      <c r="CGM23" s="311"/>
      <c r="CGN23" s="311"/>
      <c r="CGO23" s="311"/>
      <c r="CGP23" s="311"/>
      <c r="CGQ23" s="311"/>
      <c r="CGR23" s="311"/>
      <c r="CGS23" s="311"/>
      <c r="CGT23" s="311"/>
      <c r="CGU23" s="311"/>
      <c r="CGV23" s="311"/>
      <c r="CGW23" s="311"/>
      <c r="CGX23" s="311"/>
      <c r="CGY23" s="311"/>
      <c r="CGZ23" s="311"/>
      <c r="CHA23" s="311"/>
      <c r="CHB23" s="311"/>
      <c r="CHC23" s="311"/>
      <c r="CHD23" s="311"/>
      <c r="CHE23" s="311"/>
      <c r="CHF23" s="311"/>
      <c r="CHG23" s="311"/>
      <c r="CHH23" s="311"/>
      <c r="CHI23" s="311"/>
      <c r="CHJ23" s="311"/>
      <c r="CHK23" s="311"/>
      <c r="CHL23" s="311"/>
      <c r="CHM23" s="311"/>
      <c r="CHN23" s="311"/>
      <c r="CHO23" s="311"/>
      <c r="CHP23" s="311"/>
      <c r="CHQ23" s="311"/>
      <c r="CHR23" s="311"/>
      <c r="CHS23" s="311"/>
      <c r="CHT23" s="311"/>
      <c r="CHU23" s="311"/>
      <c r="CHV23" s="311"/>
      <c r="CHW23" s="311"/>
      <c r="CHX23" s="311"/>
      <c r="CHY23" s="311"/>
      <c r="CHZ23" s="311"/>
      <c r="CIA23" s="311"/>
      <c r="CIB23" s="311"/>
      <c r="CIC23" s="311"/>
      <c r="CID23" s="311"/>
      <c r="CIE23" s="311"/>
      <c r="CIF23" s="311"/>
      <c r="CIG23" s="311"/>
      <c r="CIH23" s="311"/>
      <c r="CII23" s="311"/>
      <c r="CIJ23" s="311"/>
      <c r="CIK23" s="311"/>
      <c r="CIL23" s="311"/>
      <c r="CIM23" s="311"/>
      <c r="CIN23" s="311"/>
      <c r="CIO23" s="311"/>
      <c r="CIP23" s="311"/>
      <c r="CIQ23" s="311"/>
      <c r="CIR23" s="311"/>
      <c r="CIS23" s="311"/>
      <c r="CIT23" s="311"/>
      <c r="CIU23" s="311"/>
      <c r="CIV23" s="311"/>
      <c r="CIW23" s="311"/>
      <c r="CIX23" s="311"/>
      <c r="CIY23" s="311"/>
      <c r="CIZ23" s="311"/>
      <c r="CJA23" s="311"/>
      <c r="CJB23" s="311"/>
      <c r="CJC23" s="311"/>
      <c r="CJD23" s="311"/>
      <c r="CJE23" s="311"/>
      <c r="CJF23" s="311"/>
      <c r="CJG23" s="311"/>
      <c r="CJH23" s="311"/>
      <c r="CJI23" s="311"/>
      <c r="CJJ23" s="311"/>
      <c r="CJK23" s="311"/>
      <c r="CJL23" s="311"/>
      <c r="CJM23" s="311"/>
      <c r="CJN23" s="311"/>
      <c r="CJO23" s="311"/>
      <c r="CJP23" s="311"/>
      <c r="CJQ23" s="311"/>
      <c r="CJR23" s="311"/>
      <c r="CJS23" s="311"/>
      <c r="CJT23" s="311"/>
      <c r="CJU23" s="311"/>
      <c r="CJV23" s="311"/>
      <c r="CJW23" s="311"/>
      <c r="CJX23" s="311"/>
      <c r="CJY23" s="311"/>
      <c r="CJZ23" s="311"/>
      <c r="CKA23" s="311"/>
      <c r="CKB23" s="311"/>
      <c r="CKC23" s="311"/>
      <c r="CKD23" s="311"/>
      <c r="CKE23" s="311"/>
      <c r="CKF23" s="311"/>
      <c r="CKG23" s="311"/>
      <c r="CKH23" s="311"/>
      <c r="CKI23" s="311"/>
      <c r="CKJ23" s="311"/>
      <c r="CKK23" s="311"/>
      <c r="CKL23" s="311"/>
      <c r="CKM23" s="311"/>
      <c r="CKN23" s="311"/>
      <c r="CKO23" s="311"/>
      <c r="CKP23" s="311"/>
      <c r="CKQ23" s="311"/>
      <c r="CKR23" s="311"/>
      <c r="CKS23" s="311"/>
      <c r="CKT23" s="311"/>
      <c r="CKU23" s="311"/>
      <c r="CKV23" s="311"/>
      <c r="CKW23" s="311"/>
      <c r="CKX23" s="311"/>
      <c r="CKY23" s="311"/>
      <c r="CKZ23" s="311"/>
      <c r="CLA23" s="311"/>
      <c r="CLB23" s="311"/>
      <c r="CLC23" s="311"/>
      <c r="CLD23" s="311"/>
      <c r="CLE23" s="311"/>
      <c r="CLF23" s="311"/>
      <c r="CLG23" s="311"/>
      <c r="CLH23" s="311"/>
      <c r="CLI23" s="311"/>
      <c r="CLJ23" s="311"/>
      <c r="CLK23" s="311"/>
      <c r="CLL23" s="311"/>
      <c r="CLM23" s="311"/>
      <c r="CLN23" s="311"/>
      <c r="CLO23" s="311"/>
      <c r="CLP23" s="311"/>
      <c r="CLQ23" s="311"/>
      <c r="CLR23" s="311"/>
      <c r="CLS23" s="311"/>
      <c r="CLT23" s="311"/>
      <c r="CLU23" s="311"/>
      <c r="CLV23" s="311"/>
      <c r="CLW23" s="311"/>
      <c r="CLX23" s="311"/>
      <c r="CLY23" s="311"/>
      <c r="CLZ23" s="311"/>
      <c r="CMA23" s="311"/>
      <c r="CMB23" s="311"/>
      <c r="CMC23" s="311"/>
      <c r="CMD23" s="311"/>
      <c r="CME23" s="311"/>
      <c r="CMF23" s="311"/>
      <c r="CMG23" s="311"/>
      <c r="CMH23" s="311"/>
      <c r="CMI23" s="311"/>
      <c r="CMJ23" s="311"/>
      <c r="CMK23" s="311"/>
      <c r="CML23" s="311"/>
      <c r="CMM23" s="311"/>
      <c r="CMN23" s="311"/>
      <c r="CMO23" s="311"/>
      <c r="CMP23" s="311"/>
      <c r="CMQ23" s="311"/>
      <c r="CMR23" s="311"/>
      <c r="CMS23" s="311"/>
      <c r="CMT23" s="311"/>
      <c r="CMU23" s="311"/>
      <c r="CMV23" s="311"/>
      <c r="CMW23" s="311"/>
      <c r="CMX23" s="311"/>
      <c r="CMY23" s="311"/>
      <c r="CMZ23" s="311"/>
      <c r="CNA23" s="311"/>
      <c r="CNB23" s="311"/>
      <c r="CNC23" s="311"/>
      <c r="CND23" s="311"/>
      <c r="CNE23" s="311"/>
      <c r="CNF23" s="311"/>
      <c r="CNG23" s="311"/>
      <c r="CNH23" s="311"/>
      <c r="CNI23" s="311"/>
      <c r="CNJ23" s="311"/>
      <c r="CNK23" s="311"/>
      <c r="CNL23" s="311"/>
      <c r="CNM23" s="311"/>
      <c r="CNN23" s="311"/>
      <c r="CNO23" s="311"/>
      <c r="CNP23" s="311"/>
      <c r="CNQ23" s="311"/>
      <c r="CNR23" s="311"/>
      <c r="CNS23" s="311"/>
      <c r="CNT23" s="311"/>
      <c r="CNU23" s="311"/>
      <c r="CNV23" s="311"/>
      <c r="CNW23" s="311"/>
      <c r="CNX23" s="311"/>
      <c r="CNY23" s="311"/>
      <c r="CNZ23" s="311"/>
      <c r="COA23" s="311"/>
      <c r="COB23" s="311"/>
      <c r="COC23" s="311"/>
      <c r="COD23" s="311"/>
      <c r="COE23" s="311"/>
      <c r="COF23" s="311"/>
      <c r="COG23" s="311"/>
      <c r="COH23" s="311"/>
      <c r="COI23" s="311"/>
      <c r="COJ23" s="311"/>
      <c r="COK23" s="311"/>
      <c r="COL23" s="311"/>
      <c r="COM23" s="311"/>
      <c r="CON23" s="311"/>
      <c r="COO23" s="311"/>
      <c r="COP23" s="311"/>
      <c r="COQ23" s="311"/>
      <c r="COR23" s="311"/>
      <c r="COS23" s="311"/>
      <c r="COT23" s="311"/>
      <c r="COU23" s="311"/>
      <c r="COV23" s="311"/>
      <c r="COW23" s="311"/>
      <c r="COX23" s="311"/>
      <c r="COY23" s="311"/>
      <c r="COZ23" s="311"/>
      <c r="CPA23" s="311"/>
      <c r="CPB23" s="311"/>
      <c r="CPC23" s="311"/>
      <c r="CPD23" s="311"/>
      <c r="CPE23" s="311"/>
      <c r="CPF23" s="311"/>
      <c r="CPG23" s="311"/>
      <c r="CPH23" s="311"/>
      <c r="CPI23" s="311"/>
      <c r="CPJ23" s="311"/>
      <c r="CPK23" s="311"/>
      <c r="CPL23" s="311"/>
      <c r="CPM23" s="311"/>
      <c r="CPN23" s="311"/>
      <c r="CPO23" s="311"/>
      <c r="CPP23" s="311"/>
      <c r="CPQ23" s="311"/>
      <c r="CPR23" s="311"/>
      <c r="CPS23" s="311"/>
      <c r="CPT23" s="311"/>
      <c r="CPU23" s="311"/>
      <c r="CPV23" s="311"/>
      <c r="CPW23" s="311"/>
      <c r="CPX23" s="311"/>
      <c r="CPY23" s="311"/>
      <c r="CPZ23" s="311"/>
      <c r="CQA23" s="311"/>
      <c r="CQB23" s="311"/>
      <c r="CQC23" s="311"/>
      <c r="CQD23" s="311"/>
      <c r="CQE23" s="311"/>
      <c r="CQF23" s="311"/>
      <c r="CQG23" s="311"/>
      <c r="CQH23" s="311"/>
      <c r="CQI23" s="311"/>
      <c r="CQJ23" s="311"/>
      <c r="CQK23" s="311"/>
      <c r="CQL23" s="311"/>
      <c r="CQM23" s="311"/>
      <c r="CQN23" s="311"/>
      <c r="CQO23" s="311"/>
      <c r="CQP23" s="311"/>
      <c r="CQQ23" s="311"/>
      <c r="CQR23" s="311"/>
      <c r="CQS23" s="311"/>
      <c r="CQT23" s="311"/>
      <c r="CQU23" s="311"/>
      <c r="CQV23" s="311"/>
      <c r="CQW23" s="311"/>
      <c r="CQX23" s="311"/>
      <c r="CQY23" s="311"/>
      <c r="CQZ23" s="311"/>
      <c r="CRA23" s="311"/>
      <c r="CRB23" s="311"/>
      <c r="CRC23" s="311"/>
      <c r="CRD23" s="311"/>
      <c r="CRE23" s="311"/>
      <c r="CRF23" s="311"/>
      <c r="CRG23" s="311"/>
      <c r="CRH23" s="311"/>
      <c r="CRI23" s="311"/>
      <c r="CRJ23" s="311"/>
      <c r="CRK23" s="311"/>
      <c r="CRL23" s="311"/>
      <c r="CRM23" s="311"/>
      <c r="CRN23" s="311"/>
      <c r="CRO23" s="311"/>
      <c r="CRP23" s="311"/>
      <c r="CRQ23" s="311"/>
      <c r="CRR23" s="311"/>
      <c r="CRS23" s="311"/>
      <c r="CRT23" s="311"/>
      <c r="CRU23" s="311"/>
      <c r="CRV23" s="311"/>
      <c r="CRW23" s="311"/>
      <c r="CRX23" s="311"/>
      <c r="CRY23" s="311"/>
      <c r="CRZ23" s="311"/>
      <c r="CSA23" s="311"/>
      <c r="CSB23" s="311"/>
      <c r="CSC23" s="311"/>
      <c r="CSD23" s="311"/>
      <c r="CSE23" s="311"/>
      <c r="CSF23" s="311"/>
      <c r="CSG23" s="311"/>
      <c r="CSH23" s="311"/>
      <c r="CSI23" s="311"/>
      <c r="CSJ23" s="311"/>
      <c r="CSK23" s="311"/>
      <c r="CSL23" s="311"/>
      <c r="CSM23" s="311"/>
      <c r="CSN23" s="311"/>
      <c r="CSO23" s="311"/>
      <c r="CSP23" s="311"/>
      <c r="CSQ23" s="311"/>
      <c r="CSR23" s="311"/>
      <c r="CSS23" s="311"/>
      <c r="CST23" s="311"/>
      <c r="CSU23" s="311"/>
      <c r="CSV23" s="311"/>
      <c r="CSW23" s="311"/>
      <c r="CSX23" s="311"/>
      <c r="CSY23" s="311"/>
      <c r="CSZ23" s="311"/>
      <c r="CTA23" s="311"/>
      <c r="CTB23" s="311"/>
      <c r="CTC23" s="311"/>
      <c r="CTD23" s="311"/>
      <c r="CTE23" s="311"/>
      <c r="CTF23" s="311"/>
      <c r="CTG23" s="311"/>
      <c r="CTH23" s="311"/>
      <c r="CTI23" s="311"/>
      <c r="CTJ23" s="311"/>
      <c r="CTK23" s="311"/>
      <c r="CTL23" s="311"/>
      <c r="CTM23" s="311"/>
      <c r="CTN23" s="311"/>
      <c r="CTO23" s="311"/>
      <c r="CTP23" s="311"/>
      <c r="CTQ23" s="311"/>
      <c r="CTR23" s="311"/>
      <c r="CTS23" s="311"/>
      <c r="CTT23" s="311"/>
      <c r="CTU23" s="311"/>
      <c r="CTV23" s="311"/>
      <c r="CTW23" s="311"/>
      <c r="CTX23" s="311"/>
      <c r="CTY23" s="311"/>
      <c r="CTZ23" s="311"/>
      <c r="CUA23" s="311"/>
      <c r="CUB23" s="311"/>
      <c r="CUC23" s="311"/>
      <c r="CUD23" s="311"/>
      <c r="CUE23" s="311"/>
      <c r="CUF23" s="311"/>
      <c r="CUG23" s="311"/>
      <c r="CUH23" s="311"/>
      <c r="CUI23" s="311"/>
      <c r="CUJ23" s="311"/>
      <c r="CUK23" s="311"/>
      <c r="CUL23" s="311"/>
      <c r="CUM23" s="311"/>
      <c r="CUN23" s="311"/>
      <c r="CUO23" s="311"/>
      <c r="CUP23" s="311"/>
      <c r="CUQ23" s="311"/>
      <c r="CUR23" s="311"/>
      <c r="CUS23" s="311"/>
      <c r="CUT23" s="311"/>
      <c r="CUU23" s="311"/>
      <c r="CUV23" s="311"/>
      <c r="CUW23" s="311"/>
      <c r="CUX23" s="311"/>
      <c r="CUY23" s="311"/>
      <c r="CUZ23" s="311"/>
      <c r="CVA23" s="311"/>
      <c r="CVB23" s="311"/>
      <c r="CVC23" s="311"/>
      <c r="CVD23" s="311"/>
      <c r="CVE23" s="311"/>
      <c r="CVF23" s="311"/>
      <c r="CVG23" s="311"/>
      <c r="CVH23" s="311"/>
      <c r="CVI23" s="311"/>
      <c r="CVJ23" s="311"/>
      <c r="CVK23" s="311"/>
      <c r="CVL23" s="311"/>
      <c r="CVM23" s="311"/>
      <c r="CVN23" s="311"/>
      <c r="CVO23" s="311"/>
      <c r="CVP23" s="311"/>
      <c r="CVQ23" s="311"/>
      <c r="CVR23" s="311"/>
      <c r="CVS23" s="311"/>
      <c r="CVT23" s="311"/>
      <c r="CVU23" s="311"/>
      <c r="CVV23" s="311"/>
      <c r="CVW23" s="311"/>
      <c r="CVX23" s="311"/>
      <c r="CVY23" s="311"/>
      <c r="CVZ23" s="311"/>
      <c r="CWA23" s="311"/>
      <c r="CWB23" s="311"/>
      <c r="CWC23" s="311"/>
      <c r="CWD23" s="311"/>
      <c r="CWE23" s="311"/>
      <c r="CWF23" s="311"/>
      <c r="CWG23" s="311"/>
      <c r="CWH23" s="311"/>
      <c r="CWI23" s="311"/>
      <c r="CWJ23" s="311"/>
      <c r="CWK23" s="311"/>
      <c r="CWL23" s="311"/>
      <c r="CWM23" s="311"/>
      <c r="CWN23" s="311"/>
      <c r="CWO23" s="311"/>
      <c r="CWP23" s="311"/>
      <c r="CWQ23" s="311"/>
      <c r="CWR23" s="311"/>
      <c r="CWS23" s="311"/>
      <c r="CWT23" s="311"/>
      <c r="CWU23" s="311"/>
      <c r="CWV23" s="311"/>
      <c r="CWW23" s="311"/>
      <c r="CWX23" s="311"/>
      <c r="CWY23" s="311"/>
      <c r="CWZ23" s="311"/>
      <c r="CXA23" s="311"/>
      <c r="CXB23" s="311"/>
      <c r="CXC23" s="311"/>
      <c r="CXD23" s="311"/>
      <c r="CXE23" s="311"/>
      <c r="CXF23" s="311"/>
      <c r="CXG23" s="311"/>
      <c r="CXH23" s="311"/>
      <c r="CXI23" s="311"/>
      <c r="CXJ23" s="311"/>
      <c r="CXK23" s="311"/>
      <c r="CXL23" s="311"/>
      <c r="CXM23" s="311"/>
      <c r="CXN23" s="311"/>
      <c r="CXO23" s="311"/>
      <c r="CXP23" s="311"/>
      <c r="CXQ23" s="311"/>
      <c r="CXR23" s="311"/>
      <c r="CXS23" s="311"/>
      <c r="CXT23" s="311"/>
      <c r="CXU23" s="311"/>
      <c r="CXV23" s="311"/>
      <c r="CXW23" s="311"/>
      <c r="CXX23" s="311"/>
      <c r="CXY23" s="311"/>
      <c r="CXZ23" s="311"/>
      <c r="CYA23" s="311"/>
      <c r="CYB23" s="311"/>
      <c r="CYC23" s="311"/>
      <c r="CYD23" s="311"/>
      <c r="CYE23" s="311"/>
      <c r="CYF23" s="311"/>
      <c r="CYG23" s="311"/>
      <c r="CYH23" s="311"/>
      <c r="CYI23" s="311"/>
      <c r="CYJ23" s="311"/>
      <c r="CYK23" s="311"/>
      <c r="CYL23" s="311"/>
      <c r="CYM23" s="311"/>
      <c r="CYN23" s="311"/>
      <c r="CYO23" s="311"/>
      <c r="CYP23" s="311"/>
      <c r="CYQ23" s="311"/>
      <c r="CYR23" s="311"/>
      <c r="CYS23" s="311"/>
      <c r="CYT23" s="311"/>
      <c r="CYU23" s="311"/>
      <c r="CYV23" s="311"/>
      <c r="CYW23" s="311"/>
      <c r="CYX23" s="311"/>
      <c r="CYY23" s="311"/>
      <c r="CYZ23" s="311"/>
      <c r="CZA23" s="311"/>
      <c r="CZB23" s="311"/>
      <c r="CZC23" s="311"/>
      <c r="CZD23" s="311"/>
      <c r="CZE23" s="311"/>
      <c r="CZF23" s="311"/>
      <c r="CZG23" s="311"/>
      <c r="CZH23" s="311"/>
      <c r="CZI23" s="311"/>
      <c r="CZJ23" s="311"/>
      <c r="CZK23" s="311"/>
      <c r="CZL23" s="311"/>
      <c r="CZM23" s="311"/>
      <c r="CZN23" s="311"/>
      <c r="CZO23" s="311"/>
      <c r="CZP23" s="311"/>
      <c r="CZQ23" s="311"/>
      <c r="CZR23" s="311"/>
      <c r="CZS23" s="311"/>
      <c r="CZT23" s="311"/>
      <c r="CZU23" s="311"/>
      <c r="CZV23" s="311"/>
      <c r="CZW23" s="311"/>
      <c r="CZX23" s="311"/>
      <c r="CZY23" s="311"/>
      <c r="CZZ23" s="311"/>
      <c r="DAA23" s="311"/>
      <c r="DAB23" s="311"/>
      <c r="DAC23" s="311"/>
      <c r="DAD23" s="311"/>
      <c r="DAE23" s="311"/>
      <c r="DAF23" s="311"/>
      <c r="DAG23" s="311"/>
      <c r="DAH23" s="311"/>
      <c r="DAI23" s="311"/>
      <c r="DAJ23" s="311"/>
      <c r="DAK23" s="311"/>
      <c r="DAL23" s="311"/>
      <c r="DAM23" s="311"/>
      <c r="DAN23" s="311"/>
      <c r="DAO23" s="311"/>
      <c r="DAP23" s="311"/>
      <c r="DAQ23" s="311"/>
      <c r="DAR23" s="311"/>
      <c r="DAS23" s="311"/>
      <c r="DAT23" s="311"/>
      <c r="DAU23" s="311"/>
      <c r="DAV23" s="311"/>
      <c r="DAW23" s="311"/>
      <c r="DAX23" s="311"/>
      <c r="DAY23" s="311"/>
      <c r="DAZ23" s="311"/>
      <c r="DBA23" s="311"/>
      <c r="DBB23" s="311"/>
      <c r="DBC23" s="311"/>
      <c r="DBD23" s="311"/>
      <c r="DBE23" s="311"/>
      <c r="DBF23" s="311"/>
      <c r="DBG23" s="311"/>
      <c r="DBH23" s="311"/>
      <c r="DBI23" s="311"/>
      <c r="DBJ23" s="311"/>
      <c r="DBK23" s="311"/>
      <c r="DBL23" s="311"/>
      <c r="DBM23" s="311"/>
      <c r="DBN23" s="311"/>
      <c r="DBO23" s="311"/>
      <c r="DBP23" s="311"/>
      <c r="DBQ23" s="311"/>
      <c r="DBR23" s="311"/>
      <c r="DBS23" s="311"/>
      <c r="DBT23" s="311"/>
      <c r="DBU23" s="311"/>
      <c r="DBV23" s="311"/>
      <c r="DBW23" s="311"/>
      <c r="DBX23" s="311"/>
      <c r="DBY23" s="311"/>
      <c r="DBZ23" s="311"/>
      <c r="DCA23" s="311"/>
      <c r="DCB23" s="311"/>
      <c r="DCC23" s="311"/>
      <c r="DCD23" s="311"/>
      <c r="DCE23" s="311"/>
      <c r="DCF23" s="311"/>
      <c r="DCG23" s="311"/>
      <c r="DCH23" s="311"/>
      <c r="DCI23" s="311"/>
      <c r="DCJ23" s="311"/>
      <c r="DCK23" s="311"/>
      <c r="DCL23" s="311"/>
      <c r="DCM23" s="311"/>
      <c r="DCN23" s="311"/>
      <c r="DCO23" s="311"/>
      <c r="DCP23" s="311"/>
      <c r="DCQ23" s="311"/>
      <c r="DCR23" s="311"/>
      <c r="DCS23" s="311"/>
      <c r="DCT23" s="311"/>
      <c r="DCU23" s="311"/>
      <c r="DCV23" s="311"/>
      <c r="DCW23" s="311"/>
      <c r="DCX23" s="311"/>
      <c r="DCY23" s="311"/>
      <c r="DCZ23" s="311"/>
      <c r="DDA23" s="311"/>
      <c r="DDB23" s="311"/>
      <c r="DDC23" s="311"/>
      <c r="DDD23" s="311"/>
      <c r="DDE23" s="311"/>
      <c r="DDF23" s="311"/>
      <c r="DDG23" s="311"/>
      <c r="DDH23" s="311"/>
      <c r="DDI23" s="311"/>
      <c r="DDJ23" s="311"/>
      <c r="DDK23" s="311"/>
      <c r="DDL23" s="311"/>
      <c r="DDM23" s="311"/>
      <c r="DDN23" s="311"/>
      <c r="DDO23" s="311"/>
      <c r="DDP23" s="311"/>
      <c r="DDQ23" s="311"/>
      <c r="DDR23" s="311"/>
      <c r="DDS23" s="311"/>
      <c r="DDT23" s="311"/>
      <c r="DDU23" s="311"/>
      <c r="DDV23" s="311"/>
      <c r="DDW23" s="311"/>
      <c r="DDX23" s="311"/>
      <c r="DDY23" s="311"/>
      <c r="DDZ23" s="311"/>
      <c r="DEA23" s="311"/>
      <c r="DEB23" s="311"/>
      <c r="DEC23" s="311"/>
      <c r="DED23" s="311"/>
      <c r="DEE23" s="311"/>
      <c r="DEF23" s="311"/>
      <c r="DEG23" s="311"/>
      <c r="DEH23" s="311"/>
      <c r="DEI23" s="311"/>
      <c r="DEJ23" s="311"/>
      <c r="DEK23" s="311"/>
      <c r="DEL23" s="311"/>
      <c r="DEM23" s="311"/>
      <c r="DEN23" s="311"/>
      <c r="DEO23" s="311"/>
      <c r="DEP23" s="311"/>
      <c r="DEQ23" s="311"/>
      <c r="DER23" s="311"/>
      <c r="DES23" s="311"/>
      <c r="DET23" s="311"/>
      <c r="DEU23" s="311"/>
      <c r="DEV23" s="311"/>
      <c r="DEW23" s="311"/>
      <c r="DEX23" s="311"/>
      <c r="DEY23" s="311"/>
      <c r="DEZ23" s="311"/>
      <c r="DFA23" s="311"/>
      <c r="DFB23" s="311"/>
      <c r="DFC23" s="311"/>
      <c r="DFD23" s="311"/>
      <c r="DFE23" s="311"/>
      <c r="DFF23" s="311"/>
      <c r="DFG23" s="311"/>
      <c r="DFH23" s="311"/>
      <c r="DFI23" s="311"/>
      <c r="DFJ23" s="311"/>
      <c r="DFK23" s="311"/>
      <c r="DFL23" s="311"/>
      <c r="DFM23" s="311"/>
      <c r="DFN23" s="311"/>
      <c r="DFO23" s="311"/>
      <c r="DFP23" s="311"/>
      <c r="DFQ23" s="311"/>
      <c r="DFR23" s="311"/>
      <c r="DFS23" s="311"/>
      <c r="DFT23" s="311"/>
      <c r="DFU23" s="311"/>
      <c r="DFV23" s="311"/>
      <c r="DFW23" s="311"/>
      <c r="DFX23" s="311"/>
      <c r="DFY23" s="311"/>
      <c r="DFZ23" s="311"/>
      <c r="DGA23" s="311"/>
      <c r="DGB23" s="311"/>
      <c r="DGC23" s="311"/>
      <c r="DGD23" s="311"/>
      <c r="DGE23" s="311"/>
      <c r="DGF23" s="311"/>
      <c r="DGG23" s="311"/>
      <c r="DGH23" s="311"/>
      <c r="DGI23" s="311"/>
      <c r="DGJ23" s="311"/>
      <c r="DGK23" s="311"/>
      <c r="DGL23" s="311"/>
      <c r="DGM23" s="311"/>
      <c r="DGN23" s="311"/>
      <c r="DGO23" s="311"/>
      <c r="DGP23" s="311"/>
      <c r="DGQ23" s="311"/>
      <c r="DGR23" s="311"/>
      <c r="DGS23" s="311"/>
      <c r="DGT23" s="311"/>
      <c r="DGU23" s="311"/>
      <c r="DGV23" s="311"/>
      <c r="DGW23" s="311"/>
      <c r="DGX23" s="311"/>
      <c r="DGY23" s="311"/>
      <c r="DGZ23" s="311"/>
      <c r="DHA23" s="311"/>
      <c r="DHB23" s="311"/>
      <c r="DHC23" s="311"/>
      <c r="DHD23" s="311"/>
      <c r="DHE23" s="311"/>
      <c r="DHF23" s="311"/>
      <c r="DHG23" s="311"/>
      <c r="DHH23" s="311"/>
      <c r="DHI23" s="311"/>
      <c r="DHJ23" s="311"/>
      <c r="DHK23" s="311"/>
      <c r="DHL23" s="311"/>
      <c r="DHM23" s="311"/>
      <c r="DHN23" s="311"/>
      <c r="DHO23" s="311"/>
      <c r="DHP23" s="311"/>
      <c r="DHQ23" s="311"/>
      <c r="DHR23" s="311"/>
      <c r="DHS23" s="311"/>
      <c r="DHT23" s="311"/>
      <c r="DHU23" s="311"/>
      <c r="DHV23" s="311"/>
      <c r="DHW23" s="311"/>
      <c r="DHX23" s="311"/>
      <c r="DHY23" s="311"/>
      <c r="DHZ23" s="311"/>
      <c r="DIA23" s="311"/>
      <c r="DIB23" s="311"/>
      <c r="DIC23" s="311"/>
      <c r="DID23" s="311"/>
      <c r="DIE23" s="311"/>
      <c r="DIF23" s="311"/>
      <c r="DIG23" s="311"/>
      <c r="DIH23" s="311"/>
      <c r="DII23" s="311"/>
      <c r="DIJ23" s="311"/>
      <c r="DIK23" s="311"/>
      <c r="DIL23" s="311"/>
      <c r="DIM23" s="311"/>
      <c r="DIN23" s="311"/>
      <c r="DIO23" s="311"/>
      <c r="DIP23" s="311"/>
      <c r="DIQ23" s="311"/>
      <c r="DIR23" s="311"/>
      <c r="DIS23" s="311"/>
      <c r="DIT23" s="311"/>
      <c r="DIU23" s="311"/>
      <c r="DIV23" s="311"/>
      <c r="DIW23" s="311"/>
      <c r="DIX23" s="311"/>
      <c r="DIY23" s="311"/>
      <c r="DIZ23" s="311"/>
      <c r="DJA23" s="311"/>
      <c r="DJB23" s="311"/>
      <c r="DJC23" s="311"/>
      <c r="DJD23" s="311"/>
      <c r="DJE23" s="311"/>
      <c r="DJF23" s="311"/>
      <c r="DJG23" s="311"/>
      <c r="DJH23" s="311"/>
      <c r="DJI23" s="311"/>
      <c r="DJJ23" s="311"/>
      <c r="DJK23" s="311"/>
      <c r="DJL23" s="311"/>
      <c r="DJM23" s="311"/>
      <c r="DJN23" s="311"/>
      <c r="DJO23" s="311"/>
      <c r="DJP23" s="311"/>
      <c r="DJQ23" s="311"/>
      <c r="DJR23" s="311"/>
      <c r="DJS23" s="311"/>
      <c r="DJT23" s="311"/>
      <c r="DJU23" s="311"/>
      <c r="DJV23" s="311"/>
      <c r="DJW23" s="311"/>
      <c r="DJX23" s="311"/>
      <c r="DJY23" s="311"/>
      <c r="DJZ23" s="311"/>
      <c r="DKA23" s="311"/>
      <c r="DKB23" s="311"/>
      <c r="DKC23" s="311"/>
      <c r="DKD23" s="311"/>
      <c r="DKE23" s="311"/>
      <c r="DKF23" s="311"/>
      <c r="DKG23" s="311"/>
      <c r="DKH23" s="311"/>
      <c r="DKI23" s="311"/>
      <c r="DKJ23" s="311"/>
      <c r="DKK23" s="311"/>
      <c r="DKL23" s="311"/>
      <c r="DKM23" s="311"/>
      <c r="DKN23" s="311"/>
      <c r="DKO23" s="311"/>
      <c r="DKP23" s="311"/>
      <c r="DKQ23" s="311"/>
      <c r="DKR23" s="311"/>
      <c r="DKS23" s="311"/>
      <c r="DKT23" s="311"/>
      <c r="DKU23" s="311"/>
      <c r="DKV23" s="311"/>
      <c r="DKW23" s="311"/>
      <c r="DKX23" s="311"/>
      <c r="DKY23" s="311"/>
      <c r="DKZ23" s="311"/>
      <c r="DLA23" s="311"/>
      <c r="DLB23" s="311"/>
      <c r="DLC23" s="311"/>
      <c r="DLD23" s="311"/>
      <c r="DLE23" s="311"/>
      <c r="DLF23" s="311"/>
      <c r="DLG23" s="311"/>
      <c r="DLH23" s="311"/>
      <c r="DLI23" s="311"/>
      <c r="DLJ23" s="311"/>
      <c r="DLK23" s="311"/>
      <c r="DLL23" s="311"/>
      <c r="DLM23" s="311"/>
      <c r="DLN23" s="311"/>
      <c r="DLO23" s="311"/>
      <c r="DLP23" s="311"/>
      <c r="DLQ23" s="311"/>
      <c r="DLR23" s="311"/>
      <c r="DLS23" s="311"/>
      <c r="DLT23" s="311"/>
      <c r="DLU23" s="311"/>
      <c r="DLV23" s="311"/>
      <c r="DLW23" s="311"/>
      <c r="DLX23" s="311"/>
      <c r="DLY23" s="311"/>
      <c r="DLZ23" s="311"/>
      <c r="DMA23" s="311"/>
      <c r="DMB23" s="311"/>
      <c r="DMC23" s="311"/>
      <c r="DMD23" s="311"/>
      <c r="DME23" s="311"/>
      <c r="DMF23" s="311"/>
      <c r="DMG23" s="311"/>
      <c r="DMH23" s="311"/>
      <c r="DMI23" s="311"/>
      <c r="DMJ23" s="311"/>
      <c r="DMK23" s="311"/>
      <c r="DML23" s="311"/>
      <c r="DMM23" s="311"/>
      <c r="DMN23" s="311"/>
      <c r="DMO23" s="311"/>
      <c r="DMP23" s="311"/>
      <c r="DMQ23" s="311"/>
      <c r="DMR23" s="311"/>
      <c r="DMS23" s="311"/>
      <c r="DMT23" s="311"/>
      <c r="DMU23" s="311"/>
      <c r="DMV23" s="311"/>
      <c r="DMW23" s="311"/>
      <c r="DMX23" s="311"/>
      <c r="DMY23" s="311"/>
      <c r="DMZ23" s="311"/>
      <c r="DNA23" s="311"/>
      <c r="DNB23" s="311"/>
      <c r="DNC23" s="311"/>
      <c r="DND23" s="311"/>
      <c r="DNE23" s="311"/>
      <c r="DNF23" s="311"/>
      <c r="DNG23" s="311"/>
      <c r="DNH23" s="311"/>
      <c r="DNI23" s="311"/>
      <c r="DNJ23" s="311"/>
      <c r="DNK23" s="311"/>
      <c r="DNL23" s="311"/>
      <c r="DNM23" s="311"/>
      <c r="DNN23" s="311"/>
      <c r="DNO23" s="311"/>
      <c r="DNP23" s="311"/>
      <c r="DNQ23" s="311"/>
      <c r="DNR23" s="311"/>
      <c r="DNS23" s="311"/>
      <c r="DNT23" s="311"/>
      <c r="DNU23" s="311"/>
      <c r="DNV23" s="311"/>
      <c r="DNW23" s="311"/>
      <c r="DNX23" s="311"/>
      <c r="DNY23" s="311"/>
      <c r="DNZ23" s="311"/>
      <c r="DOA23" s="311"/>
      <c r="DOB23" s="311"/>
      <c r="DOC23" s="311"/>
      <c r="DOD23" s="311"/>
      <c r="DOE23" s="311"/>
      <c r="DOF23" s="311"/>
      <c r="DOG23" s="311"/>
      <c r="DOH23" s="311"/>
      <c r="DOI23" s="311"/>
      <c r="DOJ23" s="311"/>
      <c r="DOK23" s="311"/>
      <c r="DOL23" s="311"/>
      <c r="DOM23" s="311"/>
      <c r="DON23" s="311"/>
      <c r="DOO23" s="311"/>
      <c r="DOP23" s="311"/>
      <c r="DOQ23" s="311"/>
      <c r="DOR23" s="311"/>
      <c r="DOS23" s="311"/>
      <c r="DOT23" s="311"/>
      <c r="DOU23" s="311"/>
      <c r="DOV23" s="311"/>
      <c r="DOW23" s="311"/>
      <c r="DOX23" s="311"/>
      <c r="DOY23" s="311"/>
      <c r="DOZ23" s="311"/>
      <c r="DPA23" s="311"/>
      <c r="DPB23" s="311"/>
      <c r="DPC23" s="311"/>
      <c r="DPD23" s="311"/>
      <c r="DPE23" s="311"/>
      <c r="DPF23" s="311"/>
      <c r="DPG23" s="311"/>
      <c r="DPH23" s="311"/>
      <c r="DPI23" s="311"/>
      <c r="DPJ23" s="311"/>
      <c r="DPK23" s="311"/>
      <c r="DPL23" s="311"/>
      <c r="DPM23" s="311"/>
      <c r="DPN23" s="311"/>
      <c r="DPO23" s="311"/>
      <c r="DPP23" s="311"/>
      <c r="DPQ23" s="311"/>
      <c r="DPR23" s="311"/>
      <c r="DPS23" s="311"/>
      <c r="DPT23" s="311"/>
      <c r="DPU23" s="311"/>
      <c r="DPV23" s="311"/>
      <c r="DPW23" s="311"/>
      <c r="DPX23" s="311"/>
      <c r="DPY23" s="311"/>
      <c r="DPZ23" s="311"/>
      <c r="DQA23" s="311"/>
      <c r="DQB23" s="311"/>
      <c r="DQC23" s="311"/>
      <c r="DQD23" s="311"/>
      <c r="DQE23" s="311"/>
      <c r="DQF23" s="311"/>
      <c r="DQG23" s="311"/>
      <c r="DQH23" s="311"/>
      <c r="DQI23" s="311"/>
      <c r="DQJ23" s="311"/>
      <c r="DQK23" s="311"/>
      <c r="DQL23" s="311"/>
      <c r="DQM23" s="311"/>
      <c r="DQN23" s="311"/>
      <c r="DQO23" s="311"/>
      <c r="DQP23" s="311"/>
      <c r="DQQ23" s="311"/>
      <c r="DQR23" s="311"/>
      <c r="DQS23" s="311"/>
      <c r="DQT23" s="311"/>
      <c r="DQU23" s="311"/>
      <c r="DQV23" s="311"/>
      <c r="DQW23" s="311"/>
      <c r="DQX23" s="311"/>
      <c r="DQY23" s="311"/>
      <c r="DQZ23" s="311"/>
      <c r="DRA23" s="311"/>
      <c r="DRB23" s="311"/>
      <c r="DRC23" s="311"/>
      <c r="DRD23" s="311"/>
      <c r="DRE23" s="311"/>
      <c r="DRF23" s="311"/>
      <c r="DRG23" s="311"/>
      <c r="DRH23" s="311"/>
      <c r="DRI23" s="311"/>
      <c r="DRJ23" s="311"/>
      <c r="DRK23" s="311"/>
      <c r="DRL23" s="311"/>
      <c r="DRM23" s="311"/>
      <c r="DRN23" s="311"/>
      <c r="DRO23" s="311"/>
      <c r="DRP23" s="311"/>
      <c r="DRQ23" s="311"/>
      <c r="DRR23" s="311"/>
      <c r="DRS23" s="311"/>
      <c r="DRT23" s="311"/>
      <c r="DRU23" s="311"/>
      <c r="DRV23" s="311"/>
      <c r="DRW23" s="311"/>
      <c r="DRX23" s="311"/>
      <c r="DRY23" s="311"/>
      <c r="DRZ23" s="311"/>
      <c r="DSA23" s="311"/>
      <c r="DSB23" s="311"/>
      <c r="DSC23" s="311"/>
      <c r="DSD23" s="311"/>
      <c r="DSE23" s="311"/>
      <c r="DSF23" s="311"/>
      <c r="DSG23" s="311"/>
      <c r="DSH23" s="311"/>
      <c r="DSI23" s="311"/>
      <c r="DSJ23" s="311"/>
      <c r="DSK23" s="311"/>
      <c r="DSL23" s="311"/>
      <c r="DSM23" s="311"/>
      <c r="DSN23" s="311"/>
      <c r="DSO23" s="311"/>
      <c r="DSP23" s="311"/>
      <c r="DSQ23" s="311"/>
      <c r="DSR23" s="311"/>
      <c r="DSS23" s="311"/>
      <c r="DST23" s="311"/>
      <c r="DSU23" s="311"/>
      <c r="DSV23" s="311"/>
      <c r="DSW23" s="311"/>
      <c r="DSX23" s="311"/>
      <c r="DSY23" s="311"/>
      <c r="DSZ23" s="311"/>
      <c r="DTA23" s="311"/>
      <c r="DTB23" s="311"/>
      <c r="DTC23" s="311"/>
      <c r="DTD23" s="311"/>
      <c r="DTE23" s="311"/>
      <c r="DTF23" s="311"/>
      <c r="DTG23" s="311"/>
      <c r="DTH23" s="311"/>
      <c r="DTI23" s="311"/>
      <c r="DTJ23" s="311"/>
      <c r="DTK23" s="311"/>
      <c r="DTL23" s="311"/>
      <c r="DTM23" s="311"/>
      <c r="DTN23" s="311"/>
      <c r="DTO23" s="311"/>
      <c r="DTP23" s="311"/>
      <c r="DTQ23" s="311"/>
      <c r="DTR23" s="311"/>
      <c r="DTS23" s="311"/>
      <c r="DTT23" s="311"/>
      <c r="DTU23" s="311"/>
      <c r="DTV23" s="311"/>
      <c r="DTW23" s="311"/>
      <c r="DTX23" s="311"/>
      <c r="DTY23" s="311"/>
      <c r="DTZ23" s="311"/>
      <c r="DUA23" s="311"/>
      <c r="DUB23" s="311"/>
      <c r="DUC23" s="311"/>
      <c r="DUD23" s="311"/>
      <c r="DUE23" s="311"/>
      <c r="DUF23" s="311"/>
      <c r="DUG23" s="311"/>
      <c r="DUH23" s="311"/>
      <c r="DUI23" s="311"/>
      <c r="DUJ23" s="311"/>
      <c r="DUK23" s="311"/>
      <c r="DUL23" s="311"/>
      <c r="DUM23" s="311"/>
      <c r="DUN23" s="311"/>
      <c r="DUO23" s="311"/>
      <c r="DUP23" s="311"/>
      <c r="DUQ23" s="311"/>
      <c r="DUR23" s="311"/>
      <c r="DUS23" s="311"/>
      <c r="DUT23" s="311"/>
      <c r="DUU23" s="311"/>
      <c r="DUV23" s="311"/>
      <c r="DUW23" s="311"/>
      <c r="DUX23" s="311"/>
      <c r="DUY23" s="311"/>
      <c r="DUZ23" s="311"/>
      <c r="DVA23" s="311"/>
      <c r="DVB23" s="311"/>
      <c r="DVC23" s="311"/>
      <c r="DVD23" s="311"/>
      <c r="DVE23" s="311"/>
      <c r="DVF23" s="311"/>
      <c r="DVG23" s="311"/>
      <c r="DVH23" s="311"/>
      <c r="DVI23" s="311"/>
      <c r="DVJ23" s="311"/>
      <c r="DVK23" s="311"/>
      <c r="DVL23" s="311"/>
      <c r="DVM23" s="311"/>
      <c r="DVN23" s="311"/>
      <c r="DVO23" s="311"/>
      <c r="DVP23" s="311"/>
      <c r="DVQ23" s="311"/>
      <c r="DVR23" s="311"/>
      <c r="DVS23" s="311"/>
      <c r="DVT23" s="311"/>
      <c r="DVU23" s="311"/>
      <c r="DVV23" s="311"/>
      <c r="DVW23" s="311"/>
      <c r="DVX23" s="311"/>
      <c r="DVY23" s="311"/>
      <c r="DVZ23" s="311"/>
      <c r="DWA23" s="311"/>
      <c r="DWB23" s="311"/>
      <c r="DWC23" s="311"/>
      <c r="DWD23" s="311"/>
      <c r="DWE23" s="311"/>
      <c r="DWF23" s="311"/>
      <c r="DWG23" s="311"/>
      <c r="DWH23" s="311"/>
      <c r="DWI23" s="311"/>
      <c r="DWJ23" s="311"/>
      <c r="DWK23" s="311"/>
      <c r="DWL23" s="311"/>
      <c r="DWM23" s="311"/>
      <c r="DWN23" s="311"/>
      <c r="DWO23" s="311"/>
      <c r="DWP23" s="311"/>
      <c r="DWQ23" s="311"/>
      <c r="DWR23" s="311"/>
      <c r="DWS23" s="311"/>
      <c r="DWT23" s="311"/>
      <c r="DWU23" s="311"/>
      <c r="DWV23" s="311"/>
      <c r="DWW23" s="311"/>
      <c r="DWX23" s="311"/>
      <c r="DWY23" s="311"/>
      <c r="DWZ23" s="311"/>
      <c r="DXA23" s="311"/>
      <c r="DXB23" s="311"/>
      <c r="DXC23" s="311"/>
      <c r="DXD23" s="311"/>
      <c r="DXE23" s="311"/>
      <c r="DXF23" s="311"/>
      <c r="DXG23" s="311"/>
      <c r="DXH23" s="311"/>
      <c r="DXI23" s="311"/>
      <c r="DXJ23" s="311"/>
      <c r="DXK23" s="311"/>
      <c r="DXL23" s="311"/>
      <c r="DXM23" s="311"/>
      <c r="DXN23" s="311"/>
      <c r="DXO23" s="311"/>
      <c r="DXP23" s="311"/>
      <c r="DXQ23" s="311"/>
      <c r="DXR23" s="311"/>
      <c r="DXS23" s="311"/>
      <c r="DXT23" s="311"/>
      <c r="DXU23" s="311"/>
      <c r="DXV23" s="311"/>
      <c r="DXW23" s="311"/>
      <c r="DXX23" s="311"/>
      <c r="DXY23" s="311"/>
      <c r="DXZ23" s="311"/>
      <c r="DYA23" s="311"/>
      <c r="DYB23" s="311"/>
      <c r="DYC23" s="311"/>
      <c r="DYD23" s="311"/>
      <c r="DYE23" s="311"/>
      <c r="DYF23" s="311"/>
      <c r="DYG23" s="311"/>
      <c r="DYH23" s="311"/>
      <c r="DYI23" s="311"/>
      <c r="DYJ23" s="311"/>
      <c r="DYK23" s="311"/>
      <c r="DYL23" s="311"/>
      <c r="DYM23" s="311"/>
      <c r="DYN23" s="311"/>
      <c r="DYO23" s="311"/>
      <c r="DYP23" s="311"/>
      <c r="DYQ23" s="311"/>
      <c r="DYR23" s="311"/>
      <c r="DYS23" s="311"/>
      <c r="DYT23" s="311"/>
      <c r="DYU23" s="311"/>
      <c r="DYV23" s="311"/>
      <c r="DYW23" s="311"/>
      <c r="DYX23" s="311"/>
      <c r="DYY23" s="311"/>
      <c r="DYZ23" s="311"/>
      <c r="DZA23" s="311"/>
      <c r="DZB23" s="311"/>
      <c r="DZC23" s="311"/>
      <c r="DZD23" s="311"/>
      <c r="DZE23" s="311"/>
      <c r="DZF23" s="311"/>
      <c r="DZG23" s="311"/>
      <c r="DZH23" s="311"/>
      <c r="DZI23" s="311"/>
      <c r="DZJ23" s="311"/>
      <c r="DZK23" s="311"/>
      <c r="DZL23" s="311"/>
      <c r="DZM23" s="311"/>
      <c r="DZN23" s="311"/>
      <c r="DZO23" s="311"/>
      <c r="DZP23" s="311"/>
      <c r="DZQ23" s="311"/>
      <c r="DZR23" s="311"/>
      <c r="DZS23" s="311"/>
      <c r="DZT23" s="311"/>
      <c r="DZU23" s="311"/>
      <c r="DZV23" s="311"/>
      <c r="DZW23" s="311"/>
      <c r="DZX23" s="311"/>
      <c r="DZY23" s="311"/>
      <c r="DZZ23" s="311"/>
      <c r="EAA23" s="311"/>
      <c r="EAB23" s="311"/>
      <c r="EAC23" s="311"/>
      <c r="EAD23" s="311"/>
      <c r="EAE23" s="311"/>
      <c r="EAF23" s="311"/>
      <c r="EAG23" s="311"/>
      <c r="EAH23" s="311"/>
      <c r="EAI23" s="311"/>
      <c r="EAJ23" s="311"/>
      <c r="EAK23" s="311"/>
      <c r="EAL23" s="311"/>
      <c r="EAM23" s="311"/>
      <c r="EAN23" s="311"/>
      <c r="EAO23" s="311"/>
      <c r="EAP23" s="311"/>
      <c r="EAQ23" s="311"/>
      <c r="EAR23" s="311"/>
      <c r="EAS23" s="311"/>
      <c r="EAT23" s="311"/>
      <c r="EAU23" s="311"/>
      <c r="EAV23" s="311"/>
      <c r="EAW23" s="311"/>
      <c r="EAX23" s="311"/>
      <c r="EAY23" s="311"/>
      <c r="EAZ23" s="311"/>
      <c r="EBA23" s="311"/>
      <c r="EBB23" s="311"/>
      <c r="EBC23" s="311"/>
      <c r="EBD23" s="311"/>
      <c r="EBE23" s="311"/>
      <c r="EBF23" s="311"/>
      <c r="EBG23" s="311"/>
      <c r="EBH23" s="311"/>
      <c r="EBI23" s="311"/>
      <c r="EBJ23" s="311"/>
      <c r="EBK23" s="311"/>
      <c r="EBL23" s="311"/>
      <c r="EBM23" s="311"/>
      <c r="EBN23" s="311"/>
      <c r="EBO23" s="311"/>
      <c r="EBP23" s="311"/>
      <c r="EBQ23" s="311"/>
      <c r="EBR23" s="311"/>
      <c r="EBS23" s="311"/>
      <c r="EBT23" s="311"/>
      <c r="EBU23" s="311"/>
      <c r="EBV23" s="311"/>
      <c r="EBW23" s="311"/>
      <c r="EBX23" s="311"/>
      <c r="EBY23" s="311"/>
      <c r="EBZ23" s="311"/>
      <c r="ECA23" s="311"/>
      <c r="ECB23" s="311"/>
      <c r="ECC23" s="311"/>
      <c r="ECD23" s="311"/>
      <c r="ECE23" s="311"/>
      <c r="ECF23" s="311"/>
      <c r="ECG23" s="311"/>
      <c r="ECH23" s="311"/>
      <c r="ECI23" s="311"/>
      <c r="ECJ23" s="311"/>
      <c r="ECK23" s="311"/>
      <c r="ECL23" s="311"/>
      <c r="ECM23" s="311"/>
      <c r="ECN23" s="311"/>
      <c r="ECO23" s="311"/>
      <c r="ECP23" s="311"/>
      <c r="ECQ23" s="311"/>
      <c r="ECR23" s="311"/>
      <c r="ECS23" s="311"/>
      <c r="ECT23" s="311"/>
      <c r="ECU23" s="311"/>
      <c r="ECV23" s="311"/>
      <c r="ECW23" s="311"/>
      <c r="ECX23" s="311"/>
      <c r="ECY23" s="311"/>
      <c r="ECZ23" s="311"/>
      <c r="EDA23" s="311"/>
      <c r="EDB23" s="311"/>
      <c r="EDC23" s="311"/>
      <c r="EDD23" s="311"/>
      <c r="EDE23" s="311"/>
      <c r="EDF23" s="311"/>
      <c r="EDG23" s="311"/>
      <c r="EDH23" s="311"/>
      <c r="EDI23" s="311"/>
      <c r="EDJ23" s="311"/>
      <c r="EDK23" s="311"/>
      <c r="EDL23" s="311"/>
      <c r="EDM23" s="311"/>
      <c r="EDN23" s="311"/>
      <c r="EDO23" s="311"/>
      <c r="EDP23" s="311"/>
      <c r="EDQ23" s="311"/>
      <c r="EDR23" s="311"/>
      <c r="EDS23" s="311"/>
      <c r="EDT23" s="311"/>
      <c r="EDU23" s="311"/>
      <c r="EDV23" s="311"/>
      <c r="EDW23" s="311"/>
      <c r="EDX23" s="311"/>
      <c r="EDY23" s="311"/>
      <c r="EDZ23" s="311"/>
      <c r="EEA23" s="311"/>
      <c r="EEB23" s="311"/>
      <c r="EEC23" s="311"/>
      <c r="EED23" s="311"/>
      <c r="EEE23" s="311"/>
      <c r="EEF23" s="311"/>
      <c r="EEG23" s="311"/>
      <c r="EEH23" s="311"/>
      <c r="EEI23" s="311"/>
      <c r="EEJ23" s="311"/>
      <c r="EEK23" s="311"/>
      <c r="EEL23" s="311"/>
      <c r="EEM23" s="311"/>
      <c r="EEN23" s="311"/>
      <c r="EEO23" s="311"/>
      <c r="EEP23" s="311"/>
      <c r="EEQ23" s="311"/>
      <c r="EER23" s="311"/>
      <c r="EES23" s="311"/>
      <c r="EET23" s="311"/>
      <c r="EEU23" s="311"/>
      <c r="EEV23" s="311"/>
      <c r="EEW23" s="311"/>
      <c r="EEX23" s="311"/>
      <c r="EEY23" s="311"/>
      <c r="EEZ23" s="311"/>
      <c r="EFA23" s="311"/>
      <c r="EFB23" s="311"/>
      <c r="EFC23" s="311"/>
      <c r="EFD23" s="311"/>
      <c r="EFE23" s="311"/>
      <c r="EFF23" s="311"/>
      <c r="EFG23" s="311"/>
      <c r="EFH23" s="311"/>
      <c r="EFI23" s="311"/>
      <c r="EFJ23" s="311"/>
      <c r="EFK23" s="311"/>
      <c r="EFL23" s="311"/>
      <c r="EFM23" s="311"/>
      <c r="EFN23" s="311"/>
      <c r="EFO23" s="311"/>
      <c r="EFP23" s="311"/>
      <c r="EFQ23" s="311"/>
      <c r="EFR23" s="311"/>
      <c r="EFS23" s="311"/>
      <c r="EFT23" s="311"/>
      <c r="EFU23" s="311"/>
      <c r="EFV23" s="311"/>
      <c r="EFW23" s="311"/>
      <c r="EFX23" s="311"/>
      <c r="EFY23" s="311"/>
      <c r="EFZ23" s="311"/>
      <c r="EGA23" s="311"/>
      <c r="EGB23" s="311"/>
      <c r="EGC23" s="311"/>
      <c r="EGD23" s="311"/>
      <c r="EGE23" s="311"/>
      <c r="EGF23" s="311"/>
      <c r="EGG23" s="311"/>
      <c r="EGH23" s="311"/>
      <c r="EGI23" s="311"/>
      <c r="EGJ23" s="311"/>
      <c r="EGK23" s="311"/>
      <c r="EGL23" s="311"/>
      <c r="EGM23" s="311"/>
      <c r="EGN23" s="311"/>
      <c r="EGO23" s="311"/>
      <c r="EGP23" s="311"/>
      <c r="EGQ23" s="311"/>
      <c r="EGR23" s="311"/>
      <c r="EGS23" s="311"/>
      <c r="EGT23" s="311"/>
      <c r="EGU23" s="311"/>
      <c r="EGV23" s="311"/>
      <c r="EGW23" s="311"/>
      <c r="EGX23" s="311"/>
      <c r="EGY23" s="311"/>
      <c r="EGZ23" s="311"/>
      <c r="EHA23" s="311"/>
      <c r="EHB23" s="311"/>
      <c r="EHC23" s="311"/>
      <c r="EHD23" s="311"/>
      <c r="EHE23" s="311"/>
      <c r="EHF23" s="311"/>
      <c r="EHG23" s="311"/>
      <c r="EHH23" s="311"/>
      <c r="EHI23" s="311"/>
      <c r="EHJ23" s="311"/>
      <c r="EHK23" s="311"/>
      <c r="EHL23" s="311"/>
      <c r="EHM23" s="311"/>
      <c r="EHN23" s="311"/>
      <c r="EHO23" s="311"/>
      <c r="EHP23" s="311"/>
      <c r="EHQ23" s="311"/>
      <c r="EHR23" s="311"/>
      <c r="EHS23" s="311"/>
      <c r="EHT23" s="311"/>
      <c r="EHU23" s="311"/>
      <c r="EHV23" s="311"/>
      <c r="EHW23" s="311"/>
      <c r="EHX23" s="311"/>
      <c r="EHY23" s="311"/>
      <c r="EHZ23" s="311"/>
      <c r="EIA23" s="311"/>
      <c r="EIB23" s="311"/>
      <c r="EIC23" s="311"/>
      <c r="EID23" s="311"/>
      <c r="EIE23" s="311"/>
      <c r="EIF23" s="311"/>
      <c r="EIG23" s="311"/>
      <c r="EIH23" s="311"/>
      <c r="EII23" s="311"/>
      <c r="EIJ23" s="311"/>
      <c r="EIK23" s="311"/>
      <c r="EIL23" s="311"/>
      <c r="EIM23" s="311"/>
      <c r="EIN23" s="311"/>
      <c r="EIO23" s="311"/>
      <c r="EIP23" s="311"/>
      <c r="EIQ23" s="311"/>
      <c r="EIR23" s="311"/>
      <c r="EIS23" s="311"/>
      <c r="EIT23" s="311"/>
      <c r="EIU23" s="311"/>
      <c r="EIV23" s="311"/>
      <c r="EIW23" s="311"/>
      <c r="EIX23" s="311"/>
      <c r="EIY23" s="311"/>
      <c r="EIZ23" s="311"/>
      <c r="EJA23" s="311"/>
      <c r="EJB23" s="311"/>
      <c r="EJC23" s="311"/>
      <c r="EJD23" s="311"/>
      <c r="EJE23" s="311"/>
      <c r="EJF23" s="311"/>
      <c r="EJG23" s="311"/>
      <c r="EJH23" s="311"/>
      <c r="EJI23" s="311"/>
      <c r="EJJ23" s="311"/>
      <c r="EJK23" s="311"/>
      <c r="EJL23" s="311"/>
      <c r="EJM23" s="311"/>
      <c r="EJN23" s="311"/>
      <c r="EJO23" s="311"/>
      <c r="EJP23" s="311"/>
      <c r="EJQ23" s="311"/>
      <c r="EJR23" s="311"/>
      <c r="EJS23" s="311"/>
      <c r="EJT23" s="311"/>
      <c r="EJU23" s="311"/>
      <c r="EJV23" s="311"/>
      <c r="EJW23" s="311"/>
      <c r="EJX23" s="311"/>
      <c r="EJY23" s="311"/>
      <c r="EJZ23" s="311"/>
      <c r="EKA23" s="311"/>
      <c r="EKB23" s="311"/>
      <c r="EKC23" s="311"/>
      <c r="EKD23" s="311"/>
      <c r="EKE23" s="311"/>
      <c r="EKF23" s="311"/>
      <c r="EKG23" s="311"/>
      <c r="EKH23" s="311"/>
      <c r="EKI23" s="311"/>
      <c r="EKJ23" s="311"/>
      <c r="EKK23" s="311"/>
      <c r="EKL23" s="311"/>
      <c r="EKM23" s="311"/>
      <c r="EKN23" s="311"/>
      <c r="EKO23" s="311"/>
      <c r="EKP23" s="311"/>
      <c r="EKQ23" s="311"/>
      <c r="EKR23" s="311"/>
      <c r="EKS23" s="311"/>
      <c r="EKT23" s="311"/>
      <c r="EKU23" s="311"/>
      <c r="EKV23" s="311"/>
      <c r="EKW23" s="311"/>
      <c r="EKX23" s="311"/>
      <c r="EKY23" s="311"/>
      <c r="EKZ23" s="311"/>
      <c r="ELA23" s="311"/>
      <c r="ELB23" s="311"/>
      <c r="ELC23" s="311"/>
      <c r="ELD23" s="311"/>
      <c r="ELE23" s="311"/>
      <c r="ELF23" s="311"/>
      <c r="ELG23" s="311"/>
      <c r="ELH23" s="311"/>
      <c r="ELI23" s="311"/>
      <c r="ELJ23" s="311"/>
      <c r="ELK23" s="311"/>
      <c r="ELL23" s="311"/>
      <c r="ELM23" s="311"/>
      <c r="ELN23" s="311"/>
      <c r="ELO23" s="311"/>
      <c r="ELP23" s="311"/>
      <c r="ELQ23" s="311"/>
      <c r="ELR23" s="311"/>
      <c r="ELS23" s="311"/>
      <c r="ELT23" s="311"/>
      <c r="ELU23" s="311"/>
      <c r="ELV23" s="311"/>
      <c r="ELW23" s="311"/>
      <c r="ELX23" s="311"/>
      <c r="ELY23" s="311"/>
      <c r="ELZ23" s="311"/>
      <c r="EMA23" s="311"/>
      <c r="EMB23" s="311"/>
      <c r="EMC23" s="311"/>
      <c r="EMD23" s="311"/>
      <c r="EME23" s="311"/>
      <c r="EMF23" s="311"/>
      <c r="EMG23" s="311"/>
      <c r="EMH23" s="311"/>
      <c r="EMI23" s="311"/>
      <c r="EMJ23" s="311"/>
      <c r="EMK23" s="311"/>
      <c r="EML23" s="311"/>
      <c r="EMM23" s="311"/>
      <c r="EMN23" s="311"/>
      <c r="EMO23" s="311"/>
      <c r="EMP23" s="311"/>
      <c r="EMQ23" s="311"/>
      <c r="EMR23" s="311"/>
      <c r="EMS23" s="311"/>
      <c r="EMT23" s="311"/>
      <c r="EMU23" s="311"/>
      <c r="EMV23" s="311"/>
      <c r="EMW23" s="311"/>
      <c r="EMX23" s="311"/>
      <c r="EMY23" s="311"/>
      <c r="EMZ23" s="311"/>
      <c r="ENA23" s="311"/>
      <c r="ENB23" s="311"/>
      <c r="ENC23" s="311"/>
      <c r="END23" s="311"/>
      <c r="ENE23" s="311"/>
      <c r="ENF23" s="311"/>
      <c r="ENG23" s="311"/>
      <c r="ENH23" s="311"/>
      <c r="ENI23" s="311"/>
      <c r="ENJ23" s="311"/>
      <c r="ENK23" s="311"/>
      <c r="ENL23" s="311"/>
      <c r="ENM23" s="311"/>
      <c r="ENN23" s="311"/>
      <c r="ENO23" s="311"/>
      <c r="ENP23" s="311"/>
      <c r="ENQ23" s="311"/>
      <c r="ENR23" s="311"/>
      <c r="ENS23" s="311"/>
      <c r="ENT23" s="311"/>
      <c r="ENU23" s="311"/>
      <c r="ENV23" s="311"/>
      <c r="ENW23" s="311"/>
      <c r="ENX23" s="311"/>
      <c r="ENY23" s="311"/>
      <c r="ENZ23" s="311"/>
      <c r="EOA23" s="311"/>
      <c r="EOB23" s="311"/>
      <c r="EOC23" s="311"/>
      <c r="EOD23" s="311"/>
      <c r="EOE23" s="311"/>
      <c r="EOF23" s="311"/>
      <c r="EOG23" s="311"/>
      <c r="EOH23" s="311"/>
      <c r="EOI23" s="311"/>
      <c r="EOJ23" s="311"/>
      <c r="EOK23" s="311"/>
      <c r="EOL23" s="311"/>
      <c r="EOM23" s="311"/>
      <c r="EON23" s="311"/>
      <c r="EOO23" s="311"/>
      <c r="EOP23" s="311"/>
      <c r="EOQ23" s="311"/>
      <c r="EOR23" s="311"/>
      <c r="EOS23" s="311"/>
      <c r="EOT23" s="311"/>
      <c r="EOU23" s="311"/>
      <c r="EOV23" s="311"/>
      <c r="EOW23" s="311"/>
      <c r="EOX23" s="311"/>
      <c r="EOY23" s="311"/>
      <c r="EOZ23" s="311"/>
      <c r="EPA23" s="311"/>
      <c r="EPB23" s="311"/>
      <c r="EPC23" s="311"/>
      <c r="EPD23" s="311"/>
      <c r="EPE23" s="311"/>
      <c r="EPF23" s="311"/>
      <c r="EPG23" s="311"/>
      <c r="EPH23" s="311"/>
      <c r="EPI23" s="311"/>
      <c r="EPJ23" s="311"/>
      <c r="EPK23" s="311"/>
      <c r="EPL23" s="311"/>
      <c r="EPM23" s="311"/>
      <c r="EPN23" s="311"/>
      <c r="EPO23" s="311"/>
      <c r="EPP23" s="311"/>
      <c r="EPQ23" s="311"/>
      <c r="EPR23" s="311"/>
      <c r="EPS23" s="311"/>
      <c r="EPT23" s="311"/>
      <c r="EPU23" s="311"/>
      <c r="EPV23" s="311"/>
      <c r="EPW23" s="311"/>
      <c r="EPX23" s="311"/>
      <c r="EPY23" s="311"/>
      <c r="EPZ23" s="311"/>
      <c r="EQA23" s="311"/>
      <c r="EQB23" s="311"/>
      <c r="EQC23" s="311"/>
      <c r="EQD23" s="311"/>
      <c r="EQE23" s="311"/>
      <c r="EQF23" s="311"/>
      <c r="EQG23" s="311"/>
      <c r="EQH23" s="311"/>
      <c r="EQI23" s="311"/>
      <c r="EQJ23" s="311"/>
      <c r="EQK23" s="311"/>
      <c r="EQL23" s="311"/>
      <c r="EQM23" s="311"/>
      <c r="EQN23" s="311"/>
      <c r="EQO23" s="311"/>
      <c r="EQP23" s="311"/>
      <c r="EQQ23" s="311"/>
      <c r="EQR23" s="311"/>
      <c r="EQS23" s="311"/>
      <c r="EQT23" s="311"/>
      <c r="EQU23" s="311"/>
      <c r="EQV23" s="311"/>
      <c r="EQW23" s="311"/>
      <c r="EQX23" s="311"/>
      <c r="EQY23" s="311"/>
      <c r="EQZ23" s="311"/>
      <c r="ERA23" s="311"/>
      <c r="ERB23" s="311"/>
      <c r="ERC23" s="311"/>
      <c r="ERD23" s="311"/>
      <c r="ERE23" s="311"/>
      <c r="ERF23" s="311"/>
      <c r="ERG23" s="311"/>
      <c r="ERH23" s="311"/>
      <c r="ERI23" s="311"/>
      <c r="ERJ23" s="311"/>
      <c r="ERK23" s="311"/>
      <c r="ERL23" s="311"/>
      <c r="ERM23" s="311"/>
      <c r="ERN23" s="311"/>
      <c r="ERO23" s="311"/>
      <c r="ERP23" s="311"/>
      <c r="ERQ23" s="311"/>
      <c r="ERR23" s="311"/>
      <c r="ERS23" s="311"/>
      <c r="ERT23" s="311"/>
      <c r="ERU23" s="311"/>
      <c r="ERV23" s="311"/>
      <c r="ERW23" s="311"/>
      <c r="ERX23" s="311"/>
      <c r="ERY23" s="311"/>
      <c r="ERZ23" s="311"/>
      <c r="ESA23" s="311"/>
      <c r="ESB23" s="311"/>
      <c r="ESC23" s="311"/>
      <c r="ESD23" s="311"/>
      <c r="ESE23" s="311"/>
      <c r="ESF23" s="311"/>
      <c r="ESG23" s="311"/>
      <c r="ESH23" s="311"/>
      <c r="ESI23" s="311"/>
      <c r="ESJ23" s="311"/>
      <c r="ESK23" s="311"/>
      <c r="ESL23" s="311"/>
      <c r="ESM23" s="311"/>
      <c r="ESN23" s="311"/>
      <c r="ESO23" s="311"/>
      <c r="ESP23" s="311"/>
      <c r="ESQ23" s="311"/>
      <c r="ESR23" s="311"/>
      <c r="ESS23" s="311"/>
      <c r="EST23" s="311"/>
      <c r="ESU23" s="311"/>
      <c r="ESV23" s="311"/>
      <c r="ESW23" s="311"/>
      <c r="ESX23" s="311"/>
      <c r="ESY23" s="311"/>
      <c r="ESZ23" s="311"/>
      <c r="ETA23" s="311"/>
      <c r="ETB23" s="311"/>
      <c r="ETC23" s="311"/>
      <c r="ETD23" s="311"/>
      <c r="ETE23" s="311"/>
      <c r="ETF23" s="311"/>
      <c r="ETG23" s="311"/>
      <c r="ETH23" s="311"/>
      <c r="ETI23" s="311"/>
      <c r="ETJ23" s="311"/>
      <c r="ETK23" s="311"/>
      <c r="ETL23" s="311"/>
      <c r="ETM23" s="311"/>
      <c r="ETN23" s="311"/>
      <c r="ETO23" s="311"/>
      <c r="ETP23" s="311"/>
      <c r="ETQ23" s="311"/>
      <c r="ETR23" s="311"/>
      <c r="ETS23" s="311"/>
      <c r="ETT23" s="311"/>
      <c r="ETU23" s="311"/>
      <c r="ETV23" s="311"/>
      <c r="ETW23" s="311"/>
      <c r="ETX23" s="311"/>
      <c r="ETY23" s="311"/>
      <c r="ETZ23" s="311"/>
      <c r="EUA23" s="311"/>
      <c r="EUB23" s="311"/>
      <c r="EUC23" s="311"/>
      <c r="EUD23" s="311"/>
      <c r="EUE23" s="311"/>
      <c r="EUF23" s="311"/>
      <c r="EUG23" s="311"/>
      <c r="EUH23" s="311"/>
      <c r="EUI23" s="311"/>
      <c r="EUJ23" s="311"/>
      <c r="EUK23" s="311"/>
      <c r="EUL23" s="311"/>
      <c r="EUM23" s="311"/>
      <c r="EUN23" s="311"/>
      <c r="EUO23" s="311"/>
      <c r="EUP23" s="311"/>
      <c r="EUQ23" s="311"/>
      <c r="EUR23" s="311"/>
      <c r="EUS23" s="311"/>
      <c r="EUT23" s="311"/>
      <c r="EUU23" s="311"/>
      <c r="EUV23" s="311"/>
      <c r="EUW23" s="311"/>
      <c r="EUX23" s="311"/>
      <c r="EUY23" s="311"/>
      <c r="EUZ23" s="311"/>
      <c r="EVA23" s="311"/>
      <c r="EVB23" s="311"/>
      <c r="EVC23" s="311"/>
      <c r="EVD23" s="311"/>
      <c r="EVE23" s="311"/>
      <c r="EVF23" s="311"/>
      <c r="EVG23" s="311"/>
      <c r="EVH23" s="311"/>
      <c r="EVI23" s="311"/>
      <c r="EVJ23" s="311"/>
      <c r="EVK23" s="311"/>
      <c r="EVL23" s="311"/>
      <c r="EVM23" s="311"/>
      <c r="EVN23" s="311"/>
      <c r="EVO23" s="311"/>
      <c r="EVP23" s="311"/>
      <c r="EVQ23" s="311"/>
      <c r="EVR23" s="311"/>
      <c r="EVS23" s="311"/>
      <c r="EVT23" s="311"/>
      <c r="EVU23" s="311"/>
      <c r="EVV23" s="311"/>
      <c r="EVW23" s="311"/>
      <c r="EVX23" s="311"/>
      <c r="EVY23" s="311"/>
      <c r="EVZ23" s="311"/>
      <c r="EWA23" s="311"/>
      <c r="EWB23" s="311"/>
      <c r="EWC23" s="311"/>
      <c r="EWD23" s="311"/>
      <c r="EWE23" s="311"/>
      <c r="EWF23" s="311"/>
      <c r="EWG23" s="311"/>
      <c r="EWH23" s="311"/>
      <c r="EWI23" s="311"/>
      <c r="EWJ23" s="311"/>
      <c r="EWK23" s="311"/>
      <c r="EWL23" s="311"/>
      <c r="EWM23" s="311"/>
      <c r="EWN23" s="311"/>
      <c r="EWO23" s="311"/>
      <c r="EWP23" s="311"/>
      <c r="EWQ23" s="311"/>
      <c r="EWR23" s="311"/>
      <c r="EWS23" s="311"/>
      <c r="EWT23" s="311"/>
      <c r="EWU23" s="311"/>
      <c r="EWV23" s="311"/>
      <c r="EWW23" s="311"/>
      <c r="EWX23" s="311"/>
      <c r="EWY23" s="311"/>
      <c r="EWZ23" s="311"/>
      <c r="EXA23" s="311"/>
      <c r="EXB23" s="311"/>
      <c r="EXC23" s="311"/>
      <c r="EXD23" s="311"/>
      <c r="EXE23" s="311"/>
      <c r="EXF23" s="311"/>
      <c r="EXG23" s="311"/>
      <c r="EXH23" s="311"/>
      <c r="EXI23" s="311"/>
      <c r="EXJ23" s="311"/>
      <c r="EXK23" s="311"/>
      <c r="EXL23" s="311"/>
      <c r="EXM23" s="311"/>
      <c r="EXN23" s="311"/>
      <c r="EXO23" s="311"/>
      <c r="EXP23" s="311"/>
      <c r="EXQ23" s="311"/>
      <c r="EXR23" s="311"/>
      <c r="EXS23" s="311"/>
      <c r="EXT23" s="311"/>
      <c r="EXU23" s="311"/>
      <c r="EXV23" s="311"/>
      <c r="EXW23" s="311"/>
      <c r="EXX23" s="311"/>
      <c r="EXY23" s="311"/>
      <c r="EXZ23" s="311"/>
      <c r="EYA23" s="311"/>
      <c r="EYB23" s="311"/>
      <c r="EYC23" s="311"/>
      <c r="EYD23" s="311"/>
      <c r="EYE23" s="311"/>
      <c r="EYF23" s="311"/>
      <c r="EYG23" s="311"/>
      <c r="EYH23" s="311"/>
      <c r="EYI23" s="311"/>
      <c r="EYJ23" s="311"/>
      <c r="EYK23" s="311"/>
      <c r="EYL23" s="311"/>
      <c r="EYM23" s="311"/>
      <c r="EYN23" s="311"/>
      <c r="EYO23" s="311"/>
      <c r="EYP23" s="311"/>
      <c r="EYQ23" s="311"/>
      <c r="EYR23" s="311"/>
      <c r="EYS23" s="311"/>
      <c r="EYT23" s="311"/>
      <c r="EYU23" s="311"/>
      <c r="EYV23" s="311"/>
      <c r="EYW23" s="311"/>
      <c r="EYX23" s="311"/>
      <c r="EYY23" s="311"/>
      <c r="EYZ23" s="311"/>
      <c r="EZA23" s="311"/>
      <c r="EZB23" s="311"/>
      <c r="EZC23" s="311"/>
      <c r="EZD23" s="311"/>
      <c r="EZE23" s="311"/>
      <c r="EZF23" s="311"/>
      <c r="EZG23" s="311"/>
      <c r="EZH23" s="311"/>
      <c r="EZI23" s="311"/>
      <c r="EZJ23" s="311"/>
      <c r="EZK23" s="311"/>
      <c r="EZL23" s="311"/>
      <c r="EZM23" s="311"/>
      <c r="EZN23" s="311"/>
      <c r="EZO23" s="311"/>
      <c r="EZP23" s="311"/>
      <c r="EZQ23" s="311"/>
      <c r="EZR23" s="311"/>
      <c r="EZS23" s="311"/>
      <c r="EZT23" s="311"/>
      <c r="EZU23" s="311"/>
      <c r="EZV23" s="311"/>
      <c r="EZW23" s="311"/>
      <c r="EZX23" s="311"/>
      <c r="EZY23" s="311"/>
      <c r="EZZ23" s="311"/>
      <c r="FAA23" s="311"/>
      <c r="FAB23" s="311"/>
      <c r="FAC23" s="311"/>
      <c r="FAD23" s="311"/>
      <c r="FAE23" s="311"/>
      <c r="FAF23" s="311"/>
      <c r="FAG23" s="311"/>
      <c r="FAH23" s="311"/>
      <c r="FAI23" s="311"/>
      <c r="FAJ23" s="311"/>
      <c r="FAK23" s="311"/>
      <c r="FAL23" s="311"/>
      <c r="FAM23" s="311"/>
      <c r="FAN23" s="311"/>
      <c r="FAO23" s="311"/>
      <c r="FAP23" s="311"/>
      <c r="FAQ23" s="311"/>
      <c r="FAR23" s="311"/>
      <c r="FAS23" s="311"/>
      <c r="FAT23" s="311"/>
      <c r="FAU23" s="311"/>
      <c r="FAV23" s="311"/>
      <c r="FAW23" s="311"/>
      <c r="FAX23" s="311"/>
      <c r="FAY23" s="311"/>
      <c r="FAZ23" s="311"/>
      <c r="FBA23" s="311"/>
      <c r="FBB23" s="311"/>
      <c r="FBC23" s="311"/>
      <c r="FBD23" s="311"/>
      <c r="FBE23" s="311"/>
      <c r="FBF23" s="311"/>
      <c r="FBG23" s="311"/>
      <c r="FBH23" s="311"/>
      <c r="FBI23" s="311"/>
      <c r="FBJ23" s="311"/>
      <c r="FBK23" s="311"/>
      <c r="FBL23" s="311"/>
      <c r="FBM23" s="311"/>
      <c r="FBN23" s="311"/>
      <c r="FBO23" s="311"/>
      <c r="FBP23" s="311"/>
      <c r="FBQ23" s="311"/>
      <c r="FBR23" s="311"/>
      <c r="FBS23" s="311"/>
      <c r="FBT23" s="311"/>
      <c r="FBU23" s="311"/>
      <c r="FBV23" s="311"/>
      <c r="FBW23" s="311"/>
      <c r="FBX23" s="311"/>
      <c r="FBY23" s="311"/>
      <c r="FBZ23" s="311"/>
      <c r="FCA23" s="311"/>
      <c r="FCB23" s="311"/>
      <c r="FCC23" s="311"/>
      <c r="FCD23" s="311"/>
      <c r="FCE23" s="311"/>
      <c r="FCF23" s="311"/>
      <c r="FCG23" s="311"/>
      <c r="FCH23" s="311"/>
      <c r="FCI23" s="311"/>
      <c r="FCJ23" s="311"/>
      <c r="FCK23" s="311"/>
      <c r="FCL23" s="311"/>
      <c r="FCM23" s="311"/>
      <c r="FCN23" s="311"/>
      <c r="FCO23" s="311"/>
      <c r="FCP23" s="311"/>
      <c r="FCQ23" s="311"/>
      <c r="FCR23" s="311"/>
      <c r="FCS23" s="311"/>
      <c r="FCT23" s="311"/>
      <c r="FCU23" s="311"/>
      <c r="FCV23" s="311"/>
      <c r="FCW23" s="311"/>
      <c r="FCX23" s="311"/>
      <c r="FCY23" s="311"/>
      <c r="FCZ23" s="311"/>
      <c r="FDA23" s="311"/>
      <c r="FDB23" s="311"/>
      <c r="FDC23" s="311"/>
      <c r="FDD23" s="311"/>
      <c r="FDE23" s="311"/>
      <c r="FDF23" s="311"/>
      <c r="FDG23" s="311"/>
      <c r="FDH23" s="311"/>
      <c r="FDI23" s="311"/>
      <c r="FDJ23" s="311"/>
      <c r="FDK23" s="311"/>
      <c r="FDL23" s="311"/>
      <c r="FDM23" s="311"/>
      <c r="FDN23" s="311"/>
      <c r="FDO23" s="311"/>
      <c r="FDP23" s="311"/>
      <c r="FDQ23" s="311"/>
      <c r="FDR23" s="311"/>
      <c r="FDS23" s="311"/>
      <c r="FDT23" s="311"/>
      <c r="FDU23" s="311"/>
      <c r="FDV23" s="311"/>
      <c r="FDW23" s="311"/>
      <c r="FDX23" s="311"/>
      <c r="FDY23" s="311"/>
      <c r="FDZ23" s="311"/>
      <c r="FEA23" s="311"/>
      <c r="FEB23" s="311"/>
      <c r="FEC23" s="311"/>
      <c r="FED23" s="311"/>
      <c r="FEE23" s="311"/>
      <c r="FEF23" s="311"/>
      <c r="FEG23" s="311"/>
      <c r="FEH23" s="311"/>
      <c r="FEI23" s="311"/>
      <c r="FEJ23" s="311"/>
      <c r="FEK23" s="311"/>
      <c r="FEL23" s="311"/>
      <c r="FEM23" s="311"/>
      <c r="FEN23" s="311"/>
      <c r="FEO23" s="311"/>
      <c r="FEP23" s="311"/>
      <c r="FEQ23" s="311"/>
      <c r="FER23" s="311"/>
      <c r="FES23" s="311"/>
      <c r="FET23" s="311"/>
      <c r="FEU23" s="311"/>
      <c r="FEV23" s="311"/>
      <c r="FEW23" s="311"/>
      <c r="FEX23" s="311"/>
      <c r="FEY23" s="311"/>
      <c r="FEZ23" s="311"/>
      <c r="FFA23" s="311"/>
      <c r="FFB23" s="311"/>
      <c r="FFC23" s="311"/>
      <c r="FFD23" s="311"/>
      <c r="FFE23" s="311"/>
      <c r="FFF23" s="311"/>
      <c r="FFG23" s="311"/>
      <c r="FFH23" s="311"/>
      <c r="FFI23" s="311"/>
      <c r="FFJ23" s="311"/>
      <c r="FFK23" s="311"/>
      <c r="FFL23" s="311"/>
      <c r="FFM23" s="311"/>
      <c r="FFN23" s="311"/>
      <c r="FFO23" s="311"/>
      <c r="FFP23" s="311"/>
      <c r="FFQ23" s="311"/>
      <c r="FFR23" s="311"/>
      <c r="FFS23" s="311"/>
      <c r="FFT23" s="311"/>
      <c r="FFU23" s="311"/>
      <c r="FFV23" s="311"/>
      <c r="FFW23" s="311"/>
      <c r="FFX23" s="311"/>
      <c r="FFY23" s="311"/>
      <c r="FFZ23" s="311"/>
      <c r="FGA23" s="311"/>
      <c r="FGB23" s="311"/>
      <c r="FGC23" s="311"/>
      <c r="FGD23" s="311"/>
      <c r="FGE23" s="311"/>
      <c r="FGF23" s="311"/>
      <c r="FGG23" s="311"/>
      <c r="FGH23" s="311"/>
      <c r="FGI23" s="311"/>
      <c r="FGJ23" s="311"/>
      <c r="FGK23" s="311"/>
      <c r="FGL23" s="311"/>
      <c r="FGM23" s="311"/>
      <c r="FGN23" s="311"/>
      <c r="FGO23" s="311"/>
      <c r="FGP23" s="311"/>
      <c r="FGQ23" s="311"/>
      <c r="FGR23" s="311"/>
      <c r="FGS23" s="311"/>
      <c r="FGT23" s="311"/>
      <c r="FGU23" s="311"/>
      <c r="FGV23" s="311"/>
      <c r="FGW23" s="311"/>
      <c r="FGX23" s="311"/>
      <c r="FGY23" s="311"/>
      <c r="FGZ23" s="311"/>
      <c r="FHA23" s="311"/>
      <c r="FHB23" s="311"/>
      <c r="FHC23" s="311"/>
      <c r="FHD23" s="311"/>
      <c r="FHE23" s="311"/>
      <c r="FHF23" s="311"/>
      <c r="FHG23" s="311"/>
      <c r="FHH23" s="311"/>
      <c r="FHI23" s="311"/>
      <c r="FHJ23" s="311"/>
      <c r="FHK23" s="311"/>
      <c r="FHL23" s="311"/>
      <c r="FHM23" s="311"/>
      <c r="FHN23" s="311"/>
      <c r="FHO23" s="311"/>
      <c r="FHP23" s="311"/>
      <c r="FHQ23" s="311"/>
      <c r="FHR23" s="311"/>
      <c r="FHS23" s="311"/>
      <c r="FHT23" s="311"/>
      <c r="FHU23" s="311"/>
      <c r="FHV23" s="311"/>
      <c r="FHW23" s="311"/>
      <c r="FHX23" s="311"/>
      <c r="FHY23" s="311"/>
      <c r="FHZ23" s="311"/>
      <c r="FIA23" s="311"/>
      <c r="FIB23" s="311"/>
      <c r="FIC23" s="311"/>
      <c r="FID23" s="311"/>
      <c r="FIE23" s="311"/>
      <c r="FIF23" s="311"/>
      <c r="FIG23" s="311"/>
      <c r="FIH23" s="311"/>
      <c r="FII23" s="311"/>
      <c r="FIJ23" s="311"/>
      <c r="FIK23" s="311"/>
      <c r="FIL23" s="311"/>
      <c r="FIM23" s="311"/>
      <c r="FIN23" s="311"/>
      <c r="FIO23" s="311"/>
      <c r="FIP23" s="311"/>
      <c r="FIQ23" s="311"/>
      <c r="FIR23" s="311"/>
      <c r="FIS23" s="311"/>
      <c r="FIT23" s="311"/>
      <c r="FIU23" s="311"/>
      <c r="FIV23" s="311"/>
      <c r="FIW23" s="311"/>
      <c r="FIX23" s="311"/>
      <c r="FIY23" s="311"/>
      <c r="FIZ23" s="311"/>
      <c r="FJA23" s="311"/>
      <c r="FJB23" s="311"/>
      <c r="FJC23" s="311"/>
      <c r="FJD23" s="311"/>
      <c r="FJE23" s="311"/>
      <c r="FJF23" s="311"/>
      <c r="FJG23" s="311"/>
      <c r="FJH23" s="311"/>
      <c r="FJI23" s="311"/>
      <c r="FJJ23" s="311"/>
      <c r="FJK23" s="311"/>
      <c r="FJL23" s="311"/>
      <c r="FJM23" s="311"/>
      <c r="FJN23" s="311"/>
      <c r="FJO23" s="311"/>
      <c r="FJP23" s="311"/>
      <c r="FJQ23" s="311"/>
      <c r="FJR23" s="311"/>
      <c r="FJS23" s="311"/>
      <c r="FJT23" s="311"/>
      <c r="FJU23" s="311"/>
      <c r="FJV23" s="311"/>
      <c r="FJW23" s="311"/>
      <c r="FJX23" s="311"/>
      <c r="FJY23" s="311"/>
      <c r="FJZ23" s="311"/>
      <c r="FKA23" s="311"/>
      <c r="FKB23" s="311"/>
      <c r="FKC23" s="311"/>
      <c r="FKD23" s="311"/>
      <c r="FKE23" s="311"/>
      <c r="FKF23" s="311"/>
      <c r="FKG23" s="311"/>
      <c r="FKH23" s="311"/>
      <c r="FKI23" s="311"/>
      <c r="FKJ23" s="311"/>
      <c r="FKK23" s="311"/>
      <c r="FKL23" s="311"/>
      <c r="FKM23" s="311"/>
      <c r="FKN23" s="311"/>
      <c r="FKO23" s="311"/>
      <c r="FKP23" s="311"/>
      <c r="FKQ23" s="311"/>
      <c r="FKR23" s="311"/>
      <c r="FKS23" s="311"/>
      <c r="FKT23" s="311"/>
      <c r="FKU23" s="311"/>
      <c r="FKV23" s="311"/>
      <c r="FKW23" s="311"/>
      <c r="FKX23" s="311"/>
      <c r="FKY23" s="311"/>
      <c r="FKZ23" s="311"/>
      <c r="FLA23" s="311"/>
      <c r="FLB23" s="311"/>
      <c r="FLC23" s="311"/>
      <c r="FLD23" s="311"/>
      <c r="FLE23" s="311"/>
      <c r="FLF23" s="311"/>
      <c r="FLG23" s="311"/>
      <c r="FLH23" s="311"/>
      <c r="FLI23" s="311"/>
      <c r="FLJ23" s="311"/>
      <c r="FLK23" s="311"/>
      <c r="FLL23" s="311"/>
      <c r="FLM23" s="311"/>
      <c r="FLN23" s="311"/>
      <c r="FLO23" s="311"/>
      <c r="FLP23" s="311"/>
      <c r="FLQ23" s="311"/>
      <c r="FLR23" s="311"/>
      <c r="FLS23" s="311"/>
      <c r="FLT23" s="311"/>
      <c r="FLU23" s="311"/>
      <c r="FLV23" s="311"/>
      <c r="FLW23" s="311"/>
      <c r="FLX23" s="311"/>
      <c r="FLY23" s="311"/>
      <c r="FLZ23" s="311"/>
      <c r="FMA23" s="311"/>
      <c r="FMB23" s="311"/>
      <c r="FMC23" s="311"/>
      <c r="FMD23" s="311"/>
      <c r="FME23" s="311"/>
      <c r="FMF23" s="311"/>
      <c r="FMG23" s="311"/>
      <c r="FMH23" s="311"/>
      <c r="FMI23" s="311"/>
      <c r="FMJ23" s="311"/>
      <c r="FMK23" s="311"/>
      <c r="FML23" s="311"/>
      <c r="FMM23" s="311"/>
      <c r="FMN23" s="311"/>
      <c r="FMO23" s="311"/>
      <c r="FMP23" s="311"/>
      <c r="FMQ23" s="311"/>
      <c r="FMR23" s="311"/>
      <c r="FMS23" s="311"/>
      <c r="FMT23" s="311"/>
      <c r="FMU23" s="311"/>
      <c r="FMV23" s="311"/>
      <c r="FMW23" s="311"/>
      <c r="FMX23" s="311"/>
      <c r="FMY23" s="311"/>
      <c r="FMZ23" s="311"/>
      <c r="FNA23" s="311"/>
      <c r="FNB23" s="311"/>
      <c r="FNC23" s="311"/>
      <c r="FND23" s="311"/>
      <c r="FNE23" s="311"/>
      <c r="FNF23" s="311"/>
      <c r="FNG23" s="311"/>
      <c r="FNH23" s="311"/>
      <c r="FNI23" s="311"/>
      <c r="FNJ23" s="311"/>
      <c r="FNK23" s="311"/>
      <c r="FNL23" s="311"/>
      <c r="FNM23" s="311"/>
      <c r="FNN23" s="311"/>
      <c r="FNO23" s="311"/>
      <c r="FNP23" s="311"/>
      <c r="FNQ23" s="311"/>
      <c r="FNR23" s="311"/>
      <c r="FNS23" s="311"/>
      <c r="FNT23" s="311"/>
      <c r="FNU23" s="311"/>
      <c r="FNV23" s="311"/>
      <c r="FNW23" s="311"/>
      <c r="FNX23" s="311"/>
      <c r="FNY23" s="311"/>
      <c r="FNZ23" s="311"/>
      <c r="FOA23" s="311"/>
      <c r="FOB23" s="311"/>
      <c r="FOC23" s="311"/>
      <c r="FOD23" s="311"/>
      <c r="FOE23" s="311"/>
      <c r="FOF23" s="311"/>
      <c r="FOG23" s="311"/>
      <c r="FOH23" s="311"/>
      <c r="FOI23" s="311"/>
      <c r="FOJ23" s="311"/>
      <c r="FOK23" s="311"/>
      <c r="FOL23" s="311"/>
      <c r="FOM23" s="311"/>
      <c r="FON23" s="311"/>
      <c r="FOO23" s="311"/>
      <c r="FOP23" s="311"/>
      <c r="FOQ23" s="311"/>
      <c r="FOR23" s="311"/>
      <c r="FOS23" s="311"/>
      <c r="FOT23" s="311"/>
      <c r="FOU23" s="311"/>
      <c r="FOV23" s="311"/>
      <c r="FOW23" s="311"/>
      <c r="FOX23" s="311"/>
      <c r="FOY23" s="311"/>
      <c r="FOZ23" s="311"/>
      <c r="FPA23" s="311"/>
      <c r="FPB23" s="311"/>
      <c r="FPC23" s="311"/>
      <c r="FPD23" s="311"/>
      <c r="FPE23" s="311"/>
      <c r="FPF23" s="311"/>
      <c r="FPG23" s="311"/>
      <c r="FPH23" s="311"/>
      <c r="FPI23" s="311"/>
      <c r="FPJ23" s="311"/>
      <c r="FPK23" s="311"/>
      <c r="FPL23" s="311"/>
      <c r="FPM23" s="311"/>
      <c r="FPN23" s="311"/>
      <c r="FPO23" s="311"/>
      <c r="FPP23" s="311"/>
      <c r="FPQ23" s="311"/>
      <c r="FPR23" s="311"/>
      <c r="FPS23" s="311"/>
      <c r="FPT23" s="311"/>
      <c r="FPU23" s="311"/>
      <c r="FPV23" s="311"/>
      <c r="FPW23" s="311"/>
      <c r="FPX23" s="311"/>
      <c r="FPY23" s="311"/>
      <c r="FPZ23" s="311"/>
      <c r="FQA23" s="311"/>
      <c r="FQB23" s="311"/>
      <c r="FQC23" s="311"/>
      <c r="FQD23" s="311"/>
      <c r="FQE23" s="311"/>
      <c r="FQF23" s="311"/>
      <c r="FQG23" s="311"/>
      <c r="FQH23" s="311"/>
      <c r="FQI23" s="311"/>
      <c r="FQJ23" s="311"/>
      <c r="FQK23" s="311"/>
      <c r="FQL23" s="311"/>
      <c r="FQM23" s="311"/>
      <c r="FQN23" s="311"/>
      <c r="FQO23" s="311"/>
      <c r="FQP23" s="311"/>
      <c r="FQQ23" s="311"/>
      <c r="FQR23" s="311"/>
      <c r="FQS23" s="311"/>
      <c r="FQT23" s="311"/>
      <c r="FQU23" s="311"/>
      <c r="FQV23" s="311"/>
      <c r="FQW23" s="311"/>
      <c r="FQX23" s="311"/>
      <c r="FQY23" s="311"/>
      <c r="FQZ23" s="311"/>
      <c r="FRA23" s="311"/>
      <c r="FRB23" s="311"/>
      <c r="FRC23" s="311"/>
      <c r="FRD23" s="311"/>
      <c r="FRE23" s="311"/>
      <c r="FRF23" s="311"/>
      <c r="FRG23" s="311"/>
      <c r="FRH23" s="311"/>
      <c r="FRI23" s="311"/>
      <c r="FRJ23" s="311"/>
      <c r="FRK23" s="311"/>
      <c r="FRL23" s="311"/>
      <c r="FRM23" s="311"/>
      <c r="FRN23" s="311"/>
      <c r="FRO23" s="311"/>
      <c r="FRP23" s="311"/>
      <c r="FRQ23" s="311"/>
      <c r="FRR23" s="311"/>
      <c r="FRS23" s="311"/>
      <c r="FRT23" s="311"/>
      <c r="FRU23" s="311"/>
      <c r="FRV23" s="311"/>
      <c r="FRW23" s="311"/>
      <c r="FRX23" s="311"/>
      <c r="FRY23" s="311"/>
      <c r="FRZ23" s="311"/>
      <c r="FSA23" s="311"/>
      <c r="FSB23" s="311"/>
      <c r="FSC23" s="311"/>
      <c r="FSD23" s="311"/>
      <c r="FSE23" s="311"/>
      <c r="FSF23" s="311"/>
      <c r="FSG23" s="311"/>
      <c r="FSH23" s="311"/>
      <c r="FSI23" s="311"/>
      <c r="FSJ23" s="311"/>
      <c r="FSK23" s="311"/>
      <c r="FSL23" s="311"/>
      <c r="FSM23" s="311"/>
      <c r="FSN23" s="311"/>
      <c r="FSO23" s="311"/>
      <c r="FSP23" s="311"/>
      <c r="FSQ23" s="311"/>
      <c r="FSR23" s="311"/>
      <c r="FSS23" s="311"/>
      <c r="FST23" s="311"/>
      <c r="FSU23" s="311"/>
      <c r="FSV23" s="311"/>
      <c r="FSW23" s="311"/>
      <c r="FSX23" s="311"/>
      <c r="FSY23" s="311"/>
      <c r="FSZ23" s="311"/>
      <c r="FTA23" s="311"/>
      <c r="FTB23" s="311"/>
      <c r="FTC23" s="311"/>
      <c r="FTD23" s="311"/>
      <c r="FTE23" s="311"/>
      <c r="FTF23" s="311"/>
      <c r="FTG23" s="311"/>
      <c r="FTH23" s="311"/>
      <c r="FTI23" s="311"/>
      <c r="FTJ23" s="311"/>
      <c r="FTK23" s="311"/>
      <c r="FTL23" s="311"/>
      <c r="FTM23" s="311"/>
      <c r="FTN23" s="311"/>
      <c r="FTO23" s="311"/>
      <c r="FTP23" s="311"/>
      <c r="FTQ23" s="311"/>
      <c r="FTR23" s="311"/>
      <c r="FTS23" s="311"/>
      <c r="FTT23" s="311"/>
      <c r="FTU23" s="311"/>
      <c r="FTV23" s="311"/>
      <c r="FTW23" s="311"/>
      <c r="FTX23" s="311"/>
      <c r="FTY23" s="311"/>
      <c r="FTZ23" s="311"/>
      <c r="FUA23" s="311"/>
      <c r="FUB23" s="311"/>
      <c r="FUC23" s="311"/>
      <c r="FUD23" s="311"/>
      <c r="FUE23" s="311"/>
      <c r="FUF23" s="311"/>
      <c r="FUG23" s="311"/>
      <c r="FUH23" s="311"/>
      <c r="FUI23" s="311"/>
      <c r="FUJ23" s="311"/>
      <c r="FUK23" s="311"/>
      <c r="FUL23" s="311"/>
      <c r="FUM23" s="311"/>
      <c r="FUN23" s="311"/>
      <c r="FUO23" s="311"/>
      <c r="FUP23" s="311"/>
      <c r="FUQ23" s="311"/>
      <c r="FUR23" s="311"/>
      <c r="FUS23" s="311"/>
      <c r="FUT23" s="311"/>
      <c r="FUU23" s="311"/>
      <c r="FUV23" s="311"/>
      <c r="FUW23" s="311"/>
      <c r="FUX23" s="311"/>
      <c r="FUY23" s="311"/>
      <c r="FUZ23" s="311"/>
      <c r="FVA23" s="311"/>
      <c r="FVB23" s="311"/>
      <c r="FVC23" s="311"/>
      <c r="FVD23" s="311"/>
      <c r="FVE23" s="311"/>
      <c r="FVF23" s="311"/>
      <c r="FVG23" s="311"/>
      <c r="FVH23" s="311"/>
      <c r="FVI23" s="311"/>
      <c r="FVJ23" s="311"/>
      <c r="FVK23" s="311"/>
      <c r="FVL23" s="311"/>
      <c r="FVM23" s="311"/>
      <c r="FVN23" s="311"/>
      <c r="FVO23" s="311"/>
      <c r="FVP23" s="311"/>
      <c r="FVQ23" s="311"/>
      <c r="FVR23" s="311"/>
      <c r="FVS23" s="311"/>
      <c r="FVT23" s="311"/>
      <c r="FVU23" s="311"/>
      <c r="FVV23" s="311"/>
      <c r="FVW23" s="311"/>
      <c r="FVX23" s="311"/>
      <c r="FVY23" s="311"/>
      <c r="FVZ23" s="311"/>
      <c r="FWA23" s="311"/>
      <c r="FWB23" s="311"/>
      <c r="FWC23" s="311"/>
      <c r="FWD23" s="311"/>
      <c r="FWE23" s="311"/>
      <c r="FWF23" s="311"/>
      <c r="FWG23" s="311"/>
      <c r="FWH23" s="311"/>
      <c r="FWI23" s="311"/>
      <c r="FWJ23" s="311"/>
      <c r="FWK23" s="311"/>
      <c r="FWL23" s="311"/>
      <c r="FWM23" s="311"/>
      <c r="FWN23" s="311"/>
      <c r="FWO23" s="311"/>
      <c r="FWP23" s="311"/>
      <c r="FWQ23" s="311"/>
      <c r="FWR23" s="311"/>
      <c r="FWS23" s="311"/>
      <c r="FWT23" s="311"/>
      <c r="FWU23" s="311"/>
      <c r="FWV23" s="311"/>
      <c r="FWW23" s="311"/>
      <c r="FWX23" s="311"/>
      <c r="FWY23" s="311"/>
      <c r="FWZ23" s="311"/>
      <c r="FXA23" s="311"/>
      <c r="FXB23" s="311"/>
      <c r="FXC23" s="311"/>
      <c r="FXD23" s="311"/>
      <c r="FXE23" s="311"/>
      <c r="FXF23" s="311"/>
      <c r="FXG23" s="311"/>
      <c r="FXH23" s="311"/>
      <c r="FXI23" s="311"/>
      <c r="FXJ23" s="311"/>
      <c r="FXK23" s="311"/>
      <c r="FXL23" s="311"/>
      <c r="FXM23" s="311"/>
      <c r="FXN23" s="311"/>
      <c r="FXO23" s="311"/>
      <c r="FXP23" s="311"/>
      <c r="FXQ23" s="311"/>
      <c r="FXR23" s="311"/>
      <c r="FXS23" s="311"/>
      <c r="FXT23" s="311"/>
      <c r="FXU23" s="311"/>
      <c r="FXV23" s="311"/>
      <c r="FXW23" s="311"/>
      <c r="FXX23" s="311"/>
      <c r="FXY23" s="311"/>
      <c r="FXZ23" s="311"/>
      <c r="FYA23" s="311"/>
      <c r="FYB23" s="311"/>
      <c r="FYC23" s="311"/>
      <c r="FYD23" s="311"/>
      <c r="FYE23" s="311"/>
      <c r="FYF23" s="311"/>
      <c r="FYG23" s="311"/>
      <c r="FYH23" s="311"/>
      <c r="FYI23" s="311"/>
      <c r="FYJ23" s="311"/>
      <c r="FYK23" s="311"/>
      <c r="FYL23" s="311"/>
      <c r="FYM23" s="311"/>
      <c r="FYN23" s="311"/>
      <c r="FYO23" s="311"/>
      <c r="FYP23" s="311"/>
      <c r="FYQ23" s="311"/>
      <c r="FYR23" s="311"/>
      <c r="FYS23" s="311"/>
      <c r="FYT23" s="311"/>
      <c r="FYU23" s="311"/>
      <c r="FYV23" s="311"/>
      <c r="FYW23" s="311"/>
      <c r="FYX23" s="311"/>
      <c r="FYY23" s="311"/>
      <c r="FYZ23" s="311"/>
      <c r="FZA23" s="311"/>
      <c r="FZB23" s="311"/>
      <c r="FZC23" s="311"/>
      <c r="FZD23" s="311"/>
      <c r="FZE23" s="311"/>
      <c r="FZF23" s="311"/>
      <c r="FZG23" s="311"/>
      <c r="FZH23" s="311"/>
      <c r="FZI23" s="311"/>
      <c r="FZJ23" s="311"/>
      <c r="FZK23" s="311"/>
      <c r="FZL23" s="311"/>
      <c r="FZM23" s="311"/>
      <c r="FZN23" s="311"/>
      <c r="FZO23" s="311"/>
      <c r="FZP23" s="311"/>
      <c r="FZQ23" s="311"/>
      <c r="FZR23" s="311"/>
      <c r="FZS23" s="311"/>
      <c r="FZT23" s="311"/>
      <c r="FZU23" s="311"/>
      <c r="FZV23" s="311"/>
      <c r="FZW23" s="311"/>
      <c r="FZX23" s="311"/>
      <c r="FZY23" s="311"/>
      <c r="FZZ23" s="311"/>
      <c r="GAA23" s="311"/>
      <c r="GAB23" s="311"/>
      <c r="GAC23" s="311"/>
      <c r="GAD23" s="311"/>
      <c r="GAE23" s="311"/>
      <c r="GAF23" s="311"/>
      <c r="GAG23" s="311"/>
      <c r="GAH23" s="311"/>
      <c r="GAI23" s="311"/>
      <c r="GAJ23" s="311"/>
      <c r="GAK23" s="311"/>
      <c r="GAL23" s="311"/>
      <c r="GAM23" s="311"/>
      <c r="GAN23" s="311"/>
      <c r="GAO23" s="311"/>
      <c r="GAP23" s="311"/>
      <c r="GAQ23" s="311"/>
      <c r="GAR23" s="311"/>
      <c r="GAS23" s="311"/>
      <c r="GAT23" s="311"/>
      <c r="GAU23" s="311"/>
      <c r="GAV23" s="311"/>
      <c r="GAW23" s="311"/>
      <c r="GAX23" s="311"/>
      <c r="GAY23" s="311"/>
      <c r="GAZ23" s="311"/>
      <c r="GBA23" s="311"/>
      <c r="GBB23" s="311"/>
      <c r="GBC23" s="311"/>
      <c r="GBD23" s="311"/>
      <c r="GBE23" s="311"/>
      <c r="GBF23" s="311"/>
      <c r="GBG23" s="311"/>
      <c r="GBH23" s="311"/>
      <c r="GBI23" s="311"/>
      <c r="GBJ23" s="311"/>
      <c r="GBK23" s="311"/>
      <c r="GBL23" s="311"/>
      <c r="GBM23" s="311"/>
      <c r="GBN23" s="311"/>
      <c r="GBO23" s="311"/>
      <c r="GBP23" s="311"/>
      <c r="GBQ23" s="311"/>
      <c r="GBR23" s="311"/>
      <c r="GBS23" s="311"/>
      <c r="GBT23" s="311"/>
      <c r="GBU23" s="311"/>
      <c r="GBV23" s="311"/>
      <c r="GBW23" s="311"/>
      <c r="GBX23" s="311"/>
      <c r="GBY23" s="311"/>
      <c r="GBZ23" s="311"/>
      <c r="GCA23" s="311"/>
      <c r="GCB23" s="311"/>
      <c r="GCC23" s="311"/>
      <c r="GCD23" s="311"/>
      <c r="GCE23" s="311"/>
      <c r="GCF23" s="311"/>
      <c r="GCG23" s="311"/>
      <c r="GCH23" s="311"/>
      <c r="GCI23" s="311"/>
      <c r="GCJ23" s="311"/>
      <c r="GCK23" s="311"/>
      <c r="GCL23" s="311"/>
      <c r="GCM23" s="311"/>
      <c r="GCN23" s="311"/>
      <c r="GCO23" s="311"/>
      <c r="GCP23" s="311"/>
      <c r="GCQ23" s="311"/>
      <c r="GCR23" s="311"/>
      <c r="GCS23" s="311"/>
      <c r="GCT23" s="311"/>
      <c r="GCU23" s="311"/>
      <c r="GCV23" s="311"/>
      <c r="GCW23" s="311"/>
      <c r="GCX23" s="311"/>
      <c r="GCY23" s="311"/>
      <c r="GCZ23" s="311"/>
      <c r="GDA23" s="311"/>
      <c r="GDB23" s="311"/>
      <c r="GDC23" s="311"/>
      <c r="GDD23" s="311"/>
      <c r="GDE23" s="311"/>
      <c r="GDF23" s="311"/>
      <c r="GDG23" s="311"/>
      <c r="GDH23" s="311"/>
      <c r="GDI23" s="311"/>
      <c r="GDJ23" s="311"/>
      <c r="GDK23" s="311"/>
      <c r="GDL23" s="311"/>
      <c r="GDM23" s="311"/>
      <c r="GDN23" s="311"/>
      <c r="GDO23" s="311"/>
      <c r="GDP23" s="311"/>
      <c r="GDQ23" s="311"/>
      <c r="GDR23" s="311"/>
      <c r="GDS23" s="311"/>
      <c r="GDT23" s="311"/>
      <c r="GDU23" s="311"/>
      <c r="GDV23" s="311"/>
      <c r="GDW23" s="311"/>
      <c r="GDX23" s="311"/>
      <c r="GDY23" s="311"/>
      <c r="GDZ23" s="311"/>
      <c r="GEA23" s="311"/>
      <c r="GEB23" s="311"/>
      <c r="GEC23" s="311"/>
      <c r="GED23" s="311"/>
      <c r="GEE23" s="311"/>
      <c r="GEF23" s="311"/>
      <c r="GEG23" s="311"/>
      <c r="GEH23" s="311"/>
      <c r="GEI23" s="311"/>
      <c r="GEJ23" s="311"/>
      <c r="GEK23" s="311"/>
      <c r="GEL23" s="311"/>
      <c r="GEM23" s="311"/>
      <c r="GEN23" s="311"/>
      <c r="GEO23" s="311"/>
      <c r="GEP23" s="311"/>
      <c r="GEQ23" s="311"/>
      <c r="GER23" s="311"/>
      <c r="GES23" s="311"/>
      <c r="GET23" s="311"/>
      <c r="GEU23" s="311"/>
      <c r="GEV23" s="311"/>
      <c r="GEW23" s="311"/>
      <c r="GEX23" s="311"/>
      <c r="GEY23" s="311"/>
      <c r="GEZ23" s="311"/>
      <c r="GFA23" s="311"/>
      <c r="GFB23" s="311"/>
      <c r="GFC23" s="311"/>
      <c r="GFD23" s="311"/>
      <c r="GFE23" s="311"/>
      <c r="GFF23" s="311"/>
      <c r="GFG23" s="311"/>
      <c r="GFH23" s="311"/>
      <c r="GFI23" s="311"/>
      <c r="GFJ23" s="311"/>
      <c r="GFK23" s="311"/>
      <c r="GFL23" s="311"/>
      <c r="GFM23" s="311"/>
      <c r="GFN23" s="311"/>
      <c r="GFO23" s="311"/>
      <c r="GFP23" s="311"/>
      <c r="GFQ23" s="311"/>
      <c r="GFR23" s="311"/>
      <c r="GFS23" s="311"/>
      <c r="GFT23" s="311"/>
      <c r="GFU23" s="311"/>
      <c r="GFV23" s="311"/>
      <c r="GFW23" s="311"/>
      <c r="GFX23" s="311"/>
      <c r="GFY23" s="311"/>
      <c r="GFZ23" s="311"/>
      <c r="GGA23" s="311"/>
      <c r="GGB23" s="311"/>
      <c r="GGC23" s="311"/>
      <c r="GGD23" s="311"/>
      <c r="GGE23" s="311"/>
      <c r="GGF23" s="311"/>
      <c r="GGG23" s="311"/>
      <c r="GGH23" s="311"/>
      <c r="GGI23" s="311"/>
      <c r="GGJ23" s="311"/>
      <c r="GGK23" s="311"/>
      <c r="GGL23" s="311"/>
      <c r="GGM23" s="311"/>
      <c r="GGN23" s="311"/>
      <c r="GGO23" s="311"/>
      <c r="GGP23" s="311"/>
      <c r="GGQ23" s="311"/>
      <c r="GGR23" s="311"/>
      <c r="GGS23" s="311"/>
      <c r="GGT23" s="311"/>
      <c r="GGU23" s="311"/>
      <c r="GGV23" s="311"/>
      <c r="GGW23" s="311"/>
      <c r="GGX23" s="311"/>
      <c r="GGY23" s="311"/>
      <c r="GGZ23" s="311"/>
      <c r="GHA23" s="311"/>
      <c r="GHB23" s="311"/>
      <c r="GHC23" s="311"/>
      <c r="GHD23" s="311"/>
      <c r="GHE23" s="311"/>
      <c r="GHF23" s="311"/>
      <c r="GHG23" s="311"/>
      <c r="GHH23" s="311"/>
      <c r="GHI23" s="311"/>
      <c r="GHJ23" s="311"/>
      <c r="GHK23" s="311"/>
      <c r="GHL23" s="311"/>
      <c r="GHM23" s="311"/>
      <c r="GHN23" s="311"/>
      <c r="GHO23" s="311"/>
      <c r="GHP23" s="311"/>
      <c r="GHQ23" s="311"/>
      <c r="GHR23" s="311"/>
      <c r="GHS23" s="311"/>
      <c r="GHT23" s="311"/>
      <c r="GHU23" s="311"/>
      <c r="GHV23" s="311"/>
      <c r="GHW23" s="311"/>
      <c r="GHX23" s="311"/>
      <c r="GHY23" s="311"/>
      <c r="GHZ23" s="311"/>
      <c r="GIA23" s="311"/>
      <c r="GIB23" s="311"/>
      <c r="GIC23" s="311"/>
      <c r="GID23" s="311"/>
      <c r="GIE23" s="311"/>
      <c r="GIF23" s="311"/>
      <c r="GIG23" s="311"/>
      <c r="GIH23" s="311"/>
      <c r="GII23" s="311"/>
      <c r="GIJ23" s="311"/>
      <c r="GIK23" s="311"/>
      <c r="GIL23" s="311"/>
      <c r="GIM23" s="311"/>
      <c r="GIN23" s="311"/>
      <c r="GIO23" s="311"/>
      <c r="GIP23" s="311"/>
      <c r="GIQ23" s="311"/>
      <c r="GIR23" s="311"/>
      <c r="GIS23" s="311"/>
      <c r="GIT23" s="311"/>
      <c r="GIU23" s="311"/>
      <c r="GIV23" s="311"/>
      <c r="GIW23" s="311"/>
      <c r="GIX23" s="311"/>
      <c r="GIY23" s="311"/>
      <c r="GIZ23" s="311"/>
      <c r="GJA23" s="311"/>
      <c r="GJB23" s="311"/>
      <c r="GJC23" s="311"/>
      <c r="GJD23" s="311"/>
      <c r="GJE23" s="311"/>
      <c r="GJF23" s="311"/>
      <c r="GJG23" s="311"/>
      <c r="GJH23" s="311"/>
      <c r="GJI23" s="311"/>
      <c r="GJJ23" s="311"/>
      <c r="GJK23" s="311"/>
      <c r="GJL23" s="311"/>
      <c r="GJM23" s="311"/>
      <c r="GJN23" s="311"/>
      <c r="GJO23" s="311"/>
      <c r="GJP23" s="311"/>
      <c r="GJQ23" s="311"/>
      <c r="GJR23" s="311"/>
      <c r="GJS23" s="311"/>
      <c r="GJT23" s="311"/>
      <c r="GJU23" s="311"/>
      <c r="GJV23" s="311"/>
      <c r="GJW23" s="311"/>
      <c r="GJX23" s="311"/>
      <c r="GJY23" s="311"/>
      <c r="GJZ23" s="311"/>
      <c r="GKA23" s="311"/>
      <c r="GKB23" s="311"/>
      <c r="GKC23" s="311"/>
      <c r="GKD23" s="311"/>
      <c r="GKE23" s="311"/>
      <c r="GKF23" s="311"/>
      <c r="GKG23" s="311"/>
      <c r="GKH23" s="311"/>
      <c r="GKI23" s="311"/>
      <c r="GKJ23" s="311"/>
      <c r="GKK23" s="311"/>
      <c r="GKL23" s="311"/>
      <c r="GKM23" s="311"/>
      <c r="GKN23" s="311"/>
      <c r="GKO23" s="311"/>
      <c r="GKP23" s="311"/>
      <c r="GKQ23" s="311"/>
      <c r="GKR23" s="311"/>
      <c r="GKS23" s="311"/>
      <c r="GKT23" s="311"/>
      <c r="GKU23" s="311"/>
      <c r="GKV23" s="311"/>
      <c r="GKW23" s="311"/>
      <c r="GKX23" s="311"/>
      <c r="GKY23" s="311"/>
      <c r="GKZ23" s="311"/>
      <c r="GLA23" s="311"/>
      <c r="GLB23" s="311"/>
      <c r="GLC23" s="311"/>
      <c r="GLD23" s="311"/>
      <c r="GLE23" s="311"/>
      <c r="GLF23" s="311"/>
      <c r="GLG23" s="311"/>
      <c r="GLH23" s="311"/>
      <c r="GLI23" s="311"/>
      <c r="GLJ23" s="311"/>
      <c r="GLK23" s="311"/>
      <c r="GLL23" s="311"/>
      <c r="GLM23" s="311"/>
      <c r="GLN23" s="311"/>
      <c r="GLO23" s="311"/>
      <c r="GLP23" s="311"/>
      <c r="GLQ23" s="311"/>
      <c r="GLR23" s="311"/>
      <c r="GLS23" s="311"/>
      <c r="GLT23" s="311"/>
      <c r="GLU23" s="311"/>
      <c r="GLV23" s="311"/>
      <c r="GLW23" s="311"/>
      <c r="GLX23" s="311"/>
      <c r="GLY23" s="311"/>
      <c r="GLZ23" s="311"/>
      <c r="GMA23" s="311"/>
      <c r="GMB23" s="311"/>
      <c r="GMC23" s="311"/>
      <c r="GMD23" s="311"/>
      <c r="GME23" s="311"/>
      <c r="GMF23" s="311"/>
      <c r="GMG23" s="311"/>
      <c r="GMH23" s="311"/>
      <c r="GMI23" s="311"/>
      <c r="GMJ23" s="311"/>
      <c r="GMK23" s="311"/>
      <c r="GML23" s="311"/>
      <c r="GMM23" s="311"/>
      <c r="GMN23" s="311"/>
      <c r="GMO23" s="311"/>
      <c r="GMP23" s="311"/>
      <c r="GMQ23" s="311"/>
      <c r="GMR23" s="311"/>
      <c r="GMS23" s="311"/>
      <c r="GMT23" s="311"/>
      <c r="GMU23" s="311"/>
      <c r="GMV23" s="311"/>
      <c r="GMW23" s="311"/>
      <c r="GMX23" s="311"/>
      <c r="GMY23" s="311"/>
      <c r="GMZ23" s="311"/>
      <c r="GNA23" s="311"/>
      <c r="GNB23" s="311"/>
      <c r="GNC23" s="311"/>
      <c r="GND23" s="311"/>
      <c r="GNE23" s="311"/>
      <c r="GNF23" s="311"/>
      <c r="GNG23" s="311"/>
      <c r="GNH23" s="311"/>
      <c r="GNI23" s="311"/>
      <c r="GNJ23" s="311"/>
      <c r="GNK23" s="311"/>
      <c r="GNL23" s="311"/>
      <c r="GNM23" s="311"/>
      <c r="GNN23" s="311"/>
      <c r="GNO23" s="311"/>
      <c r="GNP23" s="311"/>
      <c r="GNQ23" s="311"/>
      <c r="GNR23" s="311"/>
      <c r="GNS23" s="311"/>
      <c r="GNT23" s="311"/>
      <c r="GNU23" s="311"/>
      <c r="GNV23" s="311"/>
      <c r="GNW23" s="311"/>
      <c r="GNX23" s="311"/>
      <c r="GNY23" s="311"/>
      <c r="GNZ23" s="311"/>
      <c r="GOA23" s="311"/>
      <c r="GOB23" s="311"/>
      <c r="GOC23" s="311"/>
      <c r="GOD23" s="311"/>
      <c r="GOE23" s="311"/>
      <c r="GOF23" s="311"/>
      <c r="GOG23" s="311"/>
      <c r="GOH23" s="311"/>
      <c r="GOI23" s="311"/>
      <c r="GOJ23" s="311"/>
      <c r="GOK23" s="311"/>
      <c r="GOL23" s="311"/>
      <c r="GOM23" s="311"/>
      <c r="GON23" s="311"/>
      <c r="GOO23" s="311"/>
      <c r="GOP23" s="311"/>
      <c r="GOQ23" s="311"/>
      <c r="GOR23" s="311"/>
      <c r="GOS23" s="311"/>
      <c r="GOT23" s="311"/>
      <c r="GOU23" s="311"/>
      <c r="GOV23" s="311"/>
      <c r="GOW23" s="311"/>
      <c r="GOX23" s="311"/>
      <c r="GOY23" s="311"/>
      <c r="GOZ23" s="311"/>
      <c r="GPA23" s="311"/>
      <c r="GPB23" s="311"/>
      <c r="GPC23" s="311"/>
      <c r="GPD23" s="311"/>
      <c r="GPE23" s="311"/>
      <c r="GPF23" s="311"/>
      <c r="GPG23" s="311"/>
      <c r="GPH23" s="311"/>
      <c r="GPI23" s="311"/>
      <c r="GPJ23" s="311"/>
      <c r="GPK23" s="311"/>
      <c r="GPL23" s="311"/>
      <c r="GPM23" s="311"/>
      <c r="GPN23" s="311"/>
      <c r="GPO23" s="311"/>
      <c r="GPP23" s="311"/>
      <c r="GPQ23" s="311"/>
      <c r="GPR23" s="311"/>
      <c r="GPS23" s="311"/>
      <c r="GPT23" s="311"/>
      <c r="GPU23" s="311"/>
      <c r="GPV23" s="311"/>
      <c r="GPW23" s="311"/>
      <c r="GPX23" s="311"/>
      <c r="GPY23" s="311"/>
      <c r="GPZ23" s="311"/>
      <c r="GQA23" s="311"/>
      <c r="GQB23" s="311"/>
      <c r="GQC23" s="311"/>
      <c r="GQD23" s="311"/>
      <c r="GQE23" s="311"/>
      <c r="GQF23" s="311"/>
      <c r="GQG23" s="311"/>
      <c r="GQH23" s="311"/>
      <c r="GQI23" s="311"/>
      <c r="GQJ23" s="311"/>
      <c r="GQK23" s="311"/>
      <c r="GQL23" s="311"/>
      <c r="GQM23" s="311"/>
      <c r="GQN23" s="311"/>
      <c r="GQO23" s="311"/>
      <c r="GQP23" s="311"/>
      <c r="GQQ23" s="311"/>
      <c r="GQR23" s="311"/>
      <c r="GQS23" s="311"/>
      <c r="GQT23" s="311"/>
      <c r="GQU23" s="311"/>
      <c r="GQV23" s="311"/>
      <c r="GQW23" s="311"/>
      <c r="GQX23" s="311"/>
      <c r="GQY23" s="311"/>
      <c r="GQZ23" s="311"/>
      <c r="GRA23" s="311"/>
      <c r="GRB23" s="311"/>
      <c r="GRC23" s="311"/>
      <c r="GRD23" s="311"/>
      <c r="GRE23" s="311"/>
      <c r="GRF23" s="311"/>
      <c r="GRG23" s="311"/>
      <c r="GRH23" s="311"/>
      <c r="GRI23" s="311"/>
      <c r="GRJ23" s="311"/>
      <c r="GRK23" s="311"/>
      <c r="GRL23" s="311"/>
      <c r="GRM23" s="311"/>
      <c r="GRN23" s="311"/>
      <c r="GRO23" s="311"/>
      <c r="GRP23" s="311"/>
      <c r="GRQ23" s="311"/>
      <c r="GRR23" s="311"/>
      <c r="GRS23" s="311"/>
      <c r="GRT23" s="311"/>
      <c r="GRU23" s="311"/>
      <c r="GRV23" s="311"/>
      <c r="GRW23" s="311"/>
      <c r="GRX23" s="311"/>
      <c r="GRY23" s="311"/>
      <c r="GRZ23" s="311"/>
      <c r="GSA23" s="311"/>
      <c r="GSB23" s="311"/>
      <c r="GSC23" s="311"/>
      <c r="GSD23" s="311"/>
      <c r="GSE23" s="311"/>
      <c r="GSF23" s="311"/>
      <c r="GSG23" s="311"/>
      <c r="GSH23" s="311"/>
      <c r="GSI23" s="311"/>
      <c r="GSJ23" s="311"/>
      <c r="GSK23" s="311"/>
      <c r="GSL23" s="311"/>
      <c r="GSM23" s="311"/>
      <c r="GSN23" s="311"/>
      <c r="GSO23" s="311"/>
      <c r="GSP23" s="311"/>
      <c r="GSQ23" s="311"/>
      <c r="GSR23" s="311"/>
      <c r="GSS23" s="311"/>
      <c r="GST23" s="311"/>
      <c r="GSU23" s="311"/>
      <c r="GSV23" s="311"/>
      <c r="GSW23" s="311"/>
      <c r="GSX23" s="311"/>
      <c r="GSY23" s="311"/>
      <c r="GSZ23" s="311"/>
      <c r="GTA23" s="311"/>
      <c r="GTB23" s="311"/>
      <c r="GTC23" s="311"/>
      <c r="GTD23" s="311"/>
      <c r="GTE23" s="311"/>
      <c r="GTF23" s="311"/>
      <c r="GTG23" s="311"/>
      <c r="GTH23" s="311"/>
      <c r="GTI23" s="311"/>
      <c r="GTJ23" s="311"/>
      <c r="GTK23" s="311"/>
      <c r="GTL23" s="311"/>
      <c r="GTM23" s="311"/>
      <c r="GTN23" s="311"/>
      <c r="GTO23" s="311"/>
      <c r="GTP23" s="311"/>
      <c r="GTQ23" s="311"/>
      <c r="GTR23" s="311"/>
      <c r="GTS23" s="311"/>
      <c r="GTT23" s="311"/>
      <c r="GTU23" s="311"/>
      <c r="GTV23" s="311"/>
      <c r="GTW23" s="311"/>
      <c r="GTX23" s="311"/>
      <c r="GTY23" s="311"/>
      <c r="GTZ23" s="311"/>
      <c r="GUA23" s="311"/>
      <c r="GUB23" s="311"/>
      <c r="GUC23" s="311"/>
      <c r="GUD23" s="311"/>
      <c r="GUE23" s="311"/>
      <c r="GUF23" s="311"/>
      <c r="GUG23" s="311"/>
      <c r="GUH23" s="311"/>
      <c r="GUI23" s="311"/>
      <c r="GUJ23" s="311"/>
      <c r="GUK23" s="311"/>
      <c r="GUL23" s="311"/>
      <c r="GUM23" s="311"/>
      <c r="GUN23" s="311"/>
      <c r="GUO23" s="311"/>
      <c r="GUP23" s="311"/>
      <c r="GUQ23" s="311"/>
      <c r="GUR23" s="311"/>
      <c r="GUS23" s="311"/>
      <c r="GUT23" s="311"/>
      <c r="GUU23" s="311"/>
      <c r="GUV23" s="311"/>
      <c r="GUW23" s="311"/>
      <c r="GUX23" s="311"/>
      <c r="GUY23" s="311"/>
      <c r="GUZ23" s="311"/>
      <c r="GVA23" s="311"/>
      <c r="GVB23" s="311"/>
      <c r="GVC23" s="311"/>
      <c r="GVD23" s="311"/>
      <c r="GVE23" s="311"/>
      <c r="GVF23" s="311"/>
      <c r="GVG23" s="311"/>
      <c r="GVH23" s="311"/>
      <c r="GVI23" s="311"/>
      <c r="GVJ23" s="311"/>
      <c r="GVK23" s="311"/>
      <c r="GVL23" s="311"/>
      <c r="GVM23" s="311"/>
      <c r="GVN23" s="311"/>
      <c r="GVO23" s="311"/>
      <c r="GVP23" s="311"/>
      <c r="GVQ23" s="311"/>
      <c r="GVR23" s="311"/>
      <c r="GVS23" s="311"/>
      <c r="GVT23" s="311"/>
      <c r="GVU23" s="311"/>
      <c r="GVV23" s="311"/>
      <c r="GVW23" s="311"/>
      <c r="GVX23" s="311"/>
      <c r="GVY23" s="311"/>
      <c r="GVZ23" s="311"/>
      <c r="GWA23" s="311"/>
      <c r="GWB23" s="311"/>
      <c r="GWC23" s="311"/>
      <c r="GWD23" s="311"/>
      <c r="GWE23" s="311"/>
      <c r="GWF23" s="311"/>
      <c r="GWG23" s="311"/>
      <c r="GWH23" s="311"/>
      <c r="GWI23" s="311"/>
      <c r="GWJ23" s="311"/>
      <c r="GWK23" s="311"/>
      <c r="GWL23" s="311"/>
      <c r="GWM23" s="311"/>
      <c r="GWN23" s="311"/>
      <c r="GWO23" s="311"/>
      <c r="GWP23" s="311"/>
      <c r="GWQ23" s="311"/>
      <c r="GWR23" s="311"/>
      <c r="GWS23" s="311"/>
      <c r="GWT23" s="311"/>
      <c r="GWU23" s="311"/>
      <c r="GWV23" s="311"/>
      <c r="GWW23" s="311"/>
      <c r="GWX23" s="311"/>
      <c r="GWY23" s="311"/>
      <c r="GWZ23" s="311"/>
      <c r="GXA23" s="311"/>
      <c r="GXB23" s="311"/>
      <c r="GXC23" s="311"/>
      <c r="GXD23" s="311"/>
      <c r="GXE23" s="311"/>
      <c r="GXF23" s="311"/>
      <c r="GXG23" s="311"/>
      <c r="GXH23" s="311"/>
      <c r="GXI23" s="311"/>
      <c r="GXJ23" s="311"/>
      <c r="GXK23" s="311"/>
      <c r="GXL23" s="311"/>
      <c r="GXM23" s="311"/>
      <c r="GXN23" s="311"/>
      <c r="GXO23" s="311"/>
      <c r="GXP23" s="311"/>
      <c r="GXQ23" s="311"/>
      <c r="GXR23" s="311"/>
      <c r="GXS23" s="311"/>
      <c r="GXT23" s="311"/>
      <c r="GXU23" s="311"/>
      <c r="GXV23" s="311"/>
      <c r="GXW23" s="311"/>
      <c r="GXX23" s="311"/>
      <c r="GXY23" s="311"/>
      <c r="GXZ23" s="311"/>
      <c r="GYA23" s="311"/>
      <c r="GYB23" s="311"/>
      <c r="GYC23" s="311"/>
      <c r="GYD23" s="311"/>
      <c r="GYE23" s="311"/>
      <c r="GYF23" s="311"/>
      <c r="GYG23" s="311"/>
      <c r="GYH23" s="311"/>
      <c r="GYI23" s="311"/>
      <c r="GYJ23" s="311"/>
      <c r="GYK23" s="311"/>
      <c r="GYL23" s="311"/>
      <c r="GYM23" s="311"/>
      <c r="GYN23" s="311"/>
      <c r="GYO23" s="311"/>
      <c r="GYP23" s="311"/>
      <c r="GYQ23" s="311"/>
      <c r="GYR23" s="311"/>
      <c r="GYS23" s="311"/>
      <c r="GYT23" s="311"/>
      <c r="GYU23" s="311"/>
      <c r="GYV23" s="311"/>
      <c r="GYW23" s="311"/>
      <c r="GYX23" s="311"/>
      <c r="GYY23" s="311"/>
      <c r="GYZ23" s="311"/>
      <c r="GZA23" s="311"/>
      <c r="GZB23" s="311"/>
      <c r="GZC23" s="311"/>
      <c r="GZD23" s="311"/>
      <c r="GZE23" s="311"/>
      <c r="GZF23" s="311"/>
      <c r="GZG23" s="311"/>
      <c r="GZH23" s="311"/>
      <c r="GZI23" s="311"/>
      <c r="GZJ23" s="311"/>
      <c r="GZK23" s="311"/>
      <c r="GZL23" s="311"/>
      <c r="GZM23" s="311"/>
      <c r="GZN23" s="311"/>
      <c r="GZO23" s="311"/>
      <c r="GZP23" s="311"/>
      <c r="GZQ23" s="311"/>
      <c r="GZR23" s="311"/>
      <c r="GZS23" s="311"/>
      <c r="GZT23" s="311"/>
      <c r="GZU23" s="311"/>
      <c r="GZV23" s="311"/>
      <c r="GZW23" s="311"/>
      <c r="GZX23" s="311"/>
      <c r="GZY23" s="311"/>
      <c r="GZZ23" s="311"/>
      <c r="HAA23" s="311"/>
      <c r="HAB23" s="311"/>
      <c r="HAC23" s="311"/>
      <c r="HAD23" s="311"/>
      <c r="HAE23" s="311"/>
      <c r="HAF23" s="311"/>
      <c r="HAG23" s="311"/>
      <c r="HAH23" s="311"/>
      <c r="HAI23" s="311"/>
      <c r="HAJ23" s="311"/>
      <c r="HAK23" s="311"/>
      <c r="HAL23" s="311"/>
      <c r="HAM23" s="311"/>
      <c r="HAN23" s="311"/>
      <c r="HAO23" s="311"/>
      <c r="HAP23" s="311"/>
      <c r="HAQ23" s="311"/>
      <c r="HAR23" s="311"/>
      <c r="HAS23" s="311"/>
      <c r="HAT23" s="311"/>
      <c r="HAU23" s="311"/>
      <c r="HAV23" s="311"/>
      <c r="HAW23" s="311"/>
      <c r="HAX23" s="311"/>
      <c r="HAY23" s="311"/>
      <c r="HAZ23" s="311"/>
      <c r="HBA23" s="311"/>
      <c r="HBB23" s="311"/>
      <c r="HBC23" s="311"/>
      <c r="HBD23" s="311"/>
      <c r="HBE23" s="311"/>
      <c r="HBF23" s="311"/>
      <c r="HBG23" s="311"/>
      <c r="HBH23" s="311"/>
      <c r="HBI23" s="311"/>
      <c r="HBJ23" s="311"/>
      <c r="HBK23" s="311"/>
      <c r="HBL23" s="311"/>
      <c r="HBM23" s="311"/>
      <c r="HBN23" s="311"/>
      <c r="HBO23" s="311"/>
      <c r="HBP23" s="311"/>
      <c r="HBQ23" s="311"/>
      <c r="HBR23" s="311"/>
      <c r="HBS23" s="311"/>
      <c r="HBT23" s="311"/>
      <c r="HBU23" s="311"/>
      <c r="HBV23" s="311"/>
      <c r="HBW23" s="311"/>
      <c r="HBX23" s="311"/>
      <c r="HBY23" s="311"/>
      <c r="HBZ23" s="311"/>
      <c r="HCA23" s="311"/>
      <c r="HCB23" s="311"/>
      <c r="HCC23" s="311"/>
      <c r="HCD23" s="311"/>
      <c r="HCE23" s="311"/>
      <c r="HCF23" s="311"/>
      <c r="HCG23" s="311"/>
      <c r="HCH23" s="311"/>
      <c r="HCI23" s="311"/>
      <c r="HCJ23" s="311"/>
      <c r="HCK23" s="311"/>
      <c r="HCL23" s="311"/>
      <c r="HCM23" s="311"/>
      <c r="HCN23" s="311"/>
      <c r="HCO23" s="311"/>
      <c r="HCP23" s="311"/>
      <c r="HCQ23" s="311"/>
      <c r="HCR23" s="311"/>
      <c r="HCS23" s="311"/>
      <c r="HCT23" s="311"/>
      <c r="HCU23" s="311"/>
      <c r="HCV23" s="311"/>
      <c r="HCW23" s="311"/>
      <c r="HCX23" s="311"/>
      <c r="HCY23" s="311"/>
      <c r="HCZ23" s="311"/>
      <c r="HDA23" s="311"/>
      <c r="HDB23" s="311"/>
      <c r="HDC23" s="311"/>
      <c r="HDD23" s="311"/>
      <c r="HDE23" s="311"/>
      <c r="HDF23" s="311"/>
      <c r="HDG23" s="311"/>
      <c r="HDH23" s="311"/>
      <c r="HDI23" s="311"/>
      <c r="HDJ23" s="311"/>
      <c r="HDK23" s="311"/>
      <c r="HDL23" s="311"/>
      <c r="HDM23" s="311"/>
      <c r="HDN23" s="311"/>
      <c r="HDO23" s="311"/>
      <c r="HDP23" s="311"/>
      <c r="HDQ23" s="311"/>
      <c r="HDR23" s="311"/>
      <c r="HDS23" s="311"/>
      <c r="HDT23" s="311"/>
      <c r="HDU23" s="311"/>
      <c r="HDV23" s="311"/>
      <c r="HDW23" s="311"/>
      <c r="HDX23" s="311"/>
      <c r="HDY23" s="311"/>
      <c r="HDZ23" s="311"/>
      <c r="HEA23" s="311"/>
      <c r="HEB23" s="311"/>
      <c r="HEC23" s="311"/>
      <c r="HED23" s="311"/>
      <c r="HEE23" s="311"/>
      <c r="HEF23" s="311"/>
      <c r="HEG23" s="311"/>
      <c r="HEH23" s="311"/>
      <c r="HEI23" s="311"/>
      <c r="HEJ23" s="311"/>
      <c r="HEK23" s="311"/>
      <c r="HEL23" s="311"/>
      <c r="HEM23" s="311"/>
      <c r="HEN23" s="311"/>
      <c r="HEO23" s="311"/>
      <c r="HEP23" s="311"/>
      <c r="HEQ23" s="311"/>
      <c r="HER23" s="311"/>
      <c r="HES23" s="311"/>
      <c r="HET23" s="311"/>
      <c r="HEU23" s="311"/>
      <c r="HEV23" s="311"/>
      <c r="HEW23" s="311"/>
      <c r="HEX23" s="311"/>
      <c r="HEY23" s="311"/>
      <c r="HEZ23" s="311"/>
      <c r="HFA23" s="311"/>
      <c r="HFB23" s="311"/>
      <c r="HFC23" s="311"/>
      <c r="HFD23" s="311"/>
      <c r="HFE23" s="311"/>
      <c r="HFF23" s="311"/>
      <c r="HFG23" s="311"/>
      <c r="HFH23" s="311"/>
      <c r="HFI23" s="311"/>
      <c r="HFJ23" s="311"/>
      <c r="HFK23" s="311"/>
      <c r="HFL23" s="311"/>
      <c r="HFM23" s="311"/>
      <c r="HFN23" s="311"/>
      <c r="HFO23" s="311"/>
      <c r="HFP23" s="311"/>
      <c r="HFQ23" s="311"/>
      <c r="HFR23" s="311"/>
      <c r="HFS23" s="311"/>
      <c r="HFT23" s="311"/>
      <c r="HFU23" s="311"/>
      <c r="HFV23" s="311"/>
      <c r="HFW23" s="311"/>
      <c r="HFX23" s="311"/>
      <c r="HFY23" s="311"/>
      <c r="HFZ23" s="311"/>
      <c r="HGA23" s="311"/>
      <c r="HGB23" s="311"/>
      <c r="HGC23" s="311"/>
      <c r="HGD23" s="311"/>
      <c r="HGE23" s="311"/>
      <c r="HGF23" s="311"/>
      <c r="HGG23" s="311"/>
      <c r="HGH23" s="311"/>
      <c r="HGI23" s="311"/>
      <c r="HGJ23" s="311"/>
      <c r="HGK23" s="311"/>
      <c r="HGL23" s="311"/>
      <c r="HGM23" s="311"/>
      <c r="HGN23" s="311"/>
      <c r="HGO23" s="311"/>
      <c r="HGP23" s="311"/>
      <c r="HGQ23" s="311"/>
      <c r="HGR23" s="311"/>
      <c r="HGS23" s="311"/>
      <c r="HGT23" s="311"/>
      <c r="HGU23" s="311"/>
      <c r="HGV23" s="311"/>
      <c r="HGW23" s="311"/>
      <c r="HGX23" s="311"/>
      <c r="HGY23" s="311"/>
      <c r="HGZ23" s="311"/>
      <c r="HHA23" s="311"/>
      <c r="HHB23" s="311"/>
      <c r="HHC23" s="311"/>
      <c r="HHD23" s="311"/>
      <c r="HHE23" s="311"/>
      <c r="HHF23" s="311"/>
      <c r="HHG23" s="311"/>
      <c r="HHH23" s="311"/>
      <c r="HHI23" s="311"/>
      <c r="HHJ23" s="311"/>
      <c r="HHK23" s="311"/>
      <c r="HHL23" s="311"/>
      <c r="HHM23" s="311"/>
      <c r="HHN23" s="311"/>
      <c r="HHO23" s="311"/>
      <c r="HHP23" s="311"/>
      <c r="HHQ23" s="311"/>
      <c r="HHR23" s="311"/>
      <c r="HHS23" s="311"/>
      <c r="HHT23" s="311"/>
      <c r="HHU23" s="311"/>
      <c r="HHV23" s="311"/>
      <c r="HHW23" s="311"/>
      <c r="HHX23" s="311"/>
      <c r="HHY23" s="311"/>
      <c r="HHZ23" s="311"/>
      <c r="HIA23" s="311"/>
      <c r="HIB23" s="311"/>
      <c r="HIC23" s="311"/>
      <c r="HID23" s="311"/>
      <c r="HIE23" s="311"/>
      <c r="HIF23" s="311"/>
      <c r="HIG23" s="311"/>
      <c r="HIH23" s="311"/>
      <c r="HII23" s="311"/>
      <c r="HIJ23" s="311"/>
      <c r="HIK23" s="311"/>
      <c r="HIL23" s="311"/>
      <c r="HIM23" s="311"/>
      <c r="HIN23" s="311"/>
      <c r="HIO23" s="311"/>
      <c r="HIP23" s="311"/>
      <c r="HIQ23" s="311"/>
      <c r="HIR23" s="311"/>
      <c r="HIS23" s="311"/>
      <c r="HIT23" s="311"/>
      <c r="HIU23" s="311"/>
      <c r="HIV23" s="311"/>
      <c r="HIW23" s="311"/>
      <c r="HIX23" s="311"/>
      <c r="HIY23" s="311"/>
      <c r="HIZ23" s="311"/>
      <c r="HJA23" s="311"/>
      <c r="HJB23" s="311"/>
      <c r="HJC23" s="311"/>
      <c r="HJD23" s="311"/>
      <c r="HJE23" s="311"/>
      <c r="HJF23" s="311"/>
      <c r="HJG23" s="311"/>
      <c r="HJH23" s="311"/>
      <c r="HJI23" s="311"/>
      <c r="HJJ23" s="311"/>
      <c r="HJK23" s="311"/>
      <c r="HJL23" s="311"/>
      <c r="HJM23" s="311"/>
      <c r="HJN23" s="311"/>
      <c r="HJO23" s="311"/>
      <c r="HJP23" s="311"/>
      <c r="HJQ23" s="311"/>
      <c r="HJR23" s="311"/>
      <c r="HJS23" s="311"/>
      <c r="HJT23" s="311"/>
      <c r="HJU23" s="311"/>
      <c r="HJV23" s="311"/>
      <c r="HJW23" s="311"/>
      <c r="HJX23" s="311"/>
      <c r="HJY23" s="311"/>
      <c r="HJZ23" s="311"/>
      <c r="HKA23" s="311"/>
      <c r="HKB23" s="311"/>
      <c r="HKC23" s="311"/>
      <c r="HKD23" s="311"/>
      <c r="HKE23" s="311"/>
      <c r="HKF23" s="311"/>
      <c r="HKG23" s="311"/>
      <c r="HKH23" s="311"/>
      <c r="HKI23" s="311"/>
      <c r="HKJ23" s="311"/>
      <c r="HKK23" s="311"/>
      <c r="HKL23" s="311"/>
      <c r="HKM23" s="311"/>
      <c r="HKN23" s="311"/>
      <c r="HKO23" s="311"/>
      <c r="HKP23" s="311"/>
      <c r="HKQ23" s="311"/>
      <c r="HKR23" s="311"/>
      <c r="HKS23" s="311"/>
      <c r="HKT23" s="311"/>
      <c r="HKU23" s="311"/>
      <c r="HKV23" s="311"/>
      <c r="HKW23" s="311"/>
      <c r="HKX23" s="311"/>
      <c r="HKY23" s="311"/>
      <c r="HKZ23" s="311"/>
      <c r="HLA23" s="311"/>
      <c r="HLB23" s="311"/>
      <c r="HLC23" s="311"/>
      <c r="HLD23" s="311"/>
      <c r="HLE23" s="311"/>
      <c r="HLF23" s="311"/>
      <c r="HLG23" s="311"/>
      <c r="HLH23" s="311"/>
      <c r="HLI23" s="311"/>
      <c r="HLJ23" s="311"/>
      <c r="HLK23" s="311"/>
      <c r="HLL23" s="311"/>
      <c r="HLM23" s="311"/>
      <c r="HLN23" s="311"/>
      <c r="HLO23" s="311"/>
      <c r="HLP23" s="311"/>
      <c r="HLQ23" s="311"/>
      <c r="HLR23" s="311"/>
      <c r="HLS23" s="311"/>
      <c r="HLT23" s="311"/>
      <c r="HLU23" s="311"/>
      <c r="HLV23" s="311"/>
      <c r="HLW23" s="311"/>
      <c r="HLX23" s="311"/>
      <c r="HLY23" s="311"/>
      <c r="HLZ23" s="311"/>
      <c r="HMA23" s="311"/>
      <c r="HMB23" s="311"/>
      <c r="HMC23" s="311"/>
      <c r="HMD23" s="311"/>
      <c r="HME23" s="311"/>
      <c r="HMF23" s="311"/>
      <c r="HMG23" s="311"/>
      <c r="HMH23" s="311"/>
      <c r="HMI23" s="311"/>
      <c r="HMJ23" s="311"/>
      <c r="HMK23" s="311"/>
      <c r="HML23" s="311"/>
      <c r="HMM23" s="311"/>
      <c r="HMN23" s="311"/>
      <c r="HMO23" s="311"/>
      <c r="HMP23" s="311"/>
      <c r="HMQ23" s="311"/>
      <c r="HMR23" s="311"/>
      <c r="HMS23" s="311"/>
      <c r="HMT23" s="311"/>
      <c r="HMU23" s="311"/>
      <c r="HMV23" s="311"/>
      <c r="HMW23" s="311"/>
      <c r="HMX23" s="311"/>
      <c r="HMY23" s="311"/>
      <c r="HMZ23" s="311"/>
      <c r="HNA23" s="311"/>
      <c r="HNB23" s="311"/>
      <c r="HNC23" s="311"/>
      <c r="HND23" s="311"/>
      <c r="HNE23" s="311"/>
      <c r="HNF23" s="311"/>
      <c r="HNG23" s="311"/>
      <c r="HNH23" s="311"/>
      <c r="HNI23" s="311"/>
      <c r="HNJ23" s="311"/>
      <c r="HNK23" s="311"/>
      <c r="HNL23" s="311"/>
      <c r="HNM23" s="311"/>
      <c r="HNN23" s="311"/>
      <c r="HNO23" s="311"/>
      <c r="HNP23" s="311"/>
      <c r="HNQ23" s="311"/>
      <c r="HNR23" s="311"/>
      <c r="HNS23" s="311"/>
      <c r="HNT23" s="311"/>
      <c r="HNU23" s="311"/>
      <c r="HNV23" s="311"/>
      <c r="HNW23" s="311"/>
      <c r="HNX23" s="311"/>
      <c r="HNY23" s="311"/>
      <c r="HNZ23" s="311"/>
      <c r="HOA23" s="311"/>
      <c r="HOB23" s="311"/>
      <c r="HOC23" s="311"/>
      <c r="HOD23" s="311"/>
      <c r="HOE23" s="311"/>
      <c r="HOF23" s="311"/>
      <c r="HOG23" s="311"/>
      <c r="HOH23" s="311"/>
      <c r="HOI23" s="311"/>
      <c r="HOJ23" s="311"/>
      <c r="HOK23" s="311"/>
      <c r="HOL23" s="311"/>
      <c r="HOM23" s="311"/>
      <c r="HON23" s="311"/>
      <c r="HOO23" s="311"/>
      <c r="HOP23" s="311"/>
      <c r="HOQ23" s="311"/>
      <c r="HOR23" s="311"/>
      <c r="HOS23" s="311"/>
      <c r="HOT23" s="311"/>
      <c r="HOU23" s="311"/>
      <c r="HOV23" s="311"/>
      <c r="HOW23" s="311"/>
      <c r="HOX23" s="311"/>
      <c r="HOY23" s="311"/>
      <c r="HOZ23" s="311"/>
      <c r="HPA23" s="311"/>
      <c r="HPB23" s="311"/>
      <c r="HPC23" s="311"/>
      <c r="HPD23" s="311"/>
      <c r="HPE23" s="311"/>
      <c r="HPF23" s="311"/>
      <c r="HPG23" s="311"/>
      <c r="HPH23" s="311"/>
      <c r="HPI23" s="311"/>
      <c r="HPJ23" s="311"/>
      <c r="HPK23" s="311"/>
      <c r="HPL23" s="311"/>
      <c r="HPM23" s="311"/>
      <c r="HPN23" s="311"/>
      <c r="HPO23" s="311"/>
      <c r="HPP23" s="311"/>
      <c r="HPQ23" s="311"/>
      <c r="HPR23" s="311"/>
      <c r="HPS23" s="311"/>
      <c r="HPT23" s="311"/>
      <c r="HPU23" s="311"/>
      <c r="HPV23" s="311"/>
      <c r="HPW23" s="311"/>
      <c r="HPX23" s="311"/>
      <c r="HPY23" s="311"/>
      <c r="HPZ23" s="311"/>
      <c r="HQA23" s="311"/>
      <c r="HQB23" s="311"/>
      <c r="HQC23" s="311"/>
      <c r="HQD23" s="311"/>
      <c r="HQE23" s="311"/>
      <c r="HQF23" s="311"/>
      <c r="HQG23" s="311"/>
      <c r="HQH23" s="311"/>
      <c r="HQI23" s="311"/>
      <c r="HQJ23" s="311"/>
      <c r="HQK23" s="311"/>
      <c r="HQL23" s="311"/>
      <c r="HQM23" s="311"/>
      <c r="HQN23" s="311"/>
      <c r="HQO23" s="311"/>
      <c r="HQP23" s="311"/>
      <c r="HQQ23" s="311"/>
      <c r="HQR23" s="311"/>
      <c r="HQS23" s="311"/>
      <c r="HQT23" s="311"/>
      <c r="HQU23" s="311"/>
      <c r="HQV23" s="311"/>
      <c r="HQW23" s="311"/>
      <c r="HQX23" s="311"/>
      <c r="HQY23" s="311"/>
      <c r="HQZ23" s="311"/>
      <c r="HRA23" s="311"/>
      <c r="HRB23" s="311"/>
      <c r="HRC23" s="311"/>
      <c r="HRD23" s="311"/>
      <c r="HRE23" s="311"/>
      <c r="HRF23" s="311"/>
      <c r="HRG23" s="311"/>
      <c r="HRH23" s="311"/>
      <c r="HRI23" s="311"/>
      <c r="HRJ23" s="311"/>
      <c r="HRK23" s="311"/>
      <c r="HRL23" s="311"/>
      <c r="HRM23" s="311"/>
      <c r="HRN23" s="311"/>
      <c r="HRO23" s="311"/>
      <c r="HRP23" s="311"/>
      <c r="HRQ23" s="311"/>
      <c r="HRR23" s="311"/>
      <c r="HRS23" s="311"/>
      <c r="HRT23" s="311"/>
      <c r="HRU23" s="311"/>
      <c r="HRV23" s="311"/>
      <c r="HRW23" s="311"/>
      <c r="HRX23" s="311"/>
      <c r="HRY23" s="311"/>
      <c r="HRZ23" s="311"/>
      <c r="HSA23" s="311"/>
      <c r="HSB23" s="311"/>
      <c r="HSC23" s="311"/>
      <c r="HSD23" s="311"/>
      <c r="HSE23" s="311"/>
      <c r="HSF23" s="311"/>
      <c r="HSG23" s="311"/>
      <c r="HSH23" s="311"/>
      <c r="HSI23" s="311"/>
      <c r="HSJ23" s="311"/>
      <c r="HSK23" s="311"/>
      <c r="HSL23" s="311"/>
      <c r="HSM23" s="311"/>
      <c r="HSN23" s="311"/>
      <c r="HSO23" s="311"/>
      <c r="HSP23" s="311"/>
      <c r="HSQ23" s="311"/>
      <c r="HSR23" s="311"/>
      <c r="HSS23" s="311"/>
      <c r="HST23" s="311"/>
      <c r="HSU23" s="311"/>
      <c r="HSV23" s="311"/>
      <c r="HSW23" s="311"/>
      <c r="HSX23" s="311"/>
      <c r="HSY23" s="311"/>
      <c r="HSZ23" s="311"/>
      <c r="HTA23" s="311"/>
      <c r="HTB23" s="311"/>
      <c r="HTC23" s="311"/>
      <c r="HTD23" s="311"/>
      <c r="HTE23" s="311"/>
      <c r="HTF23" s="311"/>
      <c r="HTG23" s="311"/>
      <c r="HTH23" s="311"/>
      <c r="HTI23" s="311"/>
      <c r="HTJ23" s="311"/>
      <c r="HTK23" s="311"/>
      <c r="HTL23" s="311"/>
      <c r="HTM23" s="311"/>
      <c r="HTN23" s="311"/>
      <c r="HTO23" s="311"/>
      <c r="HTP23" s="311"/>
      <c r="HTQ23" s="311"/>
      <c r="HTR23" s="311"/>
      <c r="HTS23" s="311"/>
      <c r="HTT23" s="311"/>
      <c r="HTU23" s="311"/>
      <c r="HTV23" s="311"/>
      <c r="HTW23" s="311"/>
      <c r="HTX23" s="311"/>
      <c r="HTY23" s="311"/>
      <c r="HTZ23" s="311"/>
      <c r="HUA23" s="311"/>
      <c r="HUB23" s="311"/>
      <c r="HUC23" s="311"/>
      <c r="HUD23" s="311"/>
      <c r="HUE23" s="311"/>
      <c r="HUF23" s="311"/>
      <c r="HUG23" s="311"/>
      <c r="HUH23" s="311"/>
      <c r="HUI23" s="311"/>
      <c r="HUJ23" s="311"/>
      <c r="HUK23" s="311"/>
      <c r="HUL23" s="311"/>
      <c r="HUM23" s="311"/>
      <c r="HUN23" s="311"/>
      <c r="HUO23" s="311"/>
      <c r="HUP23" s="311"/>
      <c r="HUQ23" s="311"/>
      <c r="HUR23" s="311"/>
      <c r="HUS23" s="311"/>
      <c r="HUT23" s="311"/>
      <c r="HUU23" s="311"/>
      <c r="HUV23" s="311"/>
      <c r="HUW23" s="311"/>
      <c r="HUX23" s="311"/>
      <c r="HUY23" s="311"/>
      <c r="HUZ23" s="311"/>
      <c r="HVA23" s="311"/>
      <c r="HVB23" s="311"/>
      <c r="HVC23" s="311"/>
      <c r="HVD23" s="311"/>
      <c r="HVE23" s="311"/>
      <c r="HVF23" s="311"/>
      <c r="HVG23" s="311"/>
      <c r="HVH23" s="311"/>
      <c r="HVI23" s="311"/>
      <c r="HVJ23" s="311"/>
      <c r="HVK23" s="311"/>
      <c r="HVL23" s="311"/>
      <c r="HVM23" s="311"/>
      <c r="HVN23" s="311"/>
      <c r="HVO23" s="311"/>
      <c r="HVP23" s="311"/>
      <c r="HVQ23" s="311"/>
      <c r="HVR23" s="311"/>
      <c r="HVS23" s="311"/>
      <c r="HVT23" s="311"/>
      <c r="HVU23" s="311"/>
      <c r="HVV23" s="311"/>
      <c r="HVW23" s="311"/>
      <c r="HVX23" s="311"/>
      <c r="HVY23" s="311"/>
      <c r="HVZ23" s="311"/>
      <c r="HWA23" s="311"/>
      <c r="HWB23" s="311"/>
      <c r="HWC23" s="311"/>
      <c r="HWD23" s="311"/>
      <c r="HWE23" s="311"/>
      <c r="HWF23" s="311"/>
      <c r="HWG23" s="311"/>
      <c r="HWH23" s="311"/>
      <c r="HWI23" s="311"/>
      <c r="HWJ23" s="311"/>
      <c r="HWK23" s="311"/>
      <c r="HWL23" s="311"/>
      <c r="HWM23" s="311"/>
      <c r="HWN23" s="311"/>
      <c r="HWO23" s="311"/>
      <c r="HWP23" s="311"/>
      <c r="HWQ23" s="311"/>
      <c r="HWR23" s="311"/>
      <c r="HWS23" s="311"/>
      <c r="HWT23" s="311"/>
      <c r="HWU23" s="311"/>
      <c r="HWV23" s="311"/>
      <c r="HWW23" s="311"/>
      <c r="HWX23" s="311"/>
      <c r="HWY23" s="311"/>
      <c r="HWZ23" s="311"/>
      <c r="HXA23" s="311"/>
      <c r="HXB23" s="311"/>
      <c r="HXC23" s="311"/>
      <c r="HXD23" s="311"/>
      <c r="HXE23" s="311"/>
      <c r="HXF23" s="311"/>
      <c r="HXG23" s="311"/>
      <c r="HXH23" s="311"/>
      <c r="HXI23" s="311"/>
      <c r="HXJ23" s="311"/>
      <c r="HXK23" s="311"/>
      <c r="HXL23" s="311"/>
      <c r="HXM23" s="311"/>
      <c r="HXN23" s="311"/>
      <c r="HXO23" s="311"/>
      <c r="HXP23" s="311"/>
      <c r="HXQ23" s="311"/>
      <c r="HXR23" s="311"/>
      <c r="HXS23" s="311"/>
      <c r="HXT23" s="311"/>
      <c r="HXU23" s="311"/>
      <c r="HXV23" s="311"/>
      <c r="HXW23" s="311"/>
      <c r="HXX23" s="311"/>
      <c r="HXY23" s="311"/>
      <c r="HXZ23" s="311"/>
      <c r="HYA23" s="311"/>
      <c r="HYB23" s="311"/>
      <c r="HYC23" s="311"/>
      <c r="HYD23" s="311"/>
      <c r="HYE23" s="311"/>
      <c r="HYF23" s="311"/>
      <c r="HYG23" s="311"/>
      <c r="HYH23" s="311"/>
      <c r="HYI23" s="311"/>
      <c r="HYJ23" s="311"/>
      <c r="HYK23" s="311"/>
      <c r="HYL23" s="311"/>
      <c r="HYM23" s="311"/>
      <c r="HYN23" s="311"/>
      <c r="HYO23" s="311"/>
      <c r="HYP23" s="311"/>
      <c r="HYQ23" s="311"/>
      <c r="HYR23" s="311"/>
      <c r="HYS23" s="311"/>
      <c r="HYT23" s="311"/>
      <c r="HYU23" s="311"/>
      <c r="HYV23" s="311"/>
      <c r="HYW23" s="311"/>
      <c r="HYX23" s="311"/>
      <c r="HYY23" s="311"/>
      <c r="HYZ23" s="311"/>
      <c r="HZA23" s="311"/>
      <c r="HZB23" s="311"/>
      <c r="HZC23" s="311"/>
      <c r="HZD23" s="311"/>
      <c r="HZE23" s="311"/>
      <c r="HZF23" s="311"/>
      <c r="HZG23" s="311"/>
      <c r="HZH23" s="311"/>
      <c r="HZI23" s="311"/>
      <c r="HZJ23" s="311"/>
      <c r="HZK23" s="311"/>
      <c r="HZL23" s="311"/>
      <c r="HZM23" s="311"/>
      <c r="HZN23" s="311"/>
      <c r="HZO23" s="311"/>
      <c r="HZP23" s="311"/>
      <c r="HZQ23" s="311"/>
      <c r="HZR23" s="311"/>
      <c r="HZS23" s="311"/>
      <c r="HZT23" s="311"/>
      <c r="HZU23" s="311"/>
      <c r="HZV23" s="311"/>
      <c r="HZW23" s="311"/>
      <c r="HZX23" s="311"/>
      <c r="HZY23" s="311"/>
      <c r="HZZ23" s="311"/>
      <c r="IAA23" s="311"/>
      <c r="IAB23" s="311"/>
      <c r="IAC23" s="311"/>
      <c r="IAD23" s="311"/>
      <c r="IAE23" s="311"/>
      <c r="IAF23" s="311"/>
      <c r="IAG23" s="311"/>
      <c r="IAH23" s="311"/>
      <c r="IAI23" s="311"/>
      <c r="IAJ23" s="311"/>
      <c r="IAK23" s="311"/>
      <c r="IAL23" s="311"/>
      <c r="IAM23" s="311"/>
      <c r="IAN23" s="311"/>
      <c r="IAO23" s="311"/>
      <c r="IAP23" s="311"/>
      <c r="IAQ23" s="311"/>
      <c r="IAR23" s="311"/>
      <c r="IAS23" s="311"/>
      <c r="IAT23" s="311"/>
      <c r="IAU23" s="311"/>
      <c r="IAV23" s="311"/>
      <c r="IAW23" s="311"/>
      <c r="IAX23" s="311"/>
      <c r="IAY23" s="311"/>
      <c r="IAZ23" s="311"/>
      <c r="IBA23" s="311"/>
      <c r="IBB23" s="311"/>
      <c r="IBC23" s="311"/>
      <c r="IBD23" s="311"/>
      <c r="IBE23" s="311"/>
      <c r="IBF23" s="311"/>
      <c r="IBG23" s="311"/>
      <c r="IBH23" s="311"/>
      <c r="IBI23" s="311"/>
      <c r="IBJ23" s="311"/>
      <c r="IBK23" s="311"/>
      <c r="IBL23" s="311"/>
      <c r="IBM23" s="311"/>
      <c r="IBN23" s="311"/>
      <c r="IBO23" s="311"/>
      <c r="IBP23" s="311"/>
      <c r="IBQ23" s="311"/>
      <c r="IBR23" s="311"/>
      <c r="IBS23" s="311"/>
      <c r="IBT23" s="311"/>
      <c r="IBU23" s="311"/>
      <c r="IBV23" s="311"/>
      <c r="IBW23" s="311"/>
      <c r="IBX23" s="311"/>
      <c r="IBY23" s="311"/>
      <c r="IBZ23" s="311"/>
      <c r="ICA23" s="311"/>
      <c r="ICB23" s="311"/>
      <c r="ICC23" s="311"/>
      <c r="ICD23" s="311"/>
      <c r="ICE23" s="311"/>
      <c r="ICF23" s="311"/>
      <c r="ICG23" s="311"/>
      <c r="ICH23" s="311"/>
      <c r="ICI23" s="311"/>
      <c r="ICJ23" s="311"/>
      <c r="ICK23" s="311"/>
      <c r="ICL23" s="311"/>
      <c r="ICM23" s="311"/>
      <c r="ICN23" s="311"/>
      <c r="ICO23" s="311"/>
      <c r="ICP23" s="311"/>
      <c r="ICQ23" s="311"/>
      <c r="ICR23" s="311"/>
      <c r="ICS23" s="311"/>
      <c r="ICT23" s="311"/>
      <c r="ICU23" s="311"/>
      <c r="ICV23" s="311"/>
      <c r="ICW23" s="311"/>
      <c r="ICX23" s="311"/>
      <c r="ICY23" s="311"/>
      <c r="ICZ23" s="311"/>
      <c r="IDA23" s="311"/>
      <c r="IDB23" s="311"/>
      <c r="IDC23" s="311"/>
      <c r="IDD23" s="311"/>
      <c r="IDE23" s="311"/>
      <c r="IDF23" s="311"/>
      <c r="IDG23" s="311"/>
      <c r="IDH23" s="311"/>
      <c r="IDI23" s="311"/>
      <c r="IDJ23" s="311"/>
      <c r="IDK23" s="311"/>
      <c r="IDL23" s="311"/>
      <c r="IDM23" s="311"/>
      <c r="IDN23" s="311"/>
      <c r="IDO23" s="311"/>
      <c r="IDP23" s="311"/>
      <c r="IDQ23" s="311"/>
      <c r="IDR23" s="311"/>
      <c r="IDS23" s="311"/>
      <c r="IDT23" s="311"/>
      <c r="IDU23" s="311"/>
      <c r="IDV23" s="311"/>
      <c r="IDW23" s="311"/>
      <c r="IDX23" s="311"/>
      <c r="IDY23" s="311"/>
      <c r="IDZ23" s="311"/>
      <c r="IEA23" s="311"/>
      <c r="IEB23" s="311"/>
      <c r="IEC23" s="311"/>
      <c r="IED23" s="311"/>
      <c r="IEE23" s="311"/>
      <c r="IEF23" s="311"/>
      <c r="IEG23" s="311"/>
      <c r="IEH23" s="311"/>
      <c r="IEI23" s="311"/>
      <c r="IEJ23" s="311"/>
      <c r="IEK23" s="311"/>
      <c r="IEL23" s="311"/>
      <c r="IEM23" s="311"/>
      <c r="IEN23" s="311"/>
      <c r="IEO23" s="311"/>
      <c r="IEP23" s="311"/>
      <c r="IEQ23" s="311"/>
      <c r="IER23" s="311"/>
      <c r="IES23" s="311"/>
      <c r="IET23" s="311"/>
      <c r="IEU23" s="311"/>
      <c r="IEV23" s="311"/>
      <c r="IEW23" s="311"/>
      <c r="IEX23" s="311"/>
      <c r="IEY23" s="311"/>
      <c r="IEZ23" s="311"/>
      <c r="IFA23" s="311"/>
      <c r="IFB23" s="311"/>
      <c r="IFC23" s="311"/>
      <c r="IFD23" s="311"/>
      <c r="IFE23" s="311"/>
      <c r="IFF23" s="311"/>
      <c r="IFG23" s="311"/>
      <c r="IFH23" s="311"/>
      <c r="IFI23" s="311"/>
      <c r="IFJ23" s="311"/>
      <c r="IFK23" s="311"/>
      <c r="IFL23" s="311"/>
      <c r="IFM23" s="311"/>
      <c r="IFN23" s="311"/>
      <c r="IFO23" s="311"/>
      <c r="IFP23" s="311"/>
      <c r="IFQ23" s="311"/>
      <c r="IFR23" s="311"/>
      <c r="IFS23" s="311"/>
      <c r="IFT23" s="311"/>
      <c r="IFU23" s="311"/>
      <c r="IFV23" s="311"/>
      <c r="IFW23" s="311"/>
      <c r="IFX23" s="311"/>
      <c r="IFY23" s="311"/>
      <c r="IFZ23" s="311"/>
      <c r="IGA23" s="311"/>
      <c r="IGB23" s="311"/>
      <c r="IGC23" s="311"/>
      <c r="IGD23" s="311"/>
      <c r="IGE23" s="311"/>
      <c r="IGF23" s="311"/>
      <c r="IGG23" s="311"/>
      <c r="IGH23" s="311"/>
      <c r="IGI23" s="311"/>
      <c r="IGJ23" s="311"/>
      <c r="IGK23" s="311"/>
      <c r="IGL23" s="311"/>
      <c r="IGM23" s="311"/>
      <c r="IGN23" s="311"/>
      <c r="IGO23" s="311"/>
      <c r="IGP23" s="311"/>
      <c r="IGQ23" s="311"/>
      <c r="IGR23" s="311"/>
      <c r="IGS23" s="311"/>
      <c r="IGT23" s="311"/>
      <c r="IGU23" s="311"/>
      <c r="IGV23" s="311"/>
      <c r="IGW23" s="311"/>
      <c r="IGX23" s="311"/>
      <c r="IGY23" s="311"/>
      <c r="IGZ23" s="311"/>
      <c r="IHA23" s="311"/>
      <c r="IHB23" s="311"/>
      <c r="IHC23" s="311"/>
      <c r="IHD23" s="311"/>
      <c r="IHE23" s="311"/>
      <c r="IHF23" s="311"/>
      <c r="IHG23" s="311"/>
      <c r="IHH23" s="311"/>
      <c r="IHI23" s="311"/>
      <c r="IHJ23" s="311"/>
      <c r="IHK23" s="311"/>
      <c r="IHL23" s="311"/>
      <c r="IHM23" s="311"/>
      <c r="IHN23" s="311"/>
      <c r="IHO23" s="311"/>
      <c r="IHP23" s="311"/>
      <c r="IHQ23" s="311"/>
      <c r="IHR23" s="311"/>
      <c r="IHS23" s="311"/>
      <c r="IHT23" s="311"/>
      <c r="IHU23" s="311"/>
      <c r="IHV23" s="311"/>
      <c r="IHW23" s="311"/>
      <c r="IHX23" s="311"/>
      <c r="IHY23" s="311"/>
      <c r="IHZ23" s="311"/>
      <c r="IIA23" s="311"/>
      <c r="IIB23" s="311"/>
      <c r="IIC23" s="311"/>
      <c r="IID23" s="311"/>
      <c r="IIE23" s="311"/>
      <c r="IIF23" s="311"/>
      <c r="IIG23" s="311"/>
      <c r="IIH23" s="311"/>
      <c r="III23" s="311"/>
      <c r="IIJ23" s="311"/>
      <c r="IIK23" s="311"/>
      <c r="IIL23" s="311"/>
      <c r="IIM23" s="311"/>
      <c r="IIN23" s="311"/>
      <c r="IIO23" s="311"/>
      <c r="IIP23" s="311"/>
      <c r="IIQ23" s="311"/>
      <c r="IIR23" s="311"/>
      <c r="IIS23" s="311"/>
      <c r="IIT23" s="311"/>
      <c r="IIU23" s="311"/>
      <c r="IIV23" s="311"/>
      <c r="IIW23" s="311"/>
      <c r="IIX23" s="311"/>
      <c r="IIY23" s="311"/>
      <c r="IIZ23" s="311"/>
      <c r="IJA23" s="311"/>
      <c r="IJB23" s="311"/>
      <c r="IJC23" s="311"/>
      <c r="IJD23" s="311"/>
      <c r="IJE23" s="311"/>
      <c r="IJF23" s="311"/>
      <c r="IJG23" s="311"/>
      <c r="IJH23" s="311"/>
      <c r="IJI23" s="311"/>
      <c r="IJJ23" s="311"/>
      <c r="IJK23" s="311"/>
      <c r="IJL23" s="311"/>
      <c r="IJM23" s="311"/>
      <c r="IJN23" s="311"/>
      <c r="IJO23" s="311"/>
      <c r="IJP23" s="311"/>
      <c r="IJQ23" s="311"/>
      <c r="IJR23" s="311"/>
      <c r="IJS23" s="311"/>
      <c r="IJT23" s="311"/>
      <c r="IJU23" s="311"/>
      <c r="IJV23" s="311"/>
      <c r="IJW23" s="311"/>
      <c r="IJX23" s="311"/>
      <c r="IJY23" s="311"/>
      <c r="IJZ23" s="311"/>
      <c r="IKA23" s="311"/>
      <c r="IKB23" s="311"/>
      <c r="IKC23" s="311"/>
      <c r="IKD23" s="311"/>
      <c r="IKE23" s="311"/>
      <c r="IKF23" s="311"/>
      <c r="IKG23" s="311"/>
      <c r="IKH23" s="311"/>
      <c r="IKI23" s="311"/>
      <c r="IKJ23" s="311"/>
      <c r="IKK23" s="311"/>
      <c r="IKL23" s="311"/>
      <c r="IKM23" s="311"/>
      <c r="IKN23" s="311"/>
      <c r="IKO23" s="311"/>
      <c r="IKP23" s="311"/>
      <c r="IKQ23" s="311"/>
      <c r="IKR23" s="311"/>
      <c r="IKS23" s="311"/>
      <c r="IKT23" s="311"/>
      <c r="IKU23" s="311"/>
      <c r="IKV23" s="311"/>
      <c r="IKW23" s="311"/>
      <c r="IKX23" s="311"/>
      <c r="IKY23" s="311"/>
      <c r="IKZ23" s="311"/>
      <c r="ILA23" s="311"/>
      <c r="ILB23" s="311"/>
      <c r="ILC23" s="311"/>
      <c r="ILD23" s="311"/>
      <c r="ILE23" s="311"/>
      <c r="ILF23" s="311"/>
      <c r="ILG23" s="311"/>
      <c r="ILH23" s="311"/>
      <c r="ILI23" s="311"/>
      <c r="ILJ23" s="311"/>
      <c r="ILK23" s="311"/>
      <c r="ILL23" s="311"/>
      <c r="ILM23" s="311"/>
      <c r="ILN23" s="311"/>
      <c r="ILO23" s="311"/>
      <c r="ILP23" s="311"/>
      <c r="ILQ23" s="311"/>
      <c r="ILR23" s="311"/>
      <c r="ILS23" s="311"/>
      <c r="ILT23" s="311"/>
      <c r="ILU23" s="311"/>
      <c r="ILV23" s="311"/>
      <c r="ILW23" s="311"/>
      <c r="ILX23" s="311"/>
      <c r="ILY23" s="311"/>
      <c r="ILZ23" s="311"/>
      <c r="IMA23" s="311"/>
      <c r="IMB23" s="311"/>
      <c r="IMC23" s="311"/>
      <c r="IMD23" s="311"/>
      <c r="IME23" s="311"/>
      <c r="IMF23" s="311"/>
      <c r="IMG23" s="311"/>
      <c r="IMH23" s="311"/>
      <c r="IMI23" s="311"/>
      <c r="IMJ23" s="311"/>
      <c r="IMK23" s="311"/>
      <c r="IML23" s="311"/>
      <c r="IMM23" s="311"/>
      <c r="IMN23" s="311"/>
      <c r="IMO23" s="311"/>
      <c r="IMP23" s="311"/>
      <c r="IMQ23" s="311"/>
      <c r="IMR23" s="311"/>
      <c r="IMS23" s="311"/>
      <c r="IMT23" s="311"/>
      <c r="IMU23" s="311"/>
      <c r="IMV23" s="311"/>
      <c r="IMW23" s="311"/>
      <c r="IMX23" s="311"/>
      <c r="IMY23" s="311"/>
      <c r="IMZ23" s="311"/>
      <c r="INA23" s="311"/>
      <c r="INB23" s="311"/>
      <c r="INC23" s="311"/>
      <c r="IND23" s="311"/>
      <c r="INE23" s="311"/>
      <c r="INF23" s="311"/>
      <c r="ING23" s="311"/>
      <c r="INH23" s="311"/>
      <c r="INI23" s="311"/>
      <c r="INJ23" s="311"/>
      <c r="INK23" s="311"/>
      <c r="INL23" s="311"/>
      <c r="INM23" s="311"/>
      <c r="INN23" s="311"/>
      <c r="INO23" s="311"/>
      <c r="INP23" s="311"/>
      <c r="INQ23" s="311"/>
      <c r="INR23" s="311"/>
      <c r="INS23" s="311"/>
      <c r="INT23" s="311"/>
      <c r="INU23" s="311"/>
      <c r="INV23" s="311"/>
      <c r="INW23" s="311"/>
      <c r="INX23" s="311"/>
      <c r="INY23" s="311"/>
      <c r="INZ23" s="311"/>
      <c r="IOA23" s="311"/>
      <c r="IOB23" s="311"/>
      <c r="IOC23" s="311"/>
      <c r="IOD23" s="311"/>
      <c r="IOE23" s="311"/>
      <c r="IOF23" s="311"/>
      <c r="IOG23" s="311"/>
      <c r="IOH23" s="311"/>
      <c r="IOI23" s="311"/>
      <c r="IOJ23" s="311"/>
      <c r="IOK23" s="311"/>
      <c r="IOL23" s="311"/>
      <c r="IOM23" s="311"/>
      <c r="ION23" s="311"/>
      <c r="IOO23" s="311"/>
      <c r="IOP23" s="311"/>
      <c r="IOQ23" s="311"/>
      <c r="IOR23" s="311"/>
      <c r="IOS23" s="311"/>
      <c r="IOT23" s="311"/>
      <c r="IOU23" s="311"/>
      <c r="IOV23" s="311"/>
      <c r="IOW23" s="311"/>
      <c r="IOX23" s="311"/>
      <c r="IOY23" s="311"/>
      <c r="IOZ23" s="311"/>
      <c r="IPA23" s="311"/>
      <c r="IPB23" s="311"/>
      <c r="IPC23" s="311"/>
      <c r="IPD23" s="311"/>
      <c r="IPE23" s="311"/>
      <c r="IPF23" s="311"/>
      <c r="IPG23" s="311"/>
      <c r="IPH23" s="311"/>
      <c r="IPI23" s="311"/>
      <c r="IPJ23" s="311"/>
      <c r="IPK23" s="311"/>
      <c r="IPL23" s="311"/>
      <c r="IPM23" s="311"/>
      <c r="IPN23" s="311"/>
      <c r="IPO23" s="311"/>
      <c r="IPP23" s="311"/>
      <c r="IPQ23" s="311"/>
      <c r="IPR23" s="311"/>
      <c r="IPS23" s="311"/>
      <c r="IPT23" s="311"/>
      <c r="IPU23" s="311"/>
      <c r="IPV23" s="311"/>
      <c r="IPW23" s="311"/>
      <c r="IPX23" s="311"/>
      <c r="IPY23" s="311"/>
      <c r="IPZ23" s="311"/>
      <c r="IQA23" s="311"/>
      <c r="IQB23" s="311"/>
      <c r="IQC23" s="311"/>
      <c r="IQD23" s="311"/>
      <c r="IQE23" s="311"/>
      <c r="IQF23" s="311"/>
      <c r="IQG23" s="311"/>
      <c r="IQH23" s="311"/>
      <c r="IQI23" s="311"/>
      <c r="IQJ23" s="311"/>
      <c r="IQK23" s="311"/>
      <c r="IQL23" s="311"/>
      <c r="IQM23" s="311"/>
      <c r="IQN23" s="311"/>
      <c r="IQO23" s="311"/>
      <c r="IQP23" s="311"/>
      <c r="IQQ23" s="311"/>
      <c r="IQR23" s="311"/>
      <c r="IQS23" s="311"/>
      <c r="IQT23" s="311"/>
      <c r="IQU23" s="311"/>
      <c r="IQV23" s="311"/>
      <c r="IQW23" s="311"/>
      <c r="IQX23" s="311"/>
      <c r="IQY23" s="311"/>
      <c r="IQZ23" s="311"/>
      <c r="IRA23" s="311"/>
      <c r="IRB23" s="311"/>
      <c r="IRC23" s="311"/>
      <c r="IRD23" s="311"/>
      <c r="IRE23" s="311"/>
      <c r="IRF23" s="311"/>
      <c r="IRG23" s="311"/>
      <c r="IRH23" s="311"/>
      <c r="IRI23" s="311"/>
      <c r="IRJ23" s="311"/>
      <c r="IRK23" s="311"/>
      <c r="IRL23" s="311"/>
      <c r="IRM23" s="311"/>
      <c r="IRN23" s="311"/>
      <c r="IRO23" s="311"/>
      <c r="IRP23" s="311"/>
      <c r="IRQ23" s="311"/>
      <c r="IRR23" s="311"/>
      <c r="IRS23" s="311"/>
      <c r="IRT23" s="311"/>
      <c r="IRU23" s="311"/>
      <c r="IRV23" s="311"/>
      <c r="IRW23" s="311"/>
      <c r="IRX23" s="311"/>
      <c r="IRY23" s="311"/>
      <c r="IRZ23" s="311"/>
      <c r="ISA23" s="311"/>
      <c r="ISB23" s="311"/>
      <c r="ISC23" s="311"/>
      <c r="ISD23" s="311"/>
      <c r="ISE23" s="311"/>
      <c r="ISF23" s="311"/>
      <c r="ISG23" s="311"/>
      <c r="ISH23" s="311"/>
      <c r="ISI23" s="311"/>
      <c r="ISJ23" s="311"/>
      <c r="ISK23" s="311"/>
      <c r="ISL23" s="311"/>
      <c r="ISM23" s="311"/>
      <c r="ISN23" s="311"/>
      <c r="ISO23" s="311"/>
      <c r="ISP23" s="311"/>
      <c r="ISQ23" s="311"/>
      <c r="ISR23" s="311"/>
      <c r="ISS23" s="311"/>
      <c r="IST23" s="311"/>
      <c r="ISU23" s="311"/>
      <c r="ISV23" s="311"/>
      <c r="ISW23" s="311"/>
      <c r="ISX23" s="311"/>
      <c r="ISY23" s="311"/>
      <c r="ISZ23" s="311"/>
      <c r="ITA23" s="311"/>
      <c r="ITB23" s="311"/>
      <c r="ITC23" s="311"/>
      <c r="ITD23" s="311"/>
      <c r="ITE23" s="311"/>
      <c r="ITF23" s="311"/>
      <c r="ITG23" s="311"/>
      <c r="ITH23" s="311"/>
      <c r="ITI23" s="311"/>
      <c r="ITJ23" s="311"/>
      <c r="ITK23" s="311"/>
      <c r="ITL23" s="311"/>
      <c r="ITM23" s="311"/>
      <c r="ITN23" s="311"/>
      <c r="ITO23" s="311"/>
      <c r="ITP23" s="311"/>
      <c r="ITQ23" s="311"/>
      <c r="ITR23" s="311"/>
      <c r="ITS23" s="311"/>
      <c r="ITT23" s="311"/>
      <c r="ITU23" s="311"/>
      <c r="ITV23" s="311"/>
      <c r="ITW23" s="311"/>
      <c r="ITX23" s="311"/>
      <c r="ITY23" s="311"/>
      <c r="ITZ23" s="311"/>
      <c r="IUA23" s="311"/>
      <c r="IUB23" s="311"/>
      <c r="IUC23" s="311"/>
      <c r="IUD23" s="311"/>
      <c r="IUE23" s="311"/>
      <c r="IUF23" s="311"/>
      <c r="IUG23" s="311"/>
      <c r="IUH23" s="311"/>
      <c r="IUI23" s="311"/>
      <c r="IUJ23" s="311"/>
      <c r="IUK23" s="311"/>
      <c r="IUL23" s="311"/>
      <c r="IUM23" s="311"/>
      <c r="IUN23" s="311"/>
      <c r="IUO23" s="311"/>
      <c r="IUP23" s="311"/>
      <c r="IUQ23" s="311"/>
      <c r="IUR23" s="311"/>
      <c r="IUS23" s="311"/>
      <c r="IUT23" s="311"/>
      <c r="IUU23" s="311"/>
      <c r="IUV23" s="311"/>
      <c r="IUW23" s="311"/>
      <c r="IUX23" s="311"/>
      <c r="IUY23" s="311"/>
      <c r="IUZ23" s="311"/>
      <c r="IVA23" s="311"/>
      <c r="IVB23" s="311"/>
      <c r="IVC23" s="311"/>
      <c r="IVD23" s="311"/>
      <c r="IVE23" s="311"/>
      <c r="IVF23" s="311"/>
      <c r="IVG23" s="311"/>
      <c r="IVH23" s="311"/>
      <c r="IVI23" s="311"/>
      <c r="IVJ23" s="311"/>
      <c r="IVK23" s="311"/>
      <c r="IVL23" s="311"/>
      <c r="IVM23" s="311"/>
      <c r="IVN23" s="311"/>
      <c r="IVO23" s="311"/>
      <c r="IVP23" s="311"/>
      <c r="IVQ23" s="311"/>
      <c r="IVR23" s="311"/>
      <c r="IVS23" s="311"/>
      <c r="IVT23" s="311"/>
      <c r="IVU23" s="311"/>
      <c r="IVV23" s="311"/>
      <c r="IVW23" s="311"/>
      <c r="IVX23" s="311"/>
      <c r="IVY23" s="311"/>
      <c r="IVZ23" s="311"/>
      <c r="IWA23" s="311"/>
      <c r="IWB23" s="311"/>
      <c r="IWC23" s="311"/>
      <c r="IWD23" s="311"/>
      <c r="IWE23" s="311"/>
      <c r="IWF23" s="311"/>
      <c r="IWG23" s="311"/>
      <c r="IWH23" s="311"/>
      <c r="IWI23" s="311"/>
      <c r="IWJ23" s="311"/>
      <c r="IWK23" s="311"/>
      <c r="IWL23" s="311"/>
      <c r="IWM23" s="311"/>
      <c r="IWN23" s="311"/>
      <c r="IWO23" s="311"/>
      <c r="IWP23" s="311"/>
      <c r="IWQ23" s="311"/>
      <c r="IWR23" s="311"/>
      <c r="IWS23" s="311"/>
      <c r="IWT23" s="311"/>
      <c r="IWU23" s="311"/>
      <c r="IWV23" s="311"/>
      <c r="IWW23" s="311"/>
      <c r="IWX23" s="311"/>
      <c r="IWY23" s="311"/>
      <c r="IWZ23" s="311"/>
      <c r="IXA23" s="311"/>
      <c r="IXB23" s="311"/>
      <c r="IXC23" s="311"/>
      <c r="IXD23" s="311"/>
      <c r="IXE23" s="311"/>
      <c r="IXF23" s="311"/>
      <c r="IXG23" s="311"/>
      <c r="IXH23" s="311"/>
      <c r="IXI23" s="311"/>
      <c r="IXJ23" s="311"/>
      <c r="IXK23" s="311"/>
      <c r="IXL23" s="311"/>
      <c r="IXM23" s="311"/>
      <c r="IXN23" s="311"/>
      <c r="IXO23" s="311"/>
      <c r="IXP23" s="311"/>
      <c r="IXQ23" s="311"/>
      <c r="IXR23" s="311"/>
      <c r="IXS23" s="311"/>
      <c r="IXT23" s="311"/>
      <c r="IXU23" s="311"/>
      <c r="IXV23" s="311"/>
      <c r="IXW23" s="311"/>
      <c r="IXX23" s="311"/>
      <c r="IXY23" s="311"/>
      <c r="IXZ23" s="311"/>
      <c r="IYA23" s="311"/>
      <c r="IYB23" s="311"/>
      <c r="IYC23" s="311"/>
      <c r="IYD23" s="311"/>
      <c r="IYE23" s="311"/>
      <c r="IYF23" s="311"/>
      <c r="IYG23" s="311"/>
      <c r="IYH23" s="311"/>
      <c r="IYI23" s="311"/>
      <c r="IYJ23" s="311"/>
      <c r="IYK23" s="311"/>
      <c r="IYL23" s="311"/>
      <c r="IYM23" s="311"/>
      <c r="IYN23" s="311"/>
      <c r="IYO23" s="311"/>
      <c r="IYP23" s="311"/>
      <c r="IYQ23" s="311"/>
      <c r="IYR23" s="311"/>
      <c r="IYS23" s="311"/>
      <c r="IYT23" s="311"/>
      <c r="IYU23" s="311"/>
      <c r="IYV23" s="311"/>
      <c r="IYW23" s="311"/>
      <c r="IYX23" s="311"/>
      <c r="IYY23" s="311"/>
      <c r="IYZ23" s="311"/>
      <c r="IZA23" s="311"/>
      <c r="IZB23" s="311"/>
      <c r="IZC23" s="311"/>
      <c r="IZD23" s="311"/>
      <c r="IZE23" s="311"/>
      <c r="IZF23" s="311"/>
      <c r="IZG23" s="311"/>
      <c r="IZH23" s="311"/>
      <c r="IZI23" s="311"/>
      <c r="IZJ23" s="311"/>
      <c r="IZK23" s="311"/>
      <c r="IZL23" s="311"/>
      <c r="IZM23" s="311"/>
      <c r="IZN23" s="311"/>
      <c r="IZO23" s="311"/>
      <c r="IZP23" s="311"/>
      <c r="IZQ23" s="311"/>
      <c r="IZR23" s="311"/>
      <c r="IZS23" s="311"/>
      <c r="IZT23" s="311"/>
      <c r="IZU23" s="311"/>
      <c r="IZV23" s="311"/>
      <c r="IZW23" s="311"/>
      <c r="IZX23" s="311"/>
      <c r="IZY23" s="311"/>
      <c r="IZZ23" s="311"/>
      <c r="JAA23" s="311"/>
      <c r="JAB23" s="311"/>
      <c r="JAC23" s="311"/>
      <c r="JAD23" s="311"/>
      <c r="JAE23" s="311"/>
      <c r="JAF23" s="311"/>
      <c r="JAG23" s="311"/>
      <c r="JAH23" s="311"/>
      <c r="JAI23" s="311"/>
      <c r="JAJ23" s="311"/>
      <c r="JAK23" s="311"/>
      <c r="JAL23" s="311"/>
      <c r="JAM23" s="311"/>
      <c r="JAN23" s="311"/>
      <c r="JAO23" s="311"/>
      <c r="JAP23" s="311"/>
      <c r="JAQ23" s="311"/>
      <c r="JAR23" s="311"/>
      <c r="JAS23" s="311"/>
      <c r="JAT23" s="311"/>
      <c r="JAU23" s="311"/>
      <c r="JAV23" s="311"/>
      <c r="JAW23" s="311"/>
      <c r="JAX23" s="311"/>
      <c r="JAY23" s="311"/>
      <c r="JAZ23" s="311"/>
      <c r="JBA23" s="311"/>
      <c r="JBB23" s="311"/>
      <c r="JBC23" s="311"/>
      <c r="JBD23" s="311"/>
      <c r="JBE23" s="311"/>
      <c r="JBF23" s="311"/>
      <c r="JBG23" s="311"/>
      <c r="JBH23" s="311"/>
      <c r="JBI23" s="311"/>
      <c r="JBJ23" s="311"/>
      <c r="JBK23" s="311"/>
      <c r="JBL23" s="311"/>
      <c r="JBM23" s="311"/>
      <c r="JBN23" s="311"/>
      <c r="JBO23" s="311"/>
      <c r="JBP23" s="311"/>
      <c r="JBQ23" s="311"/>
      <c r="JBR23" s="311"/>
      <c r="JBS23" s="311"/>
      <c r="JBT23" s="311"/>
      <c r="JBU23" s="311"/>
      <c r="JBV23" s="311"/>
      <c r="JBW23" s="311"/>
      <c r="JBX23" s="311"/>
      <c r="JBY23" s="311"/>
      <c r="JBZ23" s="311"/>
      <c r="JCA23" s="311"/>
      <c r="JCB23" s="311"/>
      <c r="JCC23" s="311"/>
      <c r="JCD23" s="311"/>
      <c r="JCE23" s="311"/>
      <c r="JCF23" s="311"/>
      <c r="JCG23" s="311"/>
      <c r="JCH23" s="311"/>
      <c r="JCI23" s="311"/>
      <c r="JCJ23" s="311"/>
      <c r="JCK23" s="311"/>
      <c r="JCL23" s="311"/>
      <c r="JCM23" s="311"/>
      <c r="JCN23" s="311"/>
      <c r="JCO23" s="311"/>
      <c r="JCP23" s="311"/>
      <c r="JCQ23" s="311"/>
      <c r="JCR23" s="311"/>
      <c r="JCS23" s="311"/>
      <c r="JCT23" s="311"/>
      <c r="JCU23" s="311"/>
      <c r="JCV23" s="311"/>
      <c r="JCW23" s="311"/>
      <c r="JCX23" s="311"/>
      <c r="JCY23" s="311"/>
      <c r="JCZ23" s="311"/>
      <c r="JDA23" s="311"/>
      <c r="JDB23" s="311"/>
      <c r="JDC23" s="311"/>
      <c r="JDD23" s="311"/>
      <c r="JDE23" s="311"/>
      <c r="JDF23" s="311"/>
      <c r="JDG23" s="311"/>
      <c r="JDH23" s="311"/>
      <c r="JDI23" s="311"/>
      <c r="JDJ23" s="311"/>
      <c r="JDK23" s="311"/>
      <c r="JDL23" s="311"/>
      <c r="JDM23" s="311"/>
      <c r="JDN23" s="311"/>
      <c r="JDO23" s="311"/>
      <c r="JDP23" s="311"/>
      <c r="JDQ23" s="311"/>
      <c r="JDR23" s="311"/>
      <c r="JDS23" s="311"/>
      <c r="JDT23" s="311"/>
      <c r="JDU23" s="311"/>
      <c r="JDV23" s="311"/>
      <c r="JDW23" s="311"/>
      <c r="JDX23" s="311"/>
      <c r="JDY23" s="311"/>
      <c r="JDZ23" s="311"/>
      <c r="JEA23" s="311"/>
      <c r="JEB23" s="311"/>
      <c r="JEC23" s="311"/>
      <c r="JED23" s="311"/>
      <c r="JEE23" s="311"/>
      <c r="JEF23" s="311"/>
      <c r="JEG23" s="311"/>
      <c r="JEH23" s="311"/>
      <c r="JEI23" s="311"/>
      <c r="JEJ23" s="311"/>
      <c r="JEK23" s="311"/>
      <c r="JEL23" s="311"/>
      <c r="JEM23" s="311"/>
      <c r="JEN23" s="311"/>
      <c r="JEO23" s="311"/>
      <c r="JEP23" s="311"/>
      <c r="JEQ23" s="311"/>
      <c r="JER23" s="311"/>
      <c r="JES23" s="311"/>
      <c r="JET23" s="311"/>
      <c r="JEU23" s="311"/>
      <c r="JEV23" s="311"/>
      <c r="JEW23" s="311"/>
      <c r="JEX23" s="311"/>
      <c r="JEY23" s="311"/>
      <c r="JEZ23" s="311"/>
      <c r="JFA23" s="311"/>
      <c r="JFB23" s="311"/>
      <c r="JFC23" s="311"/>
      <c r="JFD23" s="311"/>
      <c r="JFE23" s="311"/>
      <c r="JFF23" s="311"/>
      <c r="JFG23" s="311"/>
      <c r="JFH23" s="311"/>
      <c r="JFI23" s="311"/>
      <c r="JFJ23" s="311"/>
      <c r="JFK23" s="311"/>
      <c r="JFL23" s="311"/>
      <c r="JFM23" s="311"/>
      <c r="JFN23" s="311"/>
      <c r="JFO23" s="311"/>
      <c r="JFP23" s="311"/>
      <c r="JFQ23" s="311"/>
      <c r="JFR23" s="311"/>
      <c r="JFS23" s="311"/>
      <c r="JFT23" s="311"/>
      <c r="JFU23" s="311"/>
      <c r="JFV23" s="311"/>
      <c r="JFW23" s="311"/>
      <c r="JFX23" s="311"/>
      <c r="JFY23" s="311"/>
      <c r="JFZ23" s="311"/>
      <c r="JGA23" s="311"/>
      <c r="JGB23" s="311"/>
      <c r="JGC23" s="311"/>
      <c r="JGD23" s="311"/>
      <c r="JGE23" s="311"/>
      <c r="JGF23" s="311"/>
      <c r="JGG23" s="311"/>
      <c r="JGH23" s="311"/>
      <c r="JGI23" s="311"/>
      <c r="JGJ23" s="311"/>
      <c r="JGK23" s="311"/>
      <c r="JGL23" s="311"/>
      <c r="JGM23" s="311"/>
      <c r="JGN23" s="311"/>
      <c r="JGO23" s="311"/>
      <c r="JGP23" s="311"/>
      <c r="JGQ23" s="311"/>
      <c r="JGR23" s="311"/>
      <c r="JGS23" s="311"/>
      <c r="JGT23" s="311"/>
      <c r="JGU23" s="311"/>
      <c r="JGV23" s="311"/>
      <c r="JGW23" s="311"/>
      <c r="JGX23" s="311"/>
      <c r="JGY23" s="311"/>
      <c r="JGZ23" s="311"/>
      <c r="JHA23" s="311"/>
      <c r="JHB23" s="311"/>
      <c r="JHC23" s="311"/>
      <c r="JHD23" s="311"/>
      <c r="JHE23" s="311"/>
      <c r="JHF23" s="311"/>
      <c r="JHG23" s="311"/>
      <c r="JHH23" s="311"/>
      <c r="JHI23" s="311"/>
      <c r="JHJ23" s="311"/>
      <c r="JHK23" s="311"/>
      <c r="JHL23" s="311"/>
      <c r="JHM23" s="311"/>
      <c r="JHN23" s="311"/>
      <c r="JHO23" s="311"/>
      <c r="JHP23" s="311"/>
      <c r="JHQ23" s="311"/>
      <c r="JHR23" s="311"/>
      <c r="JHS23" s="311"/>
      <c r="JHT23" s="311"/>
      <c r="JHU23" s="311"/>
      <c r="JHV23" s="311"/>
      <c r="JHW23" s="311"/>
      <c r="JHX23" s="311"/>
      <c r="JHY23" s="311"/>
      <c r="JHZ23" s="311"/>
      <c r="JIA23" s="311"/>
      <c r="JIB23" s="311"/>
      <c r="JIC23" s="311"/>
      <c r="JID23" s="311"/>
      <c r="JIE23" s="311"/>
      <c r="JIF23" s="311"/>
      <c r="JIG23" s="311"/>
      <c r="JIH23" s="311"/>
      <c r="JII23" s="311"/>
      <c r="JIJ23" s="311"/>
      <c r="JIK23" s="311"/>
      <c r="JIL23" s="311"/>
      <c r="JIM23" s="311"/>
      <c r="JIN23" s="311"/>
      <c r="JIO23" s="311"/>
      <c r="JIP23" s="311"/>
      <c r="JIQ23" s="311"/>
      <c r="JIR23" s="311"/>
      <c r="JIS23" s="311"/>
      <c r="JIT23" s="311"/>
      <c r="JIU23" s="311"/>
      <c r="JIV23" s="311"/>
      <c r="JIW23" s="311"/>
      <c r="JIX23" s="311"/>
      <c r="JIY23" s="311"/>
      <c r="JIZ23" s="311"/>
      <c r="JJA23" s="311"/>
      <c r="JJB23" s="311"/>
      <c r="JJC23" s="311"/>
      <c r="JJD23" s="311"/>
      <c r="JJE23" s="311"/>
      <c r="JJF23" s="311"/>
      <c r="JJG23" s="311"/>
      <c r="JJH23" s="311"/>
      <c r="JJI23" s="311"/>
      <c r="JJJ23" s="311"/>
      <c r="JJK23" s="311"/>
      <c r="JJL23" s="311"/>
      <c r="JJM23" s="311"/>
      <c r="JJN23" s="311"/>
      <c r="JJO23" s="311"/>
      <c r="JJP23" s="311"/>
      <c r="JJQ23" s="311"/>
      <c r="JJR23" s="311"/>
      <c r="JJS23" s="311"/>
      <c r="JJT23" s="311"/>
      <c r="JJU23" s="311"/>
      <c r="JJV23" s="311"/>
      <c r="JJW23" s="311"/>
      <c r="JJX23" s="311"/>
      <c r="JJY23" s="311"/>
      <c r="JJZ23" s="311"/>
      <c r="JKA23" s="311"/>
      <c r="JKB23" s="311"/>
      <c r="JKC23" s="311"/>
      <c r="JKD23" s="311"/>
      <c r="JKE23" s="311"/>
      <c r="JKF23" s="311"/>
      <c r="JKG23" s="311"/>
      <c r="JKH23" s="311"/>
      <c r="JKI23" s="311"/>
      <c r="JKJ23" s="311"/>
      <c r="JKK23" s="311"/>
      <c r="JKL23" s="311"/>
      <c r="JKM23" s="311"/>
      <c r="JKN23" s="311"/>
      <c r="JKO23" s="311"/>
      <c r="JKP23" s="311"/>
      <c r="JKQ23" s="311"/>
      <c r="JKR23" s="311"/>
      <c r="JKS23" s="311"/>
      <c r="JKT23" s="311"/>
      <c r="JKU23" s="311"/>
      <c r="JKV23" s="311"/>
      <c r="JKW23" s="311"/>
      <c r="JKX23" s="311"/>
      <c r="JKY23" s="311"/>
      <c r="JKZ23" s="311"/>
      <c r="JLA23" s="311"/>
      <c r="JLB23" s="311"/>
      <c r="JLC23" s="311"/>
      <c r="JLD23" s="311"/>
      <c r="JLE23" s="311"/>
      <c r="JLF23" s="311"/>
      <c r="JLG23" s="311"/>
      <c r="JLH23" s="311"/>
      <c r="JLI23" s="311"/>
      <c r="JLJ23" s="311"/>
      <c r="JLK23" s="311"/>
      <c r="JLL23" s="311"/>
      <c r="JLM23" s="311"/>
      <c r="JLN23" s="311"/>
      <c r="JLO23" s="311"/>
      <c r="JLP23" s="311"/>
      <c r="JLQ23" s="311"/>
      <c r="JLR23" s="311"/>
      <c r="JLS23" s="311"/>
      <c r="JLT23" s="311"/>
      <c r="JLU23" s="311"/>
      <c r="JLV23" s="311"/>
      <c r="JLW23" s="311"/>
      <c r="JLX23" s="311"/>
      <c r="JLY23" s="311"/>
      <c r="JLZ23" s="311"/>
      <c r="JMA23" s="311"/>
      <c r="JMB23" s="311"/>
      <c r="JMC23" s="311"/>
      <c r="JMD23" s="311"/>
      <c r="JME23" s="311"/>
      <c r="JMF23" s="311"/>
      <c r="JMG23" s="311"/>
      <c r="JMH23" s="311"/>
      <c r="JMI23" s="311"/>
      <c r="JMJ23" s="311"/>
      <c r="JMK23" s="311"/>
      <c r="JML23" s="311"/>
      <c r="JMM23" s="311"/>
      <c r="JMN23" s="311"/>
      <c r="JMO23" s="311"/>
      <c r="JMP23" s="311"/>
      <c r="JMQ23" s="311"/>
      <c r="JMR23" s="311"/>
      <c r="JMS23" s="311"/>
      <c r="JMT23" s="311"/>
      <c r="JMU23" s="311"/>
      <c r="JMV23" s="311"/>
      <c r="JMW23" s="311"/>
      <c r="JMX23" s="311"/>
      <c r="JMY23" s="311"/>
      <c r="JMZ23" s="311"/>
      <c r="JNA23" s="311"/>
      <c r="JNB23" s="311"/>
      <c r="JNC23" s="311"/>
      <c r="JND23" s="311"/>
      <c r="JNE23" s="311"/>
      <c r="JNF23" s="311"/>
      <c r="JNG23" s="311"/>
      <c r="JNH23" s="311"/>
      <c r="JNI23" s="311"/>
      <c r="JNJ23" s="311"/>
      <c r="JNK23" s="311"/>
      <c r="JNL23" s="311"/>
      <c r="JNM23" s="311"/>
      <c r="JNN23" s="311"/>
      <c r="JNO23" s="311"/>
      <c r="JNP23" s="311"/>
      <c r="JNQ23" s="311"/>
      <c r="JNR23" s="311"/>
      <c r="JNS23" s="311"/>
      <c r="JNT23" s="311"/>
      <c r="JNU23" s="311"/>
      <c r="JNV23" s="311"/>
      <c r="JNW23" s="311"/>
      <c r="JNX23" s="311"/>
      <c r="JNY23" s="311"/>
      <c r="JNZ23" s="311"/>
      <c r="JOA23" s="311"/>
      <c r="JOB23" s="311"/>
      <c r="JOC23" s="311"/>
      <c r="JOD23" s="311"/>
      <c r="JOE23" s="311"/>
      <c r="JOF23" s="311"/>
      <c r="JOG23" s="311"/>
      <c r="JOH23" s="311"/>
      <c r="JOI23" s="311"/>
      <c r="JOJ23" s="311"/>
      <c r="JOK23" s="311"/>
      <c r="JOL23" s="311"/>
      <c r="JOM23" s="311"/>
      <c r="JON23" s="311"/>
      <c r="JOO23" s="311"/>
      <c r="JOP23" s="311"/>
      <c r="JOQ23" s="311"/>
      <c r="JOR23" s="311"/>
      <c r="JOS23" s="311"/>
      <c r="JOT23" s="311"/>
      <c r="JOU23" s="311"/>
      <c r="JOV23" s="311"/>
      <c r="JOW23" s="311"/>
      <c r="JOX23" s="311"/>
      <c r="JOY23" s="311"/>
      <c r="JOZ23" s="311"/>
      <c r="JPA23" s="311"/>
      <c r="JPB23" s="311"/>
      <c r="JPC23" s="311"/>
      <c r="JPD23" s="311"/>
      <c r="JPE23" s="311"/>
      <c r="JPF23" s="311"/>
      <c r="JPG23" s="311"/>
      <c r="JPH23" s="311"/>
      <c r="JPI23" s="311"/>
      <c r="JPJ23" s="311"/>
      <c r="JPK23" s="311"/>
      <c r="JPL23" s="311"/>
      <c r="JPM23" s="311"/>
      <c r="JPN23" s="311"/>
      <c r="JPO23" s="311"/>
      <c r="JPP23" s="311"/>
      <c r="JPQ23" s="311"/>
      <c r="JPR23" s="311"/>
      <c r="JPS23" s="311"/>
      <c r="JPT23" s="311"/>
      <c r="JPU23" s="311"/>
      <c r="JPV23" s="311"/>
      <c r="JPW23" s="311"/>
      <c r="JPX23" s="311"/>
      <c r="JPY23" s="311"/>
      <c r="JPZ23" s="311"/>
      <c r="JQA23" s="311"/>
      <c r="JQB23" s="311"/>
      <c r="JQC23" s="311"/>
      <c r="JQD23" s="311"/>
      <c r="JQE23" s="311"/>
      <c r="JQF23" s="311"/>
      <c r="JQG23" s="311"/>
      <c r="JQH23" s="311"/>
      <c r="JQI23" s="311"/>
      <c r="JQJ23" s="311"/>
      <c r="JQK23" s="311"/>
      <c r="JQL23" s="311"/>
      <c r="JQM23" s="311"/>
      <c r="JQN23" s="311"/>
      <c r="JQO23" s="311"/>
      <c r="JQP23" s="311"/>
      <c r="JQQ23" s="311"/>
      <c r="JQR23" s="311"/>
      <c r="JQS23" s="311"/>
      <c r="JQT23" s="311"/>
      <c r="JQU23" s="311"/>
      <c r="JQV23" s="311"/>
      <c r="JQW23" s="311"/>
      <c r="JQX23" s="311"/>
      <c r="JQY23" s="311"/>
      <c r="JQZ23" s="311"/>
      <c r="JRA23" s="311"/>
      <c r="JRB23" s="311"/>
      <c r="JRC23" s="311"/>
      <c r="JRD23" s="311"/>
      <c r="JRE23" s="311"/>
      <c r="JRF23" s="311"/>
      <c r="JRG23" s="311"/>
      <c r="JRH23" s="311"/>
      <c r="JRI23" s="311"/>
      <c r="JRJ23" s="311"/>
      <c r="JRK23" s="311"/>
      <c r="JRL23" s="311"/>
      <c r="JRM23" s="311"/>
      <c r="JRN23" s="311"/>
      <c r="JRO23" s="311"/>
      <c r="JRP23" s="311"/>
      <c r="JRQ23" s="311"/>
      <c r="JRR23" s="311"/>
      <c r="JRS23" s="311"/>
      <c r="JRT23" s="311"/>
      <c r="JRU23" s="311"/>
      <c r="JRV23" s="311"/>
      <c r="JRW23" s="311"/>
      <c r="JRX23" s="311"/>
      <c r="JRY23" s="311"/>
      <c r="JRZ23" s="311"/>
      <c r="JSA23" s="311"/>
      <c r="JSB23" s="311"/>
      <c r="JSC23" s="311"/>
      <c r="JSD23" s="311"/>
      <c r="JSE23" s="311"/>
      <c r="JSF23" s="311"/>
      <c r="JSG23" s="311"/>
      <c r="JSH23" s="311"/>
      <c r="JSI23" s="311"/>
      <c r="JSJ23" s="311"/>
      <c r="JSK23" s="311"/>
      <c r="JSL23" s="311"/>
      <c r="JSM23" s="311"/>
      <c r="JSN23" s="311"/>
      <c r="JSO23" s="311"/>
      <c r="JSP23" s="311"/>
      <c r="JSQ23" s="311"/>
      <c r="JSR23" s="311"/>
      <c r="JSS23" s="311"/>
      <c r="JST23" s="311"/>
      <c r="JSU23" s="311"/>
      <c r="JSV23" s="311"/>
      <c r="JSW23" s="311"/>
      <c r="JSX23" s="311"/>
      <c r="JSY23" s="311"/>
      <c r="JSZ23" s="311"/>
      <c r="JTA23" s="311"/>
      <c r="JTB23" s="311"/>
      <c r="JTC23" s="311"/>
      <c r="JTD23" s="311"/>
      <c r="JTE23" s="311"/>
      <c r="JTF23" s="311"/>
      <c r="JTG23" s="311"/>
      <c r="JTH23" s="311"/>
      <c r="JTI23" s="311"/>
      <c r="JTJ23" s="311"/>
      <c r="JTK23" s="311"/>
      <c r="JTL23" s="311"/>
      <c r="JTM23" s="311"/>
      <c r="JTN23" s="311"/>
      <c r="JTO23" s="311"/>
      <c r="JTP23" s="311"/>
      <c r="JTQ23" s="311"/>
      <c r="JTR23" s="311"/>
      <c r="JTS23" s="311"/>
      <c r="JTT23" s="311"/>
      <c r="JTU23" s="311"/>
      <c r="JTV23" s="311"/>
      <c r="JTW23" s="311"/>
      <c r="JTX23" s="311"/>
      <c r="JTY23" s="311"/>
      <c r="JTZ23" s="311"/>
      <c r="JUA23" s="311"/>
      <c r="JUB23" s="311"/>
      <c r="JUC23" s="311"/>
      <c r="JUD23" s="311"/>
      <c r="JUE23" s="311"/>
      <c r="JUF23" s="311"/>
      <c r="JUG23" s="311"/>
      <c r="JUH23" s="311"/>
      <c r="JUI23" s="311"/>
      <c r="JUJ23" s="311"/>
      <c r="JUK23" s="311"/>
      <c r="JUL23" s="311"/>
      <c r="JUM23" s="311"/>
      <c r="JUN23" s="311"/>
      <c r="JUO23" s="311"/>
      <c r="JUP23" s="311"/>
      <c r="JUQ23" s="311"/>
      <c r="JUR23" s="311"/>
      <c r="JUS23" s="311"/>
      <c r="JUT23" s="311"/>
      <c r="JUU23" s="311"/>
      <c r="JUV23" s="311"/>
      <c r="JUW23" s="311"/>
      <c r="JUX23" s="311"/>
      <c r="JUY23" s="311"/>
      <c r="JUZ23" s="311"/>
      <c r="JVA23" s="311"/>
      <c r="JVB23" s="311"/>
      <c r="JVC23" s="311"/>
      <c r="JVD23" s="311"/>
      <c r="JVE23" s="311"/>
      <c r="JVF23" s="311"/>
      <c r="JVG23" s="311"/>
      <c r="JVH23" s="311"/>
      <c r="JVI23" s="311"/>
      <c r="JVJ23" s="311"/>
      <c r="JVK23" s="311"/>
      <c r="JVL23" s="311"/>
      <c r="JVM23" s="311"/>
      <c r="JVN23" s="311"/>
      <c r="JVO23" s="311"/>
      <c r="JVP23" s="311"/>
      <c r="JVQ23" s="311"/>
      <c r="JVR23" s="311"/>
      <c r="JVS23" s="311"/>
      <c r="JVT23" s="311"/>
      <c r="JVU23" s="311"/>
      <c r="JVV23" s="311"/>
      <c r="JVW23" s="311"/>
      <c r="JVX23" s="311"/>
      <c r="JVY23" s="311"/>
      <c r="JVZ23" s="311"/>
      <c r="JWA23" s="311"/>
      <c r="JWB23" s="311"/>
      <c r="JWC23" s="311"/>
      <c r="JWD23" s="311"/>
      <c r="JWE23" s="311"/>
      <c r="JWF23" s="311"/>
      <c r="JWG23" s="311"/>
      <c r="JWH23" s="311"/>
      <c r="JWI23" s="311"/>
      <c r="JWJ23" s="311"/>
      <c r="JWK23" s="311"/>
      <c r="JWL23" s="311"/>
      <c r="JWM23" s="311"/>
      <c r="JWN23" s="311"/>
      <c r="JWO23" s="311"/>
      <c r="JWP23" s="311"/>
      <c r="JWQ23" s="311"/>
      <c r="JWR23" s="311"/>
      <c r="JWS23" s="311"/>
      <c r="JWT23" s="311"/>
      <c r="JWU23" s="311"/>
      <c r="JWV23" s="311"/>
      <c r="JWW23" s="311"/>
      <c r="JWX23" s="311"/>
      <c r="JWY23" s="311"/>
      <c r="JWZ23" s="311"/>
      <c r="JXA23" s="311"/>
      <c r="JXB23" s="311"/>
      <c r="JXC23" s="311"/>
      <c r="JXD23" s="311"/>
      <c r="JXE23" s="311"/>
      <c r="JXF23" s="311"/>
      <c r="JXG23" s="311"/>
      <c r="JXH23" s="311"/>
      <c r="JXI23" s="311"/>
      <c r="JXJ23" s="311"/>
      <c r="JXK23" s="311"/>
      <c r="JXL23" s="311"/>
      <c r="JXM23" s="311"/>
      <c r="JXN23" s="311"/>
      <c r="JXO23" s="311"/>
      <c r="JXP23" s="311"/>
      <c r="JXQ23" s="311"/>
      <c r="JXR23" s="311"/>
      <c r="JXS23" s="311"/>
      <c r="JXT23" s="311"/>
      <c r="JXU23" s="311"/>
      <c r="JXV23" s="311"/>
      <c r="JXW23" s="311"/>
      <c r="JXX23" s="311"/>
      <c r="JXY23" s="311"/>
      <c r="JXZ23" s="311"/>
      <c r="JYA23" s="311"/>
      <c r="JYB23" s="311"/>
      <c r="JYC23" s="311"/>
      <c r="JYD23" s="311"/>
      <c r="JYE23" s="311"/>
      <c r="JYF23" s="311"/>
      <c r="JYG23" s="311"/>
      <c r="JYH23" s="311"/>
      <c r="JYI23" s="311"/>
      <c r="JYJ23" s="311"/>
      <c r="JYK23" s="311"/>
      <c r="JYL23" s="311"/>
      <c r="JYM23" s="311"/>
      <c r="JYN23" s="311"/>
      <c r="JYO23" s="311"/>
      <c r="JYP23" s="311"/>
      <c r="JYQ23" s="311"/>
      <c r="JYR23" s="311"/>
      <c r="JYS23" s="311"/>
      <c r="JYT23" s="311"/>
      <c r="JYU23" s="311"/>
      <c r="JYV23" s="311"/>
      <c r="JYW23" s="311"/>
      <c r="JYX23" s="311"/>
      <c r="JYY23" s="311"/>
      <c r="JYZ23" s="311"/>
      <c r="JZA23" s="311"/>
      <c r="JZB23" s="311"/>
      <c r="JZC23" s="311"/>
      <c r="JZD23" s="311"/>
      <c r="JZE23" s="311"/>
      <c r="JZF23" s="311"/>
      <c r="JZG23" s="311"/>
      <c r="JZH23" s="311"/>
      <c r="JZI23" s="311"/>
      <c r="JZJ23" s="311"/>
      <c r="JZK23" s="311"/>
      <c r="JZL23" s="311"/>
      <c r="JZM23" s="311"/>
      <c r="JZN23" s="311"/>
      <c r="JZO23" s="311"/>
      <c r="JZP23" s="311"/>
      <c r="JZQ23" s="311"/>
      <c r="JZR23" s="311"/>
      <c r="JZS23" s="311"/>
      <c r="JZT23" s="311"/>
      <c r="JZU23" s="311"/>
      <c r="JZV23" s="311"/>
      <c r="JZW23" s="311"/>
      <c r="JZX23" s="311"/>
      <c r="JZY23" s="311"/>
      <c r="JZZ23" s="311"/>
      <c r="KAA23" s="311"/>
      <c r="KAB23" s="311"/>
      <c r="KAC23" s="311"/>
      <c r="KAD23" s="311"/>
      <c r="KAE23" s="311"/>
      <c r="KAF23" s="311"/>
      <c r="KAG23" s="311"/>
      <c r="KAH23" s="311"/>
      <c r="KAI23" s="311"/>
      <c r="KAJ23" s="311"/>
      <c r="KAK23" s="311"/>
      <c r="KAL23" s="311"/>
      <c r="KAM23" s="311"/>
      <c r="KAN23" s="311"/>
      <c r="KAO23" s="311"/>
      <c r="KAP23" s="311"/>
      <c r="KAQ23" s="311"/>
      <c r="KAR23" s="311"/>
      <c r="KAS23" s="311"/>
      <c r="KAT23" s="311"/>
      <c r="KAU23" s="311"/>
      <c r="KAV23" s="311"/>
      <c r="KAW23" s="311"/>
      <c r="KAX23" s="311"/>
      <c r="KAY23" s="311"/>
      <c r="KAZ23" s="311"/>
      <c r="KBA23" s="311"/>
      <c r="KBB23" s="311"/>
      <c r="KBC23" s="311"/>
      <c r="KBD23" s="311"/>
      <c r="KBE23" s="311"/>
      <c r="KBF23" s="311"/>
      <c r="KBG23" s="311"/>
      <c r="KBH23" s="311"/>
      <c r="KBI23" s="311"/>
      <c r="KBJ23" s="311"/>
      <c r="KBK23" s="311"/>
      <c r="KBL23" s="311"/>
      <c r="KBM23" s="311"/>
      <c r="KBN23" s="311"/>
      <c r="KBO23" s="311"/>
      <c r="KBP23" s="311"/>
      <c r="KBQ23" s="311"/>
      <c r="KBR23" s="311"/>
      <c r="KBS23" s="311"/>
      <c r="KBT23" s="311"/>
      <c r="KBU23" s="311"/>
      <c r="KBV23" s="311"/>
      <c r="KBW23" s="311"/>
      <c r="KBX23" s="311"/>
      <c r="KBY23" s="311"/>
      <c r="KBZ23" s="311"/>
      <c r="KCA23" s="311"/>
      <c r="KCB23" s="311"/>
      <c r="KCC23" s="311"/>
      <c r="KCD23" s="311"/>
      <c r="KCE23" s="311"/>
      <c r="KCF23" s="311"/>
      <c r="KCG23" s="311"/>
      <c r="KCH23" s="311"/>
      <c r="KCI23" s="311"/>
      <c r="KCJ23" s="311"/>
      <c r="KCK23" s="311"/>
      <c r="KCL23" s="311"/>
      <c r="KCM23" s="311"/>
      <c r="KCN23" s="311"/>
      <c r="KCO23" s="311"/>
      <c r="KCP23" s="311"/>
      <c r="KCQ23" s="311"/>
      <c r="KCR23" s="311"/>
      <c r="KCS23" s="311"/>
      <c r="KCT23" s="311"/>
      <c r="KCU23" s="311"/>
      <c r="KCV23" s="311"/>
      <c r="KCW23" s="311"/>
      <c r="KCX23" s="311"/>
      <c r="KCY23" s="311"/>
      <c r="KCZ23" s="311"/>
      <c r="KDA23" s="311"/>
      <c r="KDB23" s="311"/>
      <c r="KDC23" s="311"/>
      <c r="KDD23" s="311"/>
      <c r="KDE23" s="311"/>
      <c r="KDF23" s="311"/>
      <c r="KDG23" s="311"/>
      <c r="KDH23" s="311"/>
      <c r="KDI23" s="311"/>
      <c r="KDJ23" s="311"/>
      <c r="KDK23" s="311"/>
      <c r="KDL23" s="311"/>
      <c r="KDM23" s="311"/>
      <c r="KDN23" s="311"/>
      <c r="KDO23" s="311"/>
      <c r="KDP23" s="311"/>
      <c r="KDQ23" s="311"/>
      <c r="KDR23" s="311"/>
      <c r="KDS23" s="311"/>
      <c r="KDT23" s="311"/>
      <c r="KDU23" s="311"/>
      <c r="KDV23" s="311"/>
      <c r="KDW23" s="311"/>
      <c r="KDX23" s="311"/>
      <c r="KDY23" s="311"/>
      <c r="KDZ23" s="311"/>
      <c r="KEA23" s="311"/>
      <c r="KEB23" s="311"/>
      <c r="KEC23" s="311"/>
      <c r="KED23" s="311"/>
      <c r="KEE23" s="311"/>
      <c r="KEF23" s="311"/>
      <c r="KEG23" s="311"/>
      <c r="KEH23" s="311"/>
      <c r="KEI23" s="311"/>
      <c r="KEJ23" s="311"/>
      <c r="KEK23" s="311"/>
      <c r="KEL23" s="311"/>
      <c r="KEM23" s="311"/>
      <c r="KEN23" s="311"/>
      <c r="KEO23" s="311"/>
      <c r="KEP23" s="311"/>
      <c r="KEQ23" s="311"/>
      <c r="KER23" s="311"/>
      <c r="KES23" s="311"/>
      <c r="KET23" s="311"/>
      <c r="KEU23" s="311"/>
      <c r="KEV23" s="311"/>
      <c r="KEW23" s="311"/>
      <c r="KEX23" s="311"/>
      <c r="KEY23" s="311"/>
      <c r="KEZ23" s="311"/>
      <c r="KFA23" s="311"/>
      <c r="KFB23" s="311"/>
      <c r="KFC23" s="311"/>
      <c r="KFD23" s="311"/>
      <c r="KFE23" s="311"/>
      <c r="KFF23" s="311"/>
      <c r="KFG23" s="311"/>
      <c r="KFH23" s="311"/>
      <c r="KFI23" s="311"/>
      <c r="KFJ23" s="311"/>
      <c r="KFK23" s="311"/>
      <c r="KFL23" s="311"/>
      <c r="KFM23" s="311"/>
      <c r="KFN23" s="311"/>
      <c r="KFO23" s="311"/>
      <c r="KFP23" s="311"/>
      <c r="KFQ23" s="311"/>
      <c r="KFR23" s="311"/>
      <c r="KFS23" s="311"/>
      <c r="KFT23" s="311"/>
      <c r="KFU23" s="311"/>
      <c r="KFV23" s="311"/>
      <c r="KFW23" s="311"/>
      <c r="KFX23" s="311"/>
      <c r="KFY23" s="311"/>
      <c r="KFZ23" s="311"/>
      <c r="KGA23" s="311"/>
      <c r="KGB23" s="311"/>
      <c r="KGC23" s="311"/>
      <c r="KGD23" s="311"/>
      <c r="KGE23" s="311"/>
      <c r="KGF23" s="311"/>
      <c r="KGG23" s="311"/>
      <c r="KGH23" s="311"/>
      <c r="KGI23" s="311"/>
      <c r="KGJ23" s="311"/>
      <c r="KGK23" s="311"/>
      <c r="KGL23" s="311"/>
      <c r="KGM23" s="311"/>
      <c r="KGN23" s="311"/>
      <c r="KGO23" s="311"/>
      <c r="KGP23" s="311"/>
      <c r="KGQ23" s="311"/>
      <c r="KGR23" s="311"/>
      <c r="KGS23" s="311"/>
      <c r="KGT23" s="311"/>
      <c r="KGU23" s="311"/>
      <c r="KGV23" s="311"/>
      <c r="KGW23" s="311"/>
      <c r="KGX23" s="311"/>
      <c r="KGY23" s="311"/>
      <c r="KGZ23" s="311"/>
      <c r="KHA23" s="311"/>
      <c r="KHB23" s="311"/>
      <c r="KHC23" s="311"/>
      <c r="KHD23" s="311"/>
      <c r="KHE23" s="311"/>
      <c r="KHF23" s="311"/>
      <c r="KHG23" s="311"/>
      <c r="KHH23" s="311"/>
      <c r="KHI23" s="311"/>
      <c r="KHJ23" s="311"/>
      <c r="KHK23" s="311"/>
      <c r="KHL23" s="311"/>
      <c r="KHM23" s="311"/>
      <c r="KHN23" s="311"/>
      <c r="KHO23" s="311"/>
      <c r="KHP23" s="311"/>
      <c r="KHQ23" s="311"/>
      <c r="KHR23" s="311"/>
      <c r="KHS23" s="311"/>
      <c r="KHT23" s="311"/>
      <c r="KHU23" s="311"/>
      <c r="KHV23" s="311"/>
      <c r="KHW23" s="311"/>
      <c r="KHX23" s="311"/>
      <c r="KHY23" s="311"/>
      <c r="KHZ23" s="311"/>
      <c r="KIA23" s="311"/>
      <c r="KIB23" s="311"/>
      <c r="KIC23" s="311"/>
      <c r="KID23" s="311"/>
      <c r="KIE23" s="311"/>
      <c r="KIF23" s="311"/>
      <c r="KIG23" s="311"/>
      <c r="KIH23" s="311"/>
      <c r="KII23" s="311"/>
      <c r="KIJ23" s="311"/>
      <c r="KIK23" s="311"/>
      <c r="KIL23" s="311"/>
      <c r="KIM23" s="311"/>
      <c r="KIN23" s="311"/>
      <c r="KIO23" s="311"/>
      <c r="KIP23" s="311"/>
      <c r="KIQ23" s="311"/>
      <c r="KIR23" s="311"/>
      <c r="KIS23" s="311"/>
      <c r="KIT23" s="311"/>
      <c r="KIU23" s="311"/>
      <c r="KIV23" s="311"/>
      <c r="KIW23" s="311"/>
      <c r="KIX23" s="311"/>
      <c r="KIY23" s="311"/>
      <c r="KIZ23" s="311"/>
      <c r="KJA23" s="311"/>
      <c r="KJB23" s="311"/>
      <c r="KJC23" s="311"/>
      <c r="KJD23" s="311"/>
      <c r="KJE23" s="311"/>
      <c r="KJF23" s="311"/>
      <c r="KJG23" s="311"/>
      <c r="KJH23" s="311"/>
      <c r="KJI23" s="311"/>
      <c r="KJJ23" s="311"/>
      <c r="KJK23" s="311"/>
      <c r="KJL23" s="311"/>
      <c r="KJM23" s="311"/>
      <c r="KJN23" s="311"/>
      <c r="KJO23" s="311"/>
      <c r="KJP23" s="311"/>
      <c r="KJQ23" s="311"/>
      <c r="KJR23" s="311"/>
      <c r="KJS23" s="311"/>
      <c r="KJT23" s="311"/>
      <c r="KJU23" s="311"/>
      <c r="KJV23" s="311"/>
      <c r="KJW23" s="311"/>
      <c r="KJX23" s="311"/>
      <c r="KJY23" s="311"/>
      <c r="KJZ23" s="311"/>
      <c r="KKA23" s="311"/>
      <c r="KKB23" s="311"/>
      <c r="KKC23" s="311"/>
      <c r="KKD23" s="311"/>
      <c r="KKE23" s="311"/>
      <c r="KKF23" s="311"/>
      <c r="KKG23" s="311"/>
      <c r="KKH23" s="311"/>
      <c r="KKI23" s="311"/>
      <c r="KKJ23" s="311"/>
      <c r="KKK23" s="311"/>
      <c r="KKL23" s="311"/>
      <c r="KKM23" s="311"/>
      <c r="KKN23" s="311"/>
      <c r="KKO23" s="311"/>
      <c r="KKP23" s="311"/>
      <c r="KKQ23" s="311"/>
      <c r="KKR23" s="311"/>
      <c r="KKS23" s="311"/>
      <c r="KKT23" s="311"/>
      <c r="KKU23" s="311"/>
      <c r="KKV23" s="311"/>
      <c r="KKW23" s="311"/>
      <c r="KKX23" s="311"/>
      <c r="KKY23" s="311"/>
      <c r="KKZ23" s="311"/>
      <c r="KLA23" s="311"/>
      <c r="KLB23" s="311"/>
      <c r="KLC23" s="311"/>
      <c r="KLD23" s="311"/>
      <c r="KLE23" s="311"/>
      <c r="KLF23" s="311"/>
      <c r="KLG23" s="311"/>
      <c r="KLH23" s="311"/>
      <c r="KLI23" s="311"/>
      <c r="KLJ23" s="311"/>
      <c r="KLK23" s="311"/>
      <c r="KLL23" s="311"/>
      <c r="KLM23" s="311"/>
      <c r="KLN23" s="311"/>
      <c r="KLO23" s="311"/>
      <c r="KLP23" s="311"/>
      <c r="KLQ23" s="311"/>
      <c r="KLR23" s="311"/>
      <c r="KLS23" s="311"/>
      <c r="KLT23" s="311"/>
      <c r="KLU23" s="311"/>
      <c r="KLV23" s="311"/>
      <c r="KLW23" s="311"/>
      <c r="KLX23" s="311"/>
      <c r="KLY23" s="311"/>
      <c r="KLZ23" s="311"/>
      <c r="KMA23" s="311"/>
      <c r="KMB23" s="311"/>
      <c r="KMC23" s="311"/>
      <c r="KMD23" s="311"/>
      <c r="KME23" s="311"/>
      <c r="KMF23" s="311"/>
      <c r="KMG23" s="311"/>
      <c r="KMH23" s="311"/>
      <c r="KMI23" s="311"/>
      <c r="KMJ23" s="311"/>
      <c r="KMK23" s="311"/>
      <c r="KML23" s="311"/>
      <c r="KMM23" s="311"/>
      <c r="KMN23" s="311"/>
      <c r="KMO23" s="311"/>
      <c r="KMP23" s="311"/>
      <c r="KMQ23" s="311"/>
      <c r="KMR23" s="311"/>
      <c r="KMS23" s="311"/>
      <c r="KMT23" s="311"/>
      <c r="KMU23" s="311"/>
      <c r="KMV23" s="311"/>
      <c r="KMW23" s="311"/>
      <c r="KMX23" s="311"/>
      <c r="KMY23" s="311"/>
      <c r="KMZ23" s="311"/>
      <c r="KNA23" s="311"/>
      <c r="KNB23" s="311"/>
      <c r="KNC23" s="311"/>
      <c r="KND23" s="311"/>
      <c r="KNE23" s="311"/>
      <c r="KNF23" s="311"/>
      <c r="KNG23" s="311"/>
      <c r="KNH23" s="311"/>
      <c r="KNI23" s="311"/>
      <c r="KNJ23" s="311"/>
      <c r="KNK23" s="311"/>
      <c r="KNL23" s="311"/>
      <c r="KNM23" s="311"/>
      <c r="KNN23" s="311"/>
      <c r="KNO23" s="311"/>
      <c r="KNP23" s="311"/>
      <c r="KNQ23" s="311"/>
      <c r="KNR23" s="311"/>
      <c r="KNS23" s="311"/>
      <c r="KNT23" s="311"/>
      <c r="KNU23" s="311"/>
      <c r="KNV23" s="311"/>
      <c r="KNW23" s="311"/>
      <c r="KNX23" s="311"/>
      <c r="KNY23" s="311"/>
      <c r="KNZ23" s="311"/>
      <c r="KOA23" s="311"/>
      <c r="KOB23" s="311"/>
      <c r="KOC23" s="311"/>
      <c r="KOD23" s="311"/>
      <c r="KOE23" s="311"/>
      <c r="KOF23" s="311"/>
      <c r="KOG23" s="311"/>
      <c r="KOH23" s="311"/>
      <c r="KOI23" s="311"/>
      <c r="KOJ23" s="311"/>
      <c r="KOK23" s="311"/>
      <c r="KOL23" s="311"/>
      <c r="KOM23" s="311"/>
      <c r="KON23" s="311"/>
      <c r="KOO23" s="311"/>
      <c r="KOP23" s="311"/>
      <c r="KOQ23" s="311"/>
      <c r="KOR23" s="311"/>
      <c r="KOS23" s="311"/>
      <c r="KOT23" s="311"/>
      <c r="KOU23" s="311"/>
      <c r="KOV23" s="311"/>
      <c r="KOW23" s="311"/>
      <c r="KOX23" s="311"/>
      <c r="KOY23" s="311"/>
      <c r="KOZ23" s="311"/>
      <c r="KPA23" s="311"/>
      <c r="KPB23" s="311"/>
      <c r="KPC23" s="311"/>
      <c r="KPD23" s="311"/>
      <c r="KPE23" s="311"/>
      <c r="KPF23" s="311"/>
      <c r="KPG23" s="311"/>
      <c r="KPH23" s="311"/>
      <c r="KPI23" s="311"/>
      <c r="KPJ23" s="311"/>
      <c r="KPK23" s="311"/>
      <c r="KPL23" s="311"/>
      <c r="KPM23" s="311"/>
      <c r="KPN23" s="311"/>
      <c r="KPO23" s="311"/>
      <c r="KPP23" s="311"/>
      <c r="KPQ23" s="311"/>
      <c r="KPR23" s="311"/>
      <c r="KPS23" s="311"/>
      <c r="KPT23" s="311"/>
      <c r="KPU23" s="311"/>
      <c r="KPV23" s="311"/>
      <c r="KPW23" s="311"/>
      <c r="KPX23" s="311"/>
      <c r="KPY23" s="311"/>
      <c r="KPZ23" s="311"/>
      <c r="KQA23" s="311"/>
      <c r="KQB23" s="311"/>
      <c r="KQC23" s="311"/>
      <c r="KQD23" s="311"/>
      <c r="KQE23" s="311"/>
      <c r="KQF23" s="311"/>
      <c r="KQG23" s="311"/>
      <c r="KQH23" s="311"/>
      <c r="KQI23" s="311"/>
      <c r="KQJ23" s="311"/>
      <c r="KQK23" s="311"/>
      <c r="KQL23" s="311"/>
      <c r="KQM23" s="311"/>
      <c r="KQN23" s="311"/>
      <c r="KQO23" s="311"/>
      <c r="KQP23" s="311"/>
      <c r="KQQ23" s="311"/>
      <c r="KQR23" s="311"/>
      <c r="KQS23" s="311"/>
      <c r="KQT23" s="311"/>
      <c r="KQU23" s="311"/>
      <c r="KQV23" s="311"/>
      <c r="KQW23" s="311"/>
      <c r="KQX23" s="311"/>
      <c r="KQY23" s="311"/>
      <c r="KQZ23" s="311"/>
      <c r="KRA23" s="311"/>
      <c r="KRB23" s="311"/>
      <c r="KRC23" s="311"/>
      <c r="KRD23" s="311"/>
      <c r="KRE23" s="311"/>
      <c r="KRF23" s="311"/>
      <c r="KRG23" s="311"/>
      <c r="KRH23" s="311"/>
      <c r="KRI23" s="311"/>
      <c r="KRJ23" s="311"/>
      <c r="KRK23" s="311"/>
      <c r="KRL23" s="311"/>
      <c r="KRM23" s="311"/>
      <c r="KRN23" s="311"/>
      <c r="KRO23" s="311"/>
      <c r="KRP23" s="311"/>
      <c r="KRQ23" s="311"/>
      <c r="KRR23" s="311"/>
      <c r="KRS23" s="311"/>
      <c r="KRT23" s="311"/>
      <c r="KRU23" s="311"/>
      <c r="KRV23" s="311"/>
      <c r="KRW23" s="311"/>
      <c r="KRX23" s="311"/>
      <c r="KRY23" s="311"/>
      <c r="KRZ23" s="311"/>
      <c r="KSA23" s="311"/>
      <c r="KSB23" s="311"/>
      <c r="KSC23" s="311"/>
      <c r="KSD23" s="311"/>
      <c r="KSE23" s="311"/>
      <c r="KSF23" s="311"/>
      <c r="KSG23" s="311"/>
      <c r="KSH23" s="311"/>
      <c r="KSI23" s="311"/>
      <c r="KSJ23" s="311"/>
      <c r="KSK23" s="311"/>
      <c r="KSL23" s="311"/>
      <c r="KSM23" s="311"/>
      <c r="KSN23" s="311"/>
      <c r="KSO23" s="311"/>
      <c r="KSP23" s="311"/>
      <c r="KSQ23" s="311"/>
      <c r="KSR23" s="311"/>
      <c r="KSS23" s="311"/>
      <c r="KST23" s="311"/>
      <c r="KSU23" s="311"/>
      <c r="KSV23" s="311"/>
      <c r="KSW23" s="311"/>
      <c r="KSX23" s="311"/>
      <c r="KSY23" s="311"/>
      <c r="KSZ23" s="311"/>
      <c r="KTA23" s="311"/>
      <c r="KTB23" s="311"/>
      <c r="KTC23" s="311"/>
      <c r="KTD23" s="311"/>
      <c r="KTE23" s="311"/>
      <c r="KTF23" s="311"/>
      <c r="KTG23" s="311"/>
      <c r="KTH23" s="311"/>
      <c r="KTI23" s="311"/>
      <c r="KTJ23" s="311"/>
      <c r="KTK23" s="311"/>
      <c r="KTL23" s="311"/>
      <c r="KTM23" s="311"/>
      <c r="KTN23" s="311"/>
      <c r="KTO23" s="311"/>
      <c r="KTP23" s="311"/>
      <c r="KTQ23" s="311"/>
      <c r="KTR23" s="311"/>
      <c r="KTS23" s="311"/>
      <c r="KTT23" s="311"/>
      <c r="KTU23" s="311"/>
      <c r="KTV23" s="311"/>
      <c r="KTW23" s="311"/>
      <c r="KTX23" s="311"/>
      <c r="KTY23" s="311"/>
      <c r="KTZ23" s="311"/>
      <c r="KUA23" s="311"/>
      <c r="KUB23" s="311"/>
      <c r="KUC23" s="311"/>
      <c r="KUD23" s="311"/>
      <c r="KUE23" s="311"/>
      <c r="KUF23" s="311"/>
      <c r="KUG23" s="311"/>
      <c r="KUH23" s="311"/>
      <c r="KUI23" s="311"/>
      <c r="KUJ23" s="311"/>
      <c r="KUK23" s="311"/>
      <c r="KUL23" s="311"/>
      <c r="KUM23" s="311"/>
      <c r="KUN23" s="311"/>
      <c r="KUO23" s="311"/>
      <c r="KUP23" s="311"/>
      <c r="KUQ23" s="311"/>
      <c r="KUR23" s="311"/>
      <c r="KUS23" s="311"/>
      <c r="KUT23" s="311"/>
      <c r="KUU23" s="311"/>
      <c r="KUV23" s="311"/>
      <c r="KUW23" s="311"/>
      <c r="KUX23" s="311"/>
      <c r="KUY23" s="311"/>
      <c r="KUZ23" s="311"/>
      <c r="KVA23" s="311"/>
      <c r="KVB23" s="311"/>
      <c r="KVC23" s="311"/>
      <c r="KVD23" s="311"/>
      <c r="KVE23" s="311"/>
      <c r="KVF23" s="311"/>
      <c r="KVG23" s="311"/>
      <c r="KVH23" s="311"/>
      <c r="KVI23" s="311"/>
      <c r="KVJ23" s="311"/>
      <c r="KVK23" s="311"/>
      <c r="KVL23" s="311"/>
      <c r="KVM23" s="311"/>
      <c r="KVN23" s="311"/>
      <c r="KVO23" s="311"/>
      <c r="KVP23" s="311"/>
      <c r="KVQ23" s="311"/>
      <c r="KVR23" s="311"/>
      <c r="KVS23" s="311"/>
      <c r="KVT23" s="311"/>
      <c r="KVU23" s="311"/>
      <c r="KVV23" s="311"/>
      <c r="KVW23" s="311"/>
      <c r="KVX23" s="311"/>
      <c r="KVY23" s="311"/>
      <c r="KVZ23" s="311"/>
      <c r="KWA23" s="311"/>
      <c r="KWB23" s="311"/>
      <c r="KWC23" s="311"/>
      <c r="KWD23" s="311"/>
      <c r="KWE23" s="311"/>
      <c r="KWF23" s="311"/>
      <c r="KWG23" s="311"/>
      <c r="KWH23" s="311"/>
      <c r="KWI23" s="311"/>
      <c r="KWJ23" s="311"/>
      <c r="KWK23" s="311"/>
      <c r="KWL23" s="311"/>
      <c r="KWM23" s="311"/>
      <c r="KWN23" s="311"/>
      <c r="KWO23" s="311"/>
      <c r="KWP23" s="311"/>
      <c r="KWQ23" s="311"/>
      <c r="KWR23" s="311"/>
      <c r="KWS23" s="311"/>
      <c r="KWT23" s="311"/>
      <c r="KWU23" s="311"/>
      <c r="KWV23" s="311"/>
      <c r="KWW23" s="311"/>
      <c r="KWX23" s="311"/>
      <c r="KWY23" s="311"/>
      <c r="KWZ23" s="311"/>
      <c r="KXA23" s="311"/>
      <c r="KXB23" s="311"/>
      <c r="KXC23" s="311"/>
      <c r="KXD23" s="311"/>
      <c r="KXE23" s="311"/>
      <c r="KXF23" s="311"/>
      <c r="KXG23" s="311"/>
      <c r="KXH23" s="311"/>
      <c r="KXI23" s="311"/>
      <c r="KXJ23" s="311"/>
      <c r="KXK23" s="311"/>
      <c r="KXL23" s="311"/>
      <c r="KXM23" s="311"/>
      <c r="KXN23" s="311"/>
      <c r="KXO23" s="311"/>
      <c r="KXP23" s="311"/>
      <c r="KXQ23" s="311"/>
      <c r="KXR23" s="311"/>
      <c r="KXS23" s="311"/>
      <c r="KXT23" s="311"/>
      <c r="KXU23" s="311"/>
      <c r="KXV23" s="311"/>
      <c r="KXW23" s="311"/>
      <c r="KXX23" s="311"/>
      <c r="KXY23" s="311"/>
      <c r="KXZ23" s="311"/>
      <c r="KYA23" s="311"/>
      <c r="KYB23" s="311"/>
      <c r="KYC23" s="311"/>
      <c r="KYD23" s="311"/>
      <c r="KYE23" s="311"/>
      <c r="KYF23" s="311"/>
      <c r="KYG23" s="311"/>
      <c r="KYH23" s="311"/>
      <c r="KYI23" s="311"/>
      <c r="KYJ23" s="311"/>
      <c r="KYK23" s="311"/>
      <c r="KYL23" s="311"/>
      <c r="KYM23" s="311"/>
      <c r="KYN23" s="311"/>
      <c r="KYO23" s="311"/>
      <c r="KYP23" s="311"/>
      <c r="KYQ23" s="311"/>
      <c r="KYR23" s="311"/>
      <c r="KYS23" s="311"/>
      <c r="KYT23" s="311"/>
      <c r="KYU23" s="311"/>
      <c r="KYV23" s="311"/>
      <c r="KYW23" s="311"/>
      <c r="KYX23" s="311"/>
      <c r="KYY23" s="311"/>
      <c r="KYZ23" s="311"/>
      <c r="KZA23" s="311"/>
      <c r="KZB23" s="311"/>
      <c r="KZC23" s="311"/>
      <c r="KZD23" s="311"/>
      <c r="KZE23" s="311"/>
      <c r="KZF23" s="311"/>
      <c r="KZG23" s="311"/>
      <c r="KZH23" s="311"/>
      <c r="KZI23" s="311"/>
      <c r="KZJ23" s="311"/>
      <c r="KZK23" s="311"/>
      <c r="KZL23" s="311"/>
      <c r="KZM23" s="311"/>
      <c r="KZN23" s="311"/>
      <c r="KZO23" s="311"/>
      <c r="KZP23" s="311"/>
      <c r="KZQ23" s="311"/>
      <c r="KZR23" s="311"/>
      <c r="KZS23" s="311"/>
      <c r="KZT23" s="311"/>
      <c r="KZU23" s="311"/>
      <c r="KZV23" s="311"/>
      <c r="KZW23" s="311"/>
      <c r="KZX23" s="311"/>
      <c r="KZY23" s="311"/>
      <c r="KZZ23" s="311"/>
      <c r="LAA23" s="311"/>
      <c r="LAB23" s="311"/>
      <c r="LAC23" s="311"/>
      <c r="LAD23" s="311"/>
      <c r="LAE23" s="311"/>
      <c r="LAF23" s="311"/>
      <c r="LAG23" s="311"/>
      <c r="LAH23" s="311"/>
      <c r="LAI23" s="311"/>
      <c r="LAJ23" s="311"/>
      <c r="LAK23" s="311"/>
      <c r="LAL23" s="311"/>
      <c r="LAM23" s="311"/>
      <c r="LAN23" s="311"/>
      <c r="LAO23" s="311"/>
      <c r="LAP23" s="311"/>
      <c r="LAQ23" s="311"/>
      <c r="LAR23" s="311"/>
      <c r="LAS23" s="311"/>
      <c r="LAT23" s="311"/>
      <c r="LAU23" s="311"/>
      <c r="LAV23" s="311"/>
      <c r="LAW23" s="311"/>
      <c r="LAX23" s="311"/>
      <c r="LAY23" s="311"/>
      <c r="LAZ23" s="311"/>
      <c r="LBA23" s="311"/>
      <c r="LBB23" s="311"/>
      <c r="LBC23" s="311"/>
      <c r="LBD23" s="311"/>
      <c r="LBE23" s="311"/>
      <c r="LBF23" s="311"/>
      <c r="LBG23" s="311"/>
      <c r="LBH23" s="311"/>
      <c r="LBI23" s="311"/>
      <c r="LBJ23" s="311"/>
      <c r="LBK23" s="311"/>
      <c r="LBL23" s="311"/>
      <c r="LBM23" s="311"/>
      <c r="LBN23" s="311"/>
      <c r="LBO23" s="311"/>
      <c r="LBP23" s="311"/>
      <c r="LBQ23" s="311"/>
      <c r="LBR23" s="311"/>
      <c r="LBS23" s="311"/>
      <c r="LBT23" s="311"/>
      <c r="LBU23" s="311"/>
      <c r="LBV23" s="311"/>
      <c r="LBW23" s="311"/>
      <c r="LBX23" s="311"/>
      <c r="LBY23" s="311"/>
      <c r="LBZ23" s="311"/>
      <c r="LCA23" s="311"/>
      <c r="LCB23" s="311"/>
      <c r="LCC23" s="311"/>
      <c r="LCD23" s="311"/>
      <c r="LCE23" s="311"/>
      <c r="LCF23" s="311"/>
      <c r="LCG23" s="311"/>
      <c r="LCH23" s="311"/>
      <c r="LCI23" s="311"/>
      <c r="LCJ23" s="311"/>
      <c r="LCK23" s="311"/>
      <c r="LCL23" s="311"/>
      <c r="LCM23" s="311"/>
      <c r="LCN23" s="311"/>
      <c r="LCO23" s="311"/>
      <c r="LCP23" s="311"/>
      <c r="LCQ23" s="311"/>
      <c r="LCR23" s="311"/>
      <c r="LCS23" s="311"/>
      <c r="LCT23" s="311"/>
      <c r="LCU23" s="311"/>
      <c r="LCV23" s="311"/>
      <c r="LCW23" s="311"/>
      <c r="LCX23" s="311"/>
      <c r="LCY23" s="311"/>
      <c r="LCZ23" s="311"/>
      <c r="LDA23" s="311"/>
      <c r="LDB23" s="311"/>
      <c r="LDC23" s="311"/>
      <c r="LDD23" s="311"/>
      <c r="LDE23" s="311"/>
      <c r="LDF23" s="311"/>
      <c r="LDG23" s="311"/>
      <c r="LDH23" s="311"/>
      <c r="LDI23" s="311"/>
      <c r="LDJ23" s="311"/>
      <c r="LDK23" s="311"/>
      <c r="LDL23" s="311"/>
      <c r="LDM23" s="311"/>
      <c r="LDN23" s="311"/>
      <c r="LDO23" s="311"/>
      <c r="LDP23" s="311"/>
      <c r="LDQ23" s="311"/>
      <c r="LDR23" s="311"/>
      <c r="LDS23" s="311"/>
      <c r="LDT23" s="311"/>
      <c r="LDU23" s="311"/>
      <c r="LDV23" s="311"/>
      <c r="LDW23" s="311"/>
      <c r="LDX23" s="311"/>
      <c r="LDY23" s="311"/>
      <c r="LDZ23" s="311"/>
      <c r="LEA23" s="311"/>
      <c r="LEB23" s="311"/>
      <c r="LEC23" s="311"/>
      <c r="LED23" s="311"/>
      <c r="LEE23" s="311"/>
      <c r="LEF23" s="311"/>
      <c r="LEG23" s="311"/>
      <c r="LEH23" s="311"/>
      <c r="LEI23" s="311"/>
      <c r="LEJ23" s="311"/>
      <c r="LEK23" s="311"/>
      <c r="LEL23" s="311"/>
      <c r="LEM23" s="311"/>
      <c r="LEN23" s="311"/>
      <c r="LEO23" s="311"/>
      <c r="LEP23" s="311"/>
      <c r="LEQ23" s="311"/>
      <c r="LER23" s="311"/>
      <c r="LES23" s="311"/>
      <c r="LET23" s="311"/>
      <c r="LEU23" s="311"/>
      <c r="LEV23" s="311"/>
      <c r="LEW23" s="311"/>
      <c r="LEX23" s="311"/>
      <c r="LEY23" s="311"/>
      <c r="LEZ23" s="311"/>
      <c r="LFA23" s="311"/>
      <c r="LFB23" s="311"/>
      <c r="LFC23" s="311"/>
      <c r="LFD23" s="311"/>
      <c r="LFE23" s="311"/>
      <c r="LFF23" s="311"/>
      <c r="LFG23" s="311"/>
      <c r="LFH23" s="311"/>
      <c r="LFI23" s="311"/>
      <c r="LFJ23" s="311"/>
      <c r="LFK23" s="311"/>
      <c r="LFL23" s="311"/>
      <c r="LFM23" s="311"/>
      <c r="LFN23" s="311"/>
      <c r="LFO23" s="311"/>
      <c r="LFP23" s="311"/>
      <c r="LFQ23" s="311"/>
      <c r="LFR23" s="311"/>
      <c r="LFS23" s="311"/>
      <c r="LFT23" s="311"/>
      <c r="LFU23" s="311"/>
      <c r="LFV23" s="311"/>
      <c r="LFW23" s="311"/>
      <c r="LFX23" s="311"/>
      <c r="LFY23" s="311"/>
      <c r="LFZ23" s="311"/>
      <c r="LGA23" s="311"/>
      <c r="LGB23" s="311"/>
      <c r="LGC23" s="311"/>
      <c r="LGD23" s="311"/>
      <c r="LGE23" s="311"/>
      <c r="LGF23" s="311"/>
      <c r="LGG23" s="311"/>
      <c r="LGH23" s="311"/>
      <c r="LGI23" s="311"/>
      <c r="LGJ23" s="311"/>
      <c r="LGK23" s="311"/>
      <c r="LGL23" s="311"/>
      <c r="LGM23" s="311"/>
      <c r="LGN23" s="311"/>
      <c r="LGO23" s="311"/>
      <c r="LGP23" s="311"/>
      <c r="LGQ23" s="311"/>
      <c r="LGR23" s="311"/>
      <c r="LGS23" s="311"/>
      <c r="LGT23" s="311"/>
      <c r="LGU23" s="311"/>
      <c r="LGV23" s="311"/>
      <c r="LGW23" s="311"/>
      <c r="LGX23" s="311"/>
      <c r="LGY23" s="311"/>
      <c r="LGZ23" s="311"/>
      <c r="LHA23" s="311"/>
      <c r="LHB23" s="311"/>
      <c r="LHC23" s="311"/>
      <c r="LHD23" s="311"/>
      <c r="LHE23" s="311"/>
      <c r="LHF23" s="311"/>
      <c r="LHG23" s="311"/>
      <c r="LHH23" s="311"/>
      <c r="LHI23" s="311"/>
      <c r="LHJ23" s="311"/>
      <c r="LHK23" s="311"/>
      <c r="LHL23" s="311"/>
      <c r="LHM23" s="311"/>
      <c r="LHN23" s="311"/>
      <c r="LHO23" s="311"/>
      <c r="LHP23" s="311"/>
      <c r="LHQ23" s="311"/>
      <c r="LHR23" s="311"/>
      <c r="LHS23" s="311"/>
      <c r="LHT23" s="311"/>
      <c r="LHU23" s="311"/>
      <c r="LHV23" s="311"/>
      <c r="LHW23" s="311"/>
      <c r="LHX23" s="311"/>
      <c r="LHY23" s="311"/>
      <c r="LHZ23" s="311"/>
      <c r="LIA23" s="311"/>
      <c r="LIB23" s="311"/>
      <c r="LIC23" s="311"/>
      <c r="LID23" s="311"/>
      <c r="LIE23" s="311"/>
      <c r="LIF23" s="311"/>
      <c r="LIG23" s="311"/>
      <c r="LIH23" s="311"/>
      <c r="LII23" s="311"/>
      <c r="LIJ23" s="311"/>
      <c r="LIK23" s="311"/>
      <c r="LIL23" s="311"/>
      <c r="LIM23" s="311"/>
      <c r="LIN23" s="311"/>
      <c r="LIO23" s="311"/>
      <c r="LIP23" s="311"/>
      <c r="LIQ23" s="311"/>
      <c r="LIR23" s="311"/>
      <c r="LIS23" s="311"/>
      <c r="LIT23" s="311"/>
      <c r="LIU23" s="311"/>
      <c r="LIV23" s="311"/>
      <c r="LIW23" s="311"/>
      <c r="LIX23" s="311"/>
      <c r="LIY23" s="311"/>
      <c r="LIZ23" s="311"/>
      <c r="LJA23" s="311"/>
      <c r="LJB23" s="311"/>
      <c r="LJC23" s="311"/>
      <c r="LJD23" s="311"/>
      <c r="LJE23" s="311"/>
      <c r="LJF23" s="311"/>
      <c r="LJG23" s="311"/>
      <c r="LJH23" s="311"/>
      <c r="LJI23" s="311"/>
      <c r="LJJ23" s="311"/>
      <c r="LJK23" s="311"/>
      <c r="LJL23" s="311"/>
      <c r="LJM23" s="311"/>
      <c r="LJN23" s="311"/>
      <c r="LJO23" s="311"/>
      <c r="LJP23" s="311"/>
      <c r="LJQ23" s="311"/>
      <c r="LJR23" s="311"/>
      <c r="LJS23" s="311"/>
      <c r="LJT23" s="311"/>
      <c r="LJU23" s="311"/>
      <c r="LJV23" s="311"/>
      <c r="LJW23" s="311"/>
      <c r="LJX23" s="311"/>
      <c r="LJY23" s="311"/>
      <c r="LJZ23" s="311"/>
      <c r="LKA23" s="311"/>
      <c r="LKB23" s="311"/>
      <c r="LKC23" s="311"/>
      <c r="LKD23" s="311"/>
      <c r="LKE23" s="311"/>
      <c r="LKF23" s="311"/>
      <c r="LKG23" s="311"/>
      <c r="LKH23" s="311"/>
      <c r="LKI23" s="311"/>
      <c r="LKJ23" s="311"/>
      <c r="LKK23" s="311"/>
      <c r="LKL23" s="311"/>
      <c r="LKM23" s="311"/>
      <c r="LKN23" s="311"/>
      <c r="LKO23" s="311"/>
      <c r="LKP23" s="311"/>
      <c r="LKQ23" s="311"/>
      <c r="LKR23" s="311"/>
      <c r="LKS23" s="311"/>
      <c r="LKT23" s="311"/>
      <c r="LKU23" s="311"/>
      <c r="LKV23" s="311"/>
      <c r="LKW23" s="311"/>
      <c r="LKX23" s="311"/>
      <c r="LKY23" s="311"/>
      <c r="LKZ23" s="311"/>
      <c r="LLA23" s="311"/>
      <c r="LLB23" s="311"/>
      <c r="LLC23" s="311"/>
      <c r="LLD23" s="311"/>
      <c r="LLE23" s="311"/>
      <c r="LLF23" s="311"/>
      <c r="LLG23" s="311"/>
      <c r="LLH23" s="311"/>
      <c r="LLI23" s="311"/>
      <c r="LLJ23" s="311"/>
      <c r="LLK23" s="311"/>
      <c r="LLL23" s="311"/>
      <c r="LLM23" s="311"/>
      <c r="LLN23" s="311"/>
      <c r="LLO23" s="311"/>
      <c r="LLP23" s="311"/>
      <c r="LLQ23" s="311"/>
      <c r="LLR23" s="311"/>
      <c r="LLS23" s="311"/>
      <c r="LLT23" s="311"/>
      <c r="LLU23" s="311"/>
      <c r="LLV23" s="311"/>
      <c r="LLW23" s="311"/>
      <c r="LLX23" s="311"/>
      <c r="LLY23" s="311"/>
      <c r="LLZ23" s="311"/>
      <c r="LMA23" s="311"/>
      <c r="LMB23" s="311"/>
      <c r="LMC23" s="311"/>
      <c r="LMD23" s="311"/>
      <c r="LME23" s="311"/>
      <c r="LMF23" s="311"/>
      <c r="LMG23" s="311"/>
      <c r="LMH23" s="311"/>
      <c r="LMI23" s="311"/>
      <c r="LMJ23" s="311"/>
      <c r="LMK23" s="311"/>
      <c r="LML23" s="311"/>
      <c r="LMM23" s="311"/>
      <c r="LMN23" s="311"/>
      <c r="LMO23" s="311"/>
      <c r="LMP23" s="311"/>
      <c r="LMQ23" s="311"/>
      <c r="LMR23" s="311"/>
      <c r="LMS23" s="311"/>
      <c r="LMT23" s="311"/>
      <c r="LMU23" s="311"/>
      <c r="LMV23" s="311"/>
      <c r="LMW23" s="311"/>
      <c r="LMX23" s="311"/>
      <c r="LMY23" s="311"/>
      <c r="LMZ23" s="311"/>
      <c r="LNA23" s="311"/>
      <c r="LNB23" s="311"/>
      <c r="LNC23" s="311"/>
      <c r="LND23" s="311"/>
      <c r="LNE23" s="311"/>
      <c r="LNF23" s="311"/>
      <c r="LNG23" s="311"/>
      <c r="LNH23" s="311"/>
      <c r="LNI23" s="311"/>
      <c r="LNJ23" s="311"/>
      <c r="LNK23" s="311"/>
      <c r="LNL23" s="311"/>
      <c r="LNM23" s="311"/>
      <c r="LNN23" s="311"/>
      <c r="LNO23" s="311"/>
      <c r="LNP23" s="311"/>
      <c r="LNQ23" s="311"/>
      <c r="LNR23" s="311"/>
      <c r="LNS23" s="311"/>
      <c r="LNT23" s="311"/>
      <c r="LNU23" s="311"/>
      <c r="LNV23" s="311"/>
      <c r="LNW23" s="311"/>
      <c r="LNX23" s="311"/>
      <c r="LNY23" s="311"/>
      <c r="LNZ23" s="311"/>
      <c r="LOA23" s="311"/>
      <c r="LOB23" s="311"/>
      <c r="LOC23" s="311"/>
      <c r="LOD23" s="311"/>
      <c r="LOE23" s="311"/>
      <c r="LOF23" s="311"/>
      <c r="LOG23" s="311"/>
      <c r="LOH23" s="311"/>
      <c r="LOI23" s="311"/>
      <c r="LOJ23" s="311"/>
      <c r="LOK23" s="311"/>
      <c r="LOL23" s="311"/>
      <c r="LOM23" s="311"/>
      <c r="LON23" s="311"/>
      <c r="LOO23" s="311"/>
      <c r="LOP23" s="311"/>
      <c r="LOQ23" s="311"/>
      <c r="LOR23" s="311"/>
      <c r="LOS23" s="311"/>
      <c r="LOT23" s="311"/>
      <c r="LOU23" s="311"/>
      <c r="LOV23" s="311"/>
      <c r="LOW23" s="311"/>
      <c r="LOX23" s="311"/>
      <c r="LOY23" s="311"/>
      <c r="LOZ23" s="311"/>
      <c r="LPA23" s="311"/>
      <c r="LPB23" s="311"/>
      <c r="LPC23" s="311"/>
      <c r="LPD23" s="311"/>
      <c r="LPE23" s="311"/>
      <c r="LPF23" s="311"/>
      <c r="LPG23" s="311"/>
      <c r="LPH23" s="311"/>
      <c r="LPI23" s="311"/>
      <c r="LPJ23" s="311"/>
      <c r="LPK23" s="311"/>
      <c r="LPL23" s="311"/>
      <c r="LPM23" s="311"/>
      <c r="LPN23" s="311"/>
      <c r="LPO23" s="311"/>
      <c r="LPP23" s="311"/>
      <c r="LPQ23" s="311"/>
      <c r="LPR23" s="311"/>
      <c r="LPS23" s="311"/>
      <c r="LPT23" s="311"/>
      <c r="LPU23" s="311"/>
      <c r="LPV23" s="311"/>
      <c r="LPW23" s="311"/>
      <c r="LPX23" s="311"/>
      <c r="LPY23" s="311"/>
      <c r="LPZ23" s="311"/>
      <c r="LQA23" s="311"/>
      <c r="LQB23" s="311"/>
      <c r="LQC23" s="311"/>
      <c r="LQD23" s="311"/>
      <c r="LQE23" s="311"/>
      <c r="LQF23" s="311"/>
      <c r="LQG23" s="311"/>
      <c r="LQH23" s="311"/>
      <c r="LQI23" s="311"/>
      <c r="LQJ23" s="311"/>
      <c r="LQK23" s="311"/>
      <c r="LQL23" s="311"/>
      <c r="LQM23" s="311"/>
      <c r="LQN23" s="311"/>
      <c r="LQO23" s="311"/>
      <c r="LQP23" s="311"/>
      <c r="LQQ23" s="311"/>
      <c r="LQR23" s="311"/>
      <c r="LQS23" s="311"/>
      <c r="LQT23" s="311"/>
      <c r="LQU23" s="311"/>
      <c r="LQV23" s="311"/>
      <c r="LQW23" s="311"/>
      <c r="LQX23" s="311"/>
      <c r="LQY23" s="311"/>
      <c r="LQZ23" s="311"/>
      <c r="LRA23" s="311"/>
      <c r="LRB23" s="311"/>
      <c r="LRC23" s="311"/>
      <c r="LRD23" s="311"/>
      <c r="LRE23" s="311"/>
      <c r="LRF23" s="311"/>
      <c r="LRG23" s="311"/>
      <c r="LRH23" s="311"/>
      <c r="LRI23" s="311"/>
      <c r="LRJ23" s="311"/>
      <c r="LRK23" s="311"/>
      <c r="LRL23" s="311"/>
      <c r="LRM23" s="311"/>
      <c r="LRN23" s="311"/>
      <c r="LRO23" s="311"/>
      <c r="LRP23" s="311"/>
      <c r="LRQ23" s="311"/>
      <c r="LRR23" s="311"/>
      <c r="LRS23" s="311"/>
      <c r="LRT23" s="311"/>
      <c r="LRU23" s="311"/>
      <c r="LRV23" s="311"/>
      <c r="LRW23" s="311"/>
      <c r="LRX23" s="311"/>
      <c r="LRY23" s="311"/>
      <c r="LRZ23" s="311"/>
      <c r="LSA23" s="311"/>
      <c r="LSB23" s="311"/>
      <c r="LSC23" s="311"/>
      <c r="LSD23" s="311"/>
      <c r="LSE23" s="311"/>
      <c r="LSF23" s="311"/>
      <c r="LSG23" s="311"/>
      <c r="LSH23" s="311"/>
      <c r="LSI23" s="311"/>
      <c r="LSJ23" s="311"/>
      <c r="LSK23" s="311"/>
      <c r="LSL23" s="311"/>
      <c r="LSM23" s="311"/>
      <c r="LSN23" s="311"/>
      <c r="LSO23" s="311"/>
      <c r="LSP23" s="311"/>
      <c r="LSQ23" s="311"/>
      <c r="LSR23" s="311"/>
      <c r="LSS23" s="311"/>
      <c r="LST23" s="311"/>
      <c r="LSU23" s="311"/>
      <c r="LSV23" s="311"/>
      <c r="LSW23" s="311"/>
      <c r="LSX23" s="311"/>
      <c r="LSY23" s="311"/>
      <c r="LSZ23" s="311"/>
      <c r="LTA23" s="311"/>
      <c r="LTB23" s="311"/>
      <c r="LTC23" s="311"/>
      <c r="LTD23" s="311"/>
      <c r="LTE23" s="311"/>
      <c r="LTF23" s="311"/>
      <c r="LTG23" s="311"/>
      <c r="LTH23" s="311"/>
      <c r="LTI23" s="311"/>
      <c r="LTJ23" s="311"/>
      <c r="LTK23" s="311"/>
      <c r="LTL23" s="311"/>
      <c r="LTM23" s="311"/>
      <c r="LTN23" s="311"/>
      <c r="LTO23" s="311"/>
      <c r="LTP23" s="311"/>
      <c r="LTQ23" s="311"/>
      <c r="LTR23" s="311"/>
      <c r="LTS23" s="311"/>
      <c r="LTT23" s="311"/>
      <c r="LTU23" s="311"/>
      <c r="LTV23" s="311"/>
      <c r="LTW23" s="311"/>
      <c r="LTX23" s="311"/>
      <c r="LTY23" s="311"/>
      <c r="LTZ23" s="311"/>
      <c r="LUA23" s="311"/>
      <c r="LUB23" s="311"/>
      <c r="LUC23" s="311"/>
      <c r="LUD23" s="311"/>
      <c r="LUE23" s="311"/>
      <c r="LUF23" s="311"/>
      <c r="LUG23" s="311"/>
      <c r="LUH23" s="311"/>
      <c r="LUI23" s="311"/>
      <c r="LUJ23" s="311"/>
      <c r="LUK23" s="311"/>
      <c r="LUL23" s="311"/>
      <c r="LUM23" s="311"/>
      <c r="LUN23" s="311"/>
      <c r="LUO23" s="311"/>
      <c r="LUP23" s="311"/>
      <c r="LUQ23" s="311"/>
      <c r="LUR23" s="311"/>
      <c r="LUS23" s="311"/>
      <c r="LUT23" s="311"/>
      <c r="LUU23" s="311"/>
      <c r="LUV23" s="311"/>
      <c r="LUW23" s="311"/>
      <c r="LUX23" s="311"/>
      <c r="LUY23" s="311"/>
      <c r="LUZ23" s="311"/>
      <c r="LVA23" s="311"/>
      <c r="LVB23" s="311"/>
      <c r="LVC23" s="311"/>
      <c r="LVD23" s="311"/>
      <c r="LVE23" s="311"/>
      <c r="LVF23" s="311"/>
      <c r="LVG23" s="311"/>
      <c r="LVH23" s="311"/>
      <c r="LVI23" s="311"/>
      <c r="LVJ23" s="311"/>
      <c r="LVK23" s="311"/>
      <c r="LVL23" s="311"/>
      <c r="LVM23" s="311"/>
      <c r="LVN23" s="311"/>
      <c r="LVO23" s="311"/>
      <c r="LVP23" s="311"/>
      <c r="LVQ23" s="311"/>
      <c r="LVR23" s="311"/>
      <c r="LVS23" s="311"/>
      <c r="LVT23" s="311"/>
      <c r="LVU23" s="311"/>
      <c r="LVV23" s="311"/>
      <c r="LVW23" s="311"/>
      <c r="LVX23" s="311"/>
      <c r="LVY23" s="311"/>
      <c r="LVZ23" s="311"/>
      <c r="LWA23" s="311"/>
      <c r="LWB23" s="311"/>
      <c r="LWC23" s="311"/>
      <c r="LWD23" s="311"/>
      <c r="LWE23" s="311"/>
      <c r="LWF23" s="311"/>
      <c r="LWG23" s="311"/>
      <c r="LWH23" s="311"/>
      <c r="LWI23" s="311"/>
      <c r="LWJ23" s="311"/>
      <c r="LWK23" s="311"/>
      <c r="LWL23" s="311"/>
      <c r="LWM23" s="311"/>
      <c r="LWN23" s="311"/>
      <c r="LWO23" s="311"/>
      <c r="LWP23" s="311"/>
      <c r="LWQ23" s="311"/>
      <c r="LWR23" s="311"/>
      <c r="LWS23" s="311"/>
      <c r="LWT23" s="311"/>
      <c r="LWU23" s="311"/>
      <c r="LWV23" s="311"/>
      <c r="LWW23" s="311"/>
      <c r="LWX23" s="311"/>
      <c r="LWY23" s="311"/>
      <c r="LWZ23" s="311"/>
      <c r="LXA23" s="311"/>
      <c r="LXB23" s="311"/>
      <c r="LXC23" s="311"/>
      <c r="LXD23" s="311"/>
      <c r="LXE23" s="311"/>
      <c r="LXF23" s="311"/>
      <c r="LXG23" s="311"/>
      <c r="LXH23" s="311"/>
      <c r="LXI23" s="311"/>
      <c r="LXJ23" s="311"/>
      <c r="LXK23" s="311"/>
      <c r="LXL23" s="311"/>
      <c r="LXM23" s="311"/>
      <c r="LXN23" s="311"/>
      <c r="LXO23" s="311"/>
      <c r="LXP23" s="311"/>
      <c r="LXQ23" s="311"/>
      <c r="LXR23" s="311"/>
      <c r="LXS23" s="311"/>
      <c r="LXT23" s="311"/>
      <c r="LXU23" s="311"/>
      <c r="LXV23" s="311"/>
      <c r="LXW23" s="311"/>
      <c r="LXX23" s="311"/>
      <c r="LXY23" s="311"/>
      <c r="LXZ23" s="311"/>
      <c r="LYA23" s="311"/>
      <c r="LYB23" s="311"/>
      <c r="LYC23" s="311"/>
      <c r="LYD23" s="311"/>
      <c r="LYE23" s="311"/>
      <c r="LYF23" s="311"/>
      <c r="LYG23" s="311"/>
      <c r="LYH23" s="311"/>
      <c r="LYI23" s="311"/>
      <c r="LYJ23" s="311"/>
      <c r="LYK23" s="311"/>
      <c r="LYL23" s="311"/>
      <c r="LYM23" s="311"/>
      <c r="LYN23" s="311"/>
      <c r="LYO23" s="311"/>
      <c r="LYP23" s="311"/>
      <c r="LYQ23" s="311"/>
      <c r="LYR23" s="311"/>
      <c r="LYS23" s="311"/>
      <c r="LYT23" s="311"/>
      <c r="LYU23" s="311"/>
      <c r="LYV23" s="311"/>
      <c r="LYW23" s="311"/>
      <c r="LYX23" s="311"/>
      <c r="LYY23" s="311"/>
      <c r="LYZ23" s="311"/>
      <c r="LZA23" s="311"/>
      <c r="LZB23" s="311"/>
      <c r="LZC23" s="311"/>
      <c r="LZD23" s="311"/>
      <c r="LZE23" s="311"/>
      <c r="LZF23" s="311"/>
      <c r="LZG23" s="311"/>
      <c r="LZH23" s="311"/>
      <c r="LZI23" s="311"/>
      <c r="LZJ23" s="311"/>
      <c r="LZK23" s="311"/>
      <c r="LZL23" s="311"/>
      <c r="LZM23" s="311"/>
      <c r="LZN23" s="311"/>
      <c r="LZO23" s="311"/>
      <c r="LZP23" s="311"/>
      <c r="LZQ23" s="311"/>
      <c r="LZR23" s="311"/>
      <c r="LZS23" s="311"/>
      <c r="LZT23" s="311"/>
      <c r="LZU23" s="311"/>
      <c r="LZV23" s="311"/>
      <c r="LZW23" s="311"/>
      <c r="LZX23" s="311"/>
      <c r="LZY23" s="311"/>
      <c r="LZZ23" s="311"/>
      <c r="MAA23" s="311"/>
      <c r="MAB23" s="311"/>
      <c r="MAC23" s="311"/>
      <c r="MAD23" s="311"/>
      <c r="MAE23" s="311"/>
      <c r="MAF23" s="311"/>
      <c r="MAG23" s="311"/>
      <c r="MAH23" s="311"/>
      <c r="MAI23" s="311"/>
      <c r="MAJ23" s="311"/>
      <c r="MAK23" s="311"/>
      <c r="MAL23" s="311"/>
      <c r="MAM23" s="311"/>
      <c r="MAN23" s="311"/>
      <c r="MAO23" s="311"/>
      <c r="MAP23" s="311"/>
      <c r="MAQ23" s="311"/>
      <c r="MAR23" s="311"/>
      <c r="MAS23" s="311"/>
      <c r="MAT23" s="311"/>
      <c r="MAU23" s="311"/>
      <c r="MAV23" s="311"/>
      <c r="MAW23" s="311"/>
      <c r="MAX23" s="311"/>
      <c r="MAY23" s="311"/>
      <c r="MAZ23" s="311"/>
      <c r="MBA23" s="311"/>
      <c r="MBB23" s="311"/>
      <c r="MBC23" s="311"/>
      <c r="MBD23" s="311"/>
      <c r="MBE23" s="311"/>
      <c r="MBF23" s="311"/>
      <c r="MBG23" s="311"/>
      <c r="MBH23" s="311"/>
      <c r="MBI23" s="311"/>
      <c r="MBJ23" s="311"/>
      <c r="MBK23" s="311"/>
      <c r="MBL23" s="311"/>
      <c r="MBM23" s="311"/>
      <c r="MBN23" s="311"/>
      <c r="MBO23" s="311"/>
      <c r="MBP23" s="311"/>
      <c r="MBQ23" s="311"/>
      <c r="MBR23" s="311"/>
      <c r="MBS23" s="311"/>
      <c r="MBT23" s="311"/>
      <c r="MBU23" s="311"/>
      <c r="MBV23" s="311"/>
      <c r="MBW23" s="311"/>
      <c r="MBX23" s="311"/>
      <c r="MBY23" s="311"/>
      <c r="MBZ23" s="311"/>
      <c r="MCA23" s="311"/>
      <c r="MCB23" s="311"/>
      <c r="MCC23" s="311"/>
      <c r="MCD23" s="311"/>
      <c r="MCE23" s="311"/>
      <c r="MCF23" s="311"/>
      <c r="MCG23" s="311"/>
      <c r="MCH23" s="311"/>
      <c r="MCI23" s="311"/>
      <c r="MCJ23" s="311"/>
      <c r="MCK23" s="311"/>
      <c r="MCL23" s="311"/>
      <c r="MCM23" s="311"/>
      <c r="MCN23" s="311"/>
      <c r="MCO23" s="311"/>
      <c r="MCP23" s="311"/>
      <c r="MCQ23" s="311"/>
      <c r="MCR23" s="311"/>
      <c r="MCS23" s="311"/>
      <c r="MCT23" s="311"/>
      <c r="MCU23" s="311"/>
      <c r="MCV23" s="311"/>
      <c r="MCW23" s="311"/>
      <c r="MCX23" s="311"/>
      <c r="MCY23" s="311"/>
      <c r="MCZ23" s="311"/>
      <c r="MDA23" s="311"/>
      <c r="MDB23" s="311"/>
      <c r="MDC23" s="311"/>
      <c r="MDD23" s="311"/>
      <c r="MDE23" s="311"/>
      <c r="MDF23" s="311"/>
      <c r="MDG23" s="311"/>
      <c r="MDH23" s="311"/>
      <c r="MDI23" s="311"/>
      <c r="MDJ23" s="311"/>
      <c r="MDK23" s="311"/>
      <c r="MDL23" s="311"/>
      <c r="MDM23" s="311"/>
      <c r="MDN23" s="311"/>
      <c r="MDO23" s="311"/>
      <c r="MDP23" s="311"/>
      <c r="MDQ23" s="311"/>
      <c r="MDR23" s="311"/>
      <c r="MDS23" s="311"/>
      <c r="MDT23" s="311"/>
      <c r="MDU23" s="311"/>
      <c r="MDV23" s="311"/>
      <c r="MDW23" s="311"/>
      <c r="MDX23" s="311"/>
      <c r="MDY23" s="311"/>
      <c r="MDZ23" s="311"/>
      <c r="MEA23" s="311"/>
      <c r="MEB23" s="311"/>
      <c r="MEC23" s="311"/>
      <c r="MED23" s="311"/>
      <c r="MEE23" s="311"/>
      <c r="MEF23" s="311"/>
      <c r="MEG23" s="311"/>
      <c r="MEH23" s="311"/>
      <c r="MEI23" s="311"/>
      <c r="MEJ23" s="311"/>
      <c r="MEK23" s="311"/>
      <c r="MEL23" s="311"/>
      <c r="MEM23" s="311"/>
      <c r="MEN23" s="311"/>
      <c r="MEO23" s="311"/>
      <c r="MEP23" s="311"/>
      <c r="MEQ23" s="311"/>
      <c r="MER23" s="311"/>
      <c r="MES23" s="311"/>
      <c r="MET23" s="311"/>
      <c r="MEU23" s="311"/>
      <c r="MEV23" s="311"/>
      <c r="MEW23" s="311"/>
      <c r="MEX23" s="311"/>
      <c r="MEY23" s="311"/>
      <c r="MEZ23" s="311"/>
      <c r="MFA23" s="311"/>
      <c r="MFB23" s="311"/>
      <c r="MFC23" s="311"/>
      <c r="MFD23" s="311"/>
      <c r="MFE23" s="311"/>
      <c r="MFF23" s="311"/>
      <c r="MFG23" s="311"/>
      <c r="MFH23" s="311"/>
      <c r="MFI23" s="311"/>
      <c r="MFJ23" s="311"/>
      <c r="MFK23" s="311"/>
      <c r="MFL23" s="311"/>
      <c r="MFM23" s="311"/>
      <c r="MFN23" s="311"/>
      <c r="MFO23" s="311"/>
      <c r="MFP23" s="311"/>
      <c r="MFQ23" s="311"/>
      <c r="MFR23" s="311"/>
      <c r="MFS23" s="311"/>
      <c r="MFT23" s="311"/>
      <c r="MFU23" s="311"/>
      <c r="MFV23" s="311"/>
      <c r="MFW23" s="311"/>
      <c r="MFX23" s="311"/>
      <c r="MFY23" s="311"/>
      <c r="MFZ23" s="311"/>
      <c r="MGA23" s="311"/>
      <c r="MGB23" s="311"/>
      <c r="MGC23" s="311"/>
      <c r="MGD23" s="311"/>
      <c r="MGE23" s="311"/>
      <c r="MGF23" s="311"/>
      <c r="MGG23" s="311"/>
      <c r="MGH23" s="311"/>
      <c r="MGI23" s="311"/>
      <c r="MGJ23" s="311"/>
      <c r="MGK23" s="311"/>
      <c r="MGL23" s="311"/>
      <c r="MGM23" s="311"/>
      <c r="MGN23" s="311"/>
      <c r="MGO23" s="311"/>
      <c r="MGP23" s="311"/>
      <c r="MGQ23" s="311"/>
      <c r="MGR23" s="311"/>
      <c r="MGS23" s="311"/>
      <c r="MGT23" s="311"/>
      <c r="MGU23" s="311"/>
      <c r="MGV23" s="311"/>
      <c r="MGW23" s="311"/>
      <c r="MGX23" s="311"/>
      <c r="MGY23" s="311"/>
      <c r="MGZ23" s="311"/>
      <c r="MHA23" s="311"/>
      <c r="MHB23" s="311"/>
      <c r="MHC23" s="311"/>
      <c r="MHD23" s="311"/>
      <c r="MHE23" s="311"/>
      <c r="MHF23" s="311"/>
      <c r="MHG23" s="311"/>
      <c r="MHH23" s="311"/>
      <c r="MHI23" s="311"/>
      <c r="MHJ23" s="311"/>
      <c r="MHK23" s="311"/>
      <c r="MHL23" s="311"/>
      <c r="MHM23" s="311"/>
      <c r="MHN23" s="311"/>
      <c r="MHO23" s="311"/>
      <c r="MHP23" s="311"/>
      <c r="MHQ23" s="311"/>
      <c r="MHR23" s="311"/>
      <c r="MHS23" s="311"/>
      <c r="MHT23" s="311"/>
      <c r="MHU23" s="311"/>
      <c r="MHV23" s="311"/>
      <c r="MHW23" s="311"/>
      <c r="MHX23" s="311"/>
      <c r="MHY23" s="311"/>
      <c r="MHZ23" s="311"/>
      <c r="MIA23" s="311"/>
      <c r="MIB23" s="311"/>
      <c r="MIC23" s="311"/>
      <c r="MID23" s="311"/>
      <c r="MIE23" s="311"/>
      <c r="MIF23" s="311"/>
      <c r="MIG23" s="311"/>
      <c r="MIH23" s="311"/>
      <c r="MII23" s="311"/>
      <c r="MIJ23" s="311"/>
      <c r="MIK23" s="311"/>
      <c r="MIL23" s="311"/>
      <c r="MIM23" s="311"/>
      <c r="MIN23" s="311"/>
      <c r="MIO23" s="311"/>
      <c r="MIP23" s="311"/>
      <c r="MIQ23" s="311"/>
      <c r="MIR23" s="311"/>
      <c r="MIS23" s="311"/>
      <c r="MIT23" s="311"/>
      <c r="MIU23" s="311"/>
      <c r="MIV23" s="311"/>
      <c r="MIW23" s="311"/>
      <c r="MIX23" s="311"/>
      <c r="MIY23" s="311"/>
      <c r="MIZ23" s="311"/>
      <c r="MJA23" s="311"/>
      <c r="MJB23" s="311"/>
      <c r="MJC23" s="311"/>
      <c r="MJD23" s="311"/>
      <c r="MJE23" s="311"/>
      <c r="MJF23" s="311"/>
      <c r="MJG23" s="311"/>
      <c r="MJH23" s="311"/>
      <c r="MJI23" s="311"/>
      <c r="MJJ23" s="311"/>
      <c r="MJK23" s="311"/>
      <c r="MJL23" s="311"/>
      <c r="MJM23" s="311"/>
      <c r="MJN23" s="311"/>
      <c r="MJO23" s="311"/>
      <c r="MJP23" s="311"/>
      <c r="MJQ23" s="311"/>
      <c r="MJR23" s="311"/>
      <c r="MJS23" s="311"/>
      <c r="MJT23" s="311"/>
      <c r="MJU23" s="311"/>
      <c r="MJV23" s="311"/>
      <c r="MJW23" s="311"/>
      <c r="MJX23" s="311"/>
      <c r="MJY23" s="311"/>
      <c r="MJZ23" s="311"/>
      <c r="MKA23" s="311"/>
      <c r="MKB23" s="311"/>
      <c r="MKC23" s="311"/>
      <c r="MKD23" s="311"/>
      <c r="MKE23" s="311"/>
      <c r="MKF23" s="311"/>
      <c r="MKG23" s="311"/>
      <c r="MKH23" s="311"/>
      <c r="MKI23" s="311"/>
      <c r="MKJ23" s="311"/>
      <c r="MKK23" s="311"/>
      <c r="MKL23" s="311"/>
      <c r="MKM23" s="311"/>
      <c r="MKN23" s="311"/>
      <c r="MKO23" s="311"/>
      <c r="MKP23" s="311"/>
      <c r="MKQ23" s="311"/>
      <c r="MKR23" s="311"/>
      <c r="MKS23" s="311"/>
      <c r="MKT23" s="311"/>
      <c r="MKU23" s="311"/>
      <c r="MKV23" s="311"/>
      <c r="MKW23" s="311"/>
      <c r="MKX23" s="311"/>
      <c r="MKY23" s="311"/>
      <c r="MKZ23" s="311"/>
      <c r="MLA23" s="311"/>
      <c r="MLB23" s="311"/>
      <c r="MLC23" s="311"/>
      <c r="MLD23" s="311"/>
      <c r="MLE23" s="311"/>
      <c r="MLF23" s="311"/>
      <c r="MLG23" s="311"/>
      <c r="MLH23" s="311"/>
      <c r="MLI23" s="311"/>
      <c r="MLJ23" s="311"/>
      <c r="MLK23" s="311"/>
      <c r="MLL23" s="311"/>
      <c r="MLM23" s="311"/>
      <c r="MLN23" s="311"/>
      <c r="MLO23" s="311"/>
      <c r="MLP23" s="311"/>
      <c r="MLQ23" s="311"/>
      <c r="MLR23" s="311"/>
      <c r="MLS23" s="311"/>
      <c r="MLT23" s="311"/>
      <c r="MLU23" s="311"/>
      <c r="MLV23" s="311"/>
      <c r="MLW23" s="311"/>
      <c r="MLX23" s="311"/>
      <c r="MLY23" s="311"/>
      <c r="MLZ23" s="311"/>
      <c r="MMA23" s="311"/>
      <c r="MMB23" s="311"/>
      <c r="MMC23" s="311"/>
      <c r="MMD23" s="311"/>
      <c r="MME23" s="311"/>
      <c r="MMF23" s="311"/>
      <c r="MMG23" s="311"/>
      <c r="MMH23" s="311"/>
      <c r="MMI23" s="311"/>
      <c r="MMJ23" s="311"/>
      <c r="MMK23" s="311"/>
      <c r="MML23" s="311"/>
      <c r="MMM23" s="311"/>
      <c r="MMN23" s="311"/>
      <c r="MMO23" s="311"/>
      <c r="MMP23" s="311"/>
      <c r="MMQ23" s="311"/>
      <c r="MMR23" s="311"/>
      <c r="MMS23" s="311"/>
      <c r="MMT23" s="311"/>
      <c r="MMU23" s="311"/>
      <c r="MMV23" s="311"/>
      <c r="MMW23" s="311"/>
      <c r="MMX23" s="311"/>
      <c r="MMY23" s="311"/>
      <c r="MMZ23" s="311"/>
      <c r="MNA23" s="311"/>
      <c r="MNB23" s="311"/>
      <c r="MNC23" s="311"/>
      <c r="MND23" s="311"/>
      <c r="MNE23" s="311"/>
      <c r="MNF23" s="311"/>
      <c r="MNG23" s="311"/>
      <c r="MNH23" s="311"/>
      <c r="MNI23" s="311"/>
      <c r="MNJ23" s="311"/>
      <c r="MNK23" s="311"/>
      <c r="MNL23" s="311"/>
      <c r="MNM23" s="311"/>
      <c r="MNN23" s="311"/>
      <c r="MNO23" s="311"/>
      <c r="MNP23" s="311"/>
      <c r="MNQ23" s="311"/>
      <c r="MNR23" s="311"/>
      <c r="MNS23" s="311"/>
      <c r="MNT23" s="311"/>
      <c r="MNU23" s="311"/>
      <c r="MNV23" s="311"/>
      <c r="MNW23" s="311"/>
      <c r="MNX23" s="311"/>
      <c r="MNY23" s="311"/>
      <c r="MNZ23" s="311"/>
      <c r="MOA23" s="311"/>
      <c r="MOB23" s="311"/>
      <c r="MOC23" s="311"/>
      <c r="MOD23" s="311"/>
      <c r="MOE23" s="311"/>
      <c r="MOF23" s="311"/>
      <c r="MOG23" s="311"/>
      <c r="MOH23" s="311"/>
      <c r="MOI23" s="311"/>
      <c r="MOJ23" s="311"/>
      <c r="MOK23" s="311"/>
      <c r="MOL23" s="311"/>
      <c r="MOM23" s="311"/>
      <c r="MON23" s="311"/>
      <c r="MOO23" s="311"/>
      <c r="MOP23" s="311"/>
      <c r="MOQ23" s="311"/>
      <c r="MOR23" s="311"/>
      <c r="MOS23" s="311"/>
      <c r="MOT23" s="311"/>
      <c r="MOU23" s="311"/>
      <c r="MOV23" s="311"/>
      <c r="MOW23" s="311"/>
      <c r="MOX23" s="311"/>
      <c r="MOY23" s="311"/>
      <c r="MOZ23" s="311"/>
      <c r="MPA23" s="311"/>
      <c r="MPB23" s="311"/>
      <c r="MPC23" s="311"/>
      <c r="MPD23" s="311"/>
      <c r="MPE23" s="311"/>
      <c r="MPF23" s="311"/>
      <c r="MPG23" s="311"/>
      <c r="MPH23" s="311"/>
      <c r="MPI23" s="311"/>
      <c r="MPJ23" s="311"/>
      <c r="MPK23" s="311"/>
      <c r="MPL23" s="311"/>
      <c r="MPM23" s="311"/>
      <c r="MPN23" s="311"/>
      <c r="MPO23" s="311"/>
      <c r="MPP23" s="311"/>
      <c r="MPQ23" s="311"/>
      <c r="MPR23" s="311"/>
      <c r="MPS23" s="311"/>
      <c r="MPT23" s="311"/>
      <c r="MPU23" s="311"/>
      <c r="MPV23" s="311"/>
      <c r="MPW23" s="311"/>
      <c r="MPX23" s="311"/>
      <c r="MPY23" s="311"/>
      <c r="MPZ23" s="311"/>
      <c r="MQA23" s="311"/>
      <c r="MQB23" s="311"/>
      <c r="MQC23" s="311"/>
      <c r="MQD23" s="311"/>
      <c r="MQE23" s="311"/>
      <c r="MQF23" s="311"/>
      <c r="MQG23" s="311"/>
      <c r="MQH23" s="311"/>
      <c r="MQI23" s="311"/>
      <c r="MQJ23" s="311"/>
      <c r="MQK23" s="311"/>
      <c r="MQL23" s="311"/>
      <c r="MQM23" s="311"/>
      <c r="MQN23" s="311"/>
      <c r="MQO23" s="311"/>
      <c r="MQP23" s="311"/>
      <c r="MQQ23" s="311"/>
      <c r="MQR23" s="311"/>
      <c r="MQS23" s="311"/>
      <c r="MQT23" s="311"/>
      <c r="MQU23" s="311"/>
      <c r="MQV23" s="311"/>
      <c r="MQW23" s="311"/>
      <c r="MQX23" s="311"/>
      <c r="MQY23" s="311"/>
      <c r="MQZ23" s="311"/>
      <c r="MRA23" s="311"/>
      <c r="MRB23" s="311"/>
      <c r="MRC23" s="311"/>
      <c r="MRD23" s="311"/>
      <c r="MRE23" s="311"/>
      <c r="MRF23" s="311"/>
      <c r="MRG23" s="311"/>
      <c r="MRH23" s="311"/>
      <c r="MRI23" s="311"/>
      <c r="MRJ23" s="311"/>
      <c r="MRK23" s="311"/>
      <c r="MRL23" s="311"/>
      <c r="MRM23" s="311"/>
      <c r="MRN23" s="311"/>
      <c r="MRO23" s="311"/>
      <c r="MRP23" s="311"/>
      <c r="MRQ23" s="311"/>
      <c r="MRR23" s="311"/>
      <c r="MRS23" s="311"/>
      <c r="MRT23" s="311"/>
      <c r="MRU23" s="311"/>
      <c r="MRV23" s="311"/>
      <c r="MRW23" s="311"/>
      <c r="MRX23" s="311"/>
      <c r="MRY23" s="311"/>
      <c r="MRZ23" s="311"/>
      <c r="MSA23" s="311"/>
      <c r="MSB23" s="311"/>
      <c r="MSC23" s="311"/>
      <c r="MSD23" s="311"/>
      <c r="MSE23" s="311"/>
      <c r="MSF23" s="311"/>
      <c r="MSG23" s="311"/>
      <c r="MSH23" s="311"/>
      <c r="MSI23" s="311"/>
      <c r="MSJ23" s="311"/>
      <c r="MSK23" s="311"/>
      <c r="MSL23" s="311"/>
      <c r="MSM23" s="311"/>
      <c r="MSN23" s="311"/>
      <c r="MSO23" s="311"/>
      <c r="MSP23" s="311"/>
      <c r="MSQ23" s="311"/>
      <c r="MSR23" s="311"/>
      <c r="MSS23" s="311"/>
      <c r="MST23" s="311"/>
      <c r="MSU23" s="311"/>
      <c r="MSV23" s="311"/>
      <c r="MSW23" s="311"/>
      <c r="MSX23" s="311"/>
      <c r="MSY23" s="311"/>
      <c r="MSZ23" s="311"/>
      <c r="MTA23" s="311"/>
      <c r="MTB23" s="311"/>
      <c r="MTC23" s="311"/>
      <c r="MTD23" s="311"/>
      <c r="MTE23" s="311"/>
      <c r="MTF23" s="311"/>
      <c r="MTG23" s="311"/>
      <c r="MTH23" s="311"/>
      <c r="MTI23" s="311"/>
      <c r="MTJ23" s="311"/>
      <c r="MTK23" s="311"/>
      <c r="MTL23" s="311"/>
      <c r="MTM23" s="311"/>
      <c r="MTN23" s="311"/>
      <c r="MTO23" s="311"/>
      <c r="MTP23" s="311"/>
      <c r="MTQ23" s="311"/>
      <c r="MTR23" s="311"/>
      <c r="MTS23" s="311"/>
      <c r="MTT23" s="311"/>
      <c r="MTU23" s="311"/>
      <c r="MTV23" s="311"/>
      <c r="MTW23" s="311"/>
      <c r="MTX23" s="311"/>
      <c r="MTY23" s="311"/>
      <c r="MTZ23" s="311"/>
      <c r="MUA23" s="311"/>
      <c r="MUB23" s="311"/>
      <c r="MUC23" s="311"/>
      <c r="MUD23" s="311"/>
      <c r="MUE23" s="311"/>
      <c r="MUF23" s="311"/>
      <c r="MUG23" s="311"/>
      <c r="MUH23" s="311"/>
      <c r="MUI23" s="311"/>
      <c r="MUJ23" s="311"/>
      <c r="MUK23" s="311"/>
      <c r="MUL23" s="311"/>
      <c r="MUM23" s="311"/>
      <c r="MUN23" s="311"/>
      <c r="MUO23" s="311"/>
      <c r="MUP23" s="311"/>
      <c r="MUQ23" s="311"/>
      <c r="MUR23" s="311"/>
      <c r="MUS23" s="311"/>
      <c r="MUT23" s="311"/>
      <c r="MUU23" s="311"/>
      <c r="MUV23" s="311"/>
      <c r="MUW23" s="311"/>
      <c r="MUX23" s="311"/>
      <c r="MUY23" s="311"/>
      <c r="MUZ23" s="311"/>
      <c r="MVA23" s="311"/>
      <c r="MVB23" s="311"/>
      <c r="MVC23" s="311"/>
      <c r="MVD23" s="311"/>
      <c r="MVE23" s="311"/>
      <c r="MVF23" s="311"/>
      <c r="MVG23" s="311"/>
      <c r="MVH23" s="311"/>
      <c r="MVI23" s="311"/>
      <c r="MVJ23" s="311"/>
      <c r="MVK23" s="311"/>
      <c r="MVL23" s="311"/>
      <c r="MVM23" s="311"/>
      <c r="MVN23" s="311"/>
      <c r="MVO23" s="311"/>
      <c r="MVP23" s="311"/>
      <c r="MVQ23" s="311"/>
      <c r="MVR23" s="311"/>
      <c r="MVS23" s="311"/>
      <c r="MVT23" s="311"/>
      <c r="MVU23" s="311"/>
      <c r="MVV23" s="311"/>
      <c r="MVW23" s="311"/>
      <c r="MVX23" s="311"/>
      <c r="MVY23" s="311"/>
      <c r="MVZ23" s="311"/>
      <c r="MWA23" s="311"/>
      <c r="MWB23" s="311"/>
      <c r="MWC23" s="311"/>
      <c r="MWD23" s="311"/>
      <c r="MWE23" s="311"/>
      <c r="MWF23" s="311"/>
      <c r="MWG23" s="311"/>
      <c r="MWH23" s="311"/>
      <c r="MWI23" s="311"/>
      <c r="MWJ23" s="311"/>
      <c r="MWK23" s="311"/>
      <c r="MWL23" s="311"/>
      <c r="MWM23" s="311"/>
      <c r="MWN23" s="311"/>
      <c r="MWO23" s="311"/>
      <c r="MWP23" s="311"/>
      <c r="MWQ23" s="311"/>
      <c r="MWR23" s="311"/>
      <c r="MWS23" s="311"/>
      <c r="MWT23" s="311"/>
      <c r="MWU23" s="311"/>
      <c r="MWV23" s="311"/>
      <c r="MWW23" s="311"/>
      <c r="MWX23" s="311"/>
      <c r="MWY23" s="311"/>
      <c r="MWZ23" s="311"/>
      <c r="MXA23" s="311"/>
      <c r="MXB23" s="311"/>
      <c r="MXC23" s="311"/>
      <c r="MXD23" s="311"/>
      <c r="MXE23" s="311"/>
      <c r="MXF23" s="311"/>
      <c r="MXG23" s="311"/>
      <c r="MXH23" s="311"/>
      <c r="MXI23" s="311"/>
      <c r="MXJ23" s="311"/>
      <c r="MXK23" s="311"/>
      <c r="MXL23" s="311"/>
      <c r="MXM23" s="311"/>
      <c r="MXN23" s="311"/>
      <c r="MXO23" s="311"/>
      <c r="MXP23" s="311"/>
      <c r="MXQ23" s="311"/>
      <c r="MXR23" s="311"/>
      <c r="MXS23" s="311"/>
      <c r="MXT23" s="311"/>
      <c r="MXU23" s="311"/>
      <c r="MXV23" s="311"/>
      <c r="MXW23" s="311"/>
      <c r="MXX23" s="311"/>
      <c r="MXY23" s="311"/>
      <c r="MXZ23" s="311"/>
      <c r="MYA23" s="311"/>
      <c r="MYB23" s="311"/>
      <c r="MYC23" s="311"/>
      <c r="MYD23" s="311"/>
      <c r="MYE23" s="311"/>
      <c r="MYF23" s="311"/>
      <c r="MYG23" s="311"/>
      <c r="MYH23" s="311"/>
      <c r="MYI23" s="311"/>
      <c r="MYJ23" s="311"/>
      <c r="MYK23" s="311"/>
      <c r="MYL23" s="311"/>
      <c r="MYM23" s="311"/>
      <c r="MYN23" s="311"/>
      <c r="MYO23" s="311"/>
      <c r="MYP23" s="311"/>
      <c r="MYQ23" s="311"/>
      <c r="MYR23" s="311"/>
      <c r="MYS23" s="311"/>
      <c r="MYT23" s="311"/>
      <c r="MYU23" s="311"/>
      <c r="MYV23" s="311"/>
      <c r="MYW23" s="311"/>
      <c r="MYX23" s="311"/>
      <c r="MYY23" s="311"/>
      <c r="MYZ23" s="311"/>
      <c r="MZA23" s="311"/>
      <c r="MZB23" s="311"/>
      <c r="MZC23" s="311"/>
      <c r="MZD23" s="311"/>
      <c r="MZE23" s="311"/>
      <c r="MZF23" s="311"/>
      <c r="MZG23" s="311"/>
      <c r="MZH23" s="311"/>
      <c r="MZI23" s="311"/>
      <c r="MZJ23" s="311"/>
      <c r="MZK23" s="311"/>
      <c r="MZL23" s="311"/>
      <c r="MZM23" s="311"/>
      <c r="MZN23" s="311"/>
      <c r="MZO23" s="311"/>
      <c r="MZP23" s="311"/>
      <c r="MZQ23" s="311"/>
      <c r="MZR23" s="311"/>
      <c r="MZS23" s="311"/>
      <c r="MZT23" s="311"/>
      <c r="MZU23" s="311"/>
      <c r="MZV23" s="311"/>
      <c r="MZW23" s="311"/>
      <c r="MZX23" s="311"/>
      <c r="MZY23" s="311"/>
      <c r="MZZ23" s="311"/>
      <c r="NAA23" s="311"/>
      <c r="NAB23" s="311"/>
      <c r="NAC23" s="311"/>
      <c r="NAD23" s="311"/>
      <c r="NAE23" s="311"/>
      <c r="NAF23" s="311"/>
      <c r="NAG23" s="311"/>
      <c r="NAH23" s="311"/>
      <c r="NAI23" s="311"/>
      <c r="NAJ23" s="311"/>
      <c r="NAK23" s="311"/>
      <c r="NAL23" s="311"/>
      <c r="NAM23" s="311"/>
      <c r="NAN23" s="311"/>
      <c r="NAO23" s="311"/>
      <c r="NAP23" s="311"/>
      <c r="NAQ23" s="311"/>
      <c r="NAR23" s="311"/>
      <c r="NAS23" s="311"/>
      <c r="NAT23" s="311"/>
      <c r="NAU23" s="311"/>
      <c r="NAV23" s="311"/>
      <c r="NAW23" s="311"/>
      <c r="NAX23" s="311"/>
      <c r="NAY23" s="311"/>
      <c r="NAZ23" s="311"/>
      <c r="NBA23" s="311"/>
      <c r="NBB23" s="311"/>
      <c r="NBC23" s="311"/>
      <c r="NBD23" s="311"/>
      <c r="NBE23" s="311"/>
      <c r="NBF23" s="311"/>
      <c r="NBG23" s="311"/>
      <c r="NBH23" s="311"/>
      <c r="NBI23" s="311"/>
      <c r="NBJ23" s="311"/>
      <c r="NBK23" s="311"/>
      <c r="NBL23" s="311"/>
      <c r="NBM23" s="311"/>
      <c r="NBN23" s="311"/>
      <c r="NBO23" s="311"/>
      <c r="NBP23" s="311"/>
      <c r="NBQ23" s="311"/>
      <c r="NBR23" s="311"/>
      <c r="NBS23" s="311"/>
      <c r="NBT23" s="311"/>
      <c r="NBU23" s="311"/>
      <c r="NBV23" s="311"/>
      <c r="NBW23" s="311"/>
      <c r="NBX23" s="311"/>
      <c r="NBY23" s="311"/>
      <c r="NBZ23" s="311"/>
      <c r="NCA23" s="311"/>
      <c r="NCB23" s="311"/>
      <c r="NCC23" s="311"/>
      <c r="NCD23" s="311"/>
      <c r="NCE23" s="311"/>
      <c r="NCF23" s="311"/>
      <c r="NCG23" s="311"/>
      <c r="NCH23" s="311"/>
      <c r="NCI23" s="311"/>
      <c r="NCJ23" s="311"/>
      <c r="NCK23" s="311"/>
      <c r="NCL23" s="311"/>
      <c r="NCM23" s="311"/>
      <c r="NCN23" s="311"/>
      <c r="NCO23" s="311"/>
      <c r="NCP23" s="311"/>
      <c r="NCQ23" s="311"/>
      <c r="NCR23" s="311"/>
      <c r="NCS23" s="311"/>
      <c r="NCT23" s="311"/>
      <c r="NCU23" s="311"/>
      <c r="NCV23" s="311"/>
      <c r="NCW23" s="311"/>
      <c r="NCX23" s="311"/>
      <c r="NCY23" s="311"/>
      <c r="NCZ23" s="311"/>
      <c r="NDA23" s="311"/>
      <c r="NDB23" s="311"/>
      <c r="NDC23" s="311"/>
      <c r="NDD23" s="311"/>
      <c r="NDE23" s="311"/>
      <c r="NDF23" s="311"/>
      <c r="NDG23" s="311"/>
      <c r="NDH23" s="311"/>
      <c r="NDI23" s="311"/>
      <c r="NDJ23" s="311"/>
      <c r="NDK23" s="311"/>
      <c r="NDL23" s="311"/>
      <c r="NDM23" s="311"/>
      <c r="NDN23" s="311"/>
      <c r="NDO23" s="311"/>
      <c r="NDP23" s="311"/>
      <c r="NDQ23" s="311"/>
      <c r="NDR23" s="311"/>
      <c r="NDS23" s="311"/>
      <c r="NDT23" s="311"/>
      <c r="NDU23" s="311"/>
      <c r="NDV23" s="311"/>
      <c r="NDW23" s="311"/>
      <c r="NDX23" s="311"/>
      <c r="NDY23" s="311"/>
      <c r="NDZ23" s="311"/>
      <c r="NEA23" s="311"/>
      <c r="NEB23" s="311"/>
      <c r="NEC23" s="311"/>
      <c r="NED23" s="311"/>
      <c r="NEE23" s="311"/>
      <c r="NEF23" s="311"/>
      <c r="NEG23" s="311"/>
      <c r="NEH23" s="311"/>
      <c r="NEI23" s="311"/>
      <c r="NEJ23" s="311"/>
      <c r="NEK23" s="311"/>
      <c r="NEL23" s="311"/>
      <c r="NEM23" s="311"/>
      <c r="NEN23" s="311"/>
      <c r="NEO23" s="311"/>
      <c r="NEP23" s="311"/>
      <c r="NEQ23" s="311"/>
      <c r="NER23" s="311"/>
      <c r="NES23" s="311"/>
      <c r="NET23" s="311"/>
      <c r="NEU23" s="311"/>
      <c r="NEV23" s="311"/>
      <c r="NEW23" s="311"/>
      <c r="NEX23" s="311"/>
      <c r="NEY23" s="311"/>
      <c r="NEZ23" s="311"/>
      <c r="NFA23" s="311"/>
      <c r="NFB23" s="311"/>
      <c r="NFC23" s="311"/>
      <c r="NFD23" s="311"/>
      <c r="NFE23" s="311"/>
      <c r="NFF23" s="311"/>
      <c r="NFG23" s="311"/>
      <c r="NFH23" s="311"/>
      <c r="NFI23" s="311"/>
      <c r="NFJ23" s="311"/>
      <c r="NFK23" s="311"/>
      <c r="NFL23" s="311"/>
      <c r="NFM23" s="311"/>
      <c r="NFN23" s="311"/>
      <c r="NFO23" s="311"/>
      <c r="NFP23" s="311"/>
      <c r="NFQ23" s="311"/>
      <c r="NFR23" s="311"/>
      <c r="NFS23" s="311"/>
      <c r="NFT23" s="311"/>
      <c r="NFU23" s="311"/>
      <c r="NFV23" s="311"/>
      <c r="NFW23" s="311"/>
      <c r="NFX23" s="311"/>
      <c r="NFY23" s="311"/>
      <c r="NFZ23" s="311"/>
      <c r="NGA23" s="311"/>
      <c r="NGB23" s="311"/>
      <c r="NGC23" s="311"/>
      <c r="NGD23" s="311"/>
      <c r="NGE23" s="311"/>
      <c r="NGF23" s="311"/>
      <c r="NGG23" s="311"/>
      <c r="NGH23" s="311"/>
      <c r="NGI23" s="311"/>
      <c r="NGJ23" s="311"/>
      <c r="NGK23" s="311"/>
      <c r="NGL23" s="311"/>
      <c r="NGM23" s="311"/>
      <c r="NGN23" s="311"/>
      <c r="NGO23" s="311"/>
      <c r="NGP23" s="311"/>
      <c r="NGQ23" s="311"/>
      <c r="NGR23" s="311"/>
      <c r="NGS23" s="311"/>
      <c r="NGT23" s="311"/>
      <c r="NGU23" s="311"/>
      <c r="NGV23" s="311"/>
      <c r="NGW23" s="311"/>
      <c r="NGX23" s="311"/>
      <c r="NGY23" s="311"/>
      <c r="NGZ23" s="311"/>
      <c r="NHA23" s="311"/>
      <c r="NHB23" s="311"/>
      <c r="NHC23" s="311"/>
      <c r="NHD23" s="311"/>
      <c r="NHE23" s="311"/>
      <c r="NHF23" s="311"/>
      <c r="NHG23" s="311"/>
      <c r="NHH23" s="311"/>
      <c r="NHI23" s="311"/>
      <c r="NHJ23" s="311"/>
      <c r="NHK23" s="311"/>
      <c r="NHL23" s="311"/>
      <c r="NHM23" s="311"/>
      <c r="NHN23" s="311"/>
      <c r="NHO23" s="311"/>
      <c r="NHP23" s="311"/>
      <c r="NHQ23" s="311"/>
      <c r="NHR23" s="311"/>
      <c r="NHS23" s="311"/>
      <c r="NHT23" s="311"/>
      <c r="NHU23" s="311"/>
      <c r="NHV23" s="311"/>
      <c r="NHW23" s="311"/>
      <c r="NHX23" s="311"/>
      <c r="NHY23" s="311"/>
      <c r="NHZ23" s="311"/>
      <c r="NIA23" s="311"/>
      <c r="NIB23" s="311"/>
      <c r="NIC23" s="311"/>
      <c r="NID23" s="311"/>
      <c r="NIE23" s="311"/>
      <c r="NIF23" s="311"/>
      <c r="NIG23" s="311"/>
      <c r="NIH23" s="311"/>
      <c r="NII23" s="311"/>
      <c r="NIJ23" s="311"/>
      <c r="NIK23" s="311"/>
      <c r="NIL23" s="311"/>
      <c r="NIM23" s="311"/>
      <c r="NIN23" s="311"/>
      <c r="NIO23" s="311"/>
      <c r="NIP23" s="311"/>
      <c r="NIQ23" s="311"/>
      <c r="NIR23" s="311"/>
      <c r="NIS23" s="311"/>
      <c r="NIT23" s="311"/>
      <c r="NIU23" s="311"/>
      <c r="NIV23" s="311"/>
      <c r="NIW23" s="311"/>
      <c r="NIX23" s="311"/>
      <c r="NIY23" s="311"/>
      <c r="NIZ23" s="311"/>
      <c r="NJA23" s="311"/>
      <c r="NJB23" s="311"/>
      <c r="NJC23" s="311"/>
      <c r="NJD23" s="311"/>
      <c r="NJE23" s="311"/>
      <c r="NJF23" s="311"/>
      <c r="NJG23" s="311"/>
      <c r="NJH23" s="311"/>
      <c r="NJI23" s="311"/>
      <c r="NJJ23" s="311"/>
      <c r="NJK23" s="311"/>
      <c r="NJL23" s="311"/>
      <c r="NJM23" s="311"/>
      <c r="NJN23" s="311"/>
      <c r="NJO23" s="311"/>
      <c r="NJP23" s="311"/>
      <c r="NJQ23" s="311"/>
      <c r="NJR23" s="311"/>
      <c r="NJS23" s="311"/>
      <c r="NJT23" s="311"/>
      <c r="NJU23" s="311"/>
      <c r="NJV23" s="311"/>
      <c r="NJW23" s="311"/>
      <c r="NJX23" s="311"/>
      <c r="NJY23" s="311"/>
      <c r="NJZ23" s="311"/>
      <c r="NKA23" s="311"/>
      <c r="NKB23" s="311"/>
      <c r="NKC23" s="311"/>
      <c r="NKD23" s="311"/>
      <c r="NKE23" s="311"/>
      <c r="NKF23" s="311"/>
      <c r="NKG23" s="311"/>
      <c r="NKH23" s="311"/>
      <c r="NKI23" s="311"/>
      <c r="NKJ23" s="311"/>
      <c r="NKK23" s="311"/>
      <c r="NKL23" s="311"/>
      <c r="NKM23" s="311"/>
      <c r="NKN23" s="311"/>
      <c r="NKO23" s="311"/>
      <c r="NKP23" s="311"/>
      <c r="NKQ23" s="311"/>
      <c r="NKR23" s="311"/>
      <c r="NKS23" s="311"/>
      <c r="NKT23" s="311"/>
      <c r="NKU23" s="311"/>
      <c r="NKV23" s="311"/>
      <c r="NKW23" s="311"/>
      <c r="NKX23" s="311"/>
      <c r="NKY23" s="311"/>
      <c r="NKZ23" s="311"/>
      <c r="NLA23" s="311"/>
      <c r="NLB23" s="311"/>
      <c r="NLC23" s="311"/>
      <c r="NLD23" s="311"/>
      <c r="NLE23" s="311"/>
      <c r="NLF23" s="311"/>
      <c r="NLG23" s="311"/>
      <c r="NLH23" s="311"/>
      <c r="NLI23" s="311"/>
      <c r="NLJ23" s="311"/>
      <c r="NLK23" s="311"/>
      <c r="NLL23" s="311"/>
      <c r="NLM23" s="311"/>
      <c r="NLN23" s="311"/>
      <c r="NLO23" s="311"/>
      <c r="NLP23" s="311"/>
      <c r="NLQ23" s="311"/>
      <c r="NLR23" s="311"/>
      <c r="NLS23" s="311"/>
      <c r="NLT23" s="311"/>
      <c r="NLU23" s="311"/>
      <c r="NLV23" s="311"/>
      <c r="NLW23" s="311"/>
      <c r="NLX23" s="311"/>
      <c r="NLY23" s="311"/>
      <c r="NLZ23" s="311"/>
      <c r="NMA23" s="311"/>
      <c r="NMB23" s="311"/>
      <c r="NMC23" s="311"/>
      <c r="NMD23" s="311"/>
      <c r="NME23" s="311"/>
      <c r="NMF23" s="311"/>
      <c r="NMG23" s="311"/>
      <c r="NMH23" s="311"/>
      <c r="NMI23" s="311"/>
      <c r="NMJ23" s="311"/>
      <c r="NMK23" s="311"/>
      <c r="NML23" s="311"/>
      <c r="NMM23" s="311"/>
      <c r="NMN23" s="311"/>
      <c r="NMO23" s="311"/>
      <c r="NMP23" s="311"/>
      <c r="NMQ23" s="311"/>
      <c r="NMR23" s="311"/>
      <c r="NMS23" s="311"/>
      <c r="NMT23" s="311"/>
      <c r="NMU23" s="311"/>
      <c r="NMV23" s="311"/>
      <c r="NMW23" s="311"/>
      <c r="NMX23" s="311"/>
      <c r="NMY23" s="311"/>
      <c r="NMZ23" s="311"/>
      <c r="NNA23" s="311"/>
      <c r="NNB23" s="311"/>
      <c r="NNC23" s="311"/>
      <c r="NND23" s="311"/>
      <c r="NNE23" s="311"/>
      <c r="NNF23" s="311"/>
      <c r="NNG23" s="311"/>
      <c r="NNH23" s="311"/>
      <c r="NNI23" s="311"/>
      <c r="NNJ23" s="311"/>
      <c r="NNK23" s="311"/>
      <c r="NNL23" s="311"/>
      <c r="NNM23" s="311"/>
      <c r="NNN23" s="311"/>
      <c r="NNO23" s="311"/>
      <c r="NNP23" s="311"/>
      <c r="NNQ23" s="311"/>
      <c r="NNR23" s="311"/>
      <c r="NNS23" s="311"/>
      <c r="NNT23" s="311"/>
      <c r="NNU23" s="311"/>
      <c r="NNV23" s="311"/>
      <c r="NNW23" s="311"/>
      <c r="NNX23" s="311"/>
      <c r="NNY23" s="311"/>
      <c r="NNZ23" s="311"/>
      <c r="NOA23" s="311"/>
      <c r="NOB23" s="311"/>
      <c r="NOC23" s="311"/>
      <c r="NOD23" s="311"/>
      <c r="NOE23" s="311"/>
      <c r="NOF23" s="311"/>
      <c r="NOG23" s="311"/>
      <c r="NOH23" s="311"/>
      <c r="NOI23" s="311"/>
      <c r="NOJ23" s="311"/>
      <c r="NOK23" s="311"/>
      <c r="NOL23" s="311"/>
      <c r="NOM23" s="311"/>
      <c r="NON23" s="311"/>
      <c r="NOO23" s="311"/>
      <c r="NOP23" s="311"/>
      <c r="NOQ23" s="311"/>
      <c r="NOR23" s="311"/>
      <c r="NOS23" s="311"/>
      <c r="NOT23" s="311"/>
      <c r="NOU23" s="311"/>
      <c r="NOV23" s="311"/>
      <c r="NOW23" s="311"/>
      <c r="NOX23" s="311"/>
      <c r="NOY23" s="311"/>
      <c r="NOZ23" s="311"/>
      <c r="NPA23" s="311"/>
      <c r="NPB23" s="311"/>
      <c r="NPC23" s="311"/>
      <c r="NPD23" s="311"/>
      <c r="NPE23" s="311"/>
      <c r="NPF23" s="311"/>
      <c r="NPG23" s="311"/>
      <c r="NPH23" s="311"/>
      <c r="NPI23" s="311"/>
      <c r="NPJ23" s="311"/>
      <c r="NPK23" s="311"/>
      <c r="NPL23" s="311"/>
      <c r="NPM23" s="311"/>
      <c r="NPN23" s="311"/>
      <c r="NPO23" s="311"/>
      <c r="NPP23" s="311"/>
      <c r="NPQ23" s="311"/>
      <c r="NPR23" s="311"/>
      <c r="NPS23" s="311"/>
      <c r="NPT23" s="311"/>
      <c r="NPU23" s="311"/>
      <c r="NPV23" s="311"/>
      <c r="NPW23" s="311"/>
      <c r="NPX23" s="311"/>
      <c r="NPY23" s="311"/>
      <c r="NPZ23" s="311"/>
      <c r="NQA23" s="311"/>
      <c r="NQB23" s="311"/>
      <c r="NQC23" s="311"/>
      <c r="NQD23" s="311"/>
      <c r="NQE23" s="311"/>
      <c r="NQF23" s="311"/>
      <c r="NQG23" s="311"/>
      <c r="NQH23" s="311"/>
      <c r="NQI23" s="311"/>
      <c r="NQJ23" s="311"/>
      <c r="NQK23" s="311"/>
      <c r="NQL23" s="311"/>
      <c r="NQM23" s="311"/>
      <c r="NQN23" s="311"/>
      <c r="NQO23" s="311"/>
      <c r="NQP23" s="311"/>
      <c r="NQQ23" s="311"/>
      <c r="NQR23" s="311"/>
      <c r="NQS23" s="311"/>
      <c r="NQT23" s="311"/>
      <c r="NQU23" s="311"/>
      <c r="NQV23" s="311"/>
      <c r="NQW23" s="311"/>
      <c r="NQX23" s="311"/>
      <c r="NQY23" s="311"/>
      <c r="NQZ23" s="311"/>
      <c r="NRA23" s="311"/>
      <c r="NRB23" s="311"/>
      <c r="NRC23" s="311"/>
      <c r="NRD23" s="311"/>
      <c r="NRE23" s="311"/>
      <c r="NRF23" s="311"/>
      <c r="NRG23" s="311"/>
      <c r="NRH23" s="311"/>
      <c r="NRI23" s="311"/>
      <c r="NRJ23" s="311"/>
      <c r="NRK23" s="311"/>
      <c r="NRL23" s="311"/>
      <c r="NRM23" s="311"/>
      <c r="NRN23" s="311"/>
      <c r="NRO23" s="311"/>
      <c r="NRP23" s="311"/>
      <c r="NRQ23" s="311"/>
      <c r="NRR23" s="311"/>
      <c r="NRS23" s="311"/>
      <c r="NRT23" s="311"/>
      <c r="NRU23" s="311"/>
      <c r="NRV23" s="311"/>
      <c r="NRW23" s="311"/>
      <c r="NRX23" s="311"/>
      <c r="NRY23" s="311"/>
      <c r="NRZ23" s="311"/>
      <c r="NSA23" s="311"/>
      <c r="NSB23" s="311"/>
      <c r="NSC23" s="311"/>
      <c r="NSD23" s="311"/>
      <c r="NSE23" s="311"/>
      <c r="NSF23" s="311"/>
      <c r="NSG23" s="311"/>
      <c r="NSH23" s="311"/>
      <c r="NSI23" s="311"/>
      <c r="NSJ23" s="311"/>
      <c r="NSK23" s="311"/>
      <c r="NSL23" s="311"/>
      <c r="NSM23" s="311"/>
      <c r="NSN23" s="311"/>
      <c r="NSO23" s="311"/>
      <c r="NSP23" s="311"/>
      <c r="NSQ23" s="311"/>
      <c r="NSR23" s="311"/>
      <c r="NSS23" s="311"/>
      <c r="NST23" s="311"/>
      <c r="NSU23" s="311"/>
      <c r="NSV23" s="311"/>
      <c r="NSW23" s="311"/>
      <c r="NSX23" s="311"/>
      <c r="NSY23" s="311"/>
      <c r="NSZ23" s="311"/>
      <c r="NTA23" s="311"/>
      <c r="NTB23" s="311"/>
      <c r="NTC23" s="311"/>
      <c r="NTD23" s="311"/>
      <c r="NTE23" s="311"/>
      <c r="NTF23" s="311"/>
      <c r="NTG23" s="311"/>
      <c r="NTH23" s="311"/>
      <c r="NTI23" s="311"/>
      <c r="NTJ23" s="311"/>
      <c r="NTK23" s="311"/>
      <c r="NTL23" s="311"/>
      <c r="NTM23" s="311"/>
      <c r="NTN23" s="311"/>
      <c r="NTO23" s="311"/>
      <c r="NTP23" s="311"/>
      <c r="NTQ23" s="311"/>
      <c r="NTR23" s="311"/>
      <c r="NTS23" s="311"/>
      <c r="NTT23" s="311"/>
      <c r="NTU23" s="311"/>
      <c r="NTV23" s="311"/>
      <c r="NTW23" s="311"/>
      <c r="NTX23" s="311"/>
      <c r="NTY23" s="311"/>
      <c r="NTZ23" s="311"/>
      <c r="NUA23" s="311"/>
      <c r="NUB23" s="311"/>
      <c r="NUC23" s="311"/>
      <c r="NUD23" s="311"/>
      <c r="NUE23" s="311"/>
      <c r="NUF23" s="311"/>
      <c r="NUG23" s="311"/>
      <c r="NUH23" s="311"/>
      <c r="NUI23" s="311"/>
      <c r="NUJ23" s="311"/>
      <c r="NUK23" s="311"/>
      <c r="NUL23" s="311"/>
      <c r="NUM23" s="311"/>
      <c r="NUN23" s="311"/>
      <c r="NUO23" s="311"/>
      <c r="NUP23" s="311"/>
      <c r="NUQ23" s="311"/>
      <c r="NUR23" s="311"/>
      <c r="NUS23" s="311"/>
      <c r="NUT23" s="311"/>
      <c r="NUU23" s="311"/>
      <c r="NUV23" s="311"/>
      <c r="NUW23" s="311"/>
      <c r="NUX23" s="311"/>
      <c r="NUY23" s="311"/>
      <c r="NUZ23" s="311"/>
      <c r="NVA23" s="311"/>
      <c r="NVB23" s="311"/>
      <c r="NVC23" s="311"/>
      <c r="NVD23" s="311"/>
      <c r="NVE23" s="311"/>
      <c r="NVF23" s="311"/>
      <c r="NVG23" s="311"/>
      <c r="NVH23" s="311"/>
      <c r="NVI23" s="311"/>
      <c r="NVJ23" s="311"/>
      <c r="NVK23" s="311"/>
      <c r="NVL23" s="311"/>
      <c r="NVM23" s="311"/>
      <c r="NVN23" s="311"/>
      <c r="NVO23" s="311"/>
      <c r="NVP23" s="311"/>
      <c r="NVQ23" s="311"/>
      <c r="NVR23" s="311"/>
      <c r="NVS23" s="311"/>
      <c r="NVT23" s="311"/>
      <c r="NVU23" s="311"/>
      <c r="NVV23" s="311"/>
      <c r="NVW23" s="311"/>
      <c r="NVX23" s="311"/>
      <c r="NVY23" s="311"/>
      <c r="NVZ23" s="311"/>
      <c r="NWA23" s="311"/>
      <c r="NWB23" s="311"/>
      <c r="NWC23" s="311"/>
      <c r="NWD23" s="311"/>
      <c r="NWE23" s="311"/>
      <c r="NWF23" s="311"/>
      <c r="NWG23" s="311"/>
      <c r="NWH23" s="311"/>
      <c r="NWI23" s="311"/>
      <c r="NWJ23" s="311"/>
      <c r="NWK23" s="311"/>
      <c r="NWL23" s="311"/>
      <c r="NWM23" s="311"/>
      <c r="NWN23" s="311"/>
      <c r="NWO23" s="311"/>
      <c r="NWP23" s="311"/>
      <c r="NWQ23" s="311"/>
      <c r="NWR23" s="311"/>
      <c r="NWS23" s="311"/>
      <c r="NWT23" s="311"/>
      <c r="NWU23" s="311"/>
      <c r="NWV23" s="311"/>
      <c r="NWW23" s="311"/>
      <c r="NWX23" s="311"/>
      <c r="NWY23" s="311"/>
      <c r="NWZ23" s="311"/>
      <c r="NXA23" s="311"/>
      <c r="NXB23" s="311"/>
      <c r="NXC23" s="311"/>
      <c r="NXD23" s="311"/>
      <c r="NXE23" s="311"/>
      <c r="NXF23" s="311"/>
      <c r="NXG23" s="311"/>
      <c r="NXH23" s="311"/>
      <c r="NXI23" s="311"/>
      <c r="NXJ23" s="311"/>
      <c r="NXK23" s="311"/>
      <c r="NXL23" s="311"/>
      <c r="NXM23" s="311"/>
      <c r="NXN23" s="311"/>
      <c r="NXO23" s="311"/>
      <c r="NXP23" s="311"/>
      <c r="NXQ23" s="311"/>
      <c r="NXR23" s="311"/>
      <c r="NXS23" s="311"/>
      <c r="NXT23" s="311"/>
      <c r="NXU23" s="311"/>
      <c r="NXV23" s="311"/>
      <c r="NXW23" s="311"/>
      <c r="NXX23" s="311"/>
      <c r="NXY23" s="311"/>
      <c r="NXZ23" s="311"/>
      <c r="NYA23" s="311"/>
      <c r="NYB23" s="311"/>
      <c r="NYC23" s="311"/>
      <c r="NYD23" s="311"/>
      <c r="NYE23" s="311"/>
      <c r="NYF23" s="311"/>
      <c r="NYG23" s="311"/>
      <c r="NYH23" s="311"/>
      <c r="NYI23" s="311"/>
      <c r="NYJ23" s="311"/>
      <c r="NYK23" s="311"/>
      <c r="NYL23" s="311"/>
      <c r="NYM23" s="311"/>
      <c r="NYN23" s="311"/>
      <c r="NYO23" s="311"/>
      <c r="NYP23" s="311"/>
      <c r="NYQ23" s="311"/>
      <c r="NYR23" s="311"/>
      <c r="NYS23" s="311"/>
      <c r="NYT23" s="311"/>
      <c r="NYU23" s="311"/>
      <c r="NYV23" s="311"/>
      <c r="NYW23" s="311"/>
      <c r="NYX23" s="311"/>
      <c r="NYY23" s="311"/>
      <c r="NYZ23" s="311"/>
      <c r="NZA23" s="311"/>
      <c r="NZB23" s="311"/>
      <c r="NZC23" s="311"/>
      <c r="NZD23" s="311"/>
      <c r="NZE23" s="311"/>
      <c r="NZF23" s="311"/>
      <c r="NZG23" s="311"/>
      <c r="NZH23" s="311"/>
      <c r="NZI23" s="311"/>
      <c r="NZJ23" s="311"/>
      <c r="NZK23" s="311"/>
      <c r="NZL23" s="311"/>
      <c r="NZM23" s="311"/>
      <c r="NZN23" s="311"/>
      <c r="NZO23" s="311"/>
      <c r="NZP23" s="311"/>
      <c r="NZQ23" s="311"/>
      <c r="NZR23" s="311"/>
      <c r="NZS23" s="311"/>
      <c r="NZT23" s="311"/>
      <c r="NZU23" s="311"/>
      <c r="NZV23" s="311"/>
      <c r="NZW23" s="311"/>
      <c r="NZX23" s="311"/>
      <c r="NZY23" s="311"/>
      <c r="NZZ23" s="311"/>
      <c r="OAA23" s="311"/>
      <c r="OAB23" s="311"/>
      <c r="OAC23" s="311"/>
      <c r="OAD23" s="311"/>
      <c r="OAE23" s="311"/>
      <c r="OAF23" s="311"/>
      <c r="OAG23" s="311"/>
      <c r="OAH23" s="311"/>
      <c r="OAI23" s="311"/>
      <c r="OAJ23" s="311"/>
      <c r="OAK23" s="311"/>
      <c r="OAL23" s="311"/>
      <c r="OAM23" s="311"/>
      <c r="OAN23" s="311"/>
      <c r="OAO23" s="311"/>
      <c r="OAP23" s="311"/>
      <c r="OAQ23" s="311"/>
      <c r="OAR23" s="311"/>
      <c r="OAS23" s="311"/>
      <c r="OAT23" s="311"/>
      <c r="OAU23" s="311"/>
      <c r="OAV23" s="311"/>
      <c r="OAW23" s="311"/>
      <c r="OAX23" s="311"/>
      <c r="OAY23" s="311"/>
      <c r="OAZ23" s="311"/>
      <c r="OBA23" s="311"/>
      <c r="OBB23" s="311"/>
      <c r="OBC23" s="311"/>
      <c r="OBD23" s="311"/>
      <c r="OBE23" s="311"/>
      <c r="OBF23" s="311"/>
      <c r="OBG23" s="311"/>
      <c r="OBH23" s="311"/>
      <c r="OBI23" s="311"/>
      <c r="OBJ23" s="311"/>
      <c r="OBK23" s="311"/>
      <c r="OBL23" s="311"/>
      <c r="OBM23" s="311"/>
      <c r="OBN23" s="311"/>
      <c r="OBO23" s="311"/>
      <c r="OBP23" s="311"/>
      <c r="OBQ23" s="311"/>
      <c r="OBR23" s="311"/>
      <c r="OBS23" s="311"/>
      <c r="OBT23" s="311"/>
      <c r="OBU23" s="311"/>
      <c r="OBV23" s="311"/>
      <c r="OBW23" s="311"/>
      <c r="OBX23" s="311"/>
      <c r="OBY23" s="311"/>
      <c r="OBZ23" s="311"/>
      <c r="OCA23" s="311"/>
      <c r="OCB23" s="311"/>
      <c r="OCC23" s="311"/>
      <c r="OCD23" s="311"/>
      <c r="OCE23" s="311"/>
      <c r="OCF23" s="311"/>
      <c r="OCG23" s="311"/>
      <c r="OCH23" s="311"/>
      <c r="OCI23" s="311"/>
      <c r="OCJ23" s="311"/>
      <c r="OCK23" s="311"/>
      <c r="OCL23" s="311"/>
      <c r="OCM23" s="311"/>
      <c r="OCN23" s="311"/>
      <c r="OCO23" s="311"/>
      <c r="OCP23" s="311"/>
      <c r="OCQ23" s="311"/>
      <c r="OCR23" s="311"/>
      <c r="OCS23" s="311"/>
      <c r="OCT23" s="311"/>
      <c r="OCU23" s="311"/>
      <c r="OCV23" s="311"/>
      <c r="OCW23" s="311"/>
      <c r="OCX23" s="311"/>
      <c r="OCY23" s="311"/>
      <c r="OCZ23" s="311"/>
      <c r="ODA23" s="311"/>
      <c r="ODB23" s="311"/>
      <c r="ODC23" s="311"/>
      <c r="ODD23" s="311"/>
      <c r="ODE23" s="311"/>
      <c r="ODF23" s="311"/>
      <c r="ODG23" s="311"/>
      <c r="ODH23" s="311"/>
      <c r="ODI23" s="311"/>
      <c r="ODJ23" s="311"/>
      <c r="ODK23" s="311"/>
      <c r="ODL23" s="311"/>
      <c r="ODM23" s="311"/>
      <c r="ODN23" s="311"/>
      <c r="ODO23" s="311"/>
      <c r="ODP23" s="311"/>
      <c r="ODQ23" s="311"/>
      <c r="ODR23" s="311"/>
      <c r="ODS23" s="311"/>
      <c r="ODT23" s="311"/>
      <c r="ODU23" s="311"/>
      <c r="ODV23" s="311"/>
      <c r="ODW23" s="311"/>
      <c r="ODX23" s="311"/>
      <c r="ODY23" s="311"/>
      <c r="ODZ23" s="311"/>
      <c r="OEA23" s="311"/>
      <c r="OEB23" s="311"/>
      <c r="OEC23" s="311"/>
      <c r="OED23" s="311"/>
      <c r="OEE23" s="311"/>
      <c r="OEF23" s="311"/>
      <c r="OEG23" s="311"/>
      <c r="OEH23" s="311"/>
      <c r="OEI23" s="311"/>
      <c r="OEJ23" s="311"/>
      <c r="OEK23" s="311"/>
      <c r="OEL23" s="311"/>
      <c r="OEM23" s="311"/>
      <c r="OEN23" s="311"/>
      <c r="OEO23" s="311"/>
      <c r="OEP23" s="311"/>
      <c r="OEQ23" s="311"/>
      <c r="OER23" s="311"/>
      <c r="OES23" s="311"/>
      <c r="OET23" s="311"/>
      <c r="OEU23" s="311"/>
      <c r="OEV23" s="311"/>
      <c r="OEW23" s="311"/>
      <c r="OEX23" s="311"/>
      <c r="OEY23" s="311"/>
      <c r="OEZ23" s="311"/>
      <c r="OFA23" s="311"/>
      <c r="OFB23" s="311"/>
      <c r="OFC23" s="311"/>
      <c r="OFD23" s="311"/>
      <c r="OFE23" s="311"/>
      <c r="OFF23" s="311"/>
      <c r="OFG23" s="311"/>
      <c r="OFH23" s="311"/>
      <c r="OFI23" s="311"/>
      <c r="OFJ23" s="311"/>
      <c r="OFK23" s="311"/>
      <c r="OFL23" s="311"/>
      <c r="OFM23" s="311"/>
      <c r="OFN23" s="311"/>
      <c r="OFO23" s="311"/>
      <c r="OFP23" s="311"/>
      <c r="OFQ23" s="311"/>
      <c r="OFR23" s="311"/>
      <c r="OFS23" s="311"/>
      <c r="OFT23" s="311"/>
      <c r="OFU23" s="311"/>
      <c r="OFV23" s="311"/>
      <c r="OFW23" s="311"/>
      <c r="OFX23" s="311"/>
      <c r="OFY23" s="311"/>
      <c r="OFZ23" s="311"/>
      <c r="OGA23" s="311"/>
      <c r="OGB23" s="311"/>
      <c r="OGC23" s="311"/>
      <c r="OGD23" s="311"/>
      <c r="OGE23" s="311"/>
      <c r="OGF23" s="311"/>
      <c r="OGG23" s="311"/>
      <c r="OGH23" s="311"/>
      <c r="OGI23" s="311"/>
      <c r="OGJ23" s="311"/>
      <c r="OGK23" s="311"/>
      <c r="OGL23" s="311"/>
      <c r="OGM23" s="311"/>
      <c r="OGN23" s="311"/>
      <c r="OGO23" s="311"/>
      <c r="OGP23" s="311"/>
      <c r="OGQ23" s="311"/>
      <c r="OGR23" s="311"/>
      <c r="OGS23" s="311"/>
      <c r="OGT23" s="311"/>
      <c r="OGU23" s="311"/>
      <c r="OGV23" s="311"/>
      <c r="OGW23" s="311"/>
      <c r="OGX23" s="311"/>
      <c r="OGY23" s="311"/>
      <c r="OGZ23" s="311"/>
      <c r="OHA23" s="311"/>
      <c r="OHB23" s="311"/>
      <c r="OHC23" s="311"/>
      <c r="OHD23" s="311"/>
      <c r="OHE23" s="311"/>
      <c r="OHF23" s="311"/>
      <c r="OHG23" s="311"/>
      <c r="OHH23" s="311"/>
      <c r="OHI23" s="311"/>
      <c r="OHJ23" s="311"/>
      <c r="OHK23" s="311"/>
      <c r="OHL23" s="311"/>
      <c r="OHM23" s="311"/>
      <c r="OHN23" s="311"/>
      <c r="OHO23" s="311"/>
      <c r="OHP23" s="311"/>
      <c r="OHQ23" s="311"/>
      <c r="OHR23" s="311"/>
      <c r="OHS23" s="311"/>
      <c r="OHT23" s="311"/>
      <c r="OHU23" s="311"/>
      <c r="OHV23" s="311"/>
      <c r="OHW23" s="311"/>
      <c r="OHX23" s="311"/>
      <c r="OHY23" s="311"/>
      <c r="OHZ23" s="311"/>
      <c r="OIA23" s="311"/>
      <c r="OIB23" s="311"/>
      <c r="OIC23" s="311"/>
      <c r="OID23" s="311"/>
      <c r="OIE23" s="311"/>
      <c r="OIF23" s="311"/>
      <c r="OIG23" s="311"/>
      <c r="OIH23" s="311"/>
      <c r="OII23" s="311"/>
      <c r="OIJ23" s="311"/>
      <c r="OIK23" s="311"/>
      <c r="OIL23" s="311"/>
      <c r="OIM23" s="311"/>
      <c r="OIN23" s="311"/>
      <c r="OIO23" s="311"/>
      <c r="OIP23" s="311"/>
      <c r="OIQ23" s="311"/>
      <c r="OIR23" s="311"/>
      <c r="OIS23" s="311"/>
      <c r="OIT23" s="311"/>
      <c r="OIU23" s="311"/>
      <c r="OIV23" s="311"/>
      <c r="OIW23" s="311"/>
      <c r="OIX23" s="311"/>
      <c r="OIY23" s="311"/>
      <c r="OIZ23" s="311"/>
      <c r="OJA23" s="311"/>
      <c r="OJB23" s="311"/>
      <c r="OJC23" s="311"/>
      <c r="OJD23" s="311"/>
      <c r="OJE23" s="311"/>
      <c r="OJF23" s="311"/>
      <c r="OJG23" s="311"/>
      <c r="OJH23" s="311"/>
      <c r="OJI23" s="311"/>
      <c r="OJJ23" s="311"/>
      <c r="OJK23" s="311"/>
      <c r="OJL23" s="311"/>
      <c r="OJM23" s="311"/>
      <c r="OJN23" s="311"/>
      <c r="OJO23" s="311"/>
      <c r="OJP23" s="311"/>
      <c r="OJQ23" s="311"/>
      <c r="OJR23" s="311"/>
      <c r="OJS23" s="311"/>
      <c r="OJT23" s="311"/>
      <c r="OJU23" s="311"/>
      <c r="OJV23" s="311"/>
      <c r="OJW23" s="311"/>
      <c r="OJX23" s="311"/>
      <c r="OJY23" s="311"/>
      <c r="OJZ23" s="311"/>
      <c r="OKA23" s="311"/>
      <c r="OKB23" s="311"/>
      <c r="OKC23" s="311"/>
      <c r="OKD23" s="311"/>
      <c r="OKE23" s="311"/>
      <c r="OKF23" s="311"/>
      <c r="OKG23" s="311"/>
      <c r="OKH23" s="311"/>
      <c r="OKI23" s="311"/>
      <c r="OKJ23" s="311"/>
      <c r="OKK23" s="311"/>
      <c r="OKL23" s="311"/>
      <c r="OKM23" s="311"/>
      <c r="OKN23" s="311"/>
      <c r="OKO23" s="311"/>
      <c r="OKP23" s="311"/>
      <c r="OKQ23" s="311"/>
      <c r="OKR23" s="311"/>
      <c r="OKS23" s="311"/>
      <c r="OKT23" s="311"/>
      <c r="OKU23" s="311"/>
      <c r="OKV23" s="311"/>
      <c r="OKW23" s="311"/>
      <c r="OKX23" s="311"/>
      <c r="OKY23" s="311"/>
      <c r="OKZ23" s="311"/>
      <c r="OLA23" s="311"/>
      <c r="OLB23" s="311"/>
      <c r="OLC23" s="311"/>
      <c r="OLD23" s="311"/>
      <c r="OLE23" s="311"/>
      <c r="OLF23" s="311"/>
      <c r="OLG23" s="311"/>
      <c r="OLH23" s="311"/>
      <c r="OLI23" s="311"/>
      <c r="OLJ23" s="311"/>
      <c r="OLK23" s="311"/>
      <c r="OLL23" s="311"/>
      <c r="OLM23" s="311"/>
      <c r="OLN23" s="311"/>
      <c r="OLO23" s="311"/>
      <c r="OLP23" s="311"/>
      <c r="OLQ23" s="311"/>
      <c r="OLR23" s="311"/>
      <c r="OLS23" s="311"/>
      <c r="OLT23" s="311"/>
      <c r="OLU23" s="311"/>
      <c r="OLV23" s="311"/>
      <c r="OLW23" s="311"/>
      <c r="OLX23" s="311"/>
      <c r="OLY23" s="311"/>
      <c r="OLZ23" s="311"/>
      <c r="OMA23" s="311"/>
      <c r="OMB23" s="311"/>
      <c r="OMC23" s="311"/>
      <c r="OMD23" s="311"/>
      <c r="OME23" s="311"/>
      <c r="OMF23" s="311"/>
      <c r="OMG23" s="311"/>
      <c r="OMH23" s="311"/>
      <c r="OMI23" s="311"/>
      <c r="OMJ23" s="311"/>
      <c r="OMK23" s="311"/>
      <c r="OML23" s="311"/>
      <c r="OMM23" s="311"/>
      <c r="OMN23" s="311"/>
      <c r="OMO23" s="311"/>
      <c r="OMP23" s="311"/>
      <c r="OMQ23" s="311"/>
      <c r="OMR23" s="311"/>
      <c r="OMS23" s="311"/>
      <c r="OMT23" s="311"/>
      <c r="OMU23" s="311"/>
      <c r="OMV23" s="311"/>
      <c r="OMW23" s="311"/>
      <c r="OMX23" s="311"/>
      <c r="OMY23" s="311"/>
      <c r="OMZ23" s="311"/>
      <c r="ONA23" s="311"/>
      <c r="ONB23" s="311"/>
      <c r="ONC23" s="311"/>
      <c r="OND23" s="311"/>
      <c r="ONE23" s="311"/>
      <c r="ONF23" s="311"/>
      <c r="ONG23" s="311"/>
      <c r="ONH23" s="311"/>
      <c r="ONI23" s="311"/>
      <c r="ONJ23" s="311"/>
      <c r="ONK23" s="311"/>
      <c r="ONL23" s="311"/>
      <c r="ONM23" s="311"/>
      <c r="ONN23" s="311"/>
      <c r="ONO23" s="311"/>
      <c r="ONP23" s="311"/>
      <c r="ONQ23" s="311"/>
      <c r="ONR23" s="311"/>
      <c r="ONS23" s="311"/>
      <c r="ONT23" s="311"/>
      <c r="ONU23" s="311"/>
      <c r="ONV23" s="311"/>
      <c r="ONW23" s="311"/>
      <c r="ONX23" s="311"/>
      <c r="ONY23" s="311"/>
      <c r="ONZ23" s="311"/>
      <c r="OOA23" s="311"/>
      <c r="OOB23" s="311"/>
      <c r="OOC23" s="311"/>
      <c r="OOD23" s="311"/>
      <c r="OOE23" s="311"/>
      <c r="OOF23" s="311"/>
      <c r="OOG23" s="311"/>
      <c r="OOH23" s="311"/>
      <c r="OOI23" s="311"/>
      <c r="OOJ23" s="311"/>
      <c r="OOK23" s="311"/>
      <c r="OOL23" s="311"/>
      <c r="OOM23" s="311"/>
      <c r="OON23" s="311"/>
      <c r="OOO23" s="311"/>
      <c r="OOP23" s="311"/>
      <c r="OOQ23" s="311"/>
      <c r="OOR23" s="311"/>
      <c r="OOS23" s="311"/>
      <c r="OOT23" s="311"/>
      <c r="OOU23" s="311"/>
      <c r="OOV23" s="311"/>
      <c r="OOW23" s="311"/>
      <c r="OOX23" s="311"/>
      <c r="OOY23" s="311"/>
      <c r="OOZ23" s="311"/>
      <c r="OPA23" s="311"/>
      <c r="OPB23" s="311"/>
      <c r="OPC23" s="311"/>
      <c r="OPD23" s="311"/>
      <c r="OPE23" s="311"/>
      <c r="OPF23" s="311"/>
      <c r="OPG23" s="311"/>
      <c r="OPH23" s="311"/>
      <c r="OPI23" s="311"/>
      <c r="OPJ23" s="311"/>
      <c r="OPK23" s="311"/>
      <c r="OPL23" s="311"/>
      <c r="OPM23" s="311"/>
      <c r="OPN23" s="311"/>
      <c r="OPO23" s="311"/>
      <c r="OPP23" s="311"/>
      <c r="OPQ23" s="311"/>
      <c r="OPR23" s="311"/>
      <c r="OPS23" s="311"/>
      <c r="OPT23" s="311"/>
      <c r="OPU23" s="311"/>
      <c r="OPV23" s="311"/>
      <c r="OPW23" s="311"/>
      <c r="OPX23" s="311"/>
      <c r="OPY23" s="311"/>
      <c r="OPZ23" s="311"/>
      <c r="OQA23" s="311"/>
      <c r="OQB23" s="311"/>
      <c r="OQC23" s="311"/>
      <c r="OQD23" s="311"/>
      <c r="OQE23" s="311"/>
      <c r="OQF23" s="311"/>
      <c r="OQG23" s="311"/>
      <c r="OQH23" s="311"/>
      <c r="OQI23" s="311"/>
      <c r="OQJ23" s="311"/>
      <c r="OQK23" s="311"/>
      <c r="OQL23" s="311"/>
      <c r="OQM23" s="311"/>
      <c r="OQN23" s="311"/>
      <c r="OQO23" s="311"/>
      <c r="OQP23" s="311"/>
      <c r="OQQ23" s="311"/>
      <c r="OQR23" s="311"/>
      <c r="OQS23" s="311"/>
      <c r="OQT23" s="311"/>
      <c r="OQU23" s="311"/>
      <c r="OQV23" s="311"/>
      <c r="OQW23" s="311"/>
      <c r="OQX23" s="311"/>
      <c r="OQY23" s="311"/>
      <c r="OQZ23" s="311"/>
      <c r="ORA23" s="311"/>
      <c r="ORB23" s="311"/>
      <c r="ORC23" s="311"/>
      <c r="ORD23" s="311"/>
      <c r="ORE23" s="311"/>
      <c r="ORF23" s="311"/>
      <c r="ORG23" s="311"/>
      <c r="ORH23" s="311"/>
      <c r="ORI23" s="311"/>
      <c r="ORJ23" s="311"/>
      <c r="ORK23" s="311"/>
      <c r="ORL23" s="311"/>
      <c r="ORM23" s="311"/>
      <c r="ORN23" s="311"/>
      <c r="ORO23" s="311"/>
      <c r="ORP23" s="311"/>
      <c r="ORQ23" s="311"/>
      <c r="ORR23" s="311"/>
      <c r="ORS23" s="311"/>
      <c r="ORT23" s="311"/>
      <c r="ORU23" s="311"/>
      <c r="ORV23" s="311"/>
      <c r="ORW23" s="311"/>
      <c r="ORX23" s="311"/>
      <c r="ORY23" s="311"/>
      <c r="ORZ23" s="311"/>
      <c r="OSA23" s="311"/>
      <c r="OSB23" s="311"/>
      <c r="OSC23" s="311"/>
      <c r="OSD23" s="311"/>
      <c r="OSE23" s="311"/>
      <c r="OSF23" s="311"/>
      <c r="OSG23" s="311"/>
      <c r="OSH23" s="311"/>
      <c r="OSI23" s="311"/>
      <c r="OSJ23" s="311"/>
      <c r="OSK23" s="311"/>
      <c r="OSL23" s="311"/>
      <c r="OSM23" s="311"/>
      <c r="OSN23" s="311"/>
      <c r="OSO23" s="311"/>
      <c r="OSP23" s="311"/>
      <c r="OSQ23" s="311"/>
      <c r="OSR23" s="311"/>
      <c r="OSS23" s="311"/>
      <c r="OST23" s="311"/>
      <c r="OSU23" s="311"/>
      <c r="OSV23" s="311"/>
      <c r="OSW23" s="311"/>
      <c r="OSX23" s="311"/>
      <c r="OSY23" s="311"/>
      <c r="OSZ23" s="311"/>
      <c r="OTA23" s="311"/>
      <c r="OTB23" s="311"/>
      <c r="OTC23" s="311"/>
      <c r="OTD23" s="311"/>
      <c r="OTE23" s="311"/>
      <c r="OTF23" s="311"/>
      <c r="OTG23" s="311"/>
      <c r="OTH23" s="311"/>
      <c r="OTI23" s="311"/>
      <c r="OTJ23" s="311"/>
      <c r="OTK23" s="311"/>
      <c r="OTL23" s="311"/>
      <c r="OTM23" s="311"/>
      <c r="OTN23" s="311"/>
      <c r="OTO23" s="311"/>
      <c r="OTP23" s="311"/>
      <c r="OTQ23" s="311"/>
      <c r="OTR23" s="311"/>
      <c r="OTS23" s="311"/>
      <c r="OTT23" s="311"/>
      <c r="OTU23" s="311"/>
      <c r="OTV23" s="311"/>
      <c r="OTW23" s="311"/>
      <c r="OTX23" s="311"/>
      <c r="OTY23" s="311"/>
      <c r="OTZ23" s="311"/>
      <c r="OUA23" s="311"/>
      <c r="OUB23" s="311"/>
      <c r="OUC23" s="311"/>
      <c r="OUD23" s="311"/>
      <c r="OUE23" s="311"/>
      <c r="OUF23" s="311"/>
      <c r="OUG23" s="311"/>
      <c r="OUH23" s="311"/>
      <c r="OUI23" s="311"/>
      <c r="OUJ23" s="311"/>
      <c r="OUK23" s="311"/>
      <c r="OUL23" s="311"/>
      <c r="OUM23" s="311"/>
      <c r="OUN23" s="311"/>
      <c r="OUO23" s="311"/>
      <c r="OUP23" s="311"/>
      <c r="OUQ23" s="311"/>
      <c r="OUR23" s="311"/>
      <c r="OUS23" s="311"/>
      <c r="OUT23" s="311"/>
      <c r="OUU23" s="311"/>
      <c r="OUV23" s="311"/>
      <c r="OUW23" s="311"/>
      <c r="OUX23" s="311"/>
      <c r="OUY23" s="311"/>
      <c r="OUZ23" s="311"/>
      <c r="OVA23" s="311"/>
      <c r="OVB23" s="311"/>
      <c r="OVC23" s="311"/>
      <c r="OVD23" s="311"/>
      <c r="OVE23" s="311"/>
      <c r="OVF23" s="311"/>
      <c r="OVG23" s="311"/>
      <c r="OVH23" s="311"/>
      <c r="OVI23" s="311"/>
      <c r="OVJ23" s="311"/>
      <c r="OVK23" s="311"/>
      <c r="OVL23" s="311"/>
      <c r="OVM23" s="311"/>
      <c r="OVN23" s="311"/>
      <c r="OVO23" s="311"/>
      <c r="OVP23" s="311"/>
      <c r="OVQ23" s="311"/>
      <c r="OVR23" s="311"/>
      <c r="OVS23" s="311"/>
      <c r="OVT23" s="311"/>
      <c r="OVU23" s="311"/>
      <c r="OVV23" s="311"/>
      <c r="OVW23" s="311"/>
      <c r="OVX23" s="311"/>
      <c r="OVY23" s="311"/>
      <c r="OVZ23" s="311"/>
      <c r="OWA23" s="311"/>
      <c r="OWB23" s="311"/>
      <c r="OWC23" s="311"/>
      <c r="OWD23" s="311"/>
      <c r="OWE23" s="311"/>
      <c r="OWF23" s="311"/>
      <c r="OWG23" s="311"/>
      <c r="OWH23" s="311"/>
      <c r="OWI23" s="311"/>
      <c r="OWJ23" s="311"/>
      <c r="OWK23" s="311"/>
      <c r="OWL23" s="311"/>
      <c r="OWM23" s="311"/>
      <c r="OWN23" s="311"/>
      <c r="OWO23" s="311"/>
      <c r="OWP23" s="311"/>
      <c r="OWQ23" s="311"/>
      <c r="OWR23" s="311"/>
      <c r="OWS23" s="311"/>
      <c r="OWT23" s="311"/>
      <c r="OWU23" s="311"/>
      <c r="OWV23" s="311"/>
      <c r="OWW23" s="311"/>
      <c r="OWX23" s="311"/>
      <c r="OWY23" s="311"/>
      <c r="OWZ23" s="311"/>
      <c r="OXA23" s="311"/>
      <c r="OXB23" s="311"/>
      <c r="OXC23" s="311"/>
      <c r="OXD23" s="311"/>
      <c r="OXE23" s="311"/>
      <c r="OXF23" s="311"/>
      <c r="OXG23" s="311"/>
      <c r="OXH23" s="311"/>
      <c r="OXI23" s="311"/>
      <c r="OXJ23" s="311"/>
      <c r="OXK23" s="311"/>
      <c r="OXL23" s="311"/>
      <c r="OXM23" s="311"/>
      <c r="OXN23" s="311"/>
      <c r="OXO23" s="311"/>
      <c r="OXP23" s="311"/>
      <c r="OXQ23" s="311"/>
      <c r="OXR23" s="311"/>
      <c r="OXS23" s="311"/>
      <c r="OXT23" s="311"/>
      <c r="OXU23" s="311"/>
      <c r="OXV23" s="311"/>
      <c r="OXW23" s="311"/>
      <c r="OXX23" s="311"/>
      <c r="OXY23" s="311"/>
      <c r="OXZ23" s="311"/>
      <c r="OYA23" s="311"/>
      <c r="OYB23" s="311"/>
      <c r="OYC23" s="311"/>
      <c r="OYD23" s="311"/>
      <c r="OYE23" s="311"/>
      <c r="OYF23" s="311"/>
      <c r="OYG23" s="311"/>
      <c r="OYH23" s="311"/>
      <c r="OYI23" s="311"/>
      <c r="OYJ23" s="311"/>
      <c r="OYK23" s="311"/>
      <c r="OYL23" s="311"/>
      <c r="OYM23" s="311"/>
      <c r="OYN23" s="311"/>
      <c r="OYO23" s="311"/>
      <c r="OYP23" s="311"/>
      <c r="OYQ23" s="311"/>
      <c r="OYR23" s="311"/>
      <c r="OYS23" s="311"/>
      <c r="OYT23" s="311"/>
      <c r="OYU23" s="311"/>
      <c r="OYV23" s="311"/>
      <c r="OYW23" s="311"/>
      <c r="OYX23" s="311"/>
      <c r="OYY23" s="311"/>
      <c r="OYZ23" s="311"/>
      <c r="OZA23" s="311"/>
      <c r="OZB23" s="311"/>
      <c r="OZC23" s="311"/>
      <c r="OZD23" s="311"/>
      <c r="OZE23" s="311"/>
      <c r="OZF23" s="311"/>
      <c r="OZG23" s="311"/>
      <c r="OZH23" s="311"/>
      <c r="OZI23" s="311"/>
      <c r="OZJ23" s="311"/>
      <c r="OZK23" s="311"/>
      <c r="OZL23" s="311"/>
      <c r="OZM23" s="311"/>
      <c r="OZN23" s="311"/>
      <c r="OZO23" s="311"/>
      <c r="OZP23" s="311"/>
      <c r="OZQ23" s="311"/>
      <c r="OZR23" s="311"/>
      <c r="OZS23" s="311"/>
      <c r="OZT23" s="311"/>
      <c r="OZU23" s="311"/>
      <c r="OZV23" s="311"/>
      <c r="OZW23" s="311"/>
      <c r="OZX23" s="311"/>
      <c r="OZY23" s="311"/>
      <c r="OZZ23" s="311"/>
      <c r="PAA23" s="311"/>
      <c r="PAB23" s="311"/>
      <c r="PAC23" s="311"/>
      <c r="PAD23" s="311"/>
      <c r="PAE23" s="311"/>
      <c r="PAF23" s="311"/>
      <c r="PAG23" s="311"/>
      <c r="PAH23" s="311"/>
      <c r="PAI23" s="311"/>
      <c r="PAJ23" s="311"/>
      <c r="PAK23" s="311"/>
      <c r="PAL23" s="311"/>
      <c r="PAM23" s="311"/>
      <c r="PAN23" s="311"/>
      <c r="PAO23" s="311"/>
      <c r="PAP23" s="311"/>
      <c r="PAQ23" s="311"/>
      <c r="PAR23" s="311"/>
      <c r="PAS23" s="311"/>
      <c r="PAT23" s="311"/>
      <c r="PAU23" s="311"/>
      <c r="PAV23" s="311"/>
      <c r="PAW23" s="311"/>
      <c r="PAX23" s="311"/>
      <c r="PAY23" s="311"/>
      <c r="PAZ23" s="311"/>
      <c r="PBA23" s="311"/>
      <c r="PBB23" s="311"/>
      <c r="PBC23" s="311"/>
      <c r="PBD23" s="311"/>
      <c r="PBE23" s="311"/>
      <c r="PBF23" s="311"/>
      <c r="PBG23" s="311"/>
      <c r="PBH23" s="311"/>
      <c r="PBI23" s="311"/>
      <c r="PBJ23" s="311"/>
      <c r="PBK23" s="311"/>
      <c r="PBL23" s="311"/>
      <c r="PBM23" s="311"/>
      <c r="PBN23" s="311"/>
      <c r="PBO23" s="311"/>
      <c r="PBP23" s="311"/>
      <c r="PBQ23" s="311"/>
      <c r="PBR23" s="311"/>
      <c r="PBS23" s="311"/>
      <c r="PBT23" s="311"/>
      <c r="PBU23" s="311"/>
      <c r="PBV23" s="311"/>
      <c r="PBW23" s="311"/>
      <c r="PBX23" s="311"/>
      <c r="PBY23" s="311"/>
      <c r="PBZ23" s="311"/>
      <c r="PCA23" s="311"/>
      <c r="PCB23" s="311"/>
      <c r="PCC23" s="311"/>
      <c r="PCD23" s="311"/>
      <c r="PCE23" s="311"/>
      <c r="PCF23" s="311"/>
      <c r="PCG23" s="311"/>
      <c r="PCH23" s="311"/>
      <c r="PCI23" s="311"/>
      <c r="PCJ23" s="311"/>
      <c r="PCK23" s="311"/>
      <c r="PCL23" s="311"/>
      <c r="PCM23" s="311"/>
      <c r="PCN23" s="311"/>
      <c r="PCO23" s="311"/>
      <c r="PCP23" s="311"/>
      <c r="PCQ23" s="311"/>
      <c r="PCR23" s="311"/>
      <c r="PCS23" s="311"/>
      <c r="PCT23" s="311"/>
      <c r="PCU23" s="311"/>
      <c r="PCV23" s="311"/>
      <c r="PCW23" s="311"/>
      <c r="PCX23" s="311"/>
      <c r="PCY23" s="311"/>
      <c r="PCZ23" s="311"/>
      <c r="PDA23" s="311"/>
      <c r="PDB23" s="311"/>
      <c r="PDC23" s="311"/>
      <c r="PDD23" s="311"/>
      <c r="PDE23" s="311"/>
      <c r="PDF23" s="311"/>
      <c r="PDG23" s="311"/>
      <c r="PDH23" s="311"/>
      <c r="PDI23" s="311"/>
      <c r="PDJ23" s="311"/>
      <c r="PDK23" s="311"/>
      <c r="PDL23" s="311"/>
      <c r="PDM23" s="311"/>
      <c r="PDN23" s="311"/>
      <c r="PDO23" s="311"/>
      <c r="PDP23" s="311"/>
      <c r="PDQ23" s="311"/>
      <c r="PDR23" s="311"/>
      <c r="PDS23" s="311"/>
      <c r="PDT23" s="311"/>
      <c r="PDU23" s="311"/>
      <c r="PDV23" s="311"/>
      <c r="PDW23" s="311"/>
      <c r="PDX23" s="311"/>
      <c r="PDY23" s="311"/>
      <c r="PDZ23" s="311"/>
      <c r="PEA23" s="311"/>
      <c r="PEB23" s="311"/>
      <c r="PEC23" s="311"/>
      <c r="PED23" s="311"/>
      <c r="PEE23" s="311"/>
      <c r="PEF23" s="311"/>
      <c r="PEG23" s="311"/>
      <c r="PEH23" s="311"/>
      <c r="PEI23" s="311"/>
      <c r="PEJ23" s="311"/>
      <c r="PEK23" s="311"/>
      <c r="PEL23" s="311"/>
      <c r="PEM23" s="311"/>
      <c r="PEN23" s="311"/>
      <c r="PEO23" s="311"/>
      <c r="PEP23" s="311"/>
      <c r="PEQ23" s="311"/>
      <c r="PER23" s="311"/>
      <c r="PES23" s="311"/>
      <c r="PET23" s="311"/>
      <c r="PEU23" s="311"/>
      <c r="PEV23" s="311"/>
      <c r="PEW23" s="311"/>
      <c r="PEX23" s="311"/>
      <c r="PEY23" s="311"/>
      <c r="PEZ23" s="311"/>
      <c r="PFA23" s="311"/>
      <c r="PFB23" s="311"/>
      <c r="PFC23" s="311"/>
      <c r="PFD23" s="311"/>
      <c r="PFE23" s="311"/>
      <c r="PFF23" s="311"/>
      <c r="PFG23" s="311"/>
      <c r="PFH23" s="311"/>
      <c r="PFI23" s="311"/>
      <c r="PFJ23" s="311"/>
      <c r="PFK23" s="311"/>
      <c r="PFL23" s="311"/>
      <c r="PFM23" s="311"/>
      <c r="PFN23" s="311"/>
      <c r="PFO23" s="311"/>
      <c r="PFP23" s="311"/>
      <c r="PFQ23" s="311"/>
      <c r="PFR23" s="311"/>
      <c r="PFS23" s="311"/>
      <c r="PFT23" s="311"/>
      <c r="PFU23" s="311"/>
      <c r="PFV23" s="311"/>
      <c r="PFW23" s="311"/>
      <c r="PFX23" s="311"/>
      <c r="PFY23" s="311"/>
      <c r="PFZ23" s="311"/>
      <c r="PGA23" s="311"/>
      <c r="PGB23" s="311"/>
      <c r="PGC23" s="311"/>
      <c r="PGD23" s="311"/>
      <c r="PGE23" s="311"/>
      <c r="PGF23" s="311"/>
      <c r="PGG23" s="311"/>
      <c r="PGH23" s="311"/>
      <c r="PGI23" s="311"/>
      <c r="PGJ23" s="311"/>
      <c r="PGK23" s="311"/>
      <c r="PGL23" s="311"/>
      <c r="PGM23" s="311"/>
      <c r="PGN23" s="311"/>
      <c r="PGO23" s="311"/>
      <c r="PGP23" s="311"/>
      <c r="PGQ23" s="311"/>
      <c r="PGR23" s="311"/>
      <c r="PGS23" s="311"/>
      <c r="PGT23" s="311"/>
      <c r="PGU23" s="311"/>
      <c r="PGV23" s="311"/>
      <c r="PGW23" s="311"/>
      <c r="PGX23" s="311"/>
      <c r="PGY23" s="311"/>
      <c r="PGZ23" s="311"/>
      <c r="PHA23" s="311"/>
      <c r="PHB23" s="311"/>
      <c r="PHC23" s="311"/>
      <c r="PHD23" s="311"/>
      <c r="PHE23" s="311"/>
      <c r="PHF23" s="311"/>
      <c r="PHG23" s="311"/>
      <c r="PHH23" s="311"/>
      <c r="PHI23" s="311"/>
      <c r="PHJ23" s="311"/>
      <c r="PHK23" s="311"/>
      <c r="PHL23" s="311"/>
      <c r="PHM23" s="311"/>
      <c r="PHN23" s="311"/>
      <c r="PHO23" s="311"/>
      <c r="PHP23" s="311"/>
      <c r="PHQ23" s="311"/>
      <c r="PHR23" s="311"/>
      <c r="PHS23" s="311"/>
      <c r="PHT23" s="311"/>
      <c r="PHU23" s="311"/>
      <c r="PHV23" s="311"/>
      <c r="PHW23" s="311"/>
      <c r="PHX23" s="311"/>
      <c r="PHY23" s="311"/>
      <c r="PHZ23" s="311"/>
      <c r="PIA23" s="311"/>
      <c r="PIB23" s="311"/>
      <c r="PIC23" s="311"/>
      <c r="PID23" s="311"/>
      <c r="PIE23" s="311"/>
      <c r="PIF23" s="311"/>
      <c r="PIG23" s="311"/>
      <c r="PIH23" s="311"/>
      <c r="PII23" s="311"/>
      <c r="PIJ23" s="311"/>
      <c r="PIK23" s="311"/>
      <c r="PIL23" s="311"/>
      <c r="PIM23" s="311"/>
      <c r="PIN23" s="311"/>
      <c r="PIO23" s="311"/>
      <c r="PIP23" s="311"/>
      <c r="PIQ23" s="311"/>
      <c r="PIR23" s="311"/>
      <c r="PIS23" s="311"/>
      <c r="PIT23" s="311"/>
      <c r="PIU23" s="311"/>
      <c r="PIV23" s="311"/>
      <c r="PIW23" s="311"/>
      <c r="PIX23" s="311"/>
      <c r="PIY23" s="311"/>
      <c r="PIZ23" s="311"/>
      <c r="PJA23" s="311"/>
      <c r="PJB23" s="311"/>
      <c r="PJC23" s="311"/>
      <c r="PJD23" s="311"/>
      <c r="PJE23" s="311"/>
      <c r="PJF23" s="311"/>
      <c r="PJG23" s="311"/>
      <c r="PJH23" s="311"/>
      <c r="PJI23" s="311"/>
      <c r="PJJ23" s="311"/>
      <c r="PJK23" s="311"/>
      <c r="PJL23" s="311"/>
      <c r="PJM23" s="311"/>
      <c r="PJN23" s="311"/>
      <c r="PJO23" s="311"/>
      <c r="PJP23" s="311"/>
      <c r="PJQ23" s="311"/>
      <c r="PJR23" s="311"/>
      <c r="PJS23" s="311"/>
      <c r="PJT23" s="311"/>
      <c r="PJU23" s="311"/>
      <c r="PJV23" s="311"/>
      <c r="PJW23" s="311"/>
      <c r="PJX23" s="311"/>
      <c r="PJY23" s="311"/>
      <c r="PJZ23" s="311"/>
      <c r="PKA23" s="311"/>
      <c r="PKB23" s="311"/>
      <c r="PKC23" s="311"/>
      <c r="PKD23" s="311"/>
      <c r="PKE23" s="311"/>
      <c r="PKF23" s="311"/>
      <c r="PKG23" s="311"/>
      <c r="PKH23" s="311"/>
      <c r="PKI23" s="311"/>
      <c r="PKJ23" s="311"/>
      <c r="PKK23" s="311"/>
      <c r="PKL23" s="311"/>
      <c r="PKM23" s="311"/>
      <c r="PKN23" s="311"/>
      <c r="PKO23" s="311"/>
      <c r="PKP23" s="311"/>
      <c r="PKQ23" s="311"/>
      <c r="PKR23" s="311"/>
      <c r="PKS23" s="311"/>
      <c r="PKT23" s="311"/>
      <c r="PKU23" s="311"/>
      <c r="PKV23" s="311"/>
      <c r="PKW23" s="311"/>
      <c r="PKX23" s="311"/>
      <c r="PKY23" s="311"/>
      <c r="PKZ23" s="311"/>
      <c r="PLA23" s="311"/>
      <c r="PLB23" s="311"/>
      <c r="PLC23" s="311"/>
      <c r="PLD23" s="311"/>
      <c r="PLE23" s="311"/>
      <c r="PLF23" s="311"/>
      <c r="PLG23" s="311"/>
      <c r="PLH23" s="311"/>
      <c r="PLI23" s="311"/>
      <c r="PLJ23" s="311"/>
      <c r="PLK23" s="311"/>
      <c r="PLL23" s="311"/>
      <c r="PLM23" s="311"/>
      <c r="PLN23" s="311"/>
      <c r="PLO23" s="311"/>
      <c r="PLP23" s="311"/>
      <c r="PLQ23" s="311"/>
      <c r="PLR23" s="311"/>
      <c r="PLS23" s="311"/>
      <c r="PLT23" s="311"/>
      <c r="PLU23" s="311"/>
      <c r="PLV23" s="311"/>
      <c r="PLW23" s="311"/>
      <c r="PLX23" s="311"/>
      <c r="PLY23" s="311"/>
      <c r="PLZ23" s="311"/>
      <c r="PMA23" s="311"/>
      <c r="PMB23" s="311"/>
      <c r="PMC23" s="311"/>
      <c r="PMD23" s="311"/>
      <c r="PME23" s="311"/>
      <c r="PMF23" s="311"/>
      <c r="PMG23" s="311"/>
      <c r="PMH23" s="311"/>
      <c r="PMI23" s="311"/>
      <c r="PMJ23" s="311"/>
      <c r="PMK23" s="311"/>
      <c r="PML23" s="311"/>
      <c r="PMM23" s="311"/>
      <c r="PMN23" s="311"/>
      <c r="PMO23" s="311"/>
      <c r="PMP23" s="311"/>
      <c r="PMQ23" s="311"/>
      <c r="PMR23" s="311"/>
      <c r="PMS23" s="311"/>
      <c r="PMT23" s="311"/>
      <c r="PMU23" s="311"/>
      <c r="PMV23" s="311"/>
      <c r="PMW23" s="311"/>
      <c r="PMX23" s="311"/>
      <c r="PMY23" s="311"/>
      <c r="PMZ23" s="311"/>
      <c r="PNA23" s="311"/>
      <c r="PNB23" s="311"/>
      <c r="PNC23" s="311"/>
      <c r="PND23" s="311"/>
      <c r="PNE23" s="311"/>
      <c r="PNF23" s="311"/>
      <c r="PNG23" s="311"/>
      <c r="PNH23" s="311"/>
      <c r="PNI23" s="311"/>
      <c r="PNJ23" s="311"/>
      <c r="PNK23" s="311"/>
      <c r="PNL23" s="311"/>
      <c r="PNM23" s="311"/>
      <c r="PNN23" s="311"/>
      <c r="PNO23" s="311"/>
      <c r="PNP23" s="311"/>
      <c r="PNQ23" s="311"/>
      <c r="PNR23" s="311"/>
      <c r="PNS23" s="311"/>
      <c r="PNT23" s="311"/>
      <c r="PNU23" s="311"/>
      <c r="PNV23" s="311"/>
      <c r="PNW23" s="311"/>
      <c r="PNX23" s="311"/>
      <c r="PNY23" s="311"/>
      <c r="PNZ23" s="311"/>
      <c r="POA23" s="311"/>
      <c r="POB23" s="311"/>
      <c r="POC23" s="311"/>
      <c r="POD23" s="311"/>
      <c r="POE23" s="311"/>
      <c r="POF23" s="311"/>
      <c r="POG23" s="311"/>
      <c r="POH23" s="311"/>
      <c r="POI23" s="311"/>
      <c r="POJ23" s="311"/>
      <c r="POK23" s="311"/>
      <c r="POL23" s="311"/>
      <c r="POM23" s="311"/>
      <c r="PON23" s="311"/>
      <c r="POO23" s="311"/>
      <c r="POP23" s="311"/>
      <c r="POQ23" s="311"/>
      <c r="POR23" s="311"/>
      <c r="POS23" s="311"/>
      <c r="POT23" s="311"/>
      <c r="POU23" s="311"/>
      <c r="POV23" s="311"/>
      <c r="POW23" s="311"/>
      <c r="POX23" s="311"/>
      <c r="POY23" s="311"/>
      <c r="POZ23" s="311"/>
      <c r="PPA23" s="311"/>
      <c r="PPB23" s="311"/>
      <c r="PPC23" s="311"/>
      <c r="PPD23" s="311"/>
      <c r="PPE23" s="311"/>
      <c r="PPF23" s="311"/>
      <c r="PPG23" s="311"/>
      <c r="PPH23" s="311"/>
      <c r="PPI23" s="311"/>
      <c r="PPJ23" s="311"/>
      <c r="PPK23" s="311"/>
      <c r="PPL23" s="311"/>
      <c r="PPM23" s="311"/>
      <c r="PPN23" s="311"/>
      <c r="PPO23" s="311"/>
      <c r="PPP23" s="311"/>
      <c r="PPQ23" s="311"/>
      <c r="PPR23" s="311"/>
      <c r="PPS23" s="311"/>
      <c r="PPT23" s="311"/>
      <c r="PPU23" s="311"/>
      <c r="PPV23" s="311"/>
      <c r="PPW23" s="311"/>
      <c r="PPX23" s="311"/>
      <c r="PPY23" s="311"/>
      <c r="PPZ23" s="311"/>
      <c r="PQA23" s="311"/>
      <c r="PQB23" s="311"/>
      <c r="PQC23" s="311"/>
      <c r="PQD23" s="311"/>
      <c r="PQE23" s="311"/>
      <c r="PQF23" s="311"/>
      <c r="PQG23" s="311"/>
      <c r="PQH23" s="311"/>
      <c r="PQI23" s="311"/>
      <c r="PQJ23" s="311"/>
      <c r="PQK23" s="311"/>
      <c r="PQL23" s="311"/>
      <c r="PQM23" s="311"/>
      <c r="PQN23" s="311"/>
      <c r="PQO23" s="311"/>
      <c r="PQP23" s="311"/>
      <c r="PQQ23" s="311"/>
      <c r="PQR23" s="311"/>
      <c r="PQS23" s="311"/>
      <c r="PQT23" s="311"/>
      <c r="PQU23" s="311"/>
      <c r="PQV23" s="311"/>
      <c r="PQW23" s="311"/>
      <c r="PQX23" s="311"/>
      <c r="PQY23" s="311"/>
      <c r="PQZ23" s="311"/>
      <c r="PRA23" s="311"/>
      <c r="PRB23" s="311"/>
      <c r="PRC23" s="311"/>
      <c r="PRD23" s="311"/>
      <c r="PRE23" s="311"/>
      <c r="PRF23" s="311"/>
      <c r="PRG23" s="311"/>
      <c r="PRH23" s="311"/>
      <c r="PRI23" s="311"/>
      <c r="PRJ23" s="311"/>
      <c r="PRK23" s="311"/>
      <c r="PRL23" s="311"/>
      <c r="PRM23" s="311"/>
      <c r="PRN23" s="311"/>
      <c r="PRO23" s="311"/>
      <c r="PRP23" s="311"/>
      <c r="PRQ23" s="311"/>
      <c r="PRR23" s="311"/>
      <c r="PRS23" s="311"/>
      <c r="PRT23" s="311"/>
      <c r="PRU23" s="311"/>
      <c r="PRV23" s="311"/>
      <c r="PRW23" s="311"/>
      <c r="PRX23" s="311"/>
      <c r="PRY23" s="311"/>
      <c r="PRZ23" s="311"/>
      <c r="PSA23" s="311"/>
      <c r="PSB23" s="311"/>
      <c r="PSC23" s="311"/>
      <c r="PSD23" s="311"/>
      <c r="PSE23" s="311"/>
      <c r="PSF23" s="311"/>
      <c r="PSG23" s="311"/>
      <c r="PSH23" s="311"/>
      <c r="PSI23" s="311"/>
      <c r="PSJ23" s="311"/>
      <c r="PSK23" s="311"/>
      <c r="PSL23" s="311"/>
      <c r="PSM23" s="311"/>
      <c r="PSN23" s="311"/>
      <c r="PSO23" s="311"/>
      <c r="PSP23" s="311"/>
      <c r="PSQ23" s="311"/>
      <c r="PSR23" s="311"/>
      <c r="PSS23" s="311"/>
      <c r="PST23" s="311"/>
      <c r="PSU23" s="311"/>
      <c r="PSV23" s="311"/>
      <c r="PSW23" s="311"/>
      <c r="PSX23" s="311"/>
      <c r="PSY23" s="311"/>
      <c r="PSZ23" s="311"/>
      <c r="PTA23" s="311"/>
      <c r="PTB23" s="311"/>
      <c r="PTC23" s="311"/>
      <c r="PTD23" s="311"/>
      <c r="PTE23" s="311"/>
      <c r="PTF23" s="311"/>
      <c r="PTG23" s="311"/>
      <c r="PTH23" s="311"/>
      <c r="PTI23" s="311"/>
      <c r="PTJ23" s="311"/>
      <c r="PTK23" s="311"/>
      <c r="PTL23" s="311"/>
      <c r="PTM23" s="311"/>
      <c r="PTN23" s="311"/>
      <c r="PTO23" s="311"/>
      <c r="PTP23" s="311"/>
      <c r="PTQ23" s="311"/>
      <c r="PTR23" s="311"/>
      <c r="PTS23" s="311"/>
      <c r="PTT23" s="311"/>
      <c r="PTU23" s="311"/>
      <c r="PTV23" s="311"/>
      <c r="PTW23" s="311"/>
      <c r="PTX23" s="311"/>
      <c r="PTY23" s="311"/>
      <c r="PTZ23" s="311"/>
      <c r="PUA23" s="311"/>
      <c r="PUB23" s="311"/>
      <c r="PUC23" s="311"/>
      <c r="PUD23" s="311"/>
      <c r="PUE23" s="311"/>
      <c r="PUF23" s="311"/>
      <c r="PUG23" s="311"/>
      <c r="PUH23" s="311"/>
      <c r="PUI23" s="311"/>
      <c r="PUJ23" s="311"/>
      <c r="PUK23" s="311"/>
      <c r="PUL23" s="311"/>
      <c r="PUM23" s="311"/>
      <c r="PUN23" s="311"/>
      <c r="PUO23" s="311"/>
      <c r="PUP23" s="311"/>
      <c r="PUQ23" s="311"/>
      <c r="PUR23" s="311"/>
      <c r="PUS23" s="311"/>
      <c r="PUT23" s="311"/>
      <c r="PUU23" s="311"/>
      <c r="PUV23" s="311"/>
      <c r="PUW23" s="311"/>
      <c r="PUX23" s="311"/>
      <c r="PUY23" s="311"/>
      <c r="PUZ23" s="311"/>
      <c r="PVA23" s="311"/>
      <c r="PVB23" s="311"/>
      <c r="PVC23" s="311"/>
      <c r="PVD23" s="311"/>
      <c r="PVE23" s="311"/>
      <c r="PVF23" s="311"/>
      <c r="PVG23" s="311"/>
      <c r="PVH23" s="311"/>
      <c r="PVI23" s="311"/>
      <c r="PVJ23" s="311"/>
      <c r="PVK23" s="311"/>
      <c r="PVL23" s="311"/>
      <c r="PVM23" s="311"/>
      <c r="PVN23" s="311"/>
      <c r="PVO23" s="311"/>
      <c r="PVP23" s="311"/>
      <c r="PVQ23" s="311"/>
      <c r="PVR23" s="311"/>
      <c r="PVS23" s="311"/>
      <c r="PVT23" s="311"/>
      <c r="PVU23" s="311"/>
      <c r="PVV23" s="311"/>
      <c r="PVW23" s="311"/>
      <c r="PVX23" s="311"/>
      <c r="PVY23" s="311"/>
      <c r="PVZ23" s="311"/>
      <c r="PWA23" s="311"/>
      <c r="PWB23" s="311"/>
      <c r="PWC23" s="311"/>
      <c r="PWD23" s="311"/>
      <c r="PWE23" s="311"/>
      <c r="PWF23" s="311"/>
      <c r="PWG23" s="311"/>
      <c r="PWH23" s="311"/>
      <c r="PWI23" s="311"/>
      <c r="PWJ23" s="311"/>
      <c r="PWK23" s="311"/>
      <c r="PWL23" s="311"/>
      <c r="PWM23" s="311"/>
      <c r="PWN23" s="311"/>
      <c r="PWO23" s="311"/>
      <c r="PWP23" s="311"/>
      <c r="PWQ23" s="311"/>
      <c r="PWR23" s="311"/>
      <c r="PWS23" s="311"/>
      <c r="PWT23" s="311"/>
      <c r="PWU23" s="311"/>
      <c r="PWV23" s="311"/>
      <c r="PWW23" s="311"/>
      <c r="PWX23" s="311"/>
      <c r="PWY23" s="311"/>
      <c r="PWZ23" s="311"/>
      <c r="PXA23" s="311"/>
      <c r="PXB23" s="311"/>
      <c r="PXC23" s="311"/>
      <c r="PXD23" s="311"/>
      <c r="PXE23" s="311"/>
      <c r="PXF23" s="311"/>
      <c r="PXG23" s="311"/>
      <c r="PXH23" s="311"/>
      <c r="PXI23" s="311"/>
      <c r="PXJ23" s="311"/>
      <c r="PXK23" s="311"/>
      <c r="PXL23" s="311"/>
      <c r="PXM23" s="311"/>
      <c r="PXN23" s="311"/>
      <c r="PXO23" s="311"/>
      <c r="PXP23" s="311"/>
      <c r="PXQ23" s="311"/>
      <c r="PXR23" s="311"/>
      <c r="PXS23" s="311"/>
      <c r="PXT23" s="311"/>
      <c r="PXU23" s="311"/>
      <c r="PXV23" s="311"/>
      <c r="PXW23" s="311"/>
      <c r="PXX23" s="311"/>
      <c r="PXY23" s="311"/>
      <c r="PXZ23" s="311"/>
      <c r="PYA23" s="311"/>
      <c r="PYB23" s="311"/>
      <c r="PYC23" s="311"/>
      <c r="PYD23" s="311"/>
      <c r="PYE23" s="311"/>
      <c r="PYF23" s="311"/>
      <c r="PYG23" s="311"/>
      <c r="PYH23" s="311"/>
      <c r="PYI23" s="311"/>
      <c r="PYJ23" s="311"/>
      <c r="PYK23" s="311"/>
      <c r="PYL23" s="311"/>
      <c r="PYM23" s="311"/>
      <c r="PYN23" s="311"/>
      <c r="PYO23" s="311"/>
      <c r="PYP23" s="311"/>
      <c r="PYQ23" s="311"/>
      <c r="PYR23" s="311"/>
      <c r="PYS23" s="311"/>
      <c r="PYT23" s="311"/>
      <c r="PYU23" s="311"/>
      <c r="PYV23" s="311"/>
      <c r="PYW23" s="311"/>
      <c r="PYX23" s="311"/>
      <c r="PYY23" s="311"/>
      <c r="PYZ23" s="311"/>
      <c r="PZA23" s="311"/>
      <c r="PZB23" s="311"/>
      <c r="PZC23" s="311"/>
      <c r="PZD23" s="311"/>
      <c r="PZE23" s="311"/>
      <c r="PZF23" s="311"/>
      <c r="PZG23" s="311"/>
      <c r="PZH23" s="311"/>
      <c r="PZI23" s="311"/>
      <c r="PZJ23" s="311"/>
      <c r="PZK23" s="311"/>
      <c r="PZL23" s="311"/>
      <c r="PZM23" s="311"/>
      <c r="PZN23" s="311"/>
      <c r="PZO23" s="311"/>
      <c r="PZP23" s="311"/>
      <c r="PZQ23" s="311"/>
      <c r="PZR23" s="311"/>
      <c r="PZS23" s="311"/>
      <c r="PZT23" s="311"/>
      <c r="PZU23" s="311"/>
      <c r="PZV23" s="311"/>
      <c r="PZW23" s="311"/>
      <c r="PZX23" s="311"/>
      <c r="PZY23" s="311"/>
      <c r="PZZ23" s="311"/>
      <c r="QAA23" s="311"/>
      <c r="QAB23" s="311"/>
      <c r="QAC23" s="311"/>
      <c r="QAD23" s="311"/>
      <c r="QAE23" s="311"/>
      <c r="QAF23" s="311"/>
      <c r="QAG23" s="311"/>
      <c r="QAH23" s="311"/>
      <c r="QAI23" s="311"/>
      <c r="QAJ23" s="311"/>
      <c r="QAK23" s="311"/>
      <c r="QAL23" s="311"/>
      <c r="QAM23" s="311"/>
      <c r="QAN23" s="311"/>
      <c r="QAO23" s="311"/>
      <c r="QAP23" s="311"/>
      <c r="QAQ23" s="311"/>
      <c r="QAR23" s="311"/>
      <c r="QAS23" s="311"/>
      <c r="QAT23" s="311"/>
      <c r="QAU23" s="311"/>
      <c r="QAV23" s="311"/>
      <c r="QAW23" s="311"/>
      <c r="QAX23" s="311"/>
      <c r="QAY23" s="311"/>
      <c r="QAZ23" s="311"/>
      <c r="QBA23" s="311"/>
      <c r="QBB23" s="311"/>
      <c r="QBC23" s="311"/>
      <c r="QBD23" s="311"/>
      <c r="QBE23" s="311"/>
      <c r="QBF23" s="311"/>
      <c r="QBG23" s="311"/>
      <c r="QBH23" s="311"/>
      <c r="QBI23" s="311"/>
      <c r="QBJ23" s="311"/>
      <c r="QBK23" s="311"/>
      <c r="QBL23" s="311"/>
      <c r="QBM23" s="311"/>
      <c r="QBN23" s="311"/>
      <c r="QBO23" s="311"/>
      <c r="QBP23" s="311"/>
      <c r="QBQ23" s="311"/>
      <c r="QBR23" s="311"/>
      <c r="QBS23" s="311"/>
      <c r="QBT23" s="311"/>
      <c r="QBU23" s="311"/>
      <c r="QBV23" s="311"/>
      <c r="QBW23" s="311"/>
      <c r="QBX23" s="311"/>
      <c r="QBY23" s="311"/>
      <c r="QBZ23" s="311"/>
      <c r="QCA23" s="311"/>
      <c r="QCB23" s="311"/>
      <c r="QCC23" s="311"/>
      <c r="QCD23" s="311"/>
      <c r="QCE23" s="311"/>
      <c r="QCF23" s="311"/>
      <c r="QCG23" s="311"/>
      <c r="QCH23" s="311"/>
      <c r="QCI23" s="311"/>
      <c r="QCJ23" s="311"/>
      <c r="QCK23" s="311"/>
      <c r="QCL23" s="311"/>
      <c r="QCM23" s="311"/>
      <c r="QCN23" s="311"/>
      <c r="QCO23" s="311"/>
      <c r="QCP23" s="311"/>
      <c r="QCQ23" s="311"/>
      <c r="QCR23" s="311"/>
      <c r="QCS23" s="311"/>
      <c r="QCT23" s="311"/>
      <c r="QCU23" s="311"/>
      <c r="QCV23" s="311"/>
      <c r="QCW23" s="311"/>
      <c r="QCX23" s="311"/>
      <c r="QCY23" s="311"/>
      <c r="QCZ23" s="311"/>
      <c r="QDA23" s="311"/>
      <c r="QDB23" s="311"/>
      <c r="QDC23" s="311"/>
      <c r="QDD23" s="311"/>
      <c r="QDE23" s="311"/>
      <c r="QDF23" s="311"/>
      <c r="QDG23" s="311"/>
      <c r="QDH23" s="311"/>
      <c r="QDI23" s="311"/>
      <c r="QDJ23" s="311"/>
      <c r="QDK23" s="311"/>
      <c r="QDL23" s="311"/>
      <c r="QDM23" s="311"/>
      <c r="QDN23" s="311"/>
      <c r="QDO23" s="311"/>
      <c r="QDP23" s="311"/>
      <c r="QDQ23" s="311"/>
      <c r="QDR23" s="311"/>
      <c r="QDS23" s="311"/>
      <c r="QDT23" s="311"/>
      <c r="QDU23" s="311"/>
      <c r="QDV23" s="311"/>
      <c r="QDW23" s="311"/>
      <c r="QDX23" s="311"/>
      <c r="QDY23" s="311"/>
      <c r="QDZ23" s="311"/>
      <c r="QEA23" s="311"/>
      <c r="QEB23" s="311"/>
      <c r="QEC23" s="311"/>
      <c r="QED23" s="311"/>
      <c r="QEE23" s="311"/>
      <c r="QEF23" s="311"/>
      <c r="QEG23" s="311"/>
      <c r="QEH23" s="311"/>
      <c r="QEI23" s="311"/>
      <c r="QEJ23" s="311"/>
      <c r="QEK23" s="311"/>
      <c r="QEL23" s="311"/>
      <c r="QEM23" s="311"/>
      <c r="QEN23" s="311"/>
      <c r="QEO23" s="311"/>
      <c r="QEP23" s="311"/>
      <c r="QEQ23" s="311"/>
      <c r="QER23" s="311"/>
      <c r="QES23" s="311"/>
      <c r="QET23" s="311"/>
      <c r="QEU23" s="311"/>
      <c r="QEV23" s="311"/>
      <c r="QEW23" s="311"/>
      <c r="QEX23" s="311"/>
      <c r="QEY23" s="311"/>
      <c r="QEZ23" s="311"/>
      <c r="QFA23" s="311"/>
      <c r="QFB23" s="311"/>
      <c r="QFC23" s="311"/>
      <c r="QFD23" s="311"/>
      <c r="QFE23" s="311"/>
      <c r="QFF23" s="311"/>
      <c r="QFG23" s="311"/>
      <c r="QFH23" s="311"/>
      <c r="QFI23" s="311"/>
      <c r="QFJ23" s="311"/>
      <c r="QFK23" s="311"/>
      <c r="QFL23" s="311"/>
      <c r="QFM23" s="311"/>
      <c r="QFN23" s="311"/>
      <c r="QFO23" s="311"/>
      <c r="QFP23" s="311"/>
      <c r="QFQ23" s="311"/>
      <c r="QFR23" s="311"/>
      <c r="QFS23" s="311"/>
      <c r="QFT23" s="311"/>
      <c r="QFU23" s="311"/>
      <c r="QFV23" s="311"/>
      <c r="QFW23" s="311"/>
      <c r="QFX23" s="311"/>
      <c r="QFY23" s="311"/>
      <c r="QFZ23" s="311"/>
      <c r="QGA23" s="311"/>
      <c r="QGB23" s="311"/>
      <c r="QGC23" s="311"/>
      <c r="QGD23" s="311"/>
      <c r="QGE23" s="311"/>
      <c r="QGF23" s="311"/>
      <c r="QGG23" s="311"/>
      <c r="QGH23" s="311"/>
      <c r="QGI23" s="311"/>
      <c r="QGJ23" s="311"/>
      <c r="QGK23" s="311"/>
      <c r="QGL23" s="311"/>
      <c r="QGM23" s="311"/>
      <c r="QGN23" s="311"/>
      <c r="QGO23" s="311"/>
      <c r="QGP23" s="311"/>
      <c r="QGQ23" s="311"/>
      <c r="QGR23" s="311"/>
      <c r="QGS23" s="311"/>
      <c r="QGT23" s="311"/>
      <c r="QGU23" s="311"/>
      <c r="QGV23" s="311"/>
      <c r="QGW23" s="311"/>
      <c r="QGX23" s="311"/>
      <c r="QGY23" s="311"/>
      <c r="QGZ23" s="311"/>
      <c r="QHA23" s="311"/>
      <c r="QHB23" s="311"/>
      <c r="QHC23" s="311"/>
      <c r="QHD23" s="311"/>
      <c r="QHE23" s="311"/>
      <c r="QHF23" s="311"/>
      <c r="QHG23" s="311"/>
      <c r="QHH23" s="311"/>
      <c r="QHI23" s="311"/>
      <c r="QHJ23" s="311"/>
      <c r="QHK23" s="311"/>
      <c r="QHL23" s="311"/>
      <c r="QHM23" s="311"/>
      <c r="QHN23" s="311"/>
      <c r="QHO23" s="311"/>
      <c r="QHP23" s="311"/>
      <c r="QHQ23" s="311"/>
      <c r="QHR23" s="311"/>
      <c r="QHS23" s="311"/>
      <c r="QHT23" s="311"/>
      <c r="QHU23" s="311"/>
      <c r="QHV23" s="311"/>
      <c r="QHW23" s="311"/>
      <c r="QHX23" s="311"/>
      <c r="QHY23" s="311"/>
      <c r="QHZ23" s="311"/>
      <c r="QIA23" s="311"/>
      <c r="QIB23" s="311"/>
      <c r="QIC23" s="311"/>
      <c r="QID23" s="311"/>
      <c r="QIE23" s="311"/>
      <c r="QIF23" s="311"/>
      <c r="QIG23" s="311"/>
      <c r="QIH23" s="311"/>
      <c r="QII23" s="311"/>
      <c r="QIJ23" s="311"/>
      <c r="QIK23" s="311"/>
      <c r="QIL23" s="311"/>
      <c r="QIM23" s="311"/>
      <c r="QIN23" s="311"/>
      <c r="QIO23" s="311"/>
      <c r="QIP23" s="311"/>
      <c r="QIQ23" s="311"/>
      <c r="QIR23" s="311"/>
      <c r="QIS23" s="311"/>
      <c r="QIT23" s="311"/>
      <c r="QIU23" s="311"/>
      <c r="QIV23" s="311"/>
      <c r="QIW23" s="311"/>
      <c r="QIX23" s="311"/>
      <c r="QIY23" s="311"/>
      <c r="QIZ23" s="311"/>
      <c r="QJA23" s="311"/>
      <c r="QJB23" s="311"/>
      <c r="QJC23" s="311"/>
      <c r="QJD23" s="311"/>
      <c r="QJE23" s="311"/>
      <c r="QJF23" s="311"/>
      <c r="QJG23" s="311"/>
      <c r="QJH23" s="311"/>
      <c r="QJI23" s="311"/>
      <c r="QJJ23" s="311"/>
      <c r="QJK23" s="311"/>
      <c r="QJL23" s="311"/>
      <c r="QJM23" s="311"/>
      <c r="QJN23" s="311"/>
      <c r="QJO23" s="311"/>
      <c r="QJP23" s="311"/>
      <c r="QJQ23" s="311"/>
      <c r="QJR23" s="311"/>
      <c r="QJS23" s="311"/>
      <c r="QJT23" s="311"/>
      <c r="QJU23" s="311"/>
      <c r="QJV23" s="311"/>
      <c r="QJW23" s="311"/>
      <c r="QJX23" s="311"/>
      <c r="QJY23" s="311"/>
      <c r="QJZ23" s="311"/>
      <c r="QKA23" s="311"/>
      <c r="QKB23" s="311"/>
      <c r="QKC23" s="311"/>
      <c r="QKD23" s="311"/>
      <c r="QKE23" s="311"/>
      <c r="QKF23" s="311"/>
      <c r="QKG23" s="311"/>
      <c r="QKH23" s="311"/>
      <c r="QKI23" s="311"/>
      <c r="QKJ23" s="311"/>
      <c r="QKK23" s="311"/>
      <c r="QKL23" s="311"/>
      <c r="QKM23" s="311"/>
      <c r="QKN23" s="311"/>
      <c r="QKO23" s="311"/>
      <c r="QKP23" s="311"/>
      <c r="QKQ23" s="311"/>
      <c r="QKR23" s="311"/>
      <c r="QKS23" s="311"/>
      <c r="QKT23" s="311"/>
      <c r="QKU23" s="311"/>
      <c r="QKV23" s="311"/>
      <c r="QKW23" s="311"/>
      <c r="QKX23" s="311"/>
      <c r="QKY23" s="311"/>
      <c r="QKZ23" s="311"/>
      <c r="QLA23" s="311"/>
      <c r="QLB23" s="311"/>
      <c r="QLC23" s="311"/>
      <c r="QLD23" s="311"/>
      <c r="QLE23" s="311"/>
      <c r="QLF23" s="311"/>
      <c r="QLG23" s="311"/>
      <c r="QLH23" s="311"/>
      <c r="QLI23" s="311"/>
      <c r="QLJ23" s="311"/>
      <c r="QLK23" s="311"/>
      <c r="QLL23" s="311"/>
      <c r="QLM23" s="311"/>
      <c r="QLN23" s="311"/>
      <c r="QLO23" s="311"/>
      <c r="QLP23" s="311"/>
      <c r="QLQ23" s="311"/>
      <c r="QLR23" s="311"/>
      <c r="QLS23" s="311"/>
      <c r="QLT23" s="311"/>
      <c r="QLU23" s="311"/>
      <c r="QLV23" s="311"/>
      <c r="QLW23" s="311"/>
      <c r="QLX23" s="311"/>
      <c r="QLY23" s="311"/>
      <c r="QLZ23" s="311"/>
      <c r="QMA23" s="311"/>
      <c r="QMB23" s="311"/>
      <c r="QMC23" s="311"/>
      <c r="QMD23" s="311"/>
      <c r="QME23" s="311"/>
      <c r="QMF23" s="311"/>
      <c r="QMG23" s="311"/>
      <c r="QMH23" s="311"/>
      <c r="QMI23" s="311"/>
      <c r="QMJ23" s="311"/>
      <c r="QMK23" s="311"/>
      <c r="QML23" s="311"/>
      <c r="QMM23" s="311"/>
      <c r="QMN23" s="311"/>
      <c r="QMO23" s="311"/>
      <c r="QMP23" s="311"/>
      <c r="QMQ23" s="311"/>
      <c r="QMR23" s="311"/>
      <c r="QMS23" s="311"/>
      <c r="QMT23" s="311"/>
      <c r="QMU23" s="311"/>
      <c r="QMV23" s="311"/>
      <c r="QMW23" s="311"/>
      <c r="QMX23" s="311"/>
      <c r="QMY23" s="311"/>
      <c r="QMZ23" s="311"/>
      <c r="QNA23" s="311"/>
      <c r="QNB23" s="311"/>
      <c r="QNC23" s="311"/>
      <c r="QND23" s="311"/>
      <c r="QNE23" s="311"/>
      <c r="QNF23" s="311"/>
      <c r="QNG23" s="311"/>
      <c r="QNH23" s="311"/>
      <c r="QNI23" s="311"/>
      <c r="QNJ23" s="311"/>
      <c r="QNK23" s="311"/>
      <c r="QNL23" s="311"/>
      <c r="QNM23" s="311"/>
      <c r="QNN23" s="311"/>
      <c r="QNO23" s="311"/>
      <c r="QNP23" s="311"/>
      <c r="QNQ23" s="311"/>
      <c r="QNR23" s="311"/>
      <c r="QNS23" s="311"/>
      <c r="QNT23" s="311"/>
      <c r="QNU23" s="311"/>
      <c r="QNV23" s="311"/>
      <c r="QNW23" s="311"/>
      <c r="QNX23" s="311"/>
      <c r="QNY23" s="311"/>
      <c r="QNZ23" s="311"/>
      <c r="QOA23" s="311"/>
      <c r="QOB23" s="311"/>
      <c r="QOC23" s="311"/>
      <c r="QOD23" s="311"/>
      <c r="QOE23" s="311"/>
      <c r="QOF23" s="311"/>
      <c r="QOG23" s="311"/>
      <c r="QOH23" s="311"/>
      <c r="QOI23" s="311"/>
      <c r="QOJ23" s="311"/>
      <c r="QOK23" s="311"/>
      <c r="QOL23" s="311"/>
      <c r="QOM23" s="311"/>
      <c r="QON23" s="311"/>
      <c r="QOO23" s="311"/>
      <c r="QOP23" s="311"/>
      <c r="QOQ23" s="311"/>
      <c r="QOR23" s="311"/>
      <c r="QOS23" s="311"/>
      <c r="QOT23" s="311"/>
      <c r="QOU23" s="311"/>
      <c r="QOV23" s="311"/>
      <c r="QOW23" s="311"/>
      <c r="QOX23" s="311"/>
      <c r="QOY23" s="311"/>
      <c r="QOZ23" s="311"/>
      <c r="QPA23" s="311"/>
      <c r="QPB23" s="311"/>
      <c r="QPC23" s="311"/>
      <c r="QPD23" s="311"/>
      <c r="QPE23" s="311"/>
      <c r="QPF23" s="311"/>
      <c r="QPG23" s="311"/>
      <c r="QPH23" s="311"/>
      <c r="QPI23" s="311"/>
      <c r="QPJ23" s="311"/>
      <c r="QPK23" s="311"/>
      <c r="QPL23" s="311"/>
      <c r="QPM23" s="311"/>
      <c r="QPN23" s="311"/>
      <c r="QPO23" s="311"/>
      <c r="QPP23" s="311"/>
      <c r="QPQ23" s="311"/>
      <c r="QPR23" s="311"/>
      <c r="QPS23" s="311"/>
      <c r="QPT23" s="311"/>
      <c r="QPU23" s="311"/>
      <c r="QPV23" s="311"/>
      <c r="QPW23" s="311"/>
      <c r="QPX23" s="311"/>
      <c r="QPY23" s="311"/>
      <c r="QPZ23" s="311"/>
      <c r="QQA23" s="311"/>
      <c r="QQB23" s="311"/>
      <c r="QQC23" s="311"/>
      <c r="QQD23" s="311"/>
      <c r="QQE23" s="311"/>
      <c r="QQF23" s="311"/>
      <c r="QQG23" s="311"/>
      <c r="QQH23" s="311"/>
      <c r="QQI23" s="311"/>
      <c r="QQJ23" s="311"/>
      <c r="QQK23" s="311"/>
      <c r="QQL23" s="311"/>
      <c r="QQM23" s="311"/>
      <c r="QQN23" s="311"/>
      <c r="QQO23" s="311"/>
      <c r="QQP23" s="311"/>
      <c r="QQQ23" s="311"/>
      <c r="QQR23" s="311"/>
      <c r="QQS23" s="311"/>
      <c r="QQT23" s="311"/>
      <c r="QQU23" s="311"/>
      <c r="QQV23" s="311"/>
      <c r="QQW23" s="311"/>
      <c r="QQX23" s="311"/>
      <c r="QQY23" s="311"/>
      <c r="QQZ23" s="311"/>
      <c r="QRA23" s="311"/>
      <c r="QRB23" s="311"/>
      <c r="QRC23" s="311"/>
      <c r="QRD23" s="311"/>
      <c r="QRE23" s="311"/>
      <c r="QRF23" s="311"/>
      <c r="QRG23" s="311"/>
      <c r="QRH23" s="311"/>
      <c r="QRI23" s="311"/>
      <c r="QRJ23" s="311"/>
      <c r="QRK23" s="311"/>
      <c r="QRL23" s="311"/>
      <c r="QRM23" s="311"/>
      <c r="QRN23" s="311"/>
      <c r="QRO23" s="311"/>
      <c r="QRP23" s="311"/>
      <c r="QRQ23" s="311"/>
      <c r="QRR23" s="311"/>
      <c r="QRS23" s="311"/>
      <c r="QRT23" s="311"/>
      <c r="QRU23" s="311"/>
      <c r="QRV23" s="311"/>
      <c r="QRW23" s="311"/>
      <c r="QRX23" s="311"/>
      <c r="QRY23" s="311"/>
      <c r="QRZ23" s="311"/>
      <c r="QSA23" s="311"/>
      <c r="QSB23" s="311"/>
      <c r="QSC23" s="311"/>
      <c r="QSD23" s="311"/>
      <c r="QSE23" s="311"/>
      <c r="QSF23" s="311"/>
      <c r="QSG23" s="311"/>
      <c r="QSH23" s="311"/>
      <c r="QSI23" s="311"/>
      <c r="QSJ23" s="311"/>
      <c r="QSK23" s="311"/>
      <c r="QSL23" s="311"/>
      <c r="QSM23" s="311"/>
      <c r="QSN23" s="311"/>
      <c r="QSO23" s="311"/>
      <c r="QSP23" s="311"/>
      <c r="QSQ23" s="311"/>
      <c r="QSR23" s="311"/>
      <c r="QSS23" s="311"/>
      <c r="QST23" s="311"/>
      <c r="QSU23" s="311"/>
      <c r="QSV23" s="311"/>
      <c r="QSW23" s="311"/>
      <c r="QSX23" s="311"/>
      <c r="QSY23" s="311"/>
      <c r="QSZ23" s="311"/>
      <c r="QTA23" s="311"/>
      <c r="QTB23" s="311"/>
      <c r="QTC23" s="311"/>
      <c r="QTD23" s="311"/>
      <c r="QTE23" s="311"/>
      <c r="QTF23" s="311"/>
      <c r="QTG23" s="311"/>
      <c r="QTH23" s="311"/>
      <c r="QTI23" s="311"/>
      <c r="QTJ23" s="311"/>
      <c r="QTK23" s="311"/>
      <c r="QTL23" s="311"/>
      <c r="QTM23" s="311"/>
      <c r="QTN23" s="311"/>
      <c r="QTO23" s="311"/>
      <c r="QTP23" s="311"/>
      <c r="QTQ23" s="311"/>
      <c r="QTR23" s="311"/>
      <c r="QTS23" s="311"/>
      <c r="QTT23" s="311"/>
      <c r="QTU23" s="311"/>
      <c r="QTV23" s="311"/>
      <c r="QTW23" s="311"/>
      <c r="QTX23" s="311"/>
      <c r="QTY23" s="311"/>
      <c r="QTZ23" s="311"/>
      <c r="QUA23" s="311"/>
      <c r="QUB23" s="311"/>
      <c r="QUC23" s="311"/>
      <c r="QUD23" s="311"/>
      <c r="QUE23" s="311"/>
      <c r="QUF23" s="311"/>
      <c r="QUG23" s="311"/>
      <c r="QUH23" s="311"/>
      <c r="QUI23" s="311"/>
      <c r="QUJ23" s="311"/>
      <c r="QUK23" s="311"/>
      <c r="QUL23" s="311"/>
      <c r="QUM23" s="311"/>
      <c r="QUN23" s="311"/>
      <c r="QUO23" s="311"/>
      <c r="QUP23" s="311"/>
      <c r="QUQ23" s="311"/>
      <c r="QUR23" s="311"/>
      <c r="QUS23" s="311"/>
      <c r="QUT23" s="311"/>
      <c r="QUU23" s="311"/>
      <c r="QUV23" s="311"/>
      <c r="QUW23" s="311"/>
      <c r="QUX23" s="311"/>
      <c r="QUY23" s="311"/>
      <c r="QUZ23" s="311"/>
      <c r="QVA23" s="311"/>
      <c r="QVB23" s="311"/>
      <c r="QVC23" s="311"/>
      <c r="QVD23" s="311"/>
      <c r="QVE23" s="311"/>
      <c r="QVF23" s="311"/>
      <c r="QVG23" s="311"/>
      <c r="QVH23" s="311"/>
      <c r="QVI23" s="311"/>
      <c r="QVJ23" s="311"/>
      <c r="QVK23" s="311"/>
      <c r="QVL23" s="311"/>
      <c r="QVM23" s="311"/>
      <c r="QVN23" s="311"/>
      <c r="QVO23" s="311"/>
      <c r="QVP23" s="311"/>
      <c r="QVQ23" s="311"/>
      <c r="QVR23" s="311"/>
      <c r="QVS23" s="311"/>
      <c r="QVT23" s="311"/>
      <c r="QVU23" s="311"/>
      <c r="QVV23" s="311"/>
      <c r="QVW23" s="311"/>
      <c r="QVX23" s="311"/>
      <c r="QVY23" s="311"/>
      <c r="QVZ23" s="311"/>
      <c r="QWA23" s="311"/>
      <c r="QWB23" s="311"/>
      <c r="QWC23" s="311"/>
      <c r="QWD23" s="311"/>
      <c r="QWE23" s="311"/>
      <c r="QWF23" s="311"/>
      <c r="QWG23" s="311"/>
      <c r="QWH23" s="311"/>
      <c r="QWI23" s="311"/>
      <c r="QWJ23" s="311"/>
      <c r="QWK23" s="311"/>
      <c r="QWL23" s="311"/>
      <c r="QWM23" s="311"/>
      <c r="QWN23" s="311"/>
      <c r="QWO23" s="311"/>
      <c r="QWP23" s="311"/>
      <c r="QWQ23" s="311"/>
      <c r="QWR23" s="311"/>
      <c r="QWS23" s="311"/>
      <c r="QWT23" s="311"/>
      <c r="QWU23" s="311"/>
      <c r="QWV23" s="311"/>
      <c r="QWW23" s="311"/>
      <c r="QWX23" s="311"/>
      <c r="QWY23" s="311"/>
      <c r="QWZ23" s="311"/>
      <c r="QXA23" s="311"/>
      <c r="QXB23" s="311"/>
      <c r="QXC23" s="311"/>
      <c r="QXD23" s="311"/>
      <c r="QXE23" s="311"/>
      <c r="QXF23" s="311"/>
      <c r="QXG23" s="311"/>
      <c r="QXH23" s="311"/>
      <c r="QXI23" s="311"/>
      <c r="QXJ23" s="311"/>
      <c r="QXK23" s="311"/>
      <c r="QXL23" s="311"/>
      <c r="QXM23" s="311"/>
      <c r="QXN23" s="311"/>
      <c r="QXO23" s="311"/>
      <c r="QXP23" s="311"/>
      <c r="QXQ23" s="311"/>
      <c r="QXR23" s="311"/>
      <c r="QXS23" s="311"/>
      <c r="QXT23" s="311"/>
      <c r="QXU23" s="311"/>
      <c r="QXV23" s="311"/>
      <c r="QXW23" s="311"/>
      <c r="QXX23" s="311"/>
      <c r="QXY23" s="311"/>
      <c r="QXZ23" s="311"/>
      <c r="QYA23" s="311"/>
      <c r="QYB23" s="311"/>
      <c r="QYC23" s="311"/>
      <c r="QYD23" s="311"/>
      <c r="QYE23" s="311"/>
      <c r="QYF23" s="311"/>
      <c r="QYG23" s="311"/>
      <c r="QYH23" s="311"/>
      <c r="QYI23" s="311"/>
      <c r="QYJ23" s="311"/>
      <c r="QYK23" s="311"/>
      <c r="QYL23" s="311"/>
      <c r="QYM23" s="311"/>
      <c r="QYN23" s="311"/>
      <c r="QYO23" s="311"/>
      <c r="QYP23" s="311"/>
      <c r="QYQ23" s="311"/>
      <c r="QYR23" s="311"/>
      <c r="QYS23" s="311"/>
      <c r="QYT23" s="311"/>
      <c r="QYU23" s="311"/>
      <c r="QYV23" s="311"/>
      <c r="QYW23" s="311"/>
      <c r="QYX23" s="311"/>
      <c r="QYY23" s="311"/>
      <c r="QYZ23" s="311"/>
      <c r="QZA23" s="311"/>
      <c r="QZB23" s="311"/>
      <c r="QZC23" s="311"/>
      <c r="QZD23" s="311"/>
      <c r="QZE23" s="311"/>
      <c r="QZF23" s="311"/>
      <c r="QZG23" s="311"/>
      <c r="QZH23" s="311"/>
      <c r="QZI23" s="311"/>
      <c r="QZJ23" s="311"/>
      <c r="QZK23" s="311"/>
      <c r="QZL23" s="311"/>
      <c r="QZM23" s="311"/>
      <c r="QZN23" s="311"/>
      <c r="QZO23" s="311"/>
      <c r="QZP23" s="311"/>
      <c r="QZQ23" s="311"/>
      <c r="QZR23" s="311"/>
      <c r="QZS23" s="311"/>
      <c r="QZT23" s="311"/>
      <c r="QZU23" s="311"/>
      <c r="QZV23" s="311"/>
      <c r="QZW23" s="311"/>
      <c r="QZX23" s="311"/>
      <c r="QZY23" s="311"/>
      <c r="QZZ23" s="311"/>
      <c r="RAA23" s="311"/>
      <c r="RAB23" s="311"/>
      <c r="RAC23" s="311"/>
      <c r="RAD23" s="311"/>
      <c r="RAE23" s="311"/>
      <c r="RAF23" s="311"/>
      <c r="RAG23" s="311"/>
      <c r="RAH23" s="311"/>
      <c r="RAI23" s="311"/>
      <c r="RAJ23" s="311"/>
      <c r="RAK23" s="311"/>
      <c r="RAL23" s="311"/>
      <c r="RAM23" s="311"/>
      <c r="RAN23" s="311"/>
      <c r="RAO23" s="311"/>
      <c r="RAP23" s="311"/>
      <c r="RAQ23" s="311"/>
      <c r="RAR23" s="311"/>
      <c r="RAS23" s="311"/>
      <c r="RAT23" s="311"/>
      <c r="RAU23" s="311"/>
      <c r="RAV23" s="311"/>
      <c r="RAW23" s="311"/>
      <c r="RAX23" s="311"/>
      <c r="RAY23" s="311"/>
      <c r="RAZ23" s="311"/>
      <c r="RBA23" s="311"/>
      <c r="RBB23" s="311"/>
      <c r="RBC23" s="311"/>
      <c r="RBD23" s="311"/>
      <c r="RBE23" s="311"/>
      <c r="RBF23" s="311"/>
      <c r="RBG23" s="311"/>
      <c r="RBH23" s="311"/>
      <c r="RBI23" s="311"/>
      <c r="RBJ23" s="311"/>
      <c r="RBK23" s="311"/>
      <c r="RBL23" s="311"/>
      <c r="RBM23" s="311"/>
      <c r="RBN23" s="311"/>
      <c r="RBO23" s="311"/>
      <c r="RBP23" s="311"/>
      <c r="RBQ23" s="311"/>
      <c r="RBR23" s="311"/>
      <c r="RBS23" s="311"/>
      <c r="RBT23" s="311"/>
      <c r="RBU23" s="311"/>
      <c r="RBV23" s="311"/>
      <c r="RBW23" s="311"/>
      <c r="RBX23" s="311"/>
      <c r="RBY23" s="311"/>
      <c r="RBZ23" s="311"/>
      <c r="RCA23" s="311"/>
      <c r="RCB23" s="311"/>
      <c r="RCC23" s="311"/>
      <c r="RCD23" s="311"/>
      <c r="RCE23" s="311"/>
      <c r="RCF23" s="311"/>
      <c r="RCG23" s="311"/>
      <c r="RCH23" s="311"/>
      <c r="RCI23" s="311"/>
      <c r="RCJ23" s="311"/>
      <c r="RCK23" s="311"/>
      <c r="RCL23" s="311"/>
      <c r="RCM23" s="311"/>
      <c r="RCN23" s="311"/>
      <c r="RCO23" s="311"/>
      <c r="RCP23" s="311"/>
      <c r="RCQ23" s="311"/>
      <c r="RCR23" s="311"/>
      <c r="RCS23" s="311"/>
      <c r="RCT23" s="311"/>
      <c r="RCU23" s="311"/>
      <c r="RCV23" s="311"/>
      <c r="RCW23" s="311"/>
      <c r="RCX23" s="311"/>
      <c r="RCY23" s="311"/>
      <c r="RCZ23" s="311"/>
      <c r="RDA23" s="311"/>
      <c r="RDB23" s="311"/>
      <c r="RDC23" s="311"/>
      <c r="RDD23" s="311"/>
      <c r="RDE23" s="311"/>
      <c r="RDF23" s="311"/>
      <c r="RDG23" s="311"/>
      <c r="RDH23" s="311"/>
      <c r="RDI23" s="311"/>
      <c r="RDJ23" s="311"/>
      <c r="RDK23" s="311"/>
      <c r="RDL23" s="311"/>
      <c r="RDM23" s="311"/>
      <c r="RDN23" s="311"/>
      <c r="RDO23" s="311"/>
      <c r="RDP23" s="311"/>
      <c r="RDQ23" s="311"/>
      <c r="RDR23" s="311"/>
      <c r="RDS23" s="311"/>
      <c r="RDT23" s="311"/>
      <c r="RDU23" s="311"/>
      <c r="RDV23" s="311"/>
      <c r="RDW23" s="311"/>
      <c r="RDX23" s="311"/>
      <c r="RDY23" s="311"/>
      <c r="RDZ23" s="311"/>
      <c r="REA23" s="311"/>
      <c r="REB23" s="311"/>
      <c r="REC23" s="311"/>
      <c r="RED23" s="311"/>
      <c r="REE23" s="311"/>
      <c r="REF23" s="311"/>
      <c r="REG23" s="311"/>
      <c r="REH23" s="311"/>
      <c r="REI23" s="311"/>
      <c r="REJ23" s="311"/>
      <c r="REK23" s="311"/>
      <c r="REL23" s="311"/>
      <c r="REM23" s="311"/>
      <c r="REN23" s="311"/>
      <c r="REO23" s="311"/>
      <c r="REP23" s="311"/>
      <c r="REQ23" s="311"/>
      <c r="RER23" s="311"/>
      <c r="RES23" s="311"/>
      <c r="RET23" s="311"/>
      <c r="REU23" s="311"/>
      <c r="REV23" s="311"/>
      <c r="REW23" s="311"/>
      <c r="REX23" s="311"/>
      <c r="REY23" s="311"/>
      <c r="REZ23" s="311"/>
      <c r="RFA23" s="311"/>
      <c r="RFB23" s="311"/>
      <c r="RFC23" s="311"/>
      <c r="RFD23" s="311"/>
      <c r="RFE23" s="311"/>
      <c r="RFF23" s="311"/>
      <c r="RFG23" s="311"/>
      <c r="RFH23" s="311"/>
      <c r="RFI23" s="311"/>
      <c r="RFJ23" s="311"/>
      <c r="RFK23" s="311"/>
      <c r="RFL23" s="311"/>
      <c r="RFM23" s="311"/>
      <c r="RFN23" s="311"/>
      <c r="RFO23" s="311"/>
      <c r="RFP23" s="311"/>
      <c r="RFQ23" s="311"/>
      <c r="RFR23" s="311"/>
      <c r="RFS23" s="311"/>
      <c r="RFT23" s="311"/>
      <c r="RFU23" s="311"/>
      <c r="RFV23" s="311"/>
      <c r="RFW23" s="311"/>
      <c r="RFX23" s="311"/>
      <c r="RFY23" s="311"/>
      <c r="RFZ23" s="311"/>
      <c r="RGA23" s="311"/>
      <c r="RGB23" s="311"/>
      <c r="RGC23" s="311"/>
      <c r="RGD23" s="311"/>
      <c r="RGE23" s="311"/>
      <c r="RGF23" s="311"/>
      <c r="RGG23" s="311"/>
      <c r="RGH23" s="311"/>
      <c r="RGI23" s="311"/>
      <c r="RGJ23" s="311"/>
      <c r="RGK23" s="311"/>
      <c r="RGL23" s="311"/>
      <c r="RGM23" s="311"/>
      <c r="RGN23" s="311"/>
      <c r="RGO23" s="311"/>
      <c r="RGP23" s="311"/>
      <c r="RGQ23" s="311"/>
      <c r="RGR23" s="311"/>
      <c r="RGS23" s="311"/>
      <c r="RGT23" s="311"/>
      <c r="RGU23" s="311"/>
      <c r="RGV23" s="311"/>
      <c r="RGW23" s="311"/>
      <c r="RGX23" s="311"/>
      <c r="RGY23" s="311"/>
      <c r="RGZ23" s="311"/>
      <c r="RHA23" s="311"/>
      <c r="RHB23" s="311"/>
      <c r="RHC23" s="311"/>
      <c r="RHD23" s="311"/>
      <c r="RHE23" s="311"/>
      <c r="RHF23" s="311"/>
      <c r="RHG23" s="311"/>
      <c r="RHH23" s="311"/>
      <c r="RHI23" s="311"/>
      <c r="RHJ23" s="311"/>
      <c r="RHK23" s="311"/>
      <c r="RHL23" s="311"/>
      <c r="RHM23" s="311"/>
      <c r="RHN23" s="311"/>
      <c r="RHO23" s="311"/>
      <c r="RHP23" s="311"/>
      <c r="RHQ23" s="311"/>
      <c r="RHR23" s="311"/>
      <c r="RHS23" s="311"/>
      <c r="RHT23" s="311"/>
      <c r="RHU23" s="311"/>
      <c r="RHV23" s="311"/>
      <c r="RHW23" s="311"/>
      <c r="RHX23" s="311"/>
      <c r="RHY23" s="311"/>
      <c r="RHZ23" s="311"/>
      <c r="RIA23" s="311"/>
      <c r="RIB23" s="311"/>
      <c r="RIC23" s="311"/>
      <c r="RID23" s="311"/>
      <c r="RIE23" s="311"/>
      <c r="RIF23" s="311"/>
      <c r="RIG23" s="311"/>
      <c r="RIH23" s="311"/>
      <c r="RII23" s="311"/>
      <c r="RIJ23" s="311"/>
      <c r="RIK23" s="311"/>
      <c r="RIL23" s="311"/>
      <c r="RIM23" s="311"/>
      <c r="RIN23" s="311"/>
      <c r="RIO23" s="311"/>
      <c r="RIP23" s="311"/>
      <c r="RIQ23" s="311"/>
      <c r="RIR23" s="311"/>
      <c r="RIS23" s="311"/>
      <c r="RIT23" s="311"/>
      <c r="RIU23" s="311"/>
      <c r="RIV23" s="311"/>
      <c r="RIW23" s="311"/>
      <c r="RIX23" s="311"/>
      <c r="RIY23" s="311"/>
      <c r="RIZ23" s="311"/>
      <c r="RJA23" s="311"/>
      <c r="RJB23" s="311"/>
      <c r="RJC23" s="311"/>
      <c r="RJD23" s="311"/>
      <c r="RJE23" s="311"/>
      <c r="RJF23" s="311"/>
      <c r="RJG23" s="311"/>
      <c r="RJH23" s="311"/>
      <c r="RJI23" s="311"/>
      <c r="RJJ23" s="311"/>
      <c r="RJK23" s="311"/>
      <c r="RJL23" s="311"/>
      <c r="RJM23" s="311"/>
      <c r="RJN23" s="311"/>
      <c r="RJO23" s="311"/>
      <c r="RJP23" s="311"/>
      <c r="RJQ23" s="311"/>
      <c r="RJR23" s="311"/>
      <c r="RJS23" s="311"/>
      <c r="RJT23" s="311"/>
      <c r="RJU23" s="311"/>
      <c r="RJV23" s="311"/>
      <c r="RJW23" s="311"/>
      <c r="RJX23" s="311"/>
      <c r="RJY23" s="311"/>
      <c r="RJZ23" s="311"/>
      <c r="RKA23" s="311"/>
      <c r="RKB23" s="311"/>
      <c r="RKC23" s="311"/>
      <c r="RKD23" s="311"/>
      <c r="RKE23" s="311"/>
      <c r="RKF23" s="311"/>
      <c r="RKG23" s="311"/>
      <c r="RKH23" s="311"/>
      <c r="RKI23" s="311"/>
      <c r="RKJ23" s="311"/>
      <c r="RKK23" s="311"/>
      <c r="RKL23" s="311"/>
      <c r="RKM23" s="311"/>
      <c r="RKN23" s="311"/>
      <c r="RKO23" s="311"/>
      <c r="RKP23" s="311"/>
      <c r="RKQ23" s="311"/>
      <c r="RKR23" s="311"/>
      <c r="RKS23" s="311"/>
      <c r="RKT23" s="311"/>
      <c r="RKU23" s="311"/>
      <c r="RKV23" s="311"/>
      <c r="RKW23" s="311"/>
      <c r="RKX23" s="311"/>
      <c r="RKY23" s="311"/>
      <c r="RKZ23" s="311"/>
      <c r="RLA23" s="311"/>
      <c r="RLB23" s="311"/>
      <c r="RLC23" s="311"/>
      <c r="RLD23" s="311"/>
      <c r="RLE23" s="311"/>
      <c r="RLF23" s="311"/>
      <c r="RLG23" s="311"/>
      <c r="RLH23" s="311"/>
      <c r="RLI23" s="311"/>
      <c r="RLJ23" s="311"/>
      <c r="RLK23" s="311"/>
      <c r="RLL23" s="311"/>
      <c r="RLM23" s="311"/>
      <c r="RLN23" s="311"/>
      <c r="RLO23" s="311"/>
      <c r="RLP23" s="311"/>
      <c r="RLQ23" s="311"/>
      <c r="RLR23" s="311"/>
      <c r="RLS23" s="311"/>
      <c r="RLT23" s="311"/>
      <c r="RLU23" s="311"/>
      <c r="RLV23" s="311"/>
      <c r="RLW23" s="311"/>
      <c r="RLX23" s="311"/>
      <c r="RLY23" s="311"/>
      <c r="RLZ23" s="311"/>
      <c r="RMA23" s="311"/>
      <c r="RMB23" s="311"/>
      <c r="RMC23" s="311"/>
      <c r="RMD23" s="311"/>
      <c r="RME23" s="311"/>
      <c r="RMF23" s="311"/>
      <c r="RMG23" s="311"/>
      <c r="RMH23" s="311"/>
      <c r="RMI23" s="311"/>
      <c r="RMJ23" s="311"/>
      <c r="RMK23" s="311"/>
      <c r="RML23" s="311"/>
      <c r="RMM23" s="311"/>
      <c r="RMN23" s="311"/>
      <c r="RMO23" s="311"/>
      <c r="RMP23" s="311"/>
      <c r="RMQ23" s="311"/>
      <c r="RMR23" s="311"/>
      <c r="RMS23" s="311"/>
      <c r="RMT23" s="311"/>
      <c r="RMU23" s="311"/>
      <c r="RMV23" s="311"/>
      <c r="RMW23" s="311"/>
      <c r="RMX23" s="311"/>
      <c r="RMY23" s="311"/>
      <c r="RMZ23" s="311"/>
      <c r="RNA23" s="311"/>
      <c r="RNB23" s="311"/>
      <c r="RNC23" s="311"/>
      <c r="RND23" s="311"/>
      <c r="RNE23" s="311"/>
      <c r="RNF23" s="311"/>
      <c r="RNG23" s="311"/>
      <c r="RNH23" s="311"/>
      <c r="RNI23" s="311"/>
      <c r="RNJ23" s="311"/>
      <c r="RNK23" s="311"/>
      <c r="RNL23" s="311"/>
      <c r="RNM23" s="311"/>
      <c r="RNN23" s="311"/>
      <c r="RNO23" s="311"/>
      <c r="RNP23" s="311"/>
      <c r="RNQ23" s="311"/>
      <c r="RNR23" s="311"/>
      <c r="RNS23" s="311"/>
      <c r="RNT23" s="311"/>
      <c r="RNU23" s="311"/>
      <c r="RNV23" s="311"/>
      <c r="RNW23" s="311"/>
      <c r="RNX23" s="311"/>
      <c r="RNY23" s="311"/>
      <c r="RNZ23" s="311"/>
      <c r="ROA23" s="311"/>
      <c r="ROB23" s="311"/>
      <c r="ROC23" s="311"/>
      <c r="ROD23" s="311"/>
      <c r="ROE23" s="311"/>
      <c r="ROF23" s="311"/>
      <c r="ROG23" s="311"/>
      <c r="ROH23" s="311"/>
      <c r="ROI23" s="311"/>
      <c r="ROJ23" s="311"/>
      <c r="ROK23" s="311"/>
      <c r="ROL23" s="311"/>
      <c r="ROM23" s="311"/>
      <c r="RON23" s="311"/>
      <c r="ROO23" s="311"/>
      <c r="ROP23" s="311"/>
      <c r="ROQ23" s="311"/>
      <c r="ROR23" s="311"/>
      <c r="ROS23" s="311"/>
      <c r="ROT23" s="311"/>
      <c r="ROU23" s="311"/>
      <c r="ROV23" s="311"/>
      <c r="ROW23" s="311"/>
      <c r="ROX23" s="311"/>
      <c r="ROY23" s="311"/>
      <c r="ROZ23" s="311"/>
      <c r="RPA23" s="311"/>
      <c r="RPB23" s="311"/>
      <c r="RPC23" s="311"/>
      <c r="RPD23" s="311"/>
      <c r="RPE23" s="311"/>
      <c r="RPF23" s="311"/>
      <c r="RPG23" s="311"/>
      <c r="RPH23" s="311"/>
      <c r="RPI23" s="311"/>
      <c r="RPJ23" s="311"/>
      <c r="RPK23" s="311"/>
      <c r="RPL23" s="311"/>
      <c r="RPM23" s="311"/>
      <c r="RPN23" s="311"/>
      <c r="RPO23" s="311"/>
      <c r="RPP23" s="311"/>
      <c r="RPQ23" s="311"/>
      <c r="RPR23" s="311"/>
      <c r="RPS23" s="311"/>
      <c r="RPT23" s="311"/>
      <c r="RPU23" s="311"/>
      <c r="RPV23" s="311"/>
      <c r="RPW23" s="311"/>
      <c r="RPX23" s="311"/>
      <c r="RPY23" s="311"/>
      <c r="RPZ23" s="311"/>
      <c r="RQA23" s="311"/>
      <c r="RQB23" s="311"/>
      <c r="RQC23" s="311"/>
      <c r="RQD23" s="311"/>
      <c r="RQE23" s="311"/>
      <c r="RQF23" s="311"/>
      <c r="RQG23" s="311"/>
      <c r="RQH23" s="311"/>
      <c r="RQI23" s="311"/>
      <c r="RQJ23" s="311"/>
      <c r="RQK23" s="311"/>
      <c r="RQL23" s="311"/>
      <c r="RQM23" s="311"/>
      <c r="RQN23" s="311"/>
      <c r="RQO23" s="311"/>
      <c r="RQP23" s="311"/>
      <c r="RQQ23" s="311"/>
      <c r="RQR23" s="311"/>
      <c r="RQS23" s="311"/>
      <c r="RQT23" s="311"/>
      <c r="RQU23" s="311"/>
      <c r="RQV23" s="311"/>
      <c r="RQW23" s="311"/>
      <c r="RQX23" s="311"/>
      <c r="RQY23" s="311"/>
      <c r="RQZ23" s="311"/>
      <c r="RRA23" s="311"/>
      <c r="RRB23" s="311"/>
      <c r="RRC23" s="311"/>
      <c r="RRD23" s="311"/>
      <c r="RRE23" s="311"/>
      <c r="RRF23" s="311"/>
      <c r="RRG23" s="311"/>
      <c r="RRH23" s="311"/>
      <c r="RRI23" s="311"/>
      <c r="RRJ23" s="311"/>
      <c r="RRK23" s="311"/>
      <c r="RRL23" s="311"/>
      <c r="RRM23" s="311"/>
      <c r="RRN23" s="311"/>
      <c r="RRO23" s="311"/>
      <c r="RRP23" s="311"/>
      <c r="RRQ23" s="311"/>
      <c r="RRR23" s="311"/>
      <c r="RRS23" s="311"/>
      <c r="RRT23" s="311"/>
      <c r="RRU23" s="311"/>
      <c r="RRV23" s="311"/>
      <c r="RRW23" s="311"/>
      <c r="RRX23" s="311"/>
      <c r="RRY23" s="311"/>
      <c r="RRZ23" s="311"/>
      <c r="RSA23" s="311"/>
      <c r="RSB23" s="311"/>
      <c r="RSC23" s="311"/>
      <c r="RSD23" s="311"/>
      <c r="RSE23" s="311"/>
      <c r="RSF23" s="311"/>
      <c r="RSG23" s="311"/>
      <c r="RSH23" s="311"/>
      <c r="RSI23" s="311"/>
      <c r="RSJ23" s="311"/>
      <c r="RSK23" s="311"/>
      <c r="RSL23" s="311"/>
      <c r="RSM23" s="311"/>
      <c r="RSN23" s="311"/>
      <c r="RSO23" s="311"/>
      <c r="RSP23" s="311"/>
      <c r="RSQ23" s="311"/>
      <c r="RSR23" s="311"/>
      <c r="RSS23" s="311"/>
      <c r="RST23" s="311"/>
      <c r="RSU23" s="311"/>
      <c r="RSV23" s="311"/>
      <c r="RSW23" s="311"/>
      <c r="RSX23" s="311"/>
      <c r="RSY23" s="311"/>
      <c r="RSZ23" s="311"/>
      <c r="RTA23" s="311"/>
      <c r="RTB23" s="311"/>
      <c r="RTC23" s="311"/>
      <c r="RTD23" s="311"/>
      <c r="RTE23" s="311"/>
      <c r="RTF23" s="311"/>
      <c r="RTG23" s="311"/>
      <c r="RTH23" s="311"/>
      <c r="RTI23" s="311"/>
      <c r="RTJ23" s="311"/>
      <c r="RTK23" s="311"/>
      <c r="RTL23" s="311"/>
      <c r="RTM23" s="311"/>
      <c r="RTN23" s="311"/>
      <c r="RTO23" s="311"/>
      <c r="RTP23" s="311"/>
      <c r="RTQ23" s="311"/>
      <c r="RTR23" s="311"/>
      <c r="RTS23" s="311"/>
      <c r="RTT23" s="311"/>
      <c r="RTU23" s="311"/>
      <c r="RTV23" s="311"/>
      <c r="RTW23" s="311"/>
      <c r="RTX23" s="311"/>
      <c r="RTY23" s="311"/>
      <c r="RTZ23" s="311"/>
      <c r="RUA23" s="311"/>
      <c r="RUB23" s="311"/>
      <c r="RUC23" s="311"/>
      <c r="RUD23" s="311"/>
      <c r="RUE23" s="311"/>
      <c r="RUF23" s="311"/>
      <c r="RUG23" s="311"/>
      <c r="RUH23" s="311"/>
      <c r="RUI23" s="311"/>
      <c r="RUJ23" s="311"/>
      <c r="RUK23" s="311"/>
      <c r="RUL23" s="311"/>
      <c r="RUM23" s="311"/>
      <c r="RUN23" s="311"/>
      <c r="RUO23" s="311"/>
      <c r="RUP23" s="311"/>
      <c r="RUQ23" s="311"/>
      <c r="RUR23" s="311"/>
      <c r="RUS23" s="311"/>
      <c r="RUT23" s="311"/>
      <c r="RUU23" s="311"/>
      <c r="RUV23" s="311"/>
      <c r="RUW23" s="311"/>
      <c r="RUX23" s="311"/>
      <c r="RUY23" s="311"/>
      <c r="RUZ23" s="311"/>
      <c r="RVA23" s="311"/>
      <c r="RVB23" s="311"/>
      <c r="RVC23" s="311"/>
      <c r="RVD23" s="311"/>
      <c r="RVE23" s="311"/>
      <c r="RVF23" s="311"/>
      <c r="RVG23" s="311"/>
      <c r="RVH23" s="311"/>
      <c r="RVI23" s="311"/>
      <c r="RVJ23" s="311"/>
      <c r="RVK23" s="311"/>
      <c r="RVL23" s="311"/>
      <c r="RVM23" s="311"/>
      <c r="RVN23" s="311"/>
      <c r="RVO23" s="311"/>
      <c r="RVP23" s="311"/>
      <c r="RVQ23" s="311"/>
      <c r="RVR23" s="311"/>
      <c r="RVS23" s="311"/>
      <c r="RVT23" s="311"/>
      <c r="RVU23" s="311"/>
      <c r="RVV23" s="311"/>
      <c r="RVW23" s="311"/>
      <c r="RVX23" s="311"/>
      <c r="RVY23" s="311"/>
      <c r="RVZ23" s="311"/>
      <c r="RWA23" s="311"/>
      <c r="RWB23" s="311"/>
      <c r="RWC23" s="311"/>
      <c r="RWD23" s="311"/>
      <c r="RWE23" s="311"/>
      <c r="RWF23" s="311"/>
      <c r="RWG23" s="311"/>
      <c r="RWH23" s="311"/>
      <c r="RWI23" s="311"/>
      <c r="RWJ23" s="311"/>
      <c r="RWK23" s="311"/>
      <c r="RWL23" s="311"/>
      <c r="RWM23" s="311"/>
      <c r="RWN23" s="311"/>
      <c r="RWO23" s="311"/>
      <c r="RWP23" s="311"/>
      <c r="RWQ23" s="311"/>
      <c r="RWR23" s="311"/>
      <c r="RWS23" s="311"/>
      <c r="RWT23" s="311"/>
      <c r="RWU23" s="311"/>
      <c r="RWV23" s="311"/>
      <c r="RWW23" s="311"/>
      <c r="RWX23" s="311"/>
      <c r="RWY23" s="311"/>
      <c r="RWZ23" s="311"/>
      <c r="RXA23" s="311"/>
      <c r="RXB23" s="311"/>
      <c r="RXC23" s="311"/>
      <c r="RXD23" s="311"/>
      <c r="RXE23" s="311"/>
      <c r="RXF23" s="311"/>
      <c r="RXG23" s="311"/>
      <c r="RXH23" s="311"/>
      <c r="RXI23" s="311"/>
      <c r="RXJ23" s="311"/>
      <c r="RXK23" s="311"/>
      <c r="RXL23" s="311"/>
      <c r="RXM23" s="311"/>
      <c r="RXN23" s="311"/>
      <c r="RXO23" s="311"/>
      <c r="RXP23" s="311"/>
      <c r="RXQ23" s="311"/>
      <c r="RXR23" s="311"/>
      <c r="RXS23" s="311"/>
      <c r="RXT23" s="311"/>
      <c r="RXU23" s="311"/>
      <c r="RXV23" s="311"/>
      <c r="RXW23" s="311"/>
      <c r="RXX23" s="311"/>
      <c r="RXY23" s="311"/>
      <c r="RXZ23" s="311"/>
      <c r="RYA23" s="311"/>
      <c r="RYB23" s="311"/>
      <c r="RYC23" s="311"/>
      <c r="RYD23" s="311"/>
      <c r="RYE23" s="311"/>
      <c r="RYF23" s="311"/>
      <c r="RYG23" s="311"/>
      <c r="RYH23" s="311"/>
      <c r="RYI23" s="311"/>
      <c r="RYJ23" s="311"/>
      <c r="RYK23" s="311"/>
      <c r="RYL23" s="311"/>
      <c r="RYM23" s="311"/>
      <c r="RYN23" s="311"/>
      <c r="RYO23" s="311"/>
      <c r="RYP23" s="311"/>
      <c r="RYQ23" s="311"/>
      <c r="RYR23" s="311"/>
      <c r="RYS23" s="311"/>
      <c r="RYT23" s="311"/>
      <c r="RYU23" s="311"/>
      <c r="RYV23" s="311"/>
      <c r="RYW23" s="311"/>
      <c r="RYX23" s="311"/>
      <c r="RYY23" s="311"/>
      <c r="RYZ23" s="311"/>
      <c r="RZA23" s="311"/>
      <c r="RZB23" s="311"/>
      <c r="RZC23" s="311"/>
      <c r="RZD23" s="311"/>
      <c r="RZE23" s="311"/>
      <c r="RZF23" s="311"/>
      <c r="RZG23" s="311"/>
      <c r="RZH23" s="311"/>
      <c r="RZI23" s="311"/>
      <c r="RZJ23" s="311"/>
      <c r="RZK23" s="311"/>
      <c r="RZL23" s="311"/>
      <c r="RZM23" s="311"/>
      <c r="RZN23" s="311"/>
      <c r="RZO23" s="311"/>
      <c r="RZP23" s="311"/>
      <c r="RZQ23" s="311"/>
      <c r="RZR23" s="311"/>
      <c r="RZS23" s="311"/>
      <c r="RZT23" s="311"/>
      <c r="RZU23" s="311"/>
      <c r="RZV23" s="311"/>
      <c r="RZW23" s="311"/>
      <c r="RZX23" s="311"/>
      <c r="RZY23" s="311"/>
      <c r="RZZ23" s="311"/>
      <c r="SAA23" s="311"/>
      <c r="SAB23" s="311"/>
      <c r="SAC23" s="311"/>
      <c r="SAD23" s="311"/>
      <c r="SAE23" s="311"/>
      <c r="SAF23" s="311"/>
      <c r="SAG23" s="311"/>
      <c r="SAH23" s="311"/>
      <c r="SAI23" s="311"/>
      <c r="SAJ23" s="311"/>
      <c r="SAK23" s="311"/>
      <c r="SAL23" s="311"/>
      <c r="SAM23" s="311"/>
      <c r="SAN23" s="311"/>
      <c r="SAO23" s="311"/>
      <c r="SAP23" s="311"/>
      <c r="SAQ23" s="311"/>
      <c r="SAR23" s="311"/>
      <c r="SAS23" s="311"/>
      <c r="SAT23" s="311"/>
      <c r="SAU23" s="311"/>
      <c r="SAV23" s="311"/>
      <c r="SAW23" s="311"/>
      <c r="SAX23" s="311"/>
      <c r="SAY23" s="311"/>
      <c r="SAZ23" s="311"/>
      <c r="SBA23" s="311"/>
      <c r="SBB23" s="311"/>
      <c r="SBC23" s="311"/>
      <c r="SBD23" s="311"/>
      <c r="SBE23" s="311"/>
      <c r="SBF23" s="311"/>
      <c r="SBG23" s="311"/>
      <c r="SBH23" s="311"/>
      <c r="SBI23" s="311"/>
      <c r="SBJ23" s="311"/>
      <c r="SBK23" s="311"/>
      <c r="SBL23" s="311"/>
      <c r="SBM23" s="311"/>
      <c r="SBN23" s="311"/>
      <c r="SBO23" s="311"/>
      <c r="SBP23" s="311"/>
      <c r="SBQ23" s="311"/>
      <c r="SBR23" s="311"/>
      <c r="SBS23" s="311"/>
      <c r="SBT23" s="311"/>
      <c r="SBU23" s="311"/>
      <c r="SBV23" s="311"/>
      <c r="SBW23" s="311"/>
      <c r="SBX23" s="311"/>
      <c r="SBY23" s="311"/>
      <c r="SBZ23" s="311"/>
      <c r="SCA23" s="311"/>
      <c r="SCB23" s="311"/>
      <c r="SCC23" s="311"/>
      <c r="SCD23" s="311"/>
      <c r="SCE23" s="311"/>
      <c r="SCF23" s="311"/>
      <c r="SCG23" s="311"/>
      <c r="SCH23" s="311"/>
      <c r="SCI23" s="311"/>
      <c r="SCJ23" s="311"/>
      <c r="SCK23" s="311"/>
      <c r="SCL23" s="311"/>
      <c r="SCM23" s="311"/>
      <c r="SCN23" s="311"/>
      <c r="SCO23" s="311"/>
      <c r="SCP23" s="311"/>
      <c r="SCQ23" s="311"/>
      <c r="SCR23" s="311"/>
      <c r="SCS23" s="311"/>
      <c r="SCT23" s="311"/>
      <c r="SCU23" s="311"/>
      <c r="SCV23" s="311"/>
      <c r="SCW23" s="311"/>
      <c r="SCX23" s="311"/>
      <c r="SCY23" s="311"/>
      <c r="SCZ23" s="311"/>
      <c r="SDA23" s="311"/>
      <c r="SDB23" s="311"/>
      <c r="SDC23" s="311"/>
      <c r="SDD23" s="311"/>
      <c r="SDE23" s="311"/>
      <c r="SDF23" s="311"/>
      <c r="SDG23" s="311"/>
      <c r="SDH23" s="311"/>
      <c r="SDI23" s="311"/>
      <c r="SDJ23" s="311"/>
      <c r="SDK23" s="311"/>
      <c r="SDL23" s="311"/>
      <c r="SDM23" s="311"/>
      <c r="SDN23" s="311"/>
      <c r="SDO23" s="311"/>
      <c r="SDP23" s="311"/>
      <c r="SDQ23" s="311"/>
      <c r="SDR23" s="311"/>
      <c r="SDS23" s="311"/>
      <c r="SDT23" s="311"/>
      <c r="SDU23" s="311"/>
      <c r="SDV23" s="311"/>
      <c r="SDW23" s="311"/>
      <c r="SDX23" s="311"/>
      <c r="SDY23" s="311"/>
      <c r="SDZ23" s="311"/>
      <c r="SEA23" s="311"/>
      <c r="SEB23" s="311"/>
      <c r="SEC23" s="311"/>
      <c r="SED23" s="311"/>
      <c r="SEE23" s="311"/>
      <c r="SEF23" s="311"/>
      <c r="SEG23" s="311"/>
      <c r="SEH23" s="311"/>
      <c r="SEI23" s="311"/>
      <c r="SEJ23" s="311"/>
      <c r="SEK23" s="311"/>
      <c r="SEL23" s="311"/>
      <c r="SEM23" s="311"/>
      <c r="SEN23" s="311"/>
      <c r="SEO23" s="311"/>
      <c r="SEP23" s="311"/>
      <c r="SEQ23" s="311"/>
      <c r="SER23" s="311"/>
      <c r="SES23" s="311"/>
      <c r="SET23" s="311"/>
      <c r="SEU23" s="311"/>
      <c r="SEV23" s="311"/>
      <c r="SEW23" s="311"/>
      <c r="SEX23" s="311"/>
      <c r="SEY23" s="311"/>
      <c r="SEZ23" s="311"/>
      <c r="SFA23" s="311"/>
      <c r="SFB23" s="311"/>
      <c r="SFC23" s="311"/>
      <c r="SFD23" s="311"/>
      <c r="SFE23" s="311"/>
      <c r="SFF23" s="311"/>
      <c r="SFG23" s="311"/>
      <c r="SFH23" s="311"/>
      <c r="SFI23" s="311"/>
      <c r="SFJ23" s="311"/>
      <c r="SFK23" s="311"/>
      <c r="SFL23" s="311"/>
      <c r="SFM23" s="311"/>
      <c r="SFN23" s="311"/>
      <c r="SFO23" s="311"/>
      <c r="SFP23" s="311"/>
      <c r="SFQ23" s="311"/>
      <c r="SFR23" s="311"/>
      <c r="SFS23" s="311"/>
      <c r="SFT23" s="311"/>
      <c r="SFU23" s="311"/>
      <c r="SFV23" s="311"/>
      <c r="SFW23" s="311"/>
      <c r="SFX23" s="311"/>
      <c r="SFY23" s="311"/>
      <c r="SFZ23" s="311"/>
      <c r="SGA23" s="311"/>
      <c r="SGB23" s="311"/>
      <c r="SGC23" s="311"/>
      <c r="SGD23" s="311"/>
      <c r="SGE23" s="311"/>
      <c r="SGF23" s="311"/>
      <c r="SGG23" s="311"/>
      <c r="SGH23" s="311"/>
      <c r="SGI23" s="311"/>
      <c r="SGJ23" s="311"/>
      <c r="SGK23" s="311"/>
      <c r="SGL23" s="311"/>
      <c r="SGM23" s="311"/>
      <c r="SGN23" s="311"/>
      <c r="SGO23" s="311"/>
      <c r="SGP23" s="311"/>
      <c r="SGQ23" s="311"/>
      <c r="SGR23" s="311"/>
      <c r="SGS23" s="311"/>
      <c r="SGT23" s="311"/>
      <c r="SGU23" s="311"/>
      <c r="SGV23" s="311"/>
      <c r="SGW23" s="311"/>
      <c r="SGX23" s="311"/>
      <c r="SGY23" s="311"/>
      <c r="SGZ23" s="311"/>
      <c r="SHA23" s="311"/>
      <c r="SHB23" s="311"/>
      <c r="SHC23" s="311"/>
      <c r="SHD23" s="311"/>
      <c r="SHE23" s="311"/>
      <c r="SHF23" s="311"/>
      <c r="SHG23" s="311"/>
      <c r="SHH23" s="311"/>
      <c r="SHI23" s="311"/>
      <c r="SHJ23" s="311"/>
      <c r="SHK23" s="311"/>
      <c r="SHL23" s="311"/>
      <c r="SHM23" s="311"/>
      <c r="SHN23" s="311"/>
      <c r="SHO23" s="311"/>
      <c r="SHP23" s="311"/>
      <c r="SHQ23" s="311"/>
      <c r="SHR23" s="311"/>
      <c r="SHS23" s="311"/>
      <c r="SHT23" s="311"/>
      <c r="SHU23" s="311"/>
      <c r="SHV23" s="311"/>
      <c r="SHW23" s="311"/>
      <c r="SHX23" s="311"/>
      <c r="SHY23" s="311"/>
      <c r="SHZ23" s="311"/>
      <c r="SIA23" s="311"/>
      <c r="SIB23" s="311"/>
      <c r="SIC23" s="311"/>
      <c r="SID23" s="311"/>
      <c r="SIE23" s="311"/>
      <c r="SIF23" s="311"/>
      <c r="SIG23" s="311"/>
      <c r="SIH23" s="311"/>
      <c r="SII23" s="311"/>
      <c r="SIJ23" s="311"/>
      <c r="SIK23" s="311"/>
      <c r="SIL23" s="311"/>
      <c r="SIM23" s="311"/>
      <c r="SIN23" s="311"/>
      <c r="SIO23" s="311"/>
      <c r="SIP23" s="311"/>
      <c r="SIQ23" s="311"/>
      <c r="SIR23" s="311"/>
      <c r="SIS23" s="311"/>
      <c r="SIT23" s="311"/>
      <c r="SIU23" s="311"/>
      <c r="SIV23" s="311"/>
      <c r="SIW23" s="311"/>
      <c r="SIX23" s="311"/>
      <c r="SIY23" s="311"/>
      <c r="SIZ23" s="311"/>
      <c r="SJA23" s="311"/>
      <c r="SJB23" s="311"/>
      <c r="SJC23" s="311"/>
      <c r="SJD23" s="311"/>
      <c r="SJE23" s="311"/>
      <c r="SJF23" s="311"/>
      <c r="SJG23" s="311"/>
      <c r="SJH23" s="311"/>
      <c r="SJI23" s="311"/>
      <c r="SJJ23" s="311"/>
      <c r="SJK23" s="311"/>
      <c r="SJL23" s="311"/>
      <c r="SJM23" s="311"/>
      <c r="SJN23" s="311"/>
      <c r="SJO23" s="311"/>
      <c r="SJP23" s="311"/>
      <c r="SJQ23" s="311"/>
      <c r="SJR23" s="311"/>
      <c r="SJS23" s="311"/>
      <c r="SJT23" s="311"/>
      <c r="SJU23" s="311"/>
      <c r="SJV23" s="311"/>
      <c r="SJW23" s="311"/>
      <c r="SJX23" s="311"/>
      <c r="SJY23" s="311"/>
      <c r="SJZ23" s="311"/>
      <c r="SKA23" s="311"/>
      <c r="SKB23" s="311"/>
      <c r="SKC23" s="311"/>
      <c r="SKD23" s="311"/>
      <c r="SKE23" s="311"/>
      <c r="SKF23" s="311"/>
      <c r="SKG23" s="311"/>
      <c r="SKH23" s="311"/>
      <c r="SKI23" s="311"/>
      <c r="SKJ23" s="311"/>
      <c r="SKK23" s="311"/>
      <c r="SKL23" s="311"/>
      <c r="SKM23" s="311"/>
      <c r="SKN23" s="311"/>
      <c r="SKO23" s="311"/>
      <c r="SKP23" s="311"/>
      <c r="SKQ23" s="311"/>
      <c r="SKR23" s="311"/>
      <c r="SKS23" s="311"/>
      <c r="SKT23" s="311"/>
      <c r="SKU23" s="311"/>
      <c r="SKV23" s="311"/>
      <c r="SKW23" s="311"/>
      <c r="SKX23" s="311"/>
      <c r="SKY23" s="311"/>
      <c r="SKZ23" s="311"/>
      <c r="SLA23" s="311"/>
      <c r="SLB23" s="311"/>
      <c r="SLC23" s="311"/>
      <c r="SLD23" s="311"/>
      <c r="SLE23" s="311"/>
      <c r="SLF23" s="311"/>
      <c r="SLG23" s="311"/>
      <c r="SLH23" s="311"/>
      <c r="SLI23" s="311"/>
      <c r="SLJ23" s="311"/>
      <c r="SLK23" s="311"/>
      <c r="SLL23" s="311"/>
      <c r="SLM23" s="311"/>
      <c r="SLN23" s="311"/>
      <c r="SLO23" s="311"/>
      <c r="SLP23" s="311"/>
      <c r="SLQ23" s="311"/>
      <c r="SLR23" s="311"/>
      <c r="SLS23" s="311"/>
      <c r="SLT23" s="311"/>
      <c r="SLU23" s="311"/>
      <c r="SLV23" s="311"/>
      <c r="SLW23" s="311"/>
      <c r="SLX23" s="311"/>
      <c r="SLY23" s="311"/>
      <c r="SLZ23" s="311"/>
      <c r="SMA23" s="311"/>
      <c r="SMB23" s="311"/>
      <c r="SMC23" s="311"/>
      <c r="SMD23" s="311"/>
      <c r="SME23" s="311"/>
      <c r="SMF23" s="311"/>
      <c r="SMG23" s="311"/>
      <c r="SMH23" s="311"/>
      <c r="SMI23" s="311"/>
      <c r="SMJ23" s="311"/>
      <c r="SMK23" s="311"/>
      <c r="SML23" s="311"/>
      <c r="SMM23" s="311"/>
      <c r="SMN23" s="311"/>
      <c r="SMO23" s="311"/>
      <c r="SMP23" s="311"/>
      <c r="SMQ23" s="311"/>
      <c r="SMR23" s="311"/>
      <c r="SMS23" s="311"/>
      <c r="SMT23" s="311"/>
      <c r="SMU23" s="311"/>
      <c r="SMV23" s="311"/>
      <c r="SMW23" s="311"/>
      <c r="SMX23" s="311"/>
      <c r="SMY23" s="311"/>
      <c r="SMZ23" s="311"/>
      <c r="SNA23" s="311"/>
      <c r="SNB23" s="311"/>
      <c r="SNC23" s="311"/>
      <c r="SND23" s="311"/>
      <c r="SNE23" s="311"/>
      <c r="SNF23" s="311"/>
      <c r="SNG23" s="311"/>
      <c r="SNH23" s="311"/>
      <c r="SNI23" s="311"/>
      <c r="SNJ23" s="311"/>
      <c r="SNK23" s="311"/>
      <c r="SNL23" s="311"/>
      <c r="SNM23" s="311"/>
      <c r="SNN23" s="311"/>
      <c r="SNO23" s="311"/>
      <c r="SNP23" s="311"/>
      <c r="SNQ23" s="311"/>
      <c r="SNR23" s="311"/>
      <c r="SNS23" s="311"/>
      <c r="SNT23" s="311"/>
      <c r="SNU23" s="311"/>
      <c r="SNV23" s="311"/>
      <c r="SNW23" s="311"/>
      <c r="SNX23" s="311"/>
      <c r="SNY23" s="311"/>
      <c r="SNZ23" s="311"/>
      <c r="SOA23" s="311"/>
      <c r="SOB23" s="311"/>
      <c r="SOC23" s="311"/>
      <c r="SOD23" s="311"/>
      <c r="SOE23" s="311"/>
      <c r="SOF23" s="311"/>
      <c r="SOG23" s="311"/>
      <c r="SOH23" s="311"/>
      <c r="SOI23" s="311"/>
      <c r="SOJ23" s="311"/>
      <c r="SOK23" s="311"/>
      <c r="SOL23" s="311"/>
      <c r="SOM23" s="311"/>
      <c r="SON23" s="311"/>
      <c r="SOO23" s="311"/>
      <c r="SOP23" s="311"/>
      <c r="SOQ23" s="311"/>
      <c r="SOR23" s="311"/>
      <c r="SOS23" s="311"/>
      <c r="SOT23" s="311"/>
      <c r="SOU23" s="311"/>
      <c r="SOV23" s="311"/>
      <c r="SOW23" s="311"/>
      <c r="SOX23" s="311"/>
      <c r="SOY23" s="311"/>
      <c r="SOZ23" s="311"/>
      <c r="SPA23" s="311"/>
      <c r="SPB23" s="311"/>
      <c r="SPC23" s="311"/>
      <c r="SPD23" s="311"/>
      <c r="SPE23" s="311"/>
      <c r="SPF23" s="311"/>
      <c r="SPG23" s="311"/>
      <c r="SPH23" s="311"/>
      <c r="SPI23" s="311"/>
      <c r="SPJ23" s="311"/>
      <c r="SPK23" s="311"/>
      <c r="SPL23" s="311"/>
      <c r="SPM23" s="311"/>
      <c r="SPN23" s="311"/>
      <c r="SPO23" s="311"/>
      <c r="SPP23" s="311"/>
      <c r="SPQ23" s="311"/>
      <c r="SPR23" s="311"/>
      <c r="SPS23" s="311"/>
      <c r="SPT23" s="311"/>
      <c r="SPU23" s="311"/>
      <c r="SPV23" s="311"/>
      <c r="SPW23" s="311"/>
      <c r="SPX23" s="311"/>
      <c r="SPY23" s="311"/>
      <c r="SPZ23" s="311"/>
      <c r="SQA23" s="311"/>
      <c r="SQB23" s="311"/>
      <c r="SQC23" s="311"/>
      <c r="SQD23" s="311"/>
      <c r="SQE23" s="311"/>
      <c r="SQF23" s="311"/>
      <c r="SQG23" s="311"/>
      <c r="SQH23" s="311"/>
      <c r="SQI23" s="311"/>
      <c r="SQJ23" s="311"/>
      <c r="SQK23" s="311"/>
      <c r="SQL23" s="311"/>
      <c r="SQM23" s="311"/>
      <c r="SQN23" s="311"/>
      <c r="SQO23" s="311"/>
      <c r="SQP23" s="311"/>
      <c r="SQQ23" s="311"/>
      <c r="SQR23" s="311"/>
      <c r="SQS23" s="311"/>
      <c r="SQT23" s="311"/>
      <c r="SQU23" s="311"/>
      <c r="SQV23" s="311"/>
      <c r="SQW23" s="311"/>
      <c r="SQX23" s="311"/>
      <c r="SQY23" s="311"/>
      <c r="SQZ23" s="311"/>
      <c r="SRA23" s="311"/>
      <c r="SRB23" s="311"/>
      <c r="SRC23" s="311"/>
      <c r="SRD23" s="311"/>
      <c r="SRE23" s="311"/>
      <c r="SRF23" s="311"/>
      <c r="SRG23" s="311"/>
      <c r="SRH23" s="311"/>
      <c r="SRI23" s="311"/>
      <c r="SRJ23" s="311"/>
      <c r="SRK23" s="311"/>
      <c r="SRL23" s="311"/>
      <c r="SRM23" s="311"/>
      <c r="SRN23" s="311"/>
      <c r="SRO23" s="311"/>
      <c r="SRP23" s="311"/>
      <c r="SRQ23" s="311"/>
      <c r="SRR23" s="311"/>
      <c r="SRS23" s="311"/>
      <c r="SRT23" s="311"/>
      <c r="SRU23" s="311"/>
      <c r="SRV23" s="311"/>
      <c r="SRW23" s="311"/>
      <c r="SRX23" s="311"/>
      <c r="SRY23" s="311"/>
      <c r="SRZ23" s="311"/>
      <c r="SSA23" s="311"/>
      <c r="SSB23" s="311"/>
      <c r="SSC23" s="311"/>
      <c r="SSD23" s="311"/>
      <c r="SSE23" s="311"/>
      <c r="SSF23" s="311"/>
      <c r="SSG23" s="311"/>
      <c r="SSH23" s="311"/>
      <c r="SSI23" s="311"/>
      <c r="SSJ23" s="311"/>
      <c r="SSK23" s="311"/>
      <c r="SSL23" s="311"/>
      <c r="SSM23" s="311"/>
      <c r="SSN23" s="311"/>
      <c r="SSO23" s="311"/>
      <c r="SSP23" s="311"/>
      <c r="SSQ23" s="311"/>
      <c r="SSR23" s="311"/>
      <c r="SSS23" s="311"/>
      <c r="SST23" s="311"/>
      <c r="SSU23" s="311"/>
      <c r="SSV23" s="311"/>
      <c r="SSW23" s="311"/>
      <c r="SSX23" s="311"/>
      <c r="SSY23" s="311"/>
      <c r="SSZ23" s="311"/>
      <c r="STA23" s="311"/>
      <c r="STB23" s="311"/>
      <c r="STC23" s="311"/>
      <c r="STD23" s="311"/>
      <c r="STE23" s="311"/>
      <c r="STF23" s="311"/>
      <c r="STG23" s="311"/>
      <c r="STH23" s="311"/>
      <c r="STI23" s="311"/>
      <c r="STJ23" s="311"/>
      <c r="STK23" s="311"/>
      <c r="STL23" s="311"/>
      <c r="STM23" s="311"/>
      <c r="STN23" s="311"/>
      <c r="STO23" s="311"/>
      <c r="STP23" s="311"/>
      <c r="STQ23" s="311"/>
      <c r="STR23" s="311"/>
      <c r="STS23" s="311"/>
      <c r="STT23" s="311"/>
      <c r="STU23" s="311"/>
      <c r="STV23" s="311"/>
      <c r="STW23" s="311"/>
      <c r="STX23" s="311"/>
      <c r="STY23" s="311"/>
      <c r="STZ23" s="311"/>
      <c r="SUA23" s="311"/>
      <c r="SUB23" s="311"/>
      <c r="SUC23" s="311"/>
      <c r="SUD23" s="311"/>
      <c r="SUE23" s="311"/>
      <c r="SUF23" s="311"/>
      <c r="SUG23" s="311"/>
      <c r="SUH23" s="311"/>
      <c r="SUI23" s="311"/>
      <c r="SUJ23" s="311"/>
      <c r="SUK23" s="311"/>
      <c r="SUL23" s="311"/>
      <c r="SUM23" s="311"/>
      <c r="SUN23" s="311"/>
      <c r="SUO23" s="311"/>
      <c r="SUP23" s="311"/>
      <c r="SUQ23" s="311"/>
      <c r="SUR23" s="311"/>
      <c r="SUS23" s="311"/>
      <c r="SUT23" s="311"/>
      <c r="SUU23" s="311"/>
      <c r="SUV23" s="311"/>
      <c r="SUW23" s="311"/>
      <c r="SUX23" s="311"/>
      <c r="SUY23" s="311"/>
      <c r="SUZ23" s="311"/>
      <c r="SVA23" s="311"/>
      <c r="SVB23" s="311"/>
      <c r="SVC23" s="311"/>
      <c r="SVD23" s="311"/>
      <c r="SVE23" s="311"/>
      <c r="SVF23" s="311"/>
      <c r="SVG23" s="311"/>
      <c r="SVH23" s="311"/>
      <c r="SVI23" s="311"/>
      <c r="SVJ23" s="311"/>
      <c r="SVK23" s="311"/>
      <c r="SVL23" s="311"/>
      <c r="SVM23" s="311"/>
      <c r="SVN23" s="311"/>
      <c r="SVO23" s="311"/>
      <c r="SVP23" s="311"/>
      <c r="SVQ23" s="311"/>
      <c r="SVR23" s="311"/>
      <c r="SVS23" s="311"/>
      <c r="SVT23" s="311"/>
      <c r="SVU23" s="311"/>
      <c r="SVV23" s="311"/>
      <c r="SVW23" s="311"/>
      <c r="SVX23" s="311"/>
      <c r="SVY23" s="311"/>
      <c r="SVZ23" s="311"/>
      <c r="SWA23" s="311"/>
      <c r="SWB23" s="311"/>
      <c r="SWC23" s="311"/>
      <c r="SWD23" s="311"/>
      <c r="SWE23" s="311"/>
      <c r="SWF23" s="311"/>
      <c r="SWG23" s="311"/>
      <c r="SWH23" s="311"/>
      <c r="SWI23" s="311"/>
      <c r="SWJ23" s="311"/>
      <c r="SWK23" s="311"/>
      <c r="SWL23" s="311"/>
      <c r="SWM23" s="311"/>
      <c r="SWN23" s="311"/>
      <c r="SWO23" s="311"/>
      <c r="SWP23" s="311"/>
      <c r="SWQ23" s="311"/>
      <c r="SWR23" s="311"/>
      <c r="SWS23" s="311"/>
      <c r="SWT23" s="311"/>
      <c r="SWU23" s="311"/>
      <c r="SWV23" s="311"/>
      <c r="SWW23" s="311"/>
      <c r="SWX23" s="311"/>
      <c r="SWY23" s="311"/>
      <c r="SWZ23" s="311"/>
      <c r="SXA23" s="311"/>
      <c r="SXB23" s="311"/>
      <c r="SXC23" s="311"/>
      <c r="SXD23" s="311"/>
      <c r="SXE23" s="311"/>
      <c r="SXF23" s="311"/>
      <c r="SXG23" s="311"/>
      <c r="SXH23" s="311"/>
      <c r="SXI23" s="311"/>
      <c r="SXJ23" s="311"/>
      <c r="SXK23" s="311"/>
      <c r="SXL23" s="311"/>
      <c r="SXM23" s="311"/>
      <c r="SXN23" s="311"/>
      <c r="SXO23" s="311"/>
      <c r="SXP23" s="311"/>
      <c r="SXQ23" s="311"/>
      <c r="SXR23" s="311"/>
      <c r="SXS23" s="311"/>
      <c r="SXT23" s="311"/>
      <c r="SXU23" s="311"/>
      <c r="SXV23" s="311"/>
      <c r="SXW23" s="311"/>
      <c r="SXX23" s="311"/>
      <c r="SXY23" s="311"/>
      <c r="SXZ23" s="311"/>
      <c r="SYA23" s="311"/>
      <c r="SYB23" s="311"/>
      <c r="SYC23" s="311"/>
      <c r="SYD23" s="311"/>
      <c r="SYE23" s="311"/>
      <c r="SYF23" s="311"/>
      <c r="SYG23" s="311"/>
      <c r="SYH23" s="311"/>
      <c r="SYI23" s="311"/>
      <c r="SYJ23" s="311"/>
      <c r="SYK23" s="311"/>
      <c r="SYL23" s="311"/>
      <c r="SYM23" s="311"/>
      <c r="SYN23" s="311"/>
      <c r="SYO23" s="311"/>
      <c r="SYP23" s="311"/>
      <c r="SYQ23" s="311"/>
      <c r="SYR23" s="311"/>
      <c r="SYS23" s="311"/>
      <c r="SYT23" s="311"/>
      <c r="SYU23" s="311"/>
      <c r="SYV23" s="311"/>
      <c r="SYW23" s="311"/>
      <c r="SYX23" s="311"/>
      <c r="SYY23" s="311"/>
      <c r="SYZ23" s="311"/>
      <c r="SZA23" s="311"/>
      <c r="SZB23" s="311"/>
      <c r="SZC23" s="311"/>
      <c r="SZD23" s="311"/>
      <c r="SZE23" s="311"/>
      <c r="SZF23" s="311"/>
      <c r="SZG23" s="311"/>
      <c r="SZH23" s="311"/>
      <c r="SZI23" s="311"/>
      <c r="SZJ23" s="311"/>
      <c r="SZK23" s="311"/>
      <c r="SZL23" s="311"/>
      <c r="SZM23" s="311"/>
      <c r="SZN23" s="311"/>
      <c r="SZO23" s="311"/>
      <c r="SZP23" s="311"/>
      <c r="SZQ23" s="311"/>
      <c r="SZR23" s="311"/>
      <c r="SZS23" s="311"/>
      <c r="SZT23" s="311"/>
      <c r="SZU23" s="311"/>
      <c r="SZV23" s="311"/>
      <c r="SZW23" s="311"/>
      <c r="SZX23" s="311"/>
      <c r="SZY23" s="311"/>
      <c r="SZZ23" s="311"/>
      <c r="TAA23" s="311"/>
      <c r="TAB23" s="311"/>
      <c r="TAC23" s="311"/>
      <c r="TAD23" s="311"/>
      <c r="TAE23" s="311"/>
      <c r="TAF23" s="311"/>
      <c r="TAG23" s="311"/>
      <c r="TAH23" s="311"/>
      <c r="TAI23" s="311"/>
      <c r="TAJ23" s="311"/>
      <c r="TAK23" s="311"/>
      <c r="TAL23" s="311"/>
      <c r="TAM23" s="311"/>
      <c r="TAN23" s="311"/>
      <c r="TAO23" s="311"/>
      <c r="TAP23" s="311"/>
      <c r="TAQ23" s="311"/>
      <c r="TAR23" s="311"/>
      <c r="TAS23" s="311"/>
      <c r="TAT23" s="311"/>
      <c r="TAU23" s="311"/>
      <c r="TAV23" s="311"/>
      <c r="TAW23" s="311"/>
      <c r="TAX23" s="311"/>
      <c r="TAY23" s="311"/>
      <c r="TAZ23" s="311"/>
      <c r="TBA23" s="311"/>
      <c r="TBB23" s="311"/>
      <c r="TBC23" s="311"/>
      <c r="TBD23" s="311"/>
      <c r="TBE23" s="311"/>
      <c r="TBF23" s="311"/>
      <c r="TBG23" s="311"/>
      <c r="TBH23" s="311"/>
      <c r="TBI23" s="311"/>
      <c r="TBJ23" s="311"/>
      <c r="TBK23" s="311"/>
      <c r="TBL23" s="311"/>
      <c r="TBM23" s="311"/>
      <c r="TBN23" s="311"/>
      <c r="TBO23" s="311"/>
      <c r="TBP23" s="311"/>
      <c r="TBQ23" s="311"/>
      <c r="TBR23" s="311"/>
      <c r="TBS23" s="311"/>
      <c r="TBT23" s="311"/>
      <c r="TBU23" s="311"/>
      <c r="TBV23" s="311"/>
      <c r="TBW23" s="311"/>
      <c r="TBX23" s="311"/>
      <c r="TBY23" s="311"/>
      <c r="TBZ23" s="311"/>
      <c r="TCA23" s="311"/>
      <c r="TCB23" s="311"/>
      <c r="TCC23" s="311"/>
      <c r="TCD23" s="311"/>
      <c r="TCE23" s="311"/>
      <c r="TCF23" s="311"/>
      <c r="TCG23" s="311"/>
      <c r="TCH23" s="311"/>
      <c r="TCI23" s="311"/>
      <c r="TCJ23" s="311"/>
      <c r="TCK23" s="311"/>
      <c r="TCL23" s="311"/>
      <c r="TCM23" s="311"/>
      <c r="TCN23" s="311"/>
      <c r="TCO23" s="311"/>
      <c r="TCP23" s="311"/>
      <c r="TCQ23" s="311"/>
      <c r="TCR23" s="311"/>
      <c r="TCS23" s="311"/>
      <c r="TCT23" s="311"/>
      <c r="TCU23" s="311"/>
      <c r="TCV23" s="311"/>
      <c r="TCW23" s="311"/>
      <c r="TCX23" s="311"/>
      <c r="TCY23" s="311"/>
      <c r="TCZ23" s="311"/>
      <c r="TDA23" s="311"/>
      <c r="TDB23" s="311"/>
      <c r="TDC23" s="311"/>
      <c r="TDD23" s="311"/>
      <c r="TDE23" s="311"/>
      <c r="TDF23" s="311"/>
      <c r="TDG23" s="311"/>
      <c r="TDH23" s="311"/>
      <c r="TDI23" s="311"/>
      <c r="TDJ23" s="311"/>
      <c r="TDK23" s="311"/>
      <c r="TDL23" s="311"/>
      <c r="TDM23" s="311"/>
      <c r="TDN23" s="311"/>
      <c r="TDO23" s="311"/>
      <c r="TDP23" s="311"/>
      <c r="TDQ23" s="311"/>
      <c r="TDR23" s="311"/>
      <c r="TDS23" s="311"/>
      <c r="TDT23" s="311"/>
      <c r="TDU23" s="311"/>
      <c r="TDV23" s="311"/>
      <c r="TDW23" s="311"/>
      <c r="TDX23" s="311"/>
      <c r="TDY23" s="311"/>
      <c r="TDZ23" s="311"/>
      <c r="TEA23" s="311"/>
      <c r="TEB23" s="311"/>
      <c r="TEC23" s="311"/>
      <c r="TED23" s="311"/>
      <c r="TEE23" s="311"/>
      <c r="TEF23" s="311"/>
      <c r="TEG23" s="311"/>
      <c r="TEH23" s="311"/>
      <c r="TEI23" s="311"/>
      <c r="TEJ23" s="311"/>
      <c r="TEK23" s="311"/>
      <c r="TEL23" s="311"/>
      <c r="TEM23" s="311"/>
      <c r="TEN23" s="311"/>
      <c r="TEO23" s="311"/>
      <c r="TEP23" s="311"/>
      <c r="TEQ23" s="311"/>
      <c r="TER23" s="311"/>
      <c r="TES23" s="311"/>
      <c r="TET23" s="311"/>
      <c r="TEU23" s="311"/>
      <c r="TEV23" s="311"/>
      <c r="TEW23" s="311"/>
      <c r="TEX23" s="311"/>
      <c r="TEY23" s="311"/>
      <c r="TEZ23" s="311"/>
      <c r="TFA23" s="311"/>
      <c r="TFB23" s="311"/>
      <c r="TFC23" s="311"/>
      <c r="TFD23" s="311"/>
      <c r="TFE23" s="311"/>
      <c r="TFF23" s="311"/>
      <c r="TFG23" s="311"/>
      <c r="TFH23" s="311"/>
      <c r="TFI23" s="311"/>
      <c r="TFJ23" s="311"/>
      <c r="TFK23" s="311"/>
      <c r="TFL23" s="311"/>
      <c r="TFM23" s="311"/>
      <c r="TFN23" s="311"/>
      <c r="TFO23" s="311"/>
      <c r="TFP23" s="311"/>
      <c r="TFQ23" s="311"/>
      <c r="TFR23" s="311"/>
      <c r="TFS23" s="311"/>
      <c r="TFT23" s="311"/>
      <c r="TFU23" s="311"/>
      <c r="TFV23" s="311"/>
      <c r="TFW23" s="311"/>
      <c r="TFX23" s="311"/>
      <c r="TFY23" s="311"/>
      <c r="TFZ23" s="311"/>
      <c r="TGA23" s="311"/>
      <c r="TGB23" s="311"/>
      <c r="TGC23" s="311"/>
      <c r="TGD23" s="311"/>
      <c r="TGE23" s="311"/>
      <c r="TGF23" s="311"/>
      <c r="TGG23" s="311"/>
      <c r="TGH23" s="311"/>
      <c r="TGI23" s="311"/>
      <c r="TGJ23" s="311"/>
      <c r="TGK23" s="311"/>
      <c r="TGL23" s="311"/>
      <c r="TGM23" s="311"/>
      <c r="TGN23" s="311"/>
      <c r="TGO23" s="311"/>
      <c r="TGP23" s="311"/>
      <c r="TGQ23" s="311"/>
      <c r="TGR23" s="311"/>
      <c r="TGS23" s="311"/>
      <c r="TGT23" s="311"/>
      <c r="TGU23" s="311"/>
      <c r="TGV23" s="311"/>
      <c r="TGW23" s="311"/>
      <c r="TGX23" s="311"/>
      <c r="TGY23" s="311"/>
      <c r="TGZ23" s="311"/>
      <c r="THA23" s="311"/>
      <c r="THB23" s="311"/>
      <c r="THC23" s="311"/>
      <c r="THD23" s="311"/>
      <c r="THE23" s="311"/>
      <c r="THF23" s="311"/>
      <c r="THG23" s="311"/>
      <c r="THH23" s="311"/>
      <c r="THI23" s="311"/>
      <c r="THJ23" s="311"/>
      <c r="THK23" s="311"/>
      <c r="THL23" s="311"/>
      <c r="THM23" s="311"/>
      <c r="THN23" s="311"/>
      <c r="THO23" s="311"/>
      <c r="THP23" s="311"/>
      <c r="THQ23" s="311"/>
      <c r="THR23" s="311"/>
      <c r="THS23" s="311"/>
      <c r="THT23" s="311"/>
      <c r="THU23" s="311"/>
      <c r="THV23" s="311"/>
      <c r="THW23" s="311"/>
      <c r="THX23" s="311"/>
      <c r="THY23" s="311"/>
      <c r="THZ23" s="311"/>
      <c r="TIA23" s="311"/>
      <c r="TIB23" s="311"/>
      <c r="TIC23" s="311"/>
      <c r="TID23" s="311"/>
      <c r="TIE23" s="311"/>
      <c r="TIF23" s="311"/>
      <c r="TIG23" s="311"/>
      <c r="TIH23" s="311"/>
      <c r="TII23" s="311"/>
      <c r="TIJ23" s="311"/>
      <c r="TIK23" s="311"/>
      <c r="TIL23" s="311"/>
      <c r="TIM23" s="311"/>
      <c r="TIN23" s="311"/>
      <c r="TIO23" s="311"/>
      <c r="TIP23" s="311"/>
      <c r="TIQ23" s="311"/>
      <c r="TIR23" s="311"/>
      <c r="TIS23" s="311"/>
      <c r="TIT23" s="311"/>
      <c r="TIU23" s="311"/>
      <c r="TIV23" s="311"/>
      <c r="TIW23" s="311"/>
      <c r="TIX23" s="311"/>
      <c r="TIY23" s="311"/>
      <c r="TIZ23" s="311"/>
      <c r="TJA23" s="311"/>
      <c r="TJB23" s="311"/>
      <c r="TJC23" s="311"/>
      <c r="TJD23" s="311"/>
      <c r="TJE23" s="311"/>
      <c r="TJF23" s="311"/>
      <c r="TJG23" s="311"/>
      <c r="TJH23" s="311"/>
      <c r="TJI23" s="311"/>
      <c r="TJJ23" s="311"/>
      <c r="TJK23" s="311"/>
      <c r="TJL23" s="311"/>
      <c r="TJM23" s="311"/>
      <c r="TJN23" s="311"/>
      <c r="TJO23" s="311"/>
      <c r="TJP23" s="311"/>
      <c r="TJQ23" s="311"/>
      <c r="TJR23" s="311"/>
      <c r="TJS23" s="311"/>
      <c r="TJT23" s="311"/>
      <c r="TJU23" s="311"/>
      <c r="TJV23" s="311"/>
      <c r="TJW23" s="311"/>
      <c r="TJX23" s="311"/>
      <c r="TJY23" s="311"/>
      <c r="TJZ23" s="311"/>
      <c r="TKA23" s="311"/>
      <c r="TKB23" s="311"/>
      <c r="TKC23" s="311"/>
      <c r="TKD23" s="311"/>
      <c r="TKE23" s="311"/>
      <c r="TKF23" s="311"/>
      <c r="TKG23" s="311"/>
      <c r="TKH23" s="311"/>
      <c r="TKI23" s="311"/>
      <c r="TKJ23" s="311"/>
      <c r="TKK23" s="311"/>
      <c r="TKL23" s="311"/>
      <c r="TKM23" s="311"/>
      <c r="TKN23" s="311"/>
      <c r="TKO23" s="311"/>
      <c r="TKP23" s="311"/>
      <c r="TKQ23" s="311"/>
      <c r="TKR23" s="311"/>
      <c r="TKS23" s="311"/>
      <c r="TKT23" s="311"/>
      <c r="TKU23" s="311"/>
      <c r="TKV23" s="311"/>
      <c r="TKW23" s="311"/>
      <c r="TKX23" s="311"/>
      <c r="TKY23" s="311"/>
      <c r="TKZ23" s="311"/>
      <c r="TLA23" s="311"/>
      <c r="TLB23" s="311"/>
      <c r="TLC23" s="311"/>
      <c r="TLD23" s="311"/>
      <c r="TLE23" s="311"/>
      <c r="TLF23" s="311"/>
      <c r="TLG23" s="311"/>
      <c r="TLH23" s="311"/>
      <c r="TLI23" s="311"/>
      <c r="TLJ23" s="311"/>
      <c r="TLK23" s="311"/>
      <c r="TLL23" s="311"/>
      <c r="TLM23" s="311"/>
      <c r="TLN23" s="311"/>
      <c r="TLO23" s="311"/>
      <c r="TLP23" s="311"/>
      <c r="TLQ23" s="311"/>
      <c r="TLR23" s="311"/>
      <c r="TLS23" s="311"/>
      <c r="TLT23" s="311"/>
      <c r="TLU23" s="311"/>
      <c r="TLV23" s="311"/>
      <c r="TLW23" s="311"/>
      <c r="TLX23" s="311"/>
      <c r="TLY23" s="311"/>
      <c r="TLZ23" s="311"/>
      <c r="TMA23" s="311"/>
      <c r="TMB23" s="311"/>
      <c r="TMC23" s="311"/>
      <c r="TMD23" s="311"/>
      <c r="TME23" s="311"/>
      <c r="TMF23" s="311"/>
      <c r="TMG23" s="311"/>
      <c r="TMH23" s="311"/>
      <c r="TMI23" s="311"/>
      <c r="TMJ23" s="311"/>
      <c r="TMK23" s="311"/>
      <c r="TML23" s="311"/>
      <c r="TMM23" s="311"/>
      <c r="TMN23" s="311"/>
      <c r="TMO23" s="311"/>
      <c r="TMP23" s="311"/>
      <c r="TMQ23" s="311"/>
      <c r="TMR23" s="311"/>
      <c r="TMS23" s="311"/>
      <c r="TMT23" s="311"/>
      <c r="TMU23" s="311"/>
      <c r="TMV23" s="311"/>
      <c r="TMW23" s="311"/>
      <c r="TMX23" s="311"/>
      <c r="TMY23" s="311"/>
      <c r="TMZ23" s="311"/>
      <c r="TNA23" s="311"/>
      <c r="TNB23" s="311"/>
      <c r="TNC23" s="311"/>
      <c r="TND23" s="311"/>
      <c r="TNE23" s="311"/>
      <c r="TNF23" s="311"/>
      <c r="TNG23" s="311"/>
      <c r="TNH23" s="311"/>
      <c r="TNI23" s="311"/>
      <c r="TNJ23" s="311"/>
      <c r="TNK23" s="311"/>
      <c r="TNL23" s="311"/>
      <c r="TNM23" s="311"/>
      <c r="TNN23" s="311"/>
      <c r="TNO23" s="311"/>
      <c r="TNP23" s="311"/>
      <c r="TNQ23" s="311"/>
      <c r="TNR23" s="311"/>
      <c r="TNS23" s="311"/>
      <c r="TNT23" s="311"/>
      <c r="TNU23" s="311"/>
      <c r="TNV23" s="311"/>
      <c r="TNW23" s="311"/>
      <c r="TNX23" s="311"/>
      <c r="TNY23" s="311"/>
      <c r="TNZ23" s="311"/>
      <c r="TOA23" s="311"/>
      <c r="TOB23" s="311"/>
      <c r="TOC23" s="311"/>
      <c r="TOD23" s="311"/>
      <c r="TOE23" s="311"/>
      <c r="TOF23" s="311"/>
      <c r="TOG23" s="311"/>
      <c r="TOH23" s="311"/>
      <c r="TOI23" s="311"/>
      <c r="TOJ23" s="311"/>
      <c r="TOK23" s="311"/>
      <c r="TOL23" s="311"/>
      <c r="TOM23" s="311"/>
      <c r="TON23" s="311"/>
      <c r="TOO23" s="311"/>
      <c r="TOP23" s="311"/>
      <c r="TOQ23" s="311"/>
      <c r="TOR23" s="311"/>
      <c r="TOS23" s="311"/>
      <c r="TOT23" s="311"/>
      <c r="TOU23" s="311"/>
      <c r="TOV23" s="311"/>
      <c r="TOW23" s="311"/>
      <c r="TOX23" s="311"/>
      <c r="TOY23" s="311"/>
      <c r="TOZ23" s="311"/>
      <c r="TPA23" s="311"/>
      <c r="TPB23" s="311"/>
      <c r="TPC23" s="311"/>
      <c r="TPD23" s="311"/>
      <c r="TPE23" s="311"/>
      <c r="TPF23" s="311"/>
      <c r="TPG23" s="311"/>
      <c r="TPH23" s="311"/>
      <c r="TPI23" s="311"/>
      <c r="TPJ23" s="311"/>
      <c r="TPK23" s="311"/>
      <c r="TPL23" s="311"/>
      <c r="TPM23" s="311"/>
      <c r="TPN23" s="311"/>
      <c r="TPO23" s="311"/>
      <c r="TPP23" s="311"/>
      <c r="TPQ23" s="311"/>
      <c r="TPR23" s="311"/>
      <c r="TPS23" s="311"/>
      <c r="TPT23" s="311"/>
      <c r="TPU23" s="311"/>
      <c r="TPV23" s="311"/>
      <c r="TPW23" s="311"/>
      <c r="TPX23" s="311"/>
      <c r="TPY23" s="311"/>
      <c r="TPZ23" s="311"/>
      <c r="TQA23" s="311"/>
      <c r="TQB23" s="311"/>
      <c r="TQC23" s="311"/>
      <c r="TQD23" s="311"/>
      <c r="TQE23" s="311"/>
      <c r="TQF23" s="311"/>
      <c r="TQG23" s="311"/>
      <c r="TQH23" s="311"/>
      <c r="TQI23" s="311"/>
      <c r="TQJ23" s="311"/>
      <c r="TQK23" s="311"/>
      <c r="TQL23" s="311"/>
      <c r="TQM23" s="311"/>
      <c r="TQN23" s="311"/>
      <c r="TQO23" s="311"/>
      <c r="TQP23" s="311"/>
      <c r="TQQ23" s="311"/>
      <c r="TQR23" s="311"/>
      <c r="TQS23" s="311"/>
      <c r="TQT23" s="311"/>
      <c r="TQU23" s="311"/>
      <c r="TQV23" s="311"/>
      <c r="TQW23" s="311"/>
      <c r="TQX23" s="311"/>
      <c r="TQY23" s="311"/>
      <c r="TQZ23" s="311"/>
      <c r="TRA23" s="311"/>
      <c r="TRB23" s="311"/>
      <c r="TRC23" s="311"/>
      <c r="TRD23" s="311"/>
      <c r="TRE23" s="311"/>
      <c r="TRF23" s="311"/>
      <c r="TRG23" s="311"/>
      <c r="TRH23" s="311"/>
      <c r="TRI23" s="311"/>
      <c r="TRJ23" s="311"/>
      <c r="TRK23" s="311"/>
      <c r="TRL23" s="311"/>
      <c r="TRM23" s="311"/>
      <c r="TRN23" s="311"/>
      <c r="TRO23" s="311"/>
      <c r="TRP23" s="311"/>
      <c r="TRQ23" s="311"/>
      <c r="TRR23" s="311"/>
      <c r="TRS23" s="311"/>
      <c r="TRT23" s="311"/>
      <c r="TRU23" s="311"/>
      <c r="TRV23" s="311"/>
      <c r="TRW23" s="311"/>
      <c r="TRX23" s="311"/>
      <c r="TRY23" s="311"/>
      <c r="TRZ23" s="311"/>
      <c r="TSA23" s="311"/>
      <c r="TSB23" s="311"/>
      <c r="TSC23" s="311"/>
      <c r="TSD23" s="311"/>
      <c r="TSE23" s="311"/>
      <c r="TSF23" s="311"/>
      <c r="TSG23" s="311"/>
      <c r="TSH23" s="311"/>
      <c r="TSI23" s="311"/>
      <c r="TSJ23" s="311"/>
      <c r="TSK23" s="311"/>
      <c r="TSL23" s="311"/>
      <c r="TSM23" s="311"/>
      <c r="TSN23" s="311"/>
      <c r="TSO23" s="311"/>
      <c r="TSP23" s="311"/>
      <c r="TSQ23" s="311"/>
      <c r="TSR23" s="311"/>
      <c r="TSS23" s="311"/>
      <c r="TST23" s="311"/>
      <c r="TSU23" s="311"/>
      <c r="TSV23" s="311"/>
      <c r="TSW23" s="311"/>
      <c r="TSX23" s="311"/>
      <c r="TSY23" s="311"/>
      <c r="TSZ23" s="311"/>
      <c r="TTA23" s="311"/>
      <c r="TTB23" s="311"/>
      <c r="TTC23" s="311"/>
      <c r="TTD23" s="311"/>
      <c r="TTE23" s="311"/>
      <c r="TTF23" s="311"/>
      <c r="TTG23" s="311"/>
      <c r="TTH23" s="311"/>
      <c r="TTI23" s="311"/>
      <c r="TTJ23" s="311"/>
      <c r="TTK23" s="311"/>
      <c r="TTL23" s="311"/>
      <c r="TTM23" s="311"/>
      <c r="TTN23" s="311"/>
      <c r="TTO23" s="311"/>
      <c r="TTP23" s="311"/>
      <c r="TTQ23" s="311"/>
      <c r="TTR23" s="311"/>
      <c r="TTS23" s="311"/>
      <c r="TTT23" s="311"/>
      <c r="TTU23" s="311"/>
      <c r="TTV23" s="311"/>
      <c r="TTW23" s="311"/>
      <c r="TTX23" s="311"/>
      <c r="TTY23" s="311"/>
      <c r="TTZ23" s="311"/>
      <c r="TUA23" s="311"/>
      <c r="TUB23" s="311"/>
      <c r="TUC23" s="311"/>
      <c r="TUD23" s="311"/>
      <c r="TUE23" s="311"/>
      <c r="TUF23" s="311"/>
      <c r="TUG23" s="311"/>
      <c r="TUH23" s="311"/>
      <c r="TUI23" s="311"/>
      <c r="TUJ23" s="311"/>
      <c r="TUK23" s="311"/>
      <c r="TUL23" s="311"/>
      <c r="TUM23" s="311"/>
      <c r="TUN23" s="311"/>
      <c r="TUO23" s="311"/>
      <c r="TUP23" s="311"/>
      <c r="TUQ23" s="311"/>
      <c r="TUR23" s="311"/>
      <c r="TUS23" s="311"/>
      <c r="TUT23" s="311"/>
      <c r="TUU23" s="311"/>
      <c r="TUV23" s="311"/>
      <c r="TUW23" s="311"/>
      <c r="TUX23" s="311"/>
      <c r="TUY23" s="311"/>
      <c r="TUZ23" s="311"/>
      <c r="TVA23" s="311"/>
      <c r="TVB23" s="311"/>
      <c r="TVC23" s="311"/>
      <c r="TVD23" s="311"/>
      <c r="TVE23" s="311"/>
      <c r="TVF23" s="311"/>
      <c r="TVG23" s="311"/>
      <c r="TVH23" s="311"/>
      <c r="TVI23" s="311"/>
      <c r="TVJ23" s="311"/>
      <c r="TVK23" s="311"/>
      <c r="TVL23" s="311"/>
      <c r="TVM23" s="311"/>
      <c r="TVN23" s="311"/>
      <c r="TVO23" s="311"/>
      <c r="TVP23" s="311"/>
      <c r="TVQ23" s="311"/>
      <c r="TVR23" s="311"/>
      <c r="TVS23" s="311"/>
      <c r="TVT23" s="311"/>
      <c r="TVU23" s="311"/>
      <c r="TVV23" s="311"/>
      <c r="TVW23" s="311"/>
      <c r="TVX23" s="311"/>
      <c r="TVY23" s="311"/>
      <c r="TVZ23" s="311"/>
      <c r="TWA23" s="311"/>
      <c r="TWB23" s="311"/>
      <c r="TWC23" s="311"/>
      <c r="TWD23" s="311"/>
      <c r="TWE23" s="311"/>
      <c r="TWF23" s="311"/>
      <c r="TWG23" s="311"/>
      <c r="TWH23" s="311"/>
      <c r="TWI23" s="311"/>
      <c r="TWJ23" s="311"/>
      <c r="TWK23" s="311"/>
      <c r="TWL23" s="311"/>
      <c r="TWM23" s="311"/>
      <c r="TWN23" s="311"/>
      <c r="TWO23" s="311"/>
      <c r="TWP23" s="311"/>
      <c r="TWQ23" s="311"/>
      <c r="TWR23" s="311"/>
      <c r="TWS23" s="311"/>
      <c r="TWT23" s="311"/>
      <c r="TWU23" s="311"/>
      <c r="TWV23" s="311"/>
      <c r="TWW23" s="311"/>
      <c r="TWX23" s="311"/>
      <c r="TWY23" s="311"/>
      <c r="TWZ23" s="311"/>
      <c r="TXA23" s="311"/>
      <c r="TXB23" s="311"/>
      <c r="TXC23" s="311"/>
      <c r="TXD23" s="311"/>
      <c r="TXE23" s="311"/>
      <c r="TXF23" s="311"/>
      <c r="TXG23" s="311"/>
      <c r="TXH23" s="311"/>
      <c r="TXI23" s="311"/>
      <c r="TXJ23" s="311"/>
      <c r="TXK23" s="311"/>
      <c r="TXL23" s="311"/>
      <c r="TXM23" s="311"/>
      <c r="TXN23" s="311"/>
      <c r="TXO23" s="311"/>
      <c r="TXP23" s="311"/>
      <c r="TXQ23" s="311"/>
      <c r="TXR23" s="311"/>
      <c r="TXS23" s="311"/>
      <c r="TXT23" s="311"/>
      <c r="TXU23" s="311"/>
      <c r="TXV23" s="311"/>
      <c r="TXW23" s="311"/>
      <c r="TXX23" s="311"/>
      <c r="TXY23" s="311"/>
      <c r="TXZ23" s="311"/>
      <c r="TYA23" s="311"/>
      <c r="TYB23" s="311"/>
      <c r="TYC23" s="311"/>
      <c r="TYD23" s="311"/>
      <c r="TYE23" s="311"/>
      <c r="TYF23" s="311"/>
      <c r="TYG23" s="311"/>
      <c r="TYH23" s="311"/>
      <c r="TYI23" s="311"/>
      <c r="TYJ23" s="311"/>
      <c r="TYK23" s="311"/>
      <c r="TYL23" s="311"/>
      <c r="TYM23" s="311"/>
      <c r="TYN23" s="311"/>
      <c r="TYO23" s="311"/>
      <c r="TYP23" s="311"/>
      <c r="TYQ23" s="311"/>
      <c r="TYR23" s="311"/>
      <c r="TYS23" s="311"/>
      <c r="TYT23" s="311"/>
      <c r="TYU23" s="311"/>
      <c r="TYV23" s="311"/>
      <c r="TYW23" s="311"/>
      <c r="TYX23" s="311"/>
      <c r="TYY23" s="311"/>
      <c r="TYZ23" s="311"/>
      <c r="TZA23" s="311"/>
      <c r="TZB23" s="311"/>
      <c r="TZC23" s="311"/>
      <c r="TZD23" s="311"/>
      <c r="TZE23" s="311"/>
      <c r="TZF23" s="311"/>
      <c r="TZG23" s="311"/>
      <c r="TZH23" s="311"/>
      <c r="TZI23" s="311"/>
      <c r="TZJ23" s="311"/>
      <c r="TZK23" s="311"/>
      <c r="TZL23" s="311"/>
      <c r="TZM23" s="311"/>
      <c r="TZN23" s="311"/>
      <c r="TZO23" s="311"/>
      <c r="TZP23" s="311"/>
      <c r="TZQ23" s="311"/>
      <c r="TZR23" s="311"/>
      <c r="TZS23" s="311"/>
      <c r="TZT23" s="311"/>
      <c r="TZU23" s="311"/>
      <c r="TZV23" s="311"/>
      <c r="TZW23" s="311"/>
      <c r="TZX23" s="311"/>
      <c r="TZY23" s="311"/>
      <c r="TZZ23" s="311"/>
      <c r="UAA23" s="311"/>
      <c r="UAB23" s="311"/>
      <c r="UAC23" s="311"/>
      <c r="UAD23" s="311"/>
      <c r="UAE23" s="311"/>
      <c r="UAF23" s="311"/>
      <c r="UAG23" s="311"/>
      <c r="UAH23" s="311"/>
      <c r="UAI23" s="311"/>
      <c r="UAJ23" s="311"/>
      <c r="UAK23" s="311"/>
      <c r="UAL23" s="311"/>
      <c r="UAM23" s="311"/>
      <c r="UAN23" s="311"/>
      <c r="UAO23" s="311"/>
      <c r="UAP23" s="311"/>
      <c r="UAQ23" s="311"/>
      <c r="UAR23" s="311"/>
      <c r="UAS23" s="311"/>
      <c r="UAT23" s="311"/>
      <c r="UAU23" s="311"/>
      <c r="UAV23" s="311"/>
      <c r="UAW23" s="311"/>
      <c r="UAX23" s="311"/>
      <c r="UAY23" s="311"/>
      <c r="UAZ23" s="311"/>
      <c r="UBA23" s="311"/>
      <c r="UBB23" s="311"/>
      <c r="UBC23" s="311"/>
      <c r="UBD23" s="311"/>
      <c r="UBE23" s="311"/>
      <c r="UBF23" s="311"/>
      <c r="UBG23" s="311"/>
      <c r="UBH23" s="311"/>
      <c r="UBI23" s="311"/>
      <c r="UBJ23" s="311"/>
      <c r="UBK23" s="311"/>
      <c r="UBL23" s="311"/>
      <c r="UBM23" s="311"/>
      <c r="UBN23" s="311"/>
      <c r="UBO23" s="311"/>
      <c r="UBP23" s="311"/>
      <c r="UBQ23" s="311"/>
      <c r="UBR23" s="311"/>
      <c r="UBS23" s="311"/>
      <c r="UBT23" s="311"/>
      <c r="UBU23" s="311"/>
      <c r="UBV23" s="311"/>
      <c r="UBW23" s="311"/>
      <c r="UBX23" s="311"/>
      <c r="UBY23" s="311"/>
      <c r="UBZ23" s="311"/>
      <c r="UCA23" s="311"/>
      <c r="UCB23" s="311"/>
      <c r="UCC23" s="311"/>
      <c r="UCD23" s="311"/>
      <c r="UCE23" s="311"/>
      <c r="UCF23" s="311"/>
      <c r="UCG23" s="311"/>
      <c r="UCH23" s="311"/>
      <c r="UCI23" s="311"/>
      <c r="UCJ23" s="311"/>
      <c r="UCK23" s="311"/>
      <c r="UCL23" s="311"/>
      <c r="UCM23" s="311"/>
      <c r="UCN23" s="311"/>
      <c r="UCO23" s="311"/>
      <c r="UCP23" s="311"/>
      <c r="UCQ23" s="311"/>
      <c r="UCR23" s="311"/>
      <c r="UCS23" s="311"/>
      <c r="UCT23" s="311"/>
      <c r="UCU23" s="311"/>
      <c r="UCV23" s="311"/>
      <c r="UCW23" s="311"/>
      <c r="UCX23" s="311"/>
      <c r="UCY23" s="311"/>
      <c r="UCZ23" s="311"/>
      <c r="UDA23" s="311"/>
      <c r="UDB23" s="311"/>
      <c r="UDC23" s="311"/>
      <c r="UDD23" s="311"/>
      <c r="UDE23" s="311"/>
      <c r="UDF23" s="311"/>
      <c r="UDG23" s="311"/>
      <c r="UDH23" s="311"/>
      <c r="UDI23" s="311"/>
      <c r="UDJ23" s="311"/>
      <c r="UDK23" s="311"/>
      <c r="UDL23" s="311"/>
      <c r="UDM23" s="311"/>
      <c r="UDN23" s="311"/>
      <c r="UDO23" s="311"/>
      <c r="UDP23" s="311"/>
      <c r="UDQ23" s="311"/>
      <c r="UDR23" s="311"/>
      <c r="UDS23" s="311"/>
      <c r="UDT23" s="311"/>
      <c r="UDU23" s="311"/>
      <c r="UDV23" s="311"/>
      <c r="UDW23" s="311"/>
      <c r="UDX23" s="311"/>
      <c r="UDY23" s="311"/>
      <c r="UDZ23" s="311"/>
      <c r="UEA23" s="311"/>
      <c r="UEB23" s="311"/>
      <c r="UEC23" s="311"/>
      <c r="UED23" s="311"/>
      <c r="UEE23" s="311"/>
      <c r="UEF23" s="311"/>
      <c r="UEG23" s="311"/>
      <c r="UEH23" s="311"/>
      <c r="UEI23" s="311"/>
      <c r="UEJ23" s="311"/>
      <c r="UEK23" s="311"/>
      <c r="UEL23" s="311"/>
      <c r="UEM23" s="311"/>
      <c r="UEN23" s="311"/>
      <c r="UEO23" s="311"/>
      <c r="UEP23" s="311"/>
      <c r="UEQ23" s="311"/>
      <c r="UER23" s="311"/>
      <c r="UES23" s="311"/>
      <c r="UET23" s="311"/>
      <c r="UEU23" s="311"/>
      <c r="UEV23" s="311"/>
      <c r="UEW23" s="311"/>
      <c r="UEX23" s="311"/>
      <c r="UEY23" s="311"/>
      <c r="UEZ23" s="311"/>
      <c r="UFA23" s="311"/>
      <c r="UFB23" s="311"/>
      <c r="UFC23" s="311"/>
      <c r="UFD23" s="311"/>
      <c r="UFE23" s="311"/>
      <c r="UFF23" s="311"/>
      <c r="UFG23" s="311"/>
      <c r="UFH23" s="311"/>
      <c r="UFI23" s="311"/>
      <c r="UFJ23" s="311"/>
      <c r="UFK23" s="311"/>
      <c r="UFL23" s="311"/>
      <c r="UFM23" s="311"/>
      <c r="UFN23" s="311"/>
      <c r="UFO23" s="311"/>
      <c r="UFP23" s="311"/>
      <c r="UFQ23" s="311"/>
      <c r="UFR23" s="311"/>
      <c r="UFS23" s="311"/>
      <c r="UFT23" s="311"/>
      <c r="UFU23" s="311"/>
      <c r="UFV23" s="311"/>
      <c r="UFW23" s="311"/>
      <c r="UFX23" s="311"/>
      <c r="UFY23" s="311"/>
      <c r="UFZ23" s="311"/>
      <c r="UGA23" s="311"/>
      <c r="UGB23" s="311"/>
      <c r="UGC23" s="311"/>
      <c r="UGD23" s="311"/>
      <c r="UGE23" s="311"/>
      <c r="UGF23" s="311"/>
      <c r="UGG23" s="311"/>
      <c r="UGH23" s="311"/>
      <c r="UGI23" s="311"/>
      <c r="UGJ23" s="311"/>
      <c r="UGK23" s="311"/>
      <c r="UGL23" s="311"/>
      <c r="UGM23" s="311"/>
      <c r="UGN23" s="311"/>
      <c r="UGO23" s="311"/>
      <c r="UGP23" s="311"/>
      <c r="UGQ23" s="311"/>
      <c r="UGR23" s="311"/>
      <c r="UGS23" s="311"/>
      <c r="UGT23" s="311"/>
      <c r="UGU23" s="311"/>
      <c r="UGV23" s="311"/>
      <c r="UGW23" s="311"/>
      <c r="UGX23" s="311"/>
      <c r="UGY23" s="311"/>
      <c r="UGZ23" s="311"/>
      <c r="UHA23" s="311"/>
      <c r="UHB23" s="311"/>
      <c r="UHC23" s="311"/>
      <c r="UHD23" s="311"/>
      <c r="UHE23" s="311"/>
      <c r="UHF23" s="311"/>
      <c r="UHG23" s="311"/>
      <c r="UHH23" s="311"/>
      <c r="UHI23" s="311"/>
      <c r="UHJ23" s="311"/>
      <c r="UHK23" s="311"/>
      <c r="UHL23" s="311"/>
      <c r="UHM23" s="311"/>
      <c r="UHN23" s="311"/>
      <c r="UHO23" s="311"/>
      <c r="UHP23" s="311"/>
      <c r="UHQ23" s="311"/>
      <c r="UHR23" s="311"/>
      <c r="UHS23" s="311"/>
      <c r="UHT23" s="311"/>
      <c r="UHU23" s="311"/>
      <c r="UHV23" s="311"/>
      <c r="UHW23" s="311"/>
      <c r="UHX23" s="311"/>
      <c r="UHY23" s="311"/>
      <c r="UHZ23" s="311"/>
      <c r="UIA23" s="311"/>
      <c r="UIB23" s="311"/>
      <c r="UIC23" s="311"/>
      <c r="UID23" s="311"/>
      <c r="UIE23" s="311"/>
      <c r="UIF23" s="311"/>
      <c r="UIG23" s="311"/>
      <c r="UIH23" s="311"/>
      <c r="UII23" s="311"/>
      <c r="UIJ23" s="311"/>
      <c r="UIK23" s="311"/>
      <c r="UIL23" s="311"/>
      <c r="UIM23" s="311"/>
      <c r="UIN23" s="311"/>
      <c r="UIO23" s="311"/>
      <c r="UIP23" s="311"/>
      <c r="UIQ23" s="311"/>
      <c r="UIR23" s="311"/>
      <c r="UIS23" s="311"/>
      <c r="UIT23" s="311"/>
      <c r="UIU23" s="311"/>
      <c r="UIV23" s="311"/>
      <c r="UIW23" s="311"/>
      <c r="UIX23" s="311"/>
      <c r="UIY23" s="311"/>
      <c r="UIZ23" s="311"/>
      <c r="UJA23" s="311"/>
      <c r="UJB23" s="311"/>
      <c r="UJC23" s="311"/>
      <c r="UJD23" s="311"/>
      <c r="UJE23" s="311"/>
      <c r="UJF23" s="311"/>
      <c r="UJG23" s="311"/>
      <c r="UJH23" s="311"/>
      <c r="UJI23" s="311"/>
      <c r="UJJ23" s="311"/>
      <c r="UJK23" s="311"/>
      <c r="UJL23" s="311"/>
      <c r="UJM23" s="311"/>
      <c r="UJN23" s="311"/>
      <c r="UJO23" s="311"/>
      <c r="UJP23" s="311"/>
      <c r="UJQ23" s="311"/>
      <c r="UJR23" s="311"/>
      <c r="UJS23" s="311"/>
      <c r="UJT23" s="311"/>
      <c r="UJU23" s="311"/>
      <c r="UJV23" s="311"/>
      <c r="UJW23" s="311"/>
      <c r="UJX23" s="311"/>
      <c r="UJY23" s="311"/>
      <c r="UJZ23" s="311"/>
      <c r="UKA23" s="311"/>
      <c r="UKB23" s="311"/>
      <c r="UKC23" s="311"/>
      <c r="UKD23" s="311"/>
      <c r="UKE23" s="311"/>
      <c r="UKF23" s="311"/>
      <c r="UKG23" s="311"/>
      <c r="UKH23" s="311"/>
      <c r="UKI23" s="311"/>
      <c r="UKJ23" s="311"/>
      <c r="UKK23" s="311"/>
      <c r="UKL23" s="311"/>
      <c r="UKM23" s="311"/>
      <c r="UKN23" s="311"/>
      <c r="UKO23" s="311"/>
      <c r="UKP23" s="311"/>
      <c r="UKQ23" s="311"/>
      <c r="UKR23" s="311"/>
      <c r="UKS23" s="311"/>
      <c r="UKT23" s="311"/>
      <c r="UKU23" s="311"/>
      <c r="UKV23" s="311"/>
      <c r="UKW23" s="311"/>
      <c r="UKX23" s="311"/>
      <c r="UKY23" s="311"/>
      <c r="UKZ23" s="311"/>
      <c r="ULA23" s="311"/>
      <c r="ULB23" s="311"/>
      <c r="ULC23" s="311"/>
      <c r="ULD23" s="311"/>
      <c r="ULE23" s="311"/>
      <c r="ULF23" s="311"/>
      <c r="ULG23" s="311"/>
      <c r="ULH23" s="311"/>
      <c r="ULI23" s="311"/>
      <c r="ULJ23" s="311"/>
      <c r="ULK23" s="311"/>
      <c r="ULL23" s="311"/>
      <c r="ULM23" s="311"/>
      <c r="ULN23" s="311"/>
      <c r="ULO23" s="311"/>
      <c r="ULP23" s="311"/>
      <c r="ULQ23" s="311"/>
      <c r="ULR23" s="311"/>
      <c r="ULS23" s="311"/>
      <c r="ULT23" s="311"/>
      <c r="ULU23" s="311"/>
      <c r="ULV23" s="311"/>
      <c r="ULW23" s="311"/>
      <c r="ULX23" s="311"/>
      <c r="ULY23" s="311"/>
      <c r="ULZ23" s="311"/>
      <c r="UMA23" s="311"/>
      <c r="UMB23" s="311"/>
      <c r="UMC23" s="311"/>
      <c r="UMD23" s="311"/>
      <c r="UME23" s="311"/>
      <c r="UMF23" s="311"/>
      <c r="UMG23" s="311"/>
      <c r="UMH23" s="311"/>
      <c r="UMI23" s="311"/>
      <c r="UMJ23" s="311"/>
      <c r="UMK23" s="311"/>
      <c r="UML23" s="311"/>
      <c r="UMM23" s="311"/>
      <c r="UMN23" s="311"/>
      <c r="UMO23" s="311"/>
      <c r="UMP23" s="311"/>
      <c r="UMQ23" s="311"/>
      <c r="UMR23" s="311"/>
      <c r="UMS23" s="311"/>
      <c r="UMT23" s="311"/>
      <c r="UMU23" s="311"/>
      <c r="UMV23" s="311"/>
      <c r="UMW23" s="311"/>
      <c r="UMX23" s="311"/>
      <c r="UMY23" s="311"/>
      <c r="UMZ23" s="311"/>
      <c r="UNA23" s="311"/>
      <c r="UNB23" s="311"/>
      <c r="UNC23" s="311"/>
      <c r="UND23" s="311"/>
      <c r="UNE23" s="311"/>
      <c r="UNF23" s="311"/>
      <c r="UNG23" s="311"/>
      <c r="UNH23" s="311"/>
      <c r="UNI23" s="311"/>
      <c r="UNJ23" s="311"/>
      <c r="UNK23" s="311"/>
      <c r="UNL23" s="311"/>
      <c r="UNM23" s="311"/>
      <c r="UNN23" s="311"/>
      <c r="UNO23" s="311"/>
      <c r="UNP23" s="311"/>
      <c r="UNQ23" s="311"/>
      <c r="UNR23" s="311"/>
      <c r="UNS23" s="311"/>
      <c r="UNT23" s="311"/>
      <c r="UNU23" s="311"/>
      <c r="UNV23" s="311"/>
      <c r="UNW23" s="311"/>
      <c r="UNX23" s="311"/>
      <c r="UNY23" s="311"/>
      <c r="UNZ23" s="311"/>
      <c r="UOA23" s="311"/>
      <c r="UOB23" s="311"/>
      <c r="UOC23" s="311"/>
      <c r="UOD23" s="311"/>
      <c r="UOE23" s="311"/>
      <c r="UOF23" s="311"/>
      <c r="UOG23" s="311"/>
      <c r="UOH23" s="311"/>
      <c r="UOI23" s="311"/>
      <c r="UOJ23" s="311"/>
      <c r="UOK23" s="311"/>
      <c r="UOL23" s="311"/>
      <c r="UOM23" s="311"/>
      <c r="UON23" s="311"/>
      <c r="UOO23" s="311"/>
      <c r="UOP23" s="311"/>
      <c r="UOQ23" s="311"/>
      <c r="UOR23" s="311"/>
      <c r="UOS23" s="311"/>
      <c r="UOT23" s="311"/>
      <c r="UOU23" s="311"/>
      <c r="UOV23" s="311"/>
      <c r="UOW23" s="311"/>
      <c r="UOX23" s="311"/>
      <c r="UOY23" s="311"/>
      <c r="UOZ23" s="311"/>
      <c r="UPA23" s="311"/>
      <c r="UPB23" s="311"/>
      <c r="UPC23" s="311"/>
      <c r="UPD23" s="311"/>
      <c r="UPE23" s="311"/>
      <c r="UPF23" s="311"/>
      <c r="UPG23" s="311"/>
      <c r="UPH23" s="311"/>
      <c r="UPI23" s="311"/>
      <c r="UPJ23" s="311"/>
      <c r="UPK23" s="311"/>
      <c r="UPL23" s="311"/>
      <c r="UPM23" s="311"/>
      <c r="UPN23" s="311"/>
      <c r="UPO23" s="311"/>
      <c r="UPP23" s="311"/>
      <c r="UPQ23" s="311"/>
      <c r="UPR23" s="311"/>
      <c r="UPS23" s="311"/>
      <c r="UPT23" s="311"/>
      <c r="UPU23" s="311"/>
      <c r="UPV23" s="311"/>
      <c r="UPW23" s="311"/>
      <c r="UPX23" s="311"/>
      <c r="UPY23" s="311"/>
      <c r="UPZ23" s="311"/>
      <c r="UQA23" s="311"/>
      <c r="UQB23" s="311"/>
      <c r="UQC23" s="311"/>
      <c r="UQD23" s="311"/>
      <c r="UQE23" s="311"/>
      <c r="UQF23" s="311"/>
      <c r="UQG23" s="311"/>
      <c r="UQH23" s="311"/>
      <c r="UQI23" s="311"/>
      <c r="UQJ23" s="311"/>
      <c r="UQK23" s="311"/>
      <c r="UQL23" s="311"/>
      <c r="UQM23" s="311"/>
      <c r="UQN23" s="311"/>
      <c r="UQO23" s="311"/>
      <c r="UQP23" s="311"/>
      <c r="UQQ23" s="311"/>
      <c r="UQR23" s="311"/>
      <c r="UQS23" s="311"/>
      <c r="UQT23" s="311"/>
      <c r="UQU23" s="311"/>
      <c r="UQV23" s="311"/>
      <c r="UQW23" s="311"/>
      <c r="UQX23" s="311"/>
      <c r="UQY23" s="311"/>
      <c r="UQZ23" s="311"/>
      <c r="URA23" s="311"/>
      <c r="URB23" s="311"/>
      <c r="URC23" s="311"/>
      <c r="URD23" s="311"/>
      <c r="URE23" s="311"/>
      <c r="URF23" s="311"/>
      <c r="URG23" s="311"/>
      <c r="URH23" s="311"/>
      <c r="URI23" s="311"/>
      <c r="URJ23" s="311"/>
      <c r="URK23" s="311"/>
      <c r="URL23" s="311"/>
      <c r="URM23" s="311"/>
      <c r="URN23" s="311"/>
      <c r="URO23" s="311"/>
      <c r="URP23" s="311"/>
      <c r="URQ23" s="311"/>
      <c r="URR23" s="311"/>
      <c r="URS23" s="311"/>
      <c r="URT23" s="311"/>
      <c r="URU23" s="311"/>
      <c r="URV23" s="311"/>
      <c r="URW23" s="311"/>
      <c r="URX23" s="311"/>
      <c r="URY23" s="311"/>
      <c r="URZ23" s="311"/>
      <c r="USA23" s="311"/>
      <c r="USB23" s="311"/>
      <c r="USC23" s="311"/>
      <c r="USD23" s="311"/>
      <c r="USE23" s="311"/>
      <c r="USF23" s="311"/>
      <c r="USG23" s="311"/>
      <c r="USH23" s="311"/>
      <c r="USI23" s="311"/>
      <c r="USJ23" s="311"/>
      <c r="USK23" s="311"/>
      <c r="USL23" s="311"/>
      <c r="USM23" s="311"/>
      <c r="USN23" s="311"/>
      <c r="USO23" s="311"/>
      <c r="USP23" s="311"/>
      <c r="USQ23" s="311"/>
      <c r="USR23" s="311"/>
      <c r="USS23" s="311"/>
      <c r="UST23" s="311"/>
      <c r="USU23" s="311"/>
      <c r="USV23" s="311"/>
      <c r="USW23" s="311"/>
      <c r="USX23" s="311"/>
      <c r="USY23" s="311"/>
      <c r="USZ23" s="311"/>
      <c r="UTA23" s="311"/>
      <c r="UTB23" s="311"/>
      <c r="UTC23" s="311"/>
      <c r="UTD23" s="311"/>
      <c r="UTE23" s="311"/>
      <c r="UTF23" s="311"/>
      <c r="UTG23" s="311"/>
      <c r="UTH23" s="311"/>
      <c r="UTI23" s="311"/>
      <c r="UTJ23" s="311"/>
      <c r="UTK23" s="311"/>
      <c r="UTL23" s="311"/>
      <c r="UTM23" s="311"/>
      <c r="UTN23" s="311"/>
      <c r="UTO23" s="311"/>
      <c r="UTP23" s="311"/>
      <c r="UTQ23" s="311"/>
      <c r="UTR23" s="311"/>
      <c r="UTS23" s="311"/>
      <c r="UTT23" s="311"/>
      <c r="UTU23" s="311"/>
      <c r="UTV23" s="311"/>
      <c r="UTW23" s="311"/>
      <c r="UTX23" s="311"/>
      <c r="UTY23" s="311"/>
      <c r="UTZ23" s="311"/>
      <c r="UUA23" s="311"/>
      <c r="UUB23" s="311"/>
      <c r="UUC23" s="311"/>
      <c r="UUD23" s="311"/>
      <c r="UUE23" s="311"/>
      <c r="UUF23" s="311"/>
      <c r="UUG23" s="311"/>
      <c r="UUH23" s="311"/>
      <c r="UUI23" s="311"/>
      <c r="UUJ23" s="311"/>
      <c r="UUK23" s="311"/>
      <c r="UUL23" s="311"/>
      <c r="UUM23" s="311"/>
      <c r="UUN23" s="311"/>
      <c r="UUO23" s="311"/>
      <c r="UUP23" s="311"/>
      <c r="UUQ23" s="311"/>
      <c r="UUR23" s="311"/>
      <c r="UUS23" s="311"/>
      <c r="UUT23" s="311"/>
      <c r="UUU23" s="311"/>
      <c r="UUV23" s="311"/>
      <c r="UUW23" s="311"/>
      <c r="UUX23" s="311"/>
      <c r="UUY23" s="311"/>
      <c r="UUZ23" s="311"/>
      <c r="UVA23" s="311"/>
      <c r="UVB23" s="311"/>
      <c r="UVC23" s="311"/>
      <c r="UVD23" s="311"/>
      <c r="UVE23" s="311"/>
      <c r="UVF23" s="311"/>
      <c r="UVG23" s="311"/>
      <c r="UVH23" s="311"/>
      <c r="UVI23" s="311"/>
      <c r="UVJ23" s="311"/>
      <c r="UVK23" s="311"/>
      <c r="UVL23" s="311"/>
      <c r="UVM23" s="311"/>
      <c r="UVN23" s="311"/>
      <c r="UVO23" s="311"/>
      <c r="UVP23" s="311"/>
      <c r="UVQ23" s="311"/>
      <c r="UVR23" s="311"/>
      <c r="UVS23" s="311"/>
      <c r="UVT23" s="311"/>
      <c r="UVU23" s="311"/>
      <c r="UVV23" s="311"/>
      <c r="UVW23" s="311"/>
      <c r="UVX23" s="311"/>
      <c r="UVY23" s="311"/>
      <c r="UVZ23" s="311"/>
      <c r="UWA23" s="311"/>
      <c r="UWB23" s="311"/>
      <c r="UWC23" s="311"/>
      <c r="UWD23" s="311"/>
      <c r="UWE23" s="311"/>
      <c r="UWF23" s="311"/>
      <c r="UWG23" s="311"/>
      <c r="UWH23" s="311"/>
      <c r="UWI23" s="311"/>
      <c r="UWJ23" s="311"/>
      <c r="UWK23" s="311"/>
      <c r="UWL23" s="311"/>
      <c r="UWM23" s="311"/>
      <c r="UWN23" s="311"/>
      <c r="UWO23" s="311"/>
      <c r="UWP23" s="311"/>
      <c r="UWQ23" s="311"/>
      <c r="UWR23" s="311"/>
      <c r="UWS23" s="311"/>
      <c r="UWT23" s="311"/>
      <c r="UWU23" s="311"/>
      <c r="UWV23" s="311"/>
      <c r="UWW23" s="311"/>
      <c r="UWX23" s="311"/>
      <c r="UWY23" s="311"/>
      <c r="UWZ23" s="311"/>
      <c r="UXA23" s="311"/>
      <c r="UXB23" s="311"/>
      <c r="UXC23" s="311"/>
      <c r="UXD23" s="311"/>
      <c r="UXE23" s="311"/>
      <c r="UXF23" s="311"/>
      <c r="UXG23" s="311"/>
      <c r="UXH23" s="311"/>
      <c r="UXI23" s="311"/>
      <c r="UXJ23" s="311"/>
      <c r="UXK23" s="311"/>
      <c r="UXL23" s="311"/>
      <c r="UXM23" s="311"/>
      <c r="UXN23" s="311"/>
      <c r="UXO23" s="311"/>
      <c r="UXP23" s="311"/>
      <c r="UXQ23" s="311"/>
      <c r="UXR23" s="311"/>
      <c r="UXS23" s="311"/>
      <c r="UXT23" s="311"/>
      <c r="UXU23" s="311"/>
      <c r="UXV23" s="311"/>
      <c r="UXW23" s="311"/>
      <c r="UXX23" s="311"/>
      <c r="UXY23" s="311"/>
      <c r="UXZ23" s="311"/>
      <c r="UYA23" s="311"/>
      <c r="UYB23" s="311"/>
      <c r="UYC23" s="311"/>
      <c r="UYD23" s="311"/>
      <c r="UYE23" s="311"/>
      <c r="UYF23" s="311"/>
      <c r="UYG23" s="311"/>
      <c r="UYH23" s="311"/>
      <c r="UYI23" s="311"/>
      <c r="UYJ23" s="311"/>
      <c r="UYK23" s="311"/>
      <c r="UYL23" s="311"/>
      <c r="UYM23" s="311"/>
      <c r="UYN23" s="311"/>
      <c r="UYO23" s="311"/>
      <c r="UYP23" s="311"/>
      <c r="UYQ23" s="311"/>
      <c r="UYR23" s="311"/>
      <c r="UYS23" s="311"/>
      <c r="UYT23" s="311"/>
      <c r="UYU23" s="311"/>
      <c r="UYV23" s="311"/>
      <c r="UYW23" s="311"/>
      <c r="UYX23" s="311"/>
      <c r="UYY23" s="311"/>
      <c r="UYZ23" s="311"/>
      <c r="UZA23" s="311"/>
      <c r="UZB23" s="311"/>
      <c r="UZC23" s="311"/>
      <c r="UZD23" s="311"/>
      <c r="UZE23" s="311"/>
      <c r="UZF23" s="311"/>
      <c r="UZG23" s="311"/>
      <c r="UZH23" s="311"/>
      <c r="UZI23" s="311"/>
      <c r="UZJ23" s="311"/>
      <c r="UZK23" s="311"/>
      <c r="UZL23" s="311"/>
      <c r="UZM23" s="311"/>
      <c r="UZN23" s="311"/>
      <c r="UZO23" s="311"/>
      <c r="UZP23" s="311"/>
      <c r="UZQ23" s="311"/>
      <c r="UZR23" s="311"/>
      <c r="UZS23" s="311"/>
      <c r="UZT23" s="311"/>
      <c r="UZU23" s="311"/>
      <c r="UZV23" s="311"/>
      <c r="UZW23" s="311"/>
      <c r="UZX23" s="311"/>
      <c r="UZY23" s="311"/>
      <c r="UZZ23" s="311"/>
      <c r="VAA23" s="311"/>
      <c r="VAB23" s="311"/>
      <c r="VAC23" s="311"/>
      <c r="VAD23" s="311"/>
      <c r="VAE23" s="311"/>
      <c r="VAF23" s="311"/>
      <c r="VAG23" s="311"/>
      <c r="VAH23" s="311"/>
      <c r="VAI23" s="311"/>
      <c r="VAJ23" s="311"/>
      <c r="VAK23" s="311"/>
      <c r="VAL23" s="311"/>
      <c r="VAM23" s="311"/>
      <c r="VAN23" s="311"/>
      <c r="VAO23" s="311"/>
      <c r="VAP23" s="311"/>
      <c r="VAQ23" s="311"/>
      <c r="VAR23" s="311"/>
      <c r="VAS23" s="311"/>
      <c r="VAT23" s="311"/>
      <c r="VAU23" s="311"/>
      <c r="VAV23" s="311"/>
      <c r="VAW23" s="311"/>
      <c r="VAX23" s="311"/>
      <c r="VAY23" s="311"/>
      <c r="VAZ23" s="311"/>
      <c r="VBA23" s="311"/>
      <c r="VBB23" s="311"/>
      <c r="VBC23" s="311"/>
      <c r="VBD23" s="311"/>
      <c r="VBE23" s="311"/>
      <c r="VBF23" s="311"/>
      <c r="VBG23" s="311"/>
      <c r="VBH23" s="311"/>
      <c r="VBI23" s="311"/>
      <c r="VBJ23" s="311"/>
      <c r="VBK23" s="311"/>
      <c r="VBL23" s="311"/>
      <c r="VBM23" s="311"/>
      <c r="VBN23" s="311"/>
      <c r="VBO23" s="311"/>
      <c r="VBP23" s="311"/>
      <c r="VBQ23" s="311"/>
      <c r="VBR23" s="311"/>
      <c r="VBS23" s="311"/>
      <c r="VBT23" s="311"/>
      <c r="VBU23" s="311"/>
      <c r="VBV23" s="311"/>
      <c r="VBW23" s="311"/>
      <c r="VBX23" s="311"/>
      <c r="VBY23" s="311"/>
      <c r="VBZ23" s="311"/>
      <c r="VCA23" s="311"/>
      <c r="VCB23" s="311"/>
      <c r="VCC23" s="311"/>
      <c r="VCD23" s="311"/>
      <c r="VCE23" s="311"/>
      <c r="VCF23" s="311"/>
      <c r="VCG23" s="311"/>
      <c r="VCH23" s="311"/>
      <c r="VCI23" s="311"/>
      <c r="VCJ23" s="311"/>
      <c r="VCK23" s="311"/>
      <c r="VCL23" s="311"/>
      <c r="VCM23" s="311"/>
      <c r="VCN23" s="311"/>
      <c r="VCO23" s="311"/>
      <c r="VCP23" s="311"/>
      <c r="VCQ23" s="311"/>
      <c r="VCR23" s="311"/>
      <c r="VCS23" s="311"/>
      <c r="VCT23" s="311"/>
      <c r="VCU23" s="311"/>
      <c r="VCV23" s="311"/>
      <c r="VCW23" s="311"/>
      <c r="VCX23" s="311"/>
      <c r="VCY23" s="311"/>
      <c r="VCZ23" s="311"/>
      <c r="VDA23" s="311"/>
      <c r="VDB23" s="311"/>
      <c r="VDC23" s="311"/>
      <c r="VDD23" s="311"/>
      <c r="VDE23" s="311"/>
      <c r="VDF23" s="311"/>
      <c r="VDG23" s="311"/>
      <c r="VDH23" s="311"/>
      <c r="VDI23" s="311"/>
      <c r="VDJ23" s="311"/>
      <c r="VDK23" s="311"/>
      <c r="VDL23" s="311"/>
      <c r="VDM23" s="311"/>
      <c r="VDN23" s="311"/>
      <c r="VDO23" s="311"/>
      <c r="VDP23" s="311"/>
      <c r="VDQ23" s="311"/>
      <c r="VDR23" s="311"/>
      <c r="VDS23" s="311"/>
      <c r="VDT23" s="311"/>
      <c r="VDU23" s="311"/>
      <c r="VDV23" s="311"/>
      <c r="VDW23" s="311"/>
      <c r="VDX23" s="311"/>
      <c r="VDY23" s="311"/>
      <c r="VDZ23" s="311"/>
      <c r="VEA23" s="311"/>
      <c r="VEB23" s="311"/>
      <c r="VEC23" s="311"/>
      <c r="VED23" s="311"/>
      <c r="VEE23" s="311"/>
      <c r="VEF23" s="311"/>
      <c r="VEG23" s="311"/>
      <c r="VEH23" s="311"/>
      <c r="VEI23" s="311"/>
      <c r="VEJ23" s="311"/>
      <c r="VEK23" s="311"/>
      <c r="VEL23" s="311"/>
      <c r="VEM23" s="311"/>
      <c r="VEN23" s="311"/>
      <c r="VEO23" s="311"/>
      <c r="VEP23" s="311"/>
      <c r="VEQ23" s="311"/>
      <c r="VER23" s="311"/>
      <c r="VES23" s="311"/>
      <c r="VET23" s="311"/>
      <c r="VEU23" s="311"/>
      <c r="VEV23" s="311"/>
      <c r="VEW23" s="311"/>
      <c r="VEX23" s="311"/>
      <c r="VEY23" s="311"/>
      <c r="VEZ23" s="311"/>
      <c r="VFA23" s="311"/>
      <c r="VFB23" s="311"/>
      <c r="VFC23" s="311"/>
      <c r="VFD23" s="311"/>
      <c r="VFE23" s="311"/>
      <c r="VFF23" s="311"/>
      <c r="VFG23" s="311"/>
      <c r="VFH23" s="311"/>
      <c r="VFI23" s="311"/>
      <c r="VFJ23" s="311"/>
      <c r="VFK23" s="311"/>
      <c r="VFL23" s="311"/>
      <c r="VFM23" s="311"/>
      <c r="VFN23" s="311"/>
      <c r="VFO23" s="311"/>
      <c r="VFP23" s="311"/>
      <c r="VFQ23" s="311"/>
      <c r="VFR23" s="311"/>
      <c r="VFS23" s="311"/>
      <c r="VFT23" s="311"/>
      <c r="VFU23" s="311"/>
      <c r="VFV23" s="311"/>
      <c r="VFW23" s="311"/>
      <c r="VFX23" s="311"/>
      <c r="VFY23" s="311"/>
      <c r="VFZ23" s="311"/>
      <c r="VGA23" s="311"/>
      <c r="VGB23" s="311"/>
      <c r="VGC23" s="311"/>
      <c r="VGD23" s="311"/>
      <c r="VGE23" s="311"/>
      <c r="VGF23" s="311"/>
      <c r="VGG23" s="311"/>
      <c r="VGH23" s="311"/>
      <c r="VGI23" s="311"/>
      <c r="VGJ23" s="311"/>
      <c r="VGK23" s="311"/>
      <c r="VGL23" s="311"/>
      <c r="VGM23" s="311"/>
      <c r="VGN23" s="311"/>
      <c r="VGO23" s="311"/>
      <c r="VGP23" s="311"/>
      <c r="VGQ23" s="311"/>
      <c r="VGR23" s="311"/>
      <c r="VGS23" s="311"/>
      <c r="VGT23" s="311"/>
      <c r="VGU23" s="311"/>
      <c r="VGV23" s="311"/>
      <c r="VGW23" s="311"/>
      <c r="VGX23" s="311"/>
      <c r="VGY23" s="311"/>
      <c r="VGZ23" s="311"/>
      <c r="VHA23" s="311"/>
      <c r="VHB23" s="311"/>
      <c r="VHC23" s="311"/>
      <c r="VHD23" s="311"/>
      <c r="VHE23" s="311"/>
      <c r="VHF23" s="311"/>
      <c r="VHG23" s="311"/>
      <c r="VHH23" s="311"/>
      <c r="VHI23" s="311"/>
      <c r="VHJ23" s="311"/>
      <c r="VHK23" s="311"/>
      <c r="VHL23" s="311"/>
      <c r="VHM23" s="311"/>
      <c r="VHN23" s="311"/>
      <c r="VHO23" s="311"/>
      <c r="VHP23" s="311"/>
      <c r="VHQ23" s="311"/>
      <c r="VHR23" s="311"/>
      <c r="VHS23" s="311"/>
      <c r="VHT23" s="311"/>
      <c r="VHU23" s="311"/>
      <c r="VHV23" s="311"/>
      <c r="VHW23" s="311"/>
      <c r="VHX23" s="311"/>
      <c r="VHY23" s="311"/>
      <c r="VHZ23" s="311"/>
      <c r="VIA23" s="311"/>
      <c r="VIB23" s="311"/>
      <c r="VIC23" s="311"/>
      <c r="VID23" s="311"/>
      <c r="VIE23" s="311"/>
      <c r="VIF23" s="311"/>
      <c r="VIG23" s="311"/>
      <c r="VIH23" s="311"/>
      <c r="VII23" s="311"/>
      <c r="VIJ23" s="311"/>
      <c r="VIK23" s="311"/>
      <c r="VIL23" s="311"/>
      <c r="VIM23" s="311"/>
      <c r="VIN23" s="311"/>
      <c r="VIO23" s="311"/>
      <c r="VIP23" s="311"/>
      <c r="VIQ23" s="311"/>
      <c r="VIR23" s="311"/>
      <c r="VIS23" s="311"/>
      <c r="VIT23" s="311"/>
      <c r="VIU23" s="311"/>
      <c r="VIV23" s="311"/>
      <c r="VIW23" s="311"/>
      <c r="VIX23" s="311"/>
      <c r="VIY23" s="311"/>
      <c r="VIZ23" s="311"/>
      <c r="VJA23" s="311"/>
      <c r="VJB23" s="311"/>
      <c r="VJC23" s="311"/>
      <c r="VJD23" s="311"/>
      <c r="VJE23" s="311"/>
      <c r="VJF23" s="311"/>
      <c r="VJG23" s="311"/>
      <c r="VJH23" s="311"/>
      <c r="VJI23" s="311"/>
      <c r="VJJ23" s="311"/>
      <c r="VJK23" s="311"/>
      <c r="VJL23" s="311"/>
      <c r="VJM23" s="311"/>
      <c r="VJN23" s="311"/>
      <c r="VJO23" s="311"/>
      <c r="VJP23" s="311"/>
      <c r="VJQ23" s="311"/>
      <c r="VJR23" s="311"/>
      <c r="VJS23" s="311"/>
      <c r="VJT23" s="311"/>
      <c r="VJU23" s="311"/>
      <c r="VJV23" s="311"/>
      <c r="VJW23" s="311"/>
      <c r="VJX23" s="311"/>
      <c r="VJY23" s="311"/>
      <c r="VJZ23" s="311"/>
      <c r="VKA23" s="311"/>
      <c r="VKB23" s="311"/>
      <c r="VKC23" s="311"/>
      <c r="VKD23" s="311"/>
      <c r="VKE23" s="311"/>
      <c r="VKF23" s="311"/>
      <c r="VKG23" s="311"/>
      <c r="VKH23" s="311"/>
      <c r="VKI23" s="311"/>
      <c r="VKJ23" s="311"/>
      <c r="VKK23" s="311"/>
      <c r="VKL23" s="311"/>
      <c r="VKM23" s="311"/>
      <c r="VKN23" s="311"/>
      <c r="VKO23" s="311"/>
      <c r="VKP23" s="311"/>
      <c r="VKQ23" s="311"/>
      <c r="VKR23" s="311"/>
      <c r="VKS23" s="311"/>
      <c r="VKT23" s="311"/>
      <c r="VKU23" s="311"/>
      <c r="VKV23" s="311"/>
      <c r="VKW23" s="311"/>
      <c r="VKX23" s="311"/>
      <c r="VKY23" s="311"/>
      <c r="VKZ23" s="311"/>
      <c r="VLA23" s="311"/>
      <c r="VLB23" s="311"/>
      <c r="VLC23" s="311"/>
      <c r="VLD23" s="311"/>
      <c r="VLE23" s="311"/>
      <c r="VLF23" s="311"/>
      <c r="VLG23" s="311"/>
      <c r="VLH23" s="311"/>
      <c r="VLI23" s="311"/>
      <c r="VLJ23" s="311"/>
      <c r="VLK23" s="311"/>
      <c r="VLL23" s="311"/>
      <c r="VLM23" s="311"/>
      <c r="VLN23" s="311"/>
      <c r="VLO23" s="311"/>
      <c r="VLP23" s="311"/>
      <c r="VLQ23" s="311"/>
      <c r="VLR23" s="311"/>
      <c r="VLS23" s="311"/>
      <c r="VLT23" s="311"/>
      <c r="VLU23" s="311"/>
      <c r="VLV23" s="311"/>
      <c r="VLW23" s="311"/>
      <c r="VLX23" s="311"/>
      <c r="VLY23" s="311"/>
      <c r="VLZ23" s="311"/>
      <c r="VMA23" s="311"/>
      <c r="VMB23" s="311"/>
      <c r="VMC23" s="311"/>
      <c r="VMD23" s="311"/>
      <c r="VME23" s="311"/>
      <c r="VMF23" s="311"/>
      <c r="VMG23" s="311"/>
      <c r="VMH23" s="311"/>
      <c r="VMI23" s="311"/>
      <c r="VMJ23" s="311"/>
      <c r="VMK23" s="311"/>
      <c r="VML23" s="311"/>
      <c r="VMM23" s="311"/>
      <c r="VMN23" s="311"/>
      <c r="VMO23" s="311"/>
      <c r="VMP23" s="311"/>
      <c r="VMQ23" s="311"/>
      <c r="VMR23" s="311"/>
      <c r="VMS23" s="311"/>
      <c r="VMT23" s="311"/>
      <c r="VMU23" s="311"/>
      <c r="VMV23" s="311"/>
      <c r="VMW23" s="311"/>
      <c r="VMX23" s="311"/>
      <c r="VMY23" s="311"/>
      <c r="VMZ23" s="311"/>
      <c r="VNA23" s="311"/>
      <c r="VNB23" s="311"/>
      <c r="VNC23" s="311"/>
      <c r="VND23" s="311"/>
      <c r="VNE23" s="311"/>
      <c r="VNF23" s="311"/>
      <c r="VNG23" s="311"/>
      <c r="VNH23" s="311"/>
      <c r="VNI23" s="311"/>
      <c r="VNJ23" s="311"/>
      <c r="VNK23" s="311"/>
      <c r="VNL23" s="311"/>
      <c r="VNM23" s="311"/>
      <c r="VNN23" s="311"/>
      <c r="VNO23" s="311"/>
      <c r="VNP23" s="311"/>
      <c r="VNQ23" s="311"/>
      <c r="VNR23" s="311"/>
      <c r="VNS23" s="311"/>
      <c r="VNT23" s="311"/>
      <c r="VNU23" s="311"/>
      <c r="VNV23" s="311"/>
      <c r="VNW23" s="311"/>
      <c r="VNX23" s="311"/>
      <c r="VNY23" s="311"/>
      <c r="VNZ23" s="311"/>
      <c r="VOA23" s="311"/>
      <c r="VOB23" s="311"/>
      <c r="VOC23" s="311"/>
      <c r="VOD23" s="311"/>
      <c r="VOE23" s="311"/>
      <c r="VOF23" s="311"/>
      <c r="VOG23" s="311"/>
      <c r="VOH23" s="311"/>
      <c r="VOI23" s="311"/>
      <c r="VOJ23" s="311"/>
      <c r="VOK23" s="311"/>
      <c r="VOL23" s="311"/>
      <c r="VOM23" s="311"/>
      <c r="VON23" s="311"/>
      <c r="VOO23" s="311"/>
      <c r="VOP23" s="311"/>
      <c r="VOQ23" s="311"/>
      <c r="VOR23" s="311"/>
      <c r="VOS23" s="311"/>
      <c r="VOT23" s="311"/>
      <c r="VOU23" s="311"/>
      <c r="VOV23" s="311"/>
      <c r="VOW23" s="311"/>
      <c r="VOX23" s="311"/>
      <c r="VOY23" s="311"/>
      <c r="VOZ23" s="311"/>
      <c r="VPA23" s="311"/>
      <c r="VPB23" s="311"/>
      <c r="VPC23" s="311"/>
      <c r="VPD23" s="311"/>
      <c r="VPE23" s="311"/>
      <c r="VPF23" s="311"/>
      <c r="VPG23" s="311"/>
      <c r="VPH23" s="311"/>
      <c r="VPI23" s="311"/>
      <c r="VPJ23" s="311"/>
      <c r="VPK23" s="311"/>
      <c r="VPL23" s="311"/>
      <c r="VPM23" s="311"/>
      <c r="VPN23" s="311"/>
      <c r="VPO23" s="311"/>
      <c r="VPP23" s="311"/>
      <c r="VPQ23" s="311"/>
      <c r="VPR23" s="311"/>
      <c r="VPS23" s="311"/>
      <c r="VPT23" s="311"/>
      <c r="VPU23" s="311"/>
      <c r="VPV23" s="311"/>
      <c r="VPW23" s="311"/>
      <c r="VPX23" s="311"/>
      <c r="VPY23" s="311"/>
      <c r="VPZ23" s="311"/>
      <c r="VQA23" s="311"/>
      <c r="VQB23" s="311"/>
      <c r="VQC23" s="311"/>
      <c r="VQD23" s="311"/>
      <c r="VQE23" s="311"/>
      <c r="VQF23" s="311"/>
      <c r="VQG23" s="311"/>
      <c r="VQH23" s="311"/>
      <c r="VQI23" s="311"/>
      <c r="VQJ23" s="311"/>
      <c r="VQK23" s="311"/>
      <c r="VQL23" s="311"/>
      <c r="VQM23" s="311"/>
      <c r="VQN23" s="311"/>
      <c r="VQO23" s="311"/>
      <c r="VQP23" s="311"/>
      <c r="VQQ23" s="311"/>
      <c r="VQR23" s="311"/>
      <c r="VQS23" s="311"/>
      <c r="VQT23" s="311"/>
      <c r="VQU23" s="311"/>
      <c r="VQV23" s="311"/>
      <c r="VQW23" s="311"/>
      <c r="VQX23" s="311"/>
      <c r="VQY23" s="311"/>
      <c r="VQZ23" s="311"/>
      <c r="VRA23" s="311"/>
      <c r="VRB23" s="311"/>
      <c r="VRC23" s="311"/>
      <c r="VRD23" s="311"/>
      <c r="VRE23" s="311"/>
      <c r="VRF23" s="311"/>
      <c r="VRG23" s="311"/>
      <c r="VRH23" s="311"/>
      <c r="VRI23" s="311"/>
      <c r="VRJ23" s="311"/>
      <c r="VRK23" s="311"/>
      <c r="VRL23" s="311"/>
      <c r="VRM23" s="311"/>
      <c r="VRN23" s="311"/>
      <c r="VRO23" s="311"/>
      <c r="VRP23" s="311"/>
      <c r="VRQ23" s="311"/>
      <c r="VRR23" s="311"/>
      <c r="VRS23" s="311"/>
      <c r="VRT23" s="311"/>
      <c r="VRU23" s="311"/>
      <c r="VRV23" s="311"/>
      <c r="VRW23" s="311"/>
      <c r="VRX23" s="311"/>
      <c r="VRY23" s="311"/>
      <c r="VRZ23" s="311"/>
      <c r="VSA23" s="311"/>
      <c r="VSB23" s="311"/>
      <c r="VSC23" s="311"/>
      <c r="VSD23" s="311"/>
      <c r="VSE23" s="311"/>
      <c r="VSF23" s="311"/>
      <c r="VSG23" s="311"/>
      <c r="VSH23" s="311"/>
      <c r="VSI23" s="311"/>
      <c r="VSJ23" s="311"/>
      <c r="VSK23" s="311"/>
      <c r="VSL23" s="311"/>
      <c r="VSM23" s="311"/>
      <c r="VSN23" s="311"/>
      <c r="VSO23" s="311"/>
      <c r="VSP23" s="311"/>
      <c r="VSQ23" s="311"/>
      <c r="VSR23" s="311"/>
      <c r="VSS23" s="311"/>
      <c r="VST23" s="311"/>
      <c r="VSU23" s="311"/>
      <c r="VSV23" s="311"/>
      <c r="VSW23" s="311"/>
      <c r="VSX23" s="311"/>
      <c r="VSY23" s="311"/>
      <c r="VSZ23" s="311"/>
      <c r="VTA23" s="311"/>
      <c r="VTB23" s="311"/>
      <c r="VTC23" s="311"/>
      <c r="VTD23" s="311"/>
      <c r="VTE23" s="311"/>
      <c r="VTF23" s="311"/>
      <c r="VTG23" s="311"/>
      <c r="VTH23" s="311"/>
      <c r="VTI23" s="311"/>
      <c r="VTJ23" s="311"/>
      <c r="VTK23" s="311"/>
      <c r="VTL23" s="311"/>
      <c r="VTM23" s="311"/>
      <c r="VTN23" s="311"/>
      <c r="VTO23" s="311"/>
      <c r="VTP23" s="311"/>
      <c r="VTQ23" s="311"/>
      <c r="VTR23" s="311"/>
      <c r="VTS23" s="311"/>
      <c r="VTT23" s="311"/>
      <c r="VTU23" s="311"/>
      <c r="VTV23" s="311"/>
      <c r="VTW23" s="311"/>
      <c r="VTX23" s="311"/>
      <c r="VTY23" s="311"/>
      <c r="VTZ23" s="311"/>
      <c r="VUA23" s="311"/>
      <c r="VUB23" s="311"/>
      <c r="VUC23" s="311"/>
      <c r="VUD23" s="311"/>
      <c r="VUE23" s="311"/>
      <c r="VUF23" s="311"/>
      <c r="VUG23" s="311"/>
      <c r="VUH23" s="311"/>
      <c r="VUI23" s="311"/>
      <c r="VUJ23" s="311"/>
      <c r="VUK23" s="311"/>
      <c r="VUL23" s="311"/>
      <c r="VUM23" s="311"/>
      <c r="VUN23" s="311"/>
      <c r="VUO23" s="311"/>
      <c r="VUP23" s="311"/>
      <c r="VUQ23" s="311"/>
      <c r="VUR23" s="311"/>
      <c r="VUS23" s="311"/>
      <c r="VUT23" s="311"/>
      <c r="VUU23" s="311"/>
      <c r="VUV23" s="311"/>
      <c r="VUW23" s="311"/>
      <c r="VUX23" s="311"/>
      <c r="VUY23" s="311"/>
      <c r="VUZ23" s="311"/>
      <c r="VVA23" s="311"/>
      <c r="VVB23" s="311"/>
      <c r="VVC23" s="311"/>
      <c r="VVD23" s="311"/>
      <c r="VVE23" s="311"/>
      <c r="VVF23" s="311"/>
      <c r="VVG23" s="311"/>
      <c r="VVH23" s="311"/>
      <c r="VVI23" s="311"/>
      <c r="VVJ23" s="311"/>
      <c r="VVK23" s="311"/>
      <c r="VVL23" s="311"/>
      <c r="VVM23" s="311"/>
      <c r="VVN23" s="311"/>
      <c r="VVO23" s="311"/>
      <c r="VVP23" s="311"/>
      <c r="VVQ23" s="311"/>
      <c r="VVR23" s="311"/>
      <c r="VVS23" s="311"/>
      <c r="VVT23" s="311"/>
      <c r="VVU23" s="311"/>
      <c r="VVV23" s="311"/>
      <c r="VVW23" s="311"/>
      <c r="VVX23" s="311"/>
      <c r="VVY23" s="311"/>
      <c r="VVZ23" s="311"/>
      <c r="VWA23" s="311"/>
      <c r="VWB23" s="311"/>
      <c r="VWC23" s="311"/>
      <c r="VWD23" s="311"/>
      <c r="VWE23" s="311"/>
      <c r="VWF23" s="311"/>
      <c r="VWG23" s="311"/>
      <c r="VWH23" s="311"/>
      <c r="VWI23" s="311"/>
      <c r="VWJ23" s="311"/>
      <c r="VWK23" s="311"/>
      <c r="VWL23" s="311"/>
      <c r="VWM23" s="311"/>
      <c r="VWN23" s="311"/>
      <c r="VWO23" s="311"/>
      <c r="VWP23" s="311"/>
      <c r="VWQ23" s="311"/>
      <c r="VWR23" s="311"/>
      <c r="VWS23" s="311"/>
      <c r="VWT23" s="311"/>
      <c r="VWU23" s="311"/>
      <c r="VWV23" s="311"/>
      <c r="VWW23" s="311"/>
      <c r="VWX23" s="311"/>
      <c r="VWY23" s="311"/>
      <c r="VWZ23" s="311"/>
      <c r="VXA23" s="311"/>
      <c r="VXB23" s="311"/>
      <c r="VXC23" s="311"/>
      <c r="VXD23" s="311"/>
      <c r="VXE23" s="311"/>
      <c r="VXF23" s="311"/>
      <c r="VXG23" s="311"/>
      <c r="VXH23" s="311"/>
      <c r="VXI23" s="311"/>
      <c r="VXJ23" s="311"/>
      <c r="VXK23" s="311"/>
      <c r="VXL23" s="311"/>
      <c r="VXM23" s="311"/>
      <c r="VXN23" s="311"/>
      <c r="VXO23" s="311"/>
      <c r="VXP23" s="311"/>
      <c r="VXQ23" s="311"/>
      <c r="VXR23" s="311"/>
      <c r="VXS23" s="311"/>
      <c r="VXT23" s="311"/>
      <c r="VXU23" s="311"/>
      <c r="VXV23" s="311"/>
      <c r="VXW23" s="311"/>
      <c r="VXX23" s="311"/>
      <c r="VXY23" s="311"/>
      <c r="VXZ23" s="311"/>
      <c r="VYA23" s="311"/>
      <c r="VYB23" s="311"/>
      <c r="VYC23" s="311"/>
      <c r="VYD23" s="311"/>
      <c r="VYE23" s="311"/>
      <c r="VYF23" s="311"/>
      <c r="VYG23" s="311"/>
      <c r="VYH23" s="311"/>
      <c r="VYI23" s="311"/>
      <c r="VYJ23" s="311"/>
      <c r="VYK23" s="311"/>
      <c r="VYL23" s="311"/>
      <c r="VYM23" s="311"/>
      <c r="VYN23" s="311"/>
      <c r="VYO23" s="311"/>
      <c r="VYP23" s="311"/>
      <c r="VYQ23" s="311"/>
      <c r="VYR23" s="311"/>
      <c r="VYS23" s="311"/>
      <c r="VYT23" s="311"/>
      <c r="VYU23" s="311"/>
      <c r="VYV23" s="311"/>
      <c r="VYW23" s="311"/>
      <c r="VYX23" s="311"/>
      <c r="VYY23" s="311"/>
      <c r="VYZ23" s="311"/>
      <c r="VZA23" s="311"/>
      <c r="VZB23" s="311"/>
      <c r="VZC23" s="311"/>
      <c r="VZD23" s="311"/>
      <c r="VZE23" s="311"/>
      <c r="VZF23" s="311"/>
      <c r="VZG23" s="311"/>
      <c r="VZH23" s="311"/>
      <c r="VZI23" s="311"/>
      <c r="VZJ23" s="311"/>
      <c r="VZK23" s="311"/>
      <c r="VZL23" s="311"/>
      <c r="VZM23" s="311"/>
      <c r="VZN23" s="311"/>
      <c r="VZO23" s="311"/>
      <c r="VZP23" s="311"/>
      <c r="VZQ23" s="311"/>
      <c r="VZR23" s="311"/>
      <c r="VZS23" s="311"/>
      <c r="VZT23" s="311"/>
      <c r="VZU23" s="311"/>
      <c r="VZV23" s="311"/>
      <c r="VZW23" s="311"/>
      <c r="VZX23" s="311"/>
      <c r="VZY23" s="311"/>
      <c r="VZZ23" s="311"/>
      <c r="WAA23" s="311"/>
      <c r="WAB23" s="311"/>
      <c r="WAC23" s="311"/>
      <c r="WAD23" s="311"/>
      <c r="WAE23" s="311"/>
      <c r="WAF23" s="311"/>
      <c r="WAG23" s="311"/>
      <c r="WAH23" s="311"/>
      <c r="WAI23" s="311"/>
      <c r="WAJ23" s="311"/>
      <c r="WAK23" s="311"/>
      <c r="WAL23" s="311"/>
      <c r="WAM23" s="311"/>
      <c r="WAN23" s="311"/>
      <c r="WAO23" s="311"/>
      <c r="WAP23" s="311"/>
      <c r="WAQ23" s="311"/>
      <c r="WAR23" s="311"/>
      <c r="WAS23" s="311"/>
      <c r="WAT23" s="311"/>
      <c r="WAU23" s="311"/>
      <c r="WAV23" s="311"/>
      <c r="WAW23" s="311"/>
      <c r="WAX23" s="311"/>
      <c r="WAY23" s="311"/>
      <c r="WAZ23" s="311"/>
      <c r="WBA23" s="311"/>
      <c r="WBB23" s="311"/>
      <c r="WBC23" s="311"/>
      <c r="WBD23" s="311"/>
      <c r="WBE23" s="311"/>
      <c r="WBF23" s="311"/>
      <c r="WBG23" s="311"/>
      <c r="WBH23" s="311"/>
      <c r="WBI23" s="311"/>
      <c r="WBJ23" s="311"/>
      <c r="WBK23" s="311"/>
      <c r="WBL23" s="311"/>
      <c r="WBM23" s="311"/>
      <c r="WBN23" s="311"/>
      <c r="WBO23" s="311"/>
      <c r="WBP23" s="311"/>
      <c r="WBQ23" s="311"/>
      <c r="WBR23" s="311"/>
      <c r="WBS23" s="311"/>
      <c r="WBT23" s="311"/>
      <c r="WBU23" s="311"/>
      <c r="WBV23" s="311"/>
      <c r="WBW23" s="311"/>
      <c r="WBX23" s="311"/>
      <c r="WBY23" s="311"/>
      <c r="WBZ23" s="311"/>
      <c r="WCA23" s="311"/>
      <c r="WCB23" s="311"/>
      <c r="WCC23" s="311"/>
      <c r="WCD23" s="311"/>
      <c r="WCE23" s="311"/>
      <c r="WCF23" s="311"/>
      <c r="WCG23" s="311"/>
      <c r="WCH23" s="311"/>
      <c r="WCI23" s="311"/>
      <c r="WCJ23" s="311"/>
      <c r="WCK23" s="311"/>
      <c r="WCL23" s="311"/>
      <c r="WCM23" s="311"/>
      <c r="WCN23" s="311"/>
      <c r="WCO23" s="311"/>
      <c r="WCP23" s="311"/>
      <c r="WCQ23" s="311"/>
      <c r="WCR23" s="311"/>
      <c r="WCS23" s="311"/>
      <c r="WCT23" s="311"/>
      <c r="WCU23" s="311"/>
      <c r="WCV23" s="311"/>
      <c r="WCW23" s="311"/>
      <c r="WCX23" s="311"/>
      <c r="WCY23" s="311"/>
      <c r="WCZ23" s="311"/>
      <c r="WDA23" s="311"/>
      <c r="WDB23" s="311"/>
      <c r="WDC23" s="311"/>
      <c r="WDD23" s="311"/>
      <c r="WDE23" s="311"/>
      <c r="WDF23" s="311"/>
      <c r="WDG23" s="311"/>
      <c r="WDH23" s="311"/>
      <c r="WDI23" s="311"/>
      <c r="WDJ23" s="311"/>
      <c r="WDK23" s="311"/>
      <c r="WDL23" s="311"/>
      <c r="WDM23" s="311"/>
      <c r="WDN23" s="311"/>
      <c r="WDO23" s="311"/>
      <c r="WDP23" s="311"/>
      <c r="WDQ23" s="311"/>
      <c r="WDR23" s="311"/>
      <c r="WDS23" s="311"/>
      <c r="WDT23" s="311"/>
      <c r="WDU23" s="311"/>
      <c r="WDV23" s="311"/>
      <c r="WDW23" s="311"/>
      <c r="WDX23" s="311"/>
      <c r="WDY23" s="311"/>
      <c r="WDZ23" s="311"/>
      <c r="WEA23" s="311"/>
      <c r="WEB23" s="311"/>
      <c r="WEC23" s="311"/>
      <c r="WED23" s="311"/>
      <c r="WEE23" s="311"/>
      <c r="WEF23" s="311"/>
      <c r="WEG23" s="311"/>
      <c r="WEH23" s="311"/>
      <c r="WEI23" s="311"/>
      <c r="WEJ23" s="311"/>
      <c r="WEK23" s="311"/>
      <c r="WEL23" s="311"/>
      <c r="WEM23" s="311"/>
      <c r="WEN23" s="311"/>
      <c r="WEO23" s="311"/>
      <c r="WEP23" s="311"/>
      <c r="WEQ23" s="311"/>
      <c r="WER23" s="311"/>
      <c r="WES23" s="311"/>
      <c r="WET23" s="311"/>
      <c r="WEU23" s="311"/>
      <c r="WEV23" s="311"/>
      <c r="WEW23" s="311"/>
      <c r="WEX23" s="311"/>
      <c r="WEY23" s="311"/>
      <c r="WEZ23" s="311"/>
      <c r="WFA23" s="311"/>
      <c r="WFB23" s="311"/>
      <c r="WFC23" s="311"/>
      <c r="WFD23" s="311"/>
      <c r="WFE23" s="311"/>
      <c r="WFF23" s="311"/>
      <c r="WFG23" s="311"/>
      <c r="WFH23" s="311"/>
      <c r="WFI23" s="311"/>
      <c r="WFJ23" s="311"/>
      <c r="WFK23" s="311"/>
      <c r="WFL23" s="311"/>
      <c r="WFM23" s="311"/>
      <c r="WFN23" s="311"/>
      <c r="WFO23" s="311"/>
      <c r="WFP23" s="311"/>
      <c r="WFQ23" s="311"/>
      <c r="WFR23" s="311"/>
      <c r="WFS23" s="311"/>
      <c r="WFT23" s="311"/>
      <c r="WFU23" s="311"/>
      <c r="WFV23" s="311"/>
      <c r="WFW23" s="311"/>
      <c r="WFX23" s="311"/>
      <c r="WFY23" s="311"/>
      <c r="WFZ23" s="311"/>
      <c r="WGA23" s="311"/>
      <c r="WGB23" s="311"/>
      <c r="WGC23" s="311"/>
      <c r="WGD23" s="311"/>
      <c r="WGE23" s="311"/>
      <c r="WGF23" s="311"/>
      <c r="WGG23" s="311"/>
      <c r="WGH23" s="311"/>
      <c r="WGI23" s="311"/>
      <c r="WGJ23" s="311"/>
      <c r="WGK23" s="311"/>
      <c r="WGL23" s="311"/>
      <c r="WGM23" s="311"/>
      <c r="WGN23" s="311"/>
      <c r="WGO23" s="311"/>
      <c r="WGP23" s="311"/>
      <c r="WGQ23" s="311"/>
      <c r="WGR23" s="311"/>
      <c r="WGS23" s="311"/>
      <c r="WGT23" s="311"/>
      <c r="WGU23" s="311"/>
      <c r="WGV23" s="311"/>
      <c r="WGW23" s="311"/>
      <c r="WGX23" s="311"/>
      <c r="WGY23" s="311"/>
      <c r="WGZ23" s="311"/>
      <c r="WHA23" s="311"/>
      <c r="WHB23" s="311"/>
      <c r="WHC23" s="311"/>
      <c r="WHD23" s="311"/>
      <c r="WHE23" s="311"/>
      <c r="WHF23" s="311"/>
      <c r="WHG23" s="311"/>
      <c r="WHH23" s="311"/>
      <c r="WHI23" s="311"/>
      <c r="WHJ23" s="311"/>
      <c r="WHK23" s="311"/>
      <c r="WHL23" s="311"/>
      <c r="WHM23" s="311"/>
      <c r="WHN23" s="311"/>
      <c r="WHO23" s="311"/>
      <c r="WHP23" s="311"/>
      <c r="WHQ23" s="311"/>
      <c r="WHR23" s="311"/>
      <c r="WHS23" s="311"/>
      <c r="WHT23" s="311"/>
      <c r="WHU23" s="311"/>
      <c r="WHV23" s="311"/>
      <c r="WHW23" s="311"/>
      <c r="WHX23" s="311"/>
      <c r="WHY23" s="311"/>
      <c r="WHZ23" s="311"/>
      <c r="WIA23" s="311"/>
      <c r="WIB23" s="311"/>
      <c r="WIC23" s="311"/>
      <c r="WID23" s="311"/>
      <c r="WIE23" s="311"/>
      <c r="WIF23" s="311"/>
      <c r="WIG23" s="311"/>
      <c r="WIH23" s="311"/>
      <c r="WII23" s="311"/>
      <c r="WIJ23" s="311"/>
      <c r="WIK23" s="311"/>
      <c r="WIL23" s="311"/>
      <c r="WIM23" s="311"/>
      <c r="WIN23" s="311"/>
      <c r="WIO23" s="311"/>
      <c r="WIP23" s="311"/>
      <c r="WIQ23" s="311"/>
      <c r="WIR23" s="311"/>
      <c r="WIS23" s="311"/>
      <c r="WIT23" s="311"/>
      <c r="WIU23" s="311"/>
      <c r="WIV23" s="311"/>
      <c r="WIW23" s="311"/>
      <c r="WIX23" s="311"/>
      <c r="WIY23" s="311"/>
      <c r="WIZ23" s="311"/>
      <c r="WJA23" s="311"/>
      <c r="WJB23" s="311"/>
      <c r="WJC23" s="311"/>
      <c r="WJD23" s="311"/>
      <c r="WJE23" s="311"/>
      <c r="WJF23" s="311"/>
      <c r="WJG23" s="311"/>
      <c r="WJH23" s="311"/>
      <c r="WJI23" s="311"/>
      <c r="WJJ23" s="311"/>
      <c r="WJK23" s="311"/>
      <c r="WJL23" s="311"/>
      <c r="WJM23" s="311"/>
      <c r="WJN23" s="311"/>
      <c r="WJO23" s="311"/>
      <c r="WJP23" s="311"/>
      <c r="WJQ23" s="311"/>
      <c r="WJR23" s="311"/>
      <c r="WJS23" s="311"/>
      <c r="WJT23" s="311"/>
      <c r="WJU23" s="311"/>
      <c r="WJV23" s="311"/>
      <c r="WJW23" s="311"/>
      <c r="WJX23" s="311"/>
      <c r="WJY23" s="311"/>
      <c r="WJZ23" s="311"/>
      <c r="WKA23" s="311"/>
      <c r="WKB23" s="311"/>
      <c r="WKC23" s="311"/>
      <c r="WKD23" s="311"/>
      <c r="WKE23" s="311"/>
      <c r="WKF23" s="311"/>
      <c r="WKG23" s="311"/>
      <c r="WKH23" s="311"/>
      <c r="WKI23" s="311"/>
      <c r="WKJ23" s="311"/>
      <c r="WKK23" s="311"/>
      <c r="WKL23" s="311"/>
      <c r="WKM23" s="311"/>
      <c r="WKN23" s="311"/>
      <c r="WKO23" s="311"/>
      <c r="WKP23" s="311"/>
      <c r="WKQ23" s="311"/>
      <c r="WKR23" s="311"/>
      <c r="WKS23" s="311"/>
      <c r="WKT23" s="311"/>
      <c r="WKU23" s="311"/>
      <c r="WKV23" s="311"/>
      <c r="WKW23" s="311"/>
      <c r="WKX23" s="311"/>
      <c r="WKY23" s="311"/>
      <c r="WKZ23" s="311"/>
      <c r="WLA23" s="311"/>
      <c r="WLB23" s="311"/>
      <c r="WLC23" s="311"/>
      <c r="WLD23" s="311"/>
      <c r="WLE23" s="311"/>
      <c r="WLF23" s="311"/>
      <c r="WLG23" s="311"/>
      <c r="WLH23" s="311"/>
      <c r="WLI23" s="311"/>
      <c r="WLJ23" s="311"/>
      <c r="WLK23" s="311"/>
      <c r="WLL23" s="311"/>
      <c r="WLM23" s="311"/>
      <c r="WLN23" s="311"/>
      <c r="WLO23" s="311"/>
      <c r="WLP23" s="311"/>
      <c r="WLQ23" s="311"/>
      <c r="WLR23" s="311"/>
      <c r="WLS23" s="311"/>
      <c r="WLT23" s="311"/>
      <c r="WLU23" s="311"/>
      <c r="WLV23" s="311"/>
      <c r="WLW23" s="311"/>
      <c r="WLX23" s="311"/>
      <c r="WLY23" s="311"/>
      <c r="WLZ23" s="311"/>
      <c r="WMA23" s="311"/>
      <c r="WMB23" s="311"/>
      <c r="WMC23" s="311"/>
      <c r="WMD23" s="311"/>
      <c r="WME23" s="311"/>
      <c r="WMF23" s="311"/>
      <c r="WMG23" s="311"/>
      <c r="WMH23" s="311"/>
      <c r="WMI23" s="311"/>
      <c r="WMJ23" s="311"/>
      <c r="WMK23" s="311"/>
      <c r="WML23" s="311"/>
      <c r="WMM23" s="311"/>
      <c r="WMN23" s="311"/>
      <c r="WMO23" s="311"/>
      <c r="WMP23" s="311"/>
      <c r="WMQ23" s="311"/>
      <c r="WMR23" s="311"/>
      <c r="WMS23" s="311"/>
      <c r="WMT23" s="311"/>
      <c r="WMU23" s="311"/>
      <c r="WMV23" s="311"/>
      <c r="WMW23" s="311"/>
      <c r="WMX23" s="311"/>
      <c r="WMY23" s="311"/>
      <c r="WMZ23" s="311"/>
      <c r="WNA23" s="311"/>
      <c r="WNB23" s="311"/>
      <c r="WNC23" s="311"/>
      <c r="WND23" s="311"/>
      <c r="WNE23" s="311"/>
      <c r="WNF23" s="311"/>
      <c r="WNG23" s="311"/>
      <c r="WNH23" s="311"/>
      <c r="WNI23" s="311"/>
      <c r="WNJ23" s="311"/>
      <c r="WNK23" s="311"/>
      <c r="WNL23" s="311"/>
      <c r="WNM23" s="311"/>
      <c r="WNN23" s="311"/>
      <c r="WNO23" s="311"/>
      <c r="WNP23" s="311"/>
      <c r="WNQ23" s="311"/>
      <c r="WNR23" s="311"/>
      <c r="WNS23" s="311"/>
      <c r="WNT23" s="311"/>
      <c r="WNU23" s="311"/>
      <c r="WNV23" s="311"/>
      <c r="WNW23" s="311"/>
      <c r="WNX23" s="311"/>
      <c r="WNY23" s="311"/>
      <c r="WNZ23" s="311"/>
      <c r="WOA23" s="311"/>
      <c r="WOB23" s="311"/>
      <c r="WOC23" s="311"/>
      <c r="WOD23" s="311"/>
      <c r="WOE23" s="311"/>
      <c r="WOF23" s="311"/>
      <c r="WOG23" s="311"/>
      <c r="WOH23" s="311"/>
      <c r="WOI23" s="311"/>
      <c r="WOJ23" s="311"/>
      <c r="WOK23" s="311"/>
      <c r="WOL23" s="311"/>
      <c r="WOM23" s="311"/>
      <c r="WON23" s="311"/>
      <c r="WOO23" s="311"/>
      <c r="WOP23" s="311"/>
      <c r="WOQ23" s="311"/>
      <c r="WOR23" s="311"/>
      <c r="WOS23" s="311"/>
      <c r="WOT23" s="311"/>
      <c r="WOU23" s="311"/>
      <c r="WOV23" s="311"/>
      <c r="WOW23" s="311"/>
      <c r="WOX23" s="311"/>
      <c r="WOY23" s="311"/>
      <c r="WOZ23" s="311"/>
      <c r="WPA23" s="311"/>
      <c r="WPB23" s="311"/>
      <c r="WPC23" s="311"/>
      <c r="WPD23" s="311"/>
      <c r="WPE23" s="311"/>
      <c r="WPF23" s="311"/>
      <c r="WPG23" s="311"/>
      <c r="WPH23" s="311"/>
      <c r="WPI23" s="311"/>
      <c r="WPJ23" s="311"/>
      <c r="WPK23" s="311"/>
      <c r="WPL23" s="311"/>
      <c r="WPM23" s="311"/>
      <c r="WPN23" s="311"/>
      <c r="WPO23" s="311"/>
      <c r="WPP23" s="311"/>
      <c r="WPQ23" s="311"/>
      <c r="WPR23" s="311"/>
      <c r="WPS23" s="311"/>
      <c r="WPT23" s="311"/>
      <c r="WPU23" s="311"/>
      <c r="WPV23" s="311"/>
      <c r="WPW23" s="311"/>
      <c r="WPX23" s="311"/>
      <c r="WPY23" s="311"/>
      <c r="WPZ23" s="311"/>
      <c r="WQA23" s="311"/>
      <c r="WQB23" s="311"/>
      <c r="WQC23" s="311"/>
      <c r="WQD23" s="311"/>
      <c r="WQE23" s="311"/>
      <c r="WQF23" s="311"/>
      <c r="WQG23" s="311"/>
      <c r="WQH23" s="311"/>
      <c r="WQI23" s="311"/>
      <c r="WQJ23" s="311"/>
      <c r="WQK23" s="311"/>
      <c r="WQL23" s="311"/>
      <c r="WQM23" s="311"/>
      <c r="WQN23" s="311"/>
      <c r="WQO23" s="311"/>
      <c r="WQP23" s="311"/>
      <c r="WQQ23" s="311"/>
      <c r="WQR23" s="311"/>
      <c r="WQS23" s="311"/>
      <c r="WQT23" s="311"/>
      <c r="WQU23" s="311"/>
      <c r="WQV23" s="311"/>
      <c r="WQW23" s="311"/>
      <c r="WQX23" s="311"/>
      <c r="WQY23" s="311"/>
      <c r="WQZ23" s="311"/>
      <c r="WRA23" s="311"/>
      <c r="WRB23" s="311"/>
      <c r="WRC23" s="311"/>
      <c r="WRD23" s="311"/>
      <c r="WRE23" s="311"/>
      <c r="WRF23" s="311"/>
      <c r="WRG23" s="311"/>
      <c r="WRH23" s="311"/>
      <c r="WRI23" s="311"/>
      <c r="WRJ23" s="311"/>
      <c r="WRK23" s="311"/>
      <c r="WRL23" s="311"/>
      <c r="WRM23" s="311"/>
      <c r="WRN23" s="311"/>
      <c r="WRO23" s="311"/>
      <c r="WRP23" s="311"/>
      <c r="WRQ23" s="311"/>
      <c r="WRR23" s="311"/>
      <c r="WRS23" s="311"/>
      <c r="WRT23" s="311"/>
      <c r="WRU23" s="311"/>
      <c r="WRV23" s="311"/>
      <c r="WRW23" s="311"/>
      <c r="WRX23" s="311"/>
      <c r="WRY23" s="311"/>
      <c r="WRZ23" s="311"/>
      <c r="WSA23" s="311"/>
      <c r="WSB23" s="311"/>
      <c r="WSC23" s="311"/>
      <c r="WSD23" s="311"/>
      <c r="WSE23" s="311"/>
      <c r="WSF23" s="311"/>
      <c r="WSG23" s="311"/>
      <c r="WSH23" s="311"/>
      <c r="WSI23" s="311"/>
      <c r="WSJ23" s="311"/>
      <c r="WSK23" s="311"/>
      <c r="WSL23" s="311"/>
      <c r="WSM23" s="311"/>
      <c r="WSN23" s="311"/>
      <c r="WSO23" s="311"/>
      <c r="WSP23" s="311"/>
      <c r="WSQ23" s="311"/>
      <c r="WSR23" s="311"/>
      <c r="WSS23" s="311"/>
      <c r="WST23" s="311"/>
      <c r="WSU23" s="311"/>
      <c r="WSV23" s="311"/>
      <c r="WSW23" s="311"/>
      <c r="WSX23" s="311"/>
      <c r="WSY23" s="311"/>
      <c r="WSZ23" s="311"/>
      <c r="WTA23" s="311"/>
      <c r="WTB23" s="311"/>
      <c r="WTC23" s="311"/>
      <c r="WTD23" s="311"/>
      <c r="WTE23" s="311"/>
      <c r="WTF23" s="311"/>
      <c r="WTG23" s="311"/>
      <c r="WTH23" s="311"/>
      <c r="WTI23" s="311"/>
      <c r="WTJ23" s="311"/>
      <c r="WTK23" s="311"/>
      <c r="WTL23" s="311"/>
      <c r="WTM23" s="311"/>
      <c r="WTN23" s="311"/>
      <c r="WTO23" s="311"/>
      <c r="WTP23" s="311"/>
      <c r="WTQ23" s="311"/>
      <c r="WTR23" s="311"/>
      <c r="WTS23" s="311"/>
      <c r="WTT23" s="311"/>
      <c r="WTU23" s="311"/>
      <c r="WTV23" s="311"/>
      <c r="WTW23" s="311"/>
      <c r="WTX23" s="311"/>
      <c r="WTY23" s="311"/>
      <c r="WTZ23" s="311"/>
      <c r="WUA23" s="311"/>
      <c r="WUB23" s="311"/>
      <c r="WUC23" s="311"/>
      <c r="WUD23" s="311"/>
      <c r="WUE23" s="311"/>
      <c r="WUF23" s="311"/>
      <c r="WUG23" s="311"/>
      <c r="WUH23" s="311"/>
      <c r="WUI23" s="311"/>
      <c r="WUJ23" s="311"/>
      <c r="WUK23" s="311"/>
      <c r="WUL23" s="311"/>
      <c r="WUM23" s="311"/>
      <c r="WUN23" s="311"/>
      <c r="WUO23" s="311"/>
      <c r="WUP23" s="311"/>
      <c r="WUQ23" s="311"/>
      <c r="WUR23" s="311"/>
      <c r="WUS23" s="311"/>
      <c r="WUT23" s="311"/>
      <c r="WUU23" s="311"/>
      <c r="WUV23" s="311"/>
      <c r="WUW23" s="311"/>
      <c r="WUX23" s="311"/>
      <c r="WUY23" s="311"/>
      <c r="WUZ23" s="311"/>
      <c r="WVA23" s="311"/>
      <c r="WVB23" s="311"/>
      <c r="WVC23" s="311"/>
      <c r="WVD23" s="311"/>
      <c r="WVE23" s="311"/>
      <c r="WVF23" s="311"/>
      <c r="WVG23" s="311"/>
      <c r="WVH23" s="311"/>
      <c r="WVI23" s="311"/>
      <c r="WVJ23" s="311"/>
      <c r="WVK23" s="311"/>
      <c r="WVL23" s="311"/>
      <c r="WVM23" s="311"/>
      <c r="WVN23" s="311"/>
      <c r="WVO23" s="311"/>
      <c r="WVP23" s="311"/>
      <c r="WVQ23" s="311"/>
      <c r="WVR23" s="311"/>
      <c r="WVS23" s="311"/>
      <c r="WVT23" s="311"/>
      <c r="WVU23" s="311"/>
      <c r="WVV23" s="311"/>
      <c r="WVW23" s="311"/>
      <c r="WVX23" s="311"/>
      <c r="WVY23" s="311"/>
      <c r="WVZ23" s="311"/>
      <c r="WWA23" s="311"/>
      <c r="WWB23" s="311"/>
      <c r="WWC23" s="311"/>
      <c r="WWD23" s="311"/>
      <c r="WWE23" s="311"/>
      <c r="WWF23" s="311"/>
      <c r="WWG23" s="311"/>
      <c r="WWH23" s="311"/>
      <c r="WWI23" s="311"/>
      <c r="WWJ23" s="311"/>
      <c r="WWK23" s="311"/>
      <c r="WWL23" s="311"/>
      <c r="WWM23" s="311"/>
      <c r="WWN23" s="311"/>
      <c r="WWO23" s="311"/>
      <c r="WWP23" s="311"/>
      <c r="WWQ23" s="311"/>
      <c r="WWR23" s="311"/>
      <c r="WWS23" s="311"/>
      <c r="WWT23" s="311"/>
      <c r="WWU23" s="311"/>
      <c r="WWV23" s="311"/>
      <c r="WWW23" s="311"/>
      <c r="WWX23" s="311"/>
      <c r="WWY23" s="311"/>
      <c r="WWZ23" s="311"/>
      <c r="WXA23" s="311"/>
      <c r="WXB23" s="311"/>
      <c r="WXC23" s="311"/>
      <c r="WXD23" s="311"/>
      <c r="WXE23" s="311"/>
      <c r="WXF23" s="311"/>
      <c r="WXG23" s="311"/>
      <c r="WXH23" s="311"/>
      <c r="WXI23" s="311"/>
      <c r="WXJ23" s="311"/>
      <c r="WXK23" s="311"/>
      <c r="WXL23" s="311"/>
      <c r="WXM23" s="311"/>
      <c r="WXN23" s="311"/>
      <c r="WXO23" s="311"/>
      <c r="WXP23" s="311"/>
      <c r="WXQ23" s="311"/>
      <c r="WXR23" s="311"/>
      <c r="WXS23" s="311"/>
      <c r="WXT23" s="311"/>
      <c r="WXU23" s="311"/>
      <c r="WXV23" s="311"/>
      <c r="WXW23" s="311"/>
      <c r="WXX23" s="311"/>
      <c r="WXY23" s="311"/>
      <c r="WXZ23" s="311"/>
      <c r="WYA23" s="311"/>
      <c r="WYB23" s="311"/>
      <c r="WYC23" s="311"/>
      <c r="WYD23" s="311"/>
      <c r="WYE23" s="311"/>
      <c r="WYF23" s="311"/>
      <c r="WYG23" s="311"/>
      <c r="WYH23" s="311"/>
      <c r="WYI23" s="311"/>
      <c r="WYJ23" s="311"/>
      <c r="WYK23" s="311"/>
      <c r="WYL23" s="311"/>
      <c r="WYM23" s="311"/>
      <c r="WYN23" s="311"/>
      <c r="WYO23" s="311"/>
      <c r="WYP23" s="311"/>
      <c r="WYQ23" s="311"/>
      <c r="WYR23" s="311"/>
      <c r="WYS23" s="311"/>
      <c r="WYT23" s="311"/>
      <c r="WYU23" s="311"/>
      <c r="WYV23" s="311"/>
      <c r="WYW23" s="311"/>
      <c r="WYX23" s="311"/>
      <c r="WYY23" s="311"/>
      <c r="WYZ23" s="311"/>
      <c r="WZA23" s="311"/>
      <c r="WZB23" s="311"/>
      <c r="WZC23" s="311"/>
      <c r="WZD23" s="311"/>
      <c r="WZE23" s="311"/>
      <c r="WZF23" s="311"/>
      <c r="WZG23" s="311"/>
      <c r="WZH23" s="311"/>
      <c r="WZI23" s="311"/>
      <c r="WZJ23" s="311"/>
      <c r="WZK23" s="311"/>
      <c r="WZL23" s="311"/>
      <c r="WZM23" s="311"/>
      <c r="WZN23" s="311"/>
      <c r="WZO23" s="311"/>
      <c r="WZP23" s="311"/>
      <c r="WZQ23" s="311"/>
      <c r="WZR23" s="311"/>
      <c r="WZS23" s="311"/>
      <c r="WZT23" s="311"/>
      <c r="WZU23" s="311"/>
      <c r="WZV23" s="311"/>
      <c r="WZW23" s="311"/>
      <c r="WZX23" s="311"/>
      <c r="WZY23" s="311"/>
      <c r="WZZ23" s="311"/>
      <c r="XAA23" s="311"/>
      <c r="XAB23" s="311"/>
      <c r="XAC23" s="311"/>
      <c r="XAD23" s="311"/>
      <c r="XAE23" s="311"/>
      <c r="XAF23" s="311"/>
      <c r="XAG23" s="311"/>
      <c r="XAH23" s="311"/>
      <c r="XAI23" s="311"/>
      <c r="XAJ23" s="311"/>
      <c r="XAK23" s="311"/>
      <c r="XAL23" s="311"/>
      <c r="XAM23" s="311"/>
      <c r="XAN23" s="311"/>
      <c r="XAO23" s="311"/>
      <c r="XAP23" s="311"/>
      <c r="XAQ23" s="311"/>
      <c r="XAR23" s="311"/>
      <c r="XAS23" s="311"/>
      <c r="XAT23" s="311"/>
      <c r="XAU23" s="311"/>
      <c r="XAV23" s="311"/>
      <c r="XAW23" s="311"/>
      <c r="XAX23" s="311"/>
      <c r="XAY23" s="311"/>
      <c r="XAZ23" s="311"/>
      <c r="XBA23" s="311"/>
      <c r="XBB23" s="311"/>
      <c r="XBC23" s="311"/>
      <c r="XBD23" s="311"/>
      <c r="XBE23" s="311"/>
      <c r="XBF23" s="311"/>
      <c r="XBG23" s="311"/>
      <c r="XBH23" s="311"/>
      <c r="XBI23" s="311"/>
      <c r="XBJ23" s="311"/>
      <c r="XBK23" s="311"/>
      <c r="XBL23" s="311"/>
      <c r="XBM23" s="311"/>
      <c r="XBN23" s="311"/>
      <c r="XBO23" s="311"/>
      <c r="XBP23" s="311"/>
      <c r="XBQ23" s="311"/>
      <c r="XBR23" s="311"/>
      <c r="XBS23" s="311"/>
      <c r="XBT23" s="311"/>
      <c r="XBU23" s="311"/>
      <c r="XBV23" s="311"/>
      <c r="XBW23" s="311"/>
      <c r="XBX23" s="311"/>
      <c r="XBY23" s="311"/>
      <c r="XBZ23" s="311"/>
      <c r="XCA23" s="311"/>
      <c r="XCB23" s="311"/>
      <c r="XCC23" s="311"/>
      <c r="XCD23" s="311"/>
      <c r="XCE23" s="311"/>
      <c r="XCF23" s="311"/>
      <c r="XCG23" s="311"/>
      <c r="XCH23" s="311"/>
      <c r="XCI23" s="311"/>
      <c r="XCJ23" s="311"/>
      <c r="XCK23" s="311"/>
      <c r="XCL23" s="311"/>
      <c r="XCM23" s="311"/>
      <c r="XCN23" s="311"/>
      <c r="XCO23" s="311"/>
      <c r="XCP23" s="311"/>
      <c r="XCQ23" s="311"/>
      <c r="XCR23" s="311"/>
      <c r="XCS23" s="311"/>
      <c r="XCT23" s="311"/>
      <c r="XCU23" s="311"/>
      <c r="XCV23" s="311"/>
      <c r="XCW23" s="311"/>
      <c r="XCX23" s="311"/>
      <c r="XCY23" s="311"/>
      <c r="XCZ23" s="311"/>
      <c r="XDA23" s="311"/>
      <c r="XDB23" s="311"/>
      <c r="XDC23" s="311"/>
      <c r="XDD23" s="311"/>
      <c r="XDE23" s="311"/>
      <c r="XDF23" s="311"/>
      <c r="XDG23" s="311"/>
      <c r="XDH23" s="311"/>
      <c r="XDI23" s="311"/>
      <c r="XDJ23" s="311"/>
      <c r="XDK23" s="311"/>
      <c r="XDL23" s="311"/>
      <c r="XDM23" s="311"/>
      <c r="XDN23" s="311"/>
      <c r="XDO23" s="311"/>
      <c r="XDP23" s="311"/>
      <c r="XDQ23" s="311"/>
      <c r="XDR23" s="311"/>
      <c r="XDS23" s="311"/>
      <c r="XDT23" s="311"/>
      <c r="XDU23" s="311"/>
      <c r="XDV23" s="311"/>
      <c r="XDW23" s="311"/>
      <c r="XDX23" s="311"/>
      <c r="XDY23" s="311"/>
      <c r="XDZ23" s="311"/>
      <c r="XEA23" s="311"/>
      <c r="XEB23" s="311"/>
      <c r="XEC23" s="311"/>
      <c r="XED23" s="311"/>
      <c r="XEE23" s="311"/>
      <c r="XEF23" s="311"/>
      <c r="XEG23" s="311"/>
      <c r="XEH23" s="312"/>
    </row>
    <row r="24" spans="1:16362" ht="18" customHeight="1">
      <c r="A24" s="402"/>
      <c r="B24" s="402"/>
      <c r="C24" s="403" t="s">
        <v>973</v>
      </c>
      <c r="D24" s="403"/>
      <c r="E24" s="403"/>
      <c r="F24" s="330"/>
      <c r="G24" s="315"/>
      <c r="H24" s="315"/>
      <c r="I24" s="333">
        <f>SUM(I20:I23)</f>
        <v>43200</v>
      </c>
      <c r="J24" s="434"/>
    </row>
    <row r="25" spans="1:16362" ht="18" customHeight="1">
      <c r="A25" s="317"/>
      <c r="B25" s="317"/>
      <c r="C25" s="403" t="s">
        <v>974</v>
      </c>
      <c r="D25" s="403"/>
      <c r="E25" s="403"/>
      <c r="F25" s="330"/>
      <c r="G25" s="315"/>
      <c r="H25" s="315"/>
      <c r="I25" s="333">
        <f>I19+I24</f>
        <v>475200</v>
      </c>
      <c r="J25" s="434"/>
    </row>
    <row r="26" spans="1:16362" ht="18" customHeight="1">
      <c r="A26" s="402">
        <v>3</v>
      </c>
      <c r="B26" s="402" t="s">
        <v>995</v>
      </c>
      <c r="C26" s="402" t="s">
        <v>975</v>
      </c>
      <c r="D26" s="402" t="s">
        <v>996</v>
      </c>
      <c r="E26" s="317" t="s">
        <v>976</v>
      </c>
      <c r="F26" s="317" t="s">
        <v>997</v>
      </c>
      <c r="G26" s="318">
        <v>100</v>
      </c>
      <c r="H26" s="322">
        <v>45</v>
      </c>
      <c r="I26" s="331">
        <v>4500</v>
      </c>
      <c r="J26" s="401">
        <f>ROUND(I43*0.8,0)</f>
        <v>379704</v>
      </c>
    </row>
    <row r="27" spans="1:16362" ht="18" customHeight="1">
      <c r="A27" s="402"/>
      <c r="B27" s="402"/>
      <c r="C27" s="402"/>
      <c r="D27" s="402"/>
      <c r="E27" s="317" t="s">
        <v>977</v>
      </c>
      <c r="F27" s="317" t="s">
        <v>997</v>
      </c>
      <c r="G27" s="318">
        <v>100</v>
      </c>
      <c r="H27" s="322">
        <v>260</v>
      </c>
      <c r="I27" s="331">
        <v>26000</v>
      </c>
      <c r="J27" s="434"/>
    </row>
    <row r="28" spans="1:16362" ht="18" customHeight="1">
      <c r="A28" s="402"/>
      <c r="B28" s="402"/>
      <c r="C28" s="402"/>
      <c r="D28" s="402"/>
      <c r="E28" s="317" t="s">
        <v>978</v>
      </c>
      <c r="F28" s="317" t="s">
        <v>997</v>
      </c>
      <c r="G28" s="318">
        <v>25</v>
      </c>
      <c r="H28" s="322">
        <v>50</v>
      </c>
      <c r="I28" s="331">
        <v>1250</v>
      </c>
      <c r="J28" s="434"/>
    </row>
    <row r="29" spans="1:16362" ht="18" customHeight="1">
      <c r="A29" s="402"/>
      <c r="B29" s="402"/>
      <c r="C29" s="402"/>
      <c r="D29" s="402"/>
      <c r="E29" s="317" t="s">
        <v>979</v>
      </c>
      <c r="F29" s="317" t="s">
        <v>997</v>
      </c>
      <c r="G29" s="318">
        <v>25</v>
      </c>
      <c r="H29" s="322">
        <v>280</v>
      </c>
      <c r="I29" s="331">
        <v>7000</v>
      </c>
      <c r="J29" s="434"/>
    </row>
    <row r="30" spans="1:16362" ht="18" customHeight="1">
      <c r="A30" s="402"/>
      <c r="B30" s="402"/>
      <c r="C30" s="402"/>
      <c r="D30" s="402"/>
      <c r="E30" s="317" t="s">
        <v>980</v>
      </c>
      <c r="F30" s="317" t="s">
        <v>997</v>
      </c>
      <c r="G30" s="318">
        <v>55</v>
      </c>
      <c r="H30" s="322">
        <v>200</v>
      </c>
      <c r="I30" s="331">
        <v>11000</v>
      </c>
      <c r="J30" s="434"/>
    </row>
    <row r="31" spans="1:16362" ht="18" customHeight="1">
      <c r="A31" s="402"/>
      <c r="B31" s="402"/>
      <c r="C31" s="402"/>
      <c r="D31" s="402"/>
      <c r="E31" s="317" t="s">
        <v>998</v>
      </c>
      <c r="F31" s="317" t="s">
        <v>960</v>
      </c>
      <c r="G31" s="318">
        <v>5</v>
      </c>
      <c r="H31" s="322">
        <v>5000</v>
      </c>
      <c r="I31" s="331">
        <v>25000</v>
      </c>
      <c r="J31" s="434"/>
    </row>
    <row r="32" spans="1:16362" ht="18" customHeight="1">
      <c r="A32" s="402"/>
      <c r="B32" s="402"/>
      <c r="C32" s="402"/>
      <c r="D32" s="402"/>
      <c r="E32" s="317" t="s">
        <v>981</v>
      </c>
      <c r="F32" s="317" t="s">
        <v>960</v>
      </c>
      <c r="G32" s="318">
        <v>5</v>
      </c>
      <c r="H32" s="322">
        <v>1000</v>
      </c>
      <c r="I32" s="331">
        <v>5000</v>
      </c>
      <c r="J32" s="434"/>
    </row>
    <row r="33" spans="1:16361" ht="18" customHeight="1">
      <c r="A33" s="402"/>
      <c r="B33" s="402"/>
      <c r="C33" s="402"/>
      <c r="D33" s="402" t="s">
        <v>999</v>
      </c>
      <c r="E33" s="402"/>
      <c r="F33" s="317" t="s">
        <v>959</v>
      </c>
      <c r="G33" s="319">
        <v>165</v>
      </c>
      <c r="H33" s="319">
        <v>200</v>
      </c>
      <c r="I33" s="335">
        <f t="shared" ref="I33:I35" si="1">G33*H33</f>
        <v>33000</v>
      </c>
      <c r="J33" s="434"/>
    </row>
    <row r="34" spans="1:16361" ht="18" customHeight="1">
      <c r="A34" s="402"/>
      <c r="B34" s="402"/>
      <c r="C34" s="402"/>
      <c r="D34" s="402" t="s">
        <v>1000</v>
      </c>
      <c r="E34" s="402"/>
      <c r="F34" s="317" t="s">
        <v>959</v>
      </c>
      <c r="G34" s="319">
        <v>75</v>
      </c>
      <c r="H34" s="319">
        <v>200</v>
      </c>
      <c r="I34" s="335">
        <f t="shared" si="1"/>
        <v>15000</v>
      </c>
      <c r="J34" s="434"/>
    </row>
    <row r="35" spans="1:16361" ht="18" customHeight="1">
      <c r="A35" s="402"/>
      <c r="B35" s="402"/>
      <c r="C35" s="402"/>
      <c r="D35" s="402" t="s">
        <v>1001</v>
      </c>
      <c r="E35" s="402"/>
      <c r="F35" s="317" t="s">
        <v>959</v>
      </c>
      <c r="G35" s="319">
        <v>75</v>
      </c>
      <c r="H35" s="319">
        <v>200</v>
      </c>
      <c r="I35" s="335">
        <f t="shared" si="1"/>
        <v>15000</v>
      </c>
      <c r="J35" s="434"/>
    </row>
    <row r="36" spans="1:16361" ht="18" customHeight="1">
      <c r="A36" s="402"/>
      <c r="B36" s="402"/>
      <c r="C36" s="402"/>
      <c r="D36" s="402" t="s">
        <v>1002</v>
      </c>
      <c r="E36" s="402"/>
      <c r="F36" s="317" t="s">
        <v>959</v>
      </c>
      <c r="G36" s="318">
        <v>23.64</v>
      </c>
      <c r="H36" s="319">
        <f>I36/G36</f>
        <v>557.61336717428082</v>
      </c>
      <c r="I36" s="331">
        <v>13181.98</v>
      </c>
      <c r="J36" s="434"/>
    </row>
    <row r="37" spans="1:16361" ht="18" customHeight="1">
      <c r="A37" s="402"/>
      <c r="B37" s="402"/>
      <c r="C37" s="402"/>
      <c r="D37" s="402" t="s">
        <v>1003</v>
      </c>
      <c r="E37" s="402"/>
      <c r="F37" s="317" t="s">
        <v>961</v>
      </c>
      <c r="G37" s="318">
        <v>167</v>
      </c>
      <c r="H37" s="319">
        <v>1650</v>
      </c>
      <c r="I37" s="331">
        <f>G37*H37</f>
        <v>275550</v>
      </c>
      <c r="J37" s="434"/>
    </row>
    <row r="38" spans="1:16361" s="321" customFormat="1" ht="18" customHeight="1">
      <c r="A38" s="403"/>
      <c r="B38" s="403"/>
      <c r="C38" s="403" t="s">
        <v>971</v>
      </c>
      <c r="D38" s="403"/>
      <c r="E38" s="403"/>
      <c r="F38" s="320"/>
      <c r="G38" s="315"/>
      <c r="H38" s="315"/>
      <c r="I38" s="333">
        <f>SUM(I26:I37)</f>
        <v>431481.98</v>
      </c>
      <c r="J38" s="434"/>
      <c r="K38" s="316"/>
      <c r="L38" s="316"/>
      <c r="M38" s="316"/>
      <c r="N38" s="316"/>
      <c r="O38" s="316"/>
      <c r="P38" s="316"/>
      <c r="Q38" s="316"/>
      <c r="R38" s="316"/>
      <c r="S38" s="316"/>
      <c r="T38" s="316"/>
      <c r="U38" s="316"/>
      <c r="V38" s="316"/>
      <c r="W38" s="316"/>
      <c r="X38" s="316"/>
      <c r="Y38" s="316"/>
      <c r="Z38" s="316"/>
      <c r="AA38" s="316"/>
      <c r="AB38" s="316"/>
      <c r="AC38" s="316"/>
      <c r="AD38" s="316"/>
      <c r="AE38" s="316"/>
      <c r="AF38" s="316"/>
      <c r="AG38" s="316"/>
      <c r="AH38" s="316"/>
      <c r="AI38" s="316"/>
      <c r="AJ38" s="316"/>
      <c r="AK38" s="316"/>
      <c r="AL38" s="316"/>
      <c r="AM38" s="316"/>
      <c r="AN38" s="316"/>
      <c r="AO38" s="316"/>
      <c r="AP38" s="316"/>
      <c r="AQ38" s="316"/>
      <c r="AR38" s="316"/>
      <c r="AS38" s="316"/>
      <c r="AT38" s="316"/>
      <c r="AU38" s="316"/>
      <c r="AV38" s="316"/>
      <c r="AW38" s="316"/>
      <c r="AX38" s="316"/>
      <c r="AY38" s="316"/>
      <c r="AZ38" s="316"/>
      <c r="BA38" s="316"/>
      <c r="BB38" s="316"/>
      <c r="BC38" s="316"/>
      <c r="BD38" s="316"/>
      <c r="BE38" s="316"/>
      <c r="BF38" s="316"/>
      <c r="BG38" s="316"/>
      <c r="BH38" s="316"/>
      <c r="BI38" s="316"/>
      <c r="BJ38" s="316"/>
      <c r="BK38" s="316"/>
      <c r="BL38" s="316"/>
      <c r="BM38" s="316"/>
      <c r="BN38" s="316"/>
      <c r="BO38" s="316"/>
      <c r="BP38" s="316"/>
      <c r="BQ38" s="316"/>
      <c r="BR38" s="316"/>
      <c r="BS38" s="316"/>
      <c r="BT38" s="316"/>
      <c r="BU38" s="316"/>
      <c r="BV38" s="316"/>
      <c r="BW38" s="316"/>
      <c r="BX38" s="316"/>
      <c r="BY38" s="316"/>
      <c r="BZ38" s="316"/>
      <c r="CA38" s="316"/>
      <c r="CB38" s="316"/>
      <c r="CC38" s="316"/>
      <c r="CD38" s="316"/>
      <c r="CE38" s="316"/>
      <c r="CF38" s="316"/>
      <c r="CG38" s="316"/>
      <c r="CH38" s="316"/>
      <c r="CI38" s="316"/>
      <c r="CJ38" s="316"/>
      <c r="CK38" s="316"/>
      <c r="CL38" s="316"/>
      <c r="CM38" s="316"/>
      <c r="CN38" s="316"/>
      <c r="CO38" s="316"/>
      <c r="CP38" s="316"/>
      <c r="CQ38" s="316"/>
      <c r="CR38" s="316"/>
      <c r="CS38" s="316"/>
      <c r="CT38" s="316"/>
      <c r="CU38" s="316"/>
      <c r="CV38" s="316"/>
      <c r="CW38" s="316"/>
      <c r="CX38" s="316"/>
      <c r="CY38" s="316"/>
      <c r="CZ38" s="316"/>
      <c r="DA38" s="316"/>
      <c r="DB38" s="316"/>
      <c r="DC38" s="316"/>
      <c r="DD38" s="316"/>
      <c r="DE38" s="316"/>
      <c r="DF38" s="316"/>
      <c r="DG38" s="316"/>
      <c r="DH38" s="316"/>
      <c r="DI38" s="316"/>
      <c r="DJ38" s="316"/>
      <c r="DK38" s="316"/>
      <c r="DL38" s="316"/>
      <c r="DM38" s="316"/>
      <c r="DN38" s="316"/>
      <c r="DO38" s="316"/>
      <c r="DP38" s="316"/>
      <c r="DQ38" s="316"/>
      <c r="DR38" s="316"/>
      <c r="DS38" s="316"/>
      <c r="DT38" s="316"/>
      <c r="DU38" s="316"/>
      <c r="DV38" s="316"/>
      <c r="DW38" s="316"/>
      <c r="DX38" s="316"/>
      <c r="DY38" s="316"/>
      <c r="DZ38" s="316"/>
      <c r="EA38" s="316"/>
      <c r="EB38" s="316"/>
      <c r="EC38" s="316"/>
      <c r="ED38" s="316"/>
      <c r="EE38" s="316"/>
      <c r="EF38" s="316"/>
      <c r="EG38" s="316"/>
      <c r="EH38" s="316"/>
      <c r="EI38" s="316"/>
      <c r="EJ38" s="316"/>
      <c r="EK38" s="316"/>
      <c r="EL38" s="316"/>
      <c r="EM38" s="316"/>
      <c r="EN38" s="316"/>
      <c r="EO38" s="316"/>
      <c r="EP38" s="316"/>
      <c r="EQ38" s="316"/>
      <c r="ER38" s="316"/>
      <c r="ES38" s="316"/>
      <c r="ET38" s="316"/>
      <c r="EU38" s="316"/>
      <c r="EV38" s="316"/>
      <c r="EW38" s="316"/>
      <c r="EX38" s="316"/>
      <c r="EY38" s="316"/>
      <c r="EZ38" s="316"/>
      <c r="FA38" s="316"/>
      <c r="FB38" s="316"/>
      <c r="FC38" s="316"/>
      <c r="FD38" s="316"/>
      <c r="FE38" s="316"/>
      <c r="FF38" s="316"/>
      <c r="FG38" s="316"/>
      <c r="FH38" s="316"/>
      <c r="FI38" s="316"/>
      <c r="FJ38" s="316"/>
      <c r="FK38" s="316"/>
      <c r="FL38" s="316"/>
      <c r="FM38" s="316"/>
      <c r="FN38" s="316"/>
      <c r="FO38" s="316"/>
      <c r="FP38" s="316"/>
      <c r="FQ38" s="316"/>
      <c r="FR38" s="316"/>
      <c r="FS38" s="316"/>
      <c r="FT38" s="316"/>
      <c r="FU38" s="316"/>
      <c r="FV38" s="316"/>
      <c r="FW38" s="316"/>
      <c r="FX38" s="316"/>
      <c r="FY38" s="316"/>
      <c r="FZ38" s="316"/>
      <c r="GA38" s="316"/>
      <c r="GB38" s="316"/>
      <c r="GC38" s="316"/>
      <c r="GD38" s="316"/>
      <c r="GE38" s="316"/>
      <c r="GF38" s="316"/>
      <c r="GG38" s="316"/>
      <c r="GH38" s="316"/>
      <c r="GI38" s="316"/>
      <c r="GJ38" s="316"/>
      <c r="GK38" s="316"/>
      <c r="GL38" s="316"/>
      <c r="GM38" s="316"/>
      <c r="GN38" s="316"/>
      <c r="GO38" s="316"/>
      <c r="GP38" s="316"/>
      <c r="GQ38" s="316"/>
      <c r="GR38" s="316"/>
      <c r="GS38" s="316"/>
      <c r="GT38" s="316"/>
      <c r="GU38" s="316"/>
      <c r="GV38" s="316"/>
      <c r="GW38" s="316"/>
      <c r="GX38" s="316"/>
      <c r="GY38" s="316"/>
      <c r="GZ38" s="316"/>
      <c r="HA38" s="316"/>
      <c r="HB38" s="316"/>
      <c r="HC38" s="316"/>
      <c r="HD38" s="316"/>
      <c r="HE38" s="316"/>
      <c r="HF38" s="316"/>
      <c r="HG38" s="316"/>
      <c r="HH38" s="316"/>
      <c r="HI38" s="316"/>
      <c r="HJ38" s="316"/>
      <c r="HK38" s="316"/>
      <c r="HL38" s="316"/>
      <c r="HM38" s="316"/>
      <c r="HN38" s="316"/>
      <c r="HO38" s="316"/>
      <c r="HP38" s="316"/>
      <c r="HQ38" s="316"/>
      <c r="HR38" s="316"/>
      <c r="HS38" s="316"/>
      <c r="HT38" s="316"/>
      <c r="HU38" s="316"/>
      <c r="HV38" s="316"/>
      <c r="HW38" s="316"/>
      <c r="HX38" s="316"/>
      <c r="HY38" s="316"/>
      <c r="HZ38" s="316"/>
      <c r="IA38" s="316"/>
      <c r="IB38" s="316"/>
      <c r="IC38" s="316"/>
      <c r="ID38" s="316"/>
      <c r="IE38" s="316"/>
      <c r="IF38" s="316"/>
      <c r="IG38" s="316"/>
      <c r="IH38" s="316"/>
      <c r="II38" s="316"/>
      <c r="IJ38" s="316"/>
      <c r="IK38" s="316"/>
      <c r="IL38" s="316"/>
      <c r="IM38" s="316"/>
      <c r="IN38" s="316"/>
      <c r="IO38" s="316"/>
      <c r="IP38" s="316"/>
      <c r="IQ38" s="316"/>
      <c r="IR38" s="316"/>
      <c r="IS38" s="316"/>
      <c r="IT38" s="316"/>
      <c r="IU38" s="316"/>
      <c r="IV38" s="316"/>
      <c r="IW38" s="316"/>
      <c r="IX38" s="316"/>
      <c r="IY38" s="316"/>
      <c r="IZ38" s="316"/>
      <c r="JA38" s="316"/>
      <c r="JB38" s="316"/>
      <c r="JC38" s="316"/>
      <c r="JD38" s="316"/>
      <c r="JE38" s="316"/>
      <c r="JF38" s="316"/>
      <c r="JG38" s="316"/>
      <c r="JH38" s="316"/>
      <c r="JI38" s="316"/>
      <c r="JJ38" s="316"/>
      <c r="JK38" s="316"/>
      <c r="JL38" s="316"/>
      <c r="JM38" s="316"/>
      <c r="JN38" s="316"/>
      <c r="JO38" s="316"/>
      <c r="JP38" s="316"/>
      <c r="JQ38" s="316"/>
      <c r="JR38" s="316"/>
      <c r="JS38" s="316"/>
      <c r="JT38" s="316"/>
      <c r="JU38" s="316"/>
      <c r="JV38" s="316"/>
      <c r="JW38" s="316"/>
      <c r="JX38" s="316"/>
      <c r="JY38" s="316"/>
      <c r="JZ38" s="316"/>
      <c r="KA38" s="316"/>
      <c r="KB38" s="316"/>
      <c r="KC38" s="316"/>
      <c r="KD38" s="316"/>
      <c r="KE38" s="316"/>
      <c r="KF38" s="316"/>
      <c r="KG38" s="316"/>
      <c r="KH38" s="316"/>
      <c r="KI38" s="316"/>
      <c r="KJ38" s="316"/>
      <c r="KK38" s="316"/>
      <c r="KL38" s="316"/>
      <c r="KM38" s="316"/>
      <c r="KN38" s="316"/>
      <c r="KO38" s="316"/>
      <c r="KP38" s="316"/>
      <c r="KQ38" s="316"/>
      <c r="KR38" s="316"/>
      <c r="KS38" s="316"/>
      <c r="KT38" s="316"/>
      <c r="KU38" s="316"/>
      <c r="KV38" s="316"/>
      <c r="KW38" s="316"/>
      <c r="KX38" s="316"/>
      <c r="KY38" s="316"/>
      <c r="KZ38" s="316"/>
      <c r="LA38" s="316"/>
      <c r="LB38" s="316"/>
      <c r="LC38" s="316"/>
      <c r="LD38" s="316"/>
      <c r="LE38" s="316"/>
      <c r="LF38" s="316"/>
      <c r="LG38" s="316"/>
      <c r="LH38" s="316"/>
      <c r="LI38" s="316"/>
      <c r="LJ38" s="316"/>
      <c r="LK38" s="316"/>
      <c r="LL38" s="316"/>
      <c r="LM38" s="316"/>
      <c r="LN38" s="316"/>
      <c r="LO38" s="316"/>
      <c r="LP38" s="316"/>
      <c r="LQ38" s="316"/>
      <c r="LR38" s="316"/>
      <c r="LS38" s="316"/>
      <c r="LT38" s="316"/>
      <c r="LU38" s="316"/>
      <c r="LV38" s="316"/>
      <c r="LW38" s="316"/>
      <c r="LX38" s="316"/>
      <c r="LY38" s="316"/>
      <c r="LZ38" s="316"/>
      <c r="MA38" s="316"/>
      <c r="MB38" s="316"/>
      <c r="MC38" s="316"/>
      <c r="MD38" s="316"/>
      <c r="ME38" s="316"/>
      <c r="MF38" s="316"/>
      <c r="MG38" s="316"/>
      <c r="MH38" s="316"/>
      <c r="MI38" s="316"/>
      <c r="MJ38" s="316"/>
      <c r="MK38" s="316"/>
      <c r="ML38" s="316"/>
      <c r="MM38" s="316"/>
      <c r="MN38" s="316"/>
      <c r="MO38" s="316"/>
      <c r="MP38" s="316"/>
      <c r="MQ38" s="316"/>
      <c r="MR38" s="316"/>
      <c r="MS38" s="316"/>
      <c r="MT38" s="316"/>
      <c r="MU38" s="316"/>
      <c r="MV38" s="316"/>
      <c r="MW38" s="316"/>
      <c r="MX38" s="316"/>
      <c r="MY38" s="316"/>
      <c r="MZ38" s="316"/>
      <c r="NA38" s="316"/>
      <c r="NB38" s="316"/>
      <c r="NC38" s="316"/>
      <c r="ND38" s="316"/>
      <c r="NE38" s="316"/>
      <c r="NF38" s="316"/>
      <c r="NG38" s="316"/>
      <c r="NH38" s="316"/>
      <c r="NI38" s="316"/>
      <c r="NJ38" s="316"/>
      <c r="NK38" s="316"/>
      <c r="NL38" s="316"/>
      <c r="NM38" s="316"/>
      <c r="NN38" s="316"/>
      <c r="NO38" s="316"/>
      <c r="NP38" s="316"/>
      <c r="NQ38" s="316"/>
      <c r="NR38" s="316"/>
      <c r="NS38" s="316"/>
      <c r="NT38" s="316"/>
      <c r="NU38" s="316"/>
      <c r="NV38" s="316"/>
      <c r="NW38" s="316"/>
      <c r="NX38" s="316"/>
      <c r="NY38" s="316"/>
      <c r="NZ38" s="316"/>
      <c r="OA38" s="316"/>
      <c r="OB38" s="316"/>
      <c r="OC38" s="316"/>
      <c r="OD38" s="316"/>
      <c r="OE38" s="316"/>
      <c r="OF38" s="316"/>
      <c r="OG38" s="316"/>
      <c r="OH38" s="316"/>
      <c r="OI38" s="316"/>
      <c r="OJ38" s="316"/>
      <c r="OK38" s="316"/>
      <c r="OL38" s="316"/>
      <c r="OM38" s="316"/>
      <c r="ON38" s="316"/>
      <c r="OO38" s="316"/>
      <c r="OP38" s="316"/>
      <c r="OQ38" s="316"/>
      <c r="OR38" s="316"/>
      <c r="OS38" s="316"/>
      <c r="OT38" s="316"/>
      <c r="OU38" s="316"/>
      <c r="OV38" s="316"/>
      <c r="OW38" s="316"/>
      <c r="OX38" s="316"/>
      <c r="OY38" s="316"/>
      <c r="OZ38" s="316"/>
      <c r="PA38" s="316"/>
      <c r="PB38" s="316"/>
      <c r="PC38" s="316"/>
      <c r="PD38" s="316"/>
      <c r="PE38" s="316"/>
      <c r="PF38" s="316"/>
      <c r="PG38" s="316"/>
      <c r="PH38" s="316"/>
      <c r="PI38" s="316"/>
      <c r="PJ38" s="316"/>
      <c r="PK38" s="316"/>
      <c r="PL38" s="316"/>
      <c r="PM38" s="316"/>
      <c r="PN38" s="316"/>
      <c r="PO38" s="316"/>
      <c r="PP38" s="316"/>
      <c r="PQ38" s="316"/>
      <c r="PR38" s="316"/>
      <c r="PS38" s="316"/>
      <c r="PT38" s="316"/>
      <c r="PU38" s="316"/>
      <c r="PV38" s="316"/>
      <c r="PW38" s="316"/>
      <c r="PX38" s="316"/>
      <c r="PY38" s="316"/>
      <c r="PZ38" s="316"/>
      <c r="QA38" s="316"/>
      <c r="QB38" s="316"/>
      <c r="QC38" s="316"/>
      <c r="QD38" s="316"/>
      <c r="QE38" s="316"/>
      <c r="QF38" s="316"/>
      <c r="QG38" s="316"/>
      <c r="QH38" s="316"/>
      <c r="QI38" s="316"/>
      <c r="QJ38" s="316"/>
      <c r="QK38" s="316"/>
      <c r="QL38" s="316"/>
      <c r="QM38" s="316"/>
      <c r="QN38" s="316"/>
      <c r="QO38" s="316"/>
      <c r="QP38" s="316"/>
      <c r="QQ38" s="316"/>
      <c r="QR38" s="316"/>
      <c r="QS38" s="316"/>
      <c r="QT38" s="316"/>
      <c r="QU38" s="316"/>
      <c r="QV38" s="316"/>
      <c r="QW38" s="316"/>
      <c r="QX38" s="316"/>
      <c r="QY38" s="316"/>
      <c r="QZ38" s="316"/>
      <c r="RA38" s="316"/>
      <c r="RB38" s="316"/>
      <c r="RC38" s="316"/>
      <c r="RD38" s="316"/>
      <c r="RE38" s="316"/>
      <c r="RF38" s="316"/>
      <c r="RG38" s="316"/>
      <c r="RH38" s="316"/>
      <c r="RI38" s="316"/>
      <c r="RJ38" s="316"/>
      <c r="RK38" s="316"/>
      <c r="RL38" s="316"/>
      <c r="RM38" s="316"/>
      <c r="RN38" s="316"/>
      <c r="RO38" s="316"/>
      <c r="RP38" s="316"/>
      <c r="RQ38" s="316"/>
      <c r="RR38" s="316"/>
      <c r="RS38" s="316"/>
      <c r="RT38" s="316"/>
      <c r="RU38" s="316"/>
      <c r="RV38" s="316"/>
      <c r="RW38" s="316"/>
      <c r="RX38" s="316"/>
      <c r="RY38" s="316"/>
      <c r="RZ38" s="316"/>
      <c r="SA38" s="316"/>
      <c r="SB38" s="316"/>
      <c r="SC38" s="316"/>
      <c r="SD38" s="316"/>
      <c r="SE38" s="316"/>
      <c r="SF38" s="316"/>
      <c r="SG38" s="316"/>
      <c r="SH38" s="316"/>
      <c r="SI38" s="316"/>
      <c r="SJ38" s="316"/>
      <c r="SK38" s="316"/>
      <c r="SL38" s="316"/>
      <c r="SM38" s="316"/>
      <c r="SN38" s="316"/>
      <c r="SO38" s="316"/>
      <c r="SP38" s="316"/>
      <c r="SQ38" s="316"/>
      <c r="SR38" s="316"/>
      <c r="SS38" s="316"/>
      <c r="ST38" s="316"/>
      <c r="SU38" s="316"/>
      <c r="SV38" s="316"/>
      <c r="SW38" s="316"/>
      <c r="SX38" s="316"/>
      <c r="SY38" s="316"/>
      <c r="SZ38" s="316"/>
      <c r="TA38" s="316"/>
      <c r="TB38" s="316"/>
      <c r="TC38" s="316"/>
      <c r="TD38" s="316"/>
      <c r="TE38" s="316"/>
      <c r="TF38" s="316"/>
      <c r="TG38" s="316"/>
      <c r="TH38" s="316"/>
      <c r="TI38" s="316"/>
      <c r="TJ38" s="316"/>
      <c r="TK38" s="316"/>
      <c r="TL38" s="316"/>
      <c r="TM38" s="316"/>
      <c r="TN38" s="316"/>
      <c r="TO38" s="316"/>
      <c r="TP38" s="316"/>
      <c r="TQ38" s="316"/>
      <c r="TR38" s="316"/>
      <c r="TS38" s="316"/>
      <c r="TT38" s="316"/>
      <c r="TU38" s="316"/>
      <c r="TV38" s="316"/>
      <c r="TW38" s="316"/>
      <c r="TX38" s="316"/>
      <c r="TY38" s="316"/>
      <c r="TZ38" s="316"/>
      <c r="UA38" s="316"/>
      <c r="UB38" s="316"/>
      <c r="UC38" s="316"/>
      <c r="UD38" s="316"/>
      <c r="UE38" s="316"/>
      <c r="UF38" s="316"/>
      <c r="UG38" s="316"/>
      <c r="UH38" s="316"/>
      <c r="UI38" s="316"/>
      <c r="UJ38" s="316"/>
      <c r="UK38" s="316"/>
      <c r="UL38" s="316"/>
      <c r="UM38" s="316"/>
      <c r="UN38" s="316"/>
      <c r="UO38" s="316"/>
      <c r="UP38" s="316"/>
      <c r="UQ38" s="316"/>
      <c r="UR38" s="316"/>
      <c r="US38" s="316"/>
      <c r="UT38" s="316"/>
      <c r="UU38" s="316"/>
      <c r="UV38" s="316"/>
      <c r="UW38" s="316"/>
      <c r="UX38" s="316"/>
      <c r="UY38" s="316"/>
      <c r="UZ38" s="316"/>
      <c r="VA38" s="316"/>
      <c r="VB38" s="316"/>
      <c r="VC38" s="316"/>
      <c r="VD38" s="316"/>
      <c r="VE38" s="316"/>
      <c r="VF38" s="316"/>
      <c r="VG38" s="316"/>
      <c r="VH38" s="316"/>
      <c r="VI38" s="316"/>
      <c r="VJ38" s="316"/>
      <c r="VK38" s="316"/>
      <c r="VL38" s="316"/>
      <c r="VM38" s="316"/>
      <c r="VN38" s="316"/>
      <c r="VO38" s="316"/>
      <c r="VP38" s="316"/>
      <c r="VQ38" s="316"/>
      <c r="VR38" s="316"/>
      <c r="VS38" s="316"/>
      <c r="VT38" s="316"/>
      <c r="VU38" s="316"/>
      <c r="VV38" s="316"/>
      <c r="VW38" s="316"/>
      <c r="VX38" s="316"/>
      <c r="VY38" s="316"/>
      <c r="VZ38" s="316"/>
      <c r="WA38" s="316"/>
      <c r="WB38" s="316"/>
      <c r="WC38" s="316"/>
      <c r="WD38" s="316"/>
      <c r="WE38" s="316"/>
      <c r="WF38" s="316"/>
      <c r="WG38" s="316"/>
      <c r="WH38" s="316"/>
      <c r="WI38" s="316"/>
      <c r="WJ38" s="316"/>
      <c r="WK38" s="316"/>
      <c r="WL38" s="316"/>
      <c r="WM38" s="316"/>
      <c r="WN38" s="316"/>
      <c r="WO38" s="316"/>
      <c r="WP38" s="316"/>
      <c r="WQ38" s="316"/>
      <c r="WR38" s="316"/>
      <c r="WS38" s="316"/>
      <c r="WT38" s="316"/>
      <c r="WU38" s="316"/>
      <c r="WV38" s="316"/>
      <c r="WW38" s="316"/>
      <c r="WX38" s="316"/>
      <c r="WY38" s="316"/>
      <c r="WZ38" s="316"/>
      <c r="XA38" s="316"/>
      <c r="XB38" s="316"/>
      <c r="XC38" s="316"/>
      <c r="XD38" s="316"/>
      <c r="XE38" s="316"/>
      <c r="XF38" s="316"/>
      <c r="XG38" s="316"/>
      <c r="XH38" s="316"/>
      <c r="XI38" s="316"/>
      <c r="XJ38" s="316"/>
      <c r="XK38" s="316"/>
      <c r="XL38" s="316"/>
      <c r="XM38" s="316"/>
      <c r="XN38" s="316"/>
      <c r="XO38" s="316"/>
      <c r="XP38" s="316"/>
      <c r="XQ38" s="316"/>
      <c r="XR38" s="316"/>
      <c r="XS38" s="316"/>
      <c r="XT38" s="316"/>
      <c r="XU38" s="316"/>
      <c r="XV38" s="316"/>
      <c r="XW38" s="316"/>
      <c r="XX38" s="316"/>
      <c r="XY38" s="316"/>
      <c r="XZ38" s="316"/>
      <c r="YA38" s="316"/>
      <c r="YB38" s="316"/>
      <c r="YC38" s="316"/>
      <c r="YD38" s="316"/>
      <c r="YE38" s="316"/>
      <c r="YF38" s="316"/>
      <c r="YG38" s="316"/>
      <c r="YH38" s="316"/>
      <c r="YI38" s="316"/>
      <c r="YJ38" s="316"/>
      <c r="YK38" s="316"/>
      <c r="YL38" s="316"/>
      <c r="YM38" s="316"/>
      <c r="YN38" s="316"/>
      <c r="YO38" s="316"/>
      <c r="YP38" s="316"/>
      <c r="YQ38" s="316"/>
      <c r="YR38" s="316"/>
      <c r="YS38" s="316"/>
      <c r="YT38" s="316"/>
      <c r="YU38" s="316"/>
      <c r="YV38" s="316"/>
      <c r="YW38" s="316"/>
      <c r="YX38" s="316"/>
      <c r="YY38" s="316"/>
      <c r="YZ38" s="316"/>
      <c r="ZA38" s="316"/>
      <c r="ZB38" s="316"/>
      <c r="ZC38" s="316"/>
      <c r="ZD38" s="316"/>
      <c r="ZE38" s="316"/>
      <c r="ZF38" s="316"/>
      <c r="ZG38" s="316"/>
      <c r="ZH38" s="316"/>
      <c r="ZI38" s="316"/>
      <c r="ZJ38" s="316"/>
      <c r="ZK38" s="316"/>
      <c r="ZL38" s="316"/>
      <c r="ZM38" s="316"/>
      <c r="ZN38" s="316"/>
      <c r="ZO38" s="316"/>
      <c r="ZP38" s="316"/>
      <c r="ZQ38" s="316"/>
      <c r="ZR38" s="316"/>
      <c r="ZS38" s="316"/>
      <c r="ZT38" s="316"/>
      <c r="ZU38" s="316"/>
      <c r="ZV38" s="316"/>
      <c r="ZW38" s="316"/>
      <c r="ZX38" s="316"/>
      <c r="ZY38" s="316"/>
      <c r="ZZ38" s="316"/>
      <c r="AAA38" s="316"/>
      <c r="AAB38" s="316"/>
      <c r="AAC38" s="316"/>
      <c r="AAD38" s="316"/>
      <c r="AAE38" s="316"/>
      <c r="AAF38" s="316"/>
      <c r="AAG38" s="316"/>
      <c r="AAH38" s="316"/>
      <c r="AAI38" s="316"/>
      <c r="AAJ38" s="316"/>
      <c r="AAK38" s="316"/>
      <c r="AAL38" s="316"/>
      <c r="AAM38" s="316"/>
      <c r="AAN38" s="316"/>
      <c r="AAO38" s="316"/>
      <c r="AAP38" s="316"/>
      <c r="AAQ38" s="316"/>
      <c r="AAR38" s="316"/>
      <c r="AAS38" s="316"/>
      <c r="AAT38" s="316"/>
      <c r="AAU38" s="316"/>
      <c r="AAV38" s="316"/>
      <c r="AAW38" s="316"/>
      <c r="AAX38" s="316"/>
      <c r="AAY38" s="316"/>
      <c r="AAZ38" s="316"/>
      <c r="ABA38" s="316"/>
      <c r="ABB38" s="316"/>
      <c r="ABC38" s="316"/>
      <c r="ABD38" s="316"/>
      <c r="ABE38" s="316"/>
      <c r="ABF38" s="316"/>
      <c r="ABG38" s="316"/>
      <c r="ABH38" s="316"/>
      <c r="ABI38" s="316"/>
      <c r="ABJ38" s="316"/>
      <c r="ABK38" s="316"/>
      <c r="ABL38" s="316"/>
      <c r="ABM38" s="316"/>
      <c r="ABN38" s="316"/>
      <c r="ABO38" s="316"/>
      <c r="ABP38" s="316"/>
      <c r="ABQ38" s="316"/>
      <c r="ABR38" s="316"/>
      <c r="ABS38" s="316"/>
      <c r="ABT38" s="316"/>
      <c r="ABU38" s="316"/>
      <c r="ABV38" s="316"/>
      <c r="ABW38" s="316"/>
      <c r="ABX38" s="316"/>
      <c r="ABY38" s="316"/>
      <c r="ABZ38" s="316"/>
      <c r="ACA38" s="316"/>
      <c r="ACB38" s="316"/>
      <c r="ACC38" s="316"/>
      <c r="ACD38" s="316"/>
      <c r="ACE38" s="316"/>
      <c r="ACF38" s="316"/>
      <c r="ACG38" s="316"/>
      <c r="ACH38" s="316"/>
      <c r="ACI38" s="316"/>
      <c r="ACJ38" s="316"/>
      <c r="ACK38" s="316"/>
      <c r="ACL38" s="316"/>
      <c r="ACM38" s="316"/>
      <c r="ACN38" s="316"/>
      <c r="ACO38" s="316"/>
      <c r="ACP38" s="316"/>
      <c r="ACQ38" s="316"/>
      <c r="ACR38" s="316"/>
      <c r="ACS38" s="316"/>
      <c r="ACT38" s="316"/>
      <c r="ACU38" s="316"/>
      <c r="ACV38" s="316"/>
      <c r="ACW38" s="316"/>
      <c r="ACX38" s="316"/>
      <c r="ACY38" s="316"/>
      <c r="ACZ38" s="316"/>
      <c r="ADA38" s="316"/>
      <c r="ADB38" s="316"/>
      <c r="ADC38" s="316"/>
      <c r="ADD38" s="316"/>
      <c r="ADE38" s="316"/>
      <c r="ADF38" s="316"/>
      <c r="ADG38" s="316"/>
      <c r="ADH38" s="316"/>
      <c r="ADI38" s="316"/>
      <c r="ADJ38" s="316"/>
      <c r="ADK38" s="316"/>
      <c r="ADL38" s="316"/>
      <c r="ADM38" s="316"/>
      <c r="ADN38" s="316"/>
      <c r="ADO38" s="316"/>
      <c r="ADP38" s="316"/>
      <c r="ADQ38" s="316"/>
      <c r="ADR38" s="316"/>
      <c r="ADS38" s="316"/>
      <c r="ADT38" s="316"/>
      <c r="ADU38" s="316"/>
      <c r="ADV38" s="316"/>
      <c r="ADW38" s="316"/>
      <c r="ADX38" s="316"/>
      <c r="ADY38" s="316"/>
      <c r="ADZ38" s="316"/>
      <c r="AEA38" s="316"/>
      <c r="AEB38" s="316"/>
      <c r="AEC38" s="316"/>
      <c r="AED38" s="316"/>
      <c r="AEE38" s="316"/>
      <c r="AEF38" s="316"/>
      <c r="AEG38" s="316"/>
      <c r="AEH38" s="316"/>
      <c r="AEI38" s="316"/>
      <c r="AEJ38" s="316"/>
      <c r="AEK38" s="316"/>
      <c r="AEL38" s="316"/>
      <c r="AEM38" s="316"/>
      <c r="AEN38" s="316"/>
      <c r="AEO38" s="316"/>
      <c r="AEP38" s="316"/>
      <c r="AEQ38" s="316"/>
      <c r="AER38" s="316"/>
      <c r="AES38" s="316"/>
      <c r="AET38" s="316"/>
      <c r="AEU38" s="316"/>
      <c r="AEV38" s="316"/>
      <c r="AEW38" s="316"/>
      <c r="AEX38" s="316"/>
      <c r="AEY38" s="316"/>
      <c r="AEZ38" s="316"/>
      <c r="AFA38" s="316"/>
      <c r="AFB38" s="316"/>
      <c r="AFC38" s="316"/>
      <c r="AFD38" s="316"/>
      <c r="AFE38" s="316"/>
      <c r="AFF38" s="316"/>
      <c r="AFG38" s="316"/>
      <c r="AFH38" s="316"/>
      <c r="AFI38" s="316"/>
      <c r="AFJ38" s="316"/>
      <c r="AFK38" s="316"/>
      <c r="AFL38" s="316"/>
      <c r="AFM38" s="316"/>
      <c r="AFN38" s="316"/>
      <c r="AFO38" s="316"/>
      <c r="AFP38" s="316"/>
      <c r="AFQ38" s="316"/>
      <c r="AFR38" s="316"/>
      <c r="AFS38" s="316"/>
      <c r="AFT38" s="316"/>
      <c r="AFU38" s="316"/>
      <c r="AFV38" s="316"/>
      <c r="AFW38" s="316"/>
      <c r="AFX38" s="316"/>
      <c r="AFY38" s="316"/>
      <c r="AFZ38" s="316"/>
      <c r="AGA38" s="316"/>
      <c r="AGB38" s="316"/>
      <c r="AGC38" s="316"/>
      <c r="AGD38" s="316"/>
      <c r="AGE38" s="316"/>
      <c r="AGF38" s="316"/>
      <c r="AGG38" s="316"/>
      <c r="AGH38" s="316"/>
      <c r="AGI38" s="316"/>
      <c r="AGJ38" s="316"/>
      <c r="AGK38" s="316"/>
      <c r="AGL38" s="316"/>
      <c r="AGM38" s="316"/>
      <c r="AGN38" s="316"/>
      <c r="AGO38" s="316"/>
      <c r="AGP38" s="316"/>
      <c r="AGQ38" s="316"/>
      <c r="AGR38" s="316"/>
      <c r="AGS38" s="316"/>
      <c r="AGT38" s="316"/>
      <c r="AGU38" s="316"/>
      <c r="AGV38" s="316"/>
      <c r="AGW38" s="316"/>
      <c r="AGX38" s="316"/>
      <c r="AGY38" s="316"/>
      <c r="AGZ38" s="316"/>
      <c r="AHA38" s="316"/>
      <c r="AHB38" s="316"/>
      <c r="AHC38" s="316"/>
      <c r="AHD38" s="316"/>
      <c r="AHE38" s="316"/>
      <c r="AHF38" s="316"/>
      <c r="AHG38" s="316"/>
      <c r="AHH38" s="316"/>
      <c r="AHI38" s="316"/>
      <c r="AHJ38" s="316"/>
      <c r="AHK38" s="316"/>
      <c r="AHL38" s="316"/>
      <c r="AHM38" s="316"/>
      <c r="AHN38" s="316"/>
      <c r="AHO38" s="316"/>
      <c r="AHP38" s="316"/>
      <c r="AHQ38" s="316"/>
      <c r="AHR38" s="316"/>
      <c r="AHS38" s="316"/>
      <c r="AHT38" s="316"/>
      <c r="AHU38" s="316"/>
      <c r="AHV38" s="316"/>
      <c r="AHW38" s="316"/>
      <c r="AHX38" s="316"/>
      <c r="AHY38" s="316"/>
      <c r="AHZ38" s="316"/>
      <c r="AIA38" s="316"/>
      <c r="AIB38" s="316"/>
      <c r="AIC38" s="316"/>
      <c r="AID38" s="316"/>
      <c r="AIE38" s="316"/>
      <c r="AIF38" s="316"/>
      <c r="AIG38" s="316"/>
      <c r="AIH38" s="316"/>
      <c r="AII38" s="316"/>
      <c r="AIJ38" s="316"/>
      <c r="AIK38" s="316"/>
      <c r="AIL38" s="316"/>
      <c r="AIM38" s="316"/>
      <c r="AIN38" s="316"/>
      <c r="AIO38" s="316"/>
      <c r="AIP38" s="316"/>
      <c r="AIQ38" s="316"/>
      <c r="AIR38" s="316"/>
      <c r="AIS38" s="316"/>
      <c r="AIT38" s="316"/>
      <c r="AIU38" s="316"/>
      <c r="AIV38" s="316"/>
      <c r="AIW38" s="316"/>
      <c r="AIX38" s="316"/>
      <c r="AIY38" s="316"/>
      <c r="AIZ38" s="316"/>
      <c r="AJA38" s="316"/>
      <c r="AJB38" s="316"/>
      <c r="AJC38" s="316"/>
      <c r="AJD38" s="316"/>
      <c r="AJE38" s="316"/>
      <c r="AJF38" s="316"/>
      <c r="AJG38" s="316"/>
      <c r="AJH38" s="316"/>
      <c r="AJI38" s="316"/>
      <c r="AJJ38" s="316"/>
      <c r="AJK38" s="316"/>
      <c r="AJL38" s="316"/>
      <c r="AJM38" s="316"/>
      <c r="AJN38" s="316"/>
      <c r="AJO38" s="316"/>
      <c r="AJP38" s="316"/>
      <c r="AJQ38" s="316"/>
      <c r="AJR38" s="316"/>
      <c r="AJS38" s="316"/>
      <c r="AJT38" s="316"/>
      <c r="AJU38" s="316"/>
      <c r="AJV38" s="316"/>
      <c r="AJW38" s="316"/>
      <c r="AJX38" s="316"/>
      <c r="AJY38" s="316"/>
      <c r="AJZ38" s="316"/>
      <c r="AKA38" s="316"/>
      <c r="AKB38" s="316"/>
      <c r="AKC38" s="316"/>
      <c r="AKD38" s="316"/>
      <c r="AKE38" s="316"/>
      <c r="AKF38" s="316"/>
      <c r="AKG38" s="316"/>
      <c r="AKH38" s="316"/>
      <c r="AKI38" s="316"/>
      <c r="AKJ38" s="316"/>
      <c r="AKK38" s="316"/>
      <c r="AKL38" s="316"/>
      <c r="AKM38" s="316"/>
      <c r="AKN38" s="316"/>
      <c r="AKO38" s="316"/>
      <c r="AKP38" s="316"/>
      <c r="AKQ38" s="316"/>
      <c r="AKR38" s="316"/>
      <c r="AKS38" s="316"/>
      <c r="AKT38" s="316"/>
      <c r="AKU38" s="316"/>
      <c r="AKV38" s="316"/>
      <c r="AKW38" s="316"/>
      <c r="AKX38" s="316"/>
      <c r="AKY38" s="316"/>
      <c r="AKZ38" s="316"/>
      <c r="ALA38" s="316"/>
      <c r="ALB38" s="316"/>
      <c r="ALC38" s="316"/>
      <c r="ALD38" s="316"/>
      <c r="ALE38" s="316"/>
      <c r="ALF38" s="316"/>
      <c r="ALG38" s="316"/>
      <c r="ALH38" s="316"/>
      <c r="ALI38" s="316"/>
      <c r="ALJ38" s="316"/>
      <c r="ALK38" s="316"/>
      <c r="ALL38" s="316"/>
      <c r="ALM38" s="316"/>
      <c r="ALN38" s="316"/>
      <c r="ALO38" s="316"/>
      <c r="ALP38" s="316"/>
      <c r="ALQ38" s="316"/>
      <c r="ALR38" s="316"/>
      <c r="ALS38" s="316"/>
      <c r="ALT38" s="316"/>
      <c r="ALU38" s="316"/>
      <c r="ALV38" s="316"/>
      <c r="ALW38" s="316"/>
      <c r="ALX38" s="316"/>
      <c r="ALY38" s="316"/>
      <c r="ALZ38" s="316"/>
      <c r="AMA38" s="316"/>
      <c r="AMB38" s="316"/>
      <c r="AMC38" s="316"/>
      <c r="AMD38" s="316"/>
      <c r="AME38" s="316"/>
      <c r="AMF38" s="316"/>
      <c r="AMG38" s="316"/>
      <c r="AMH38" s="316"/>
      <c r="AMI38" s="316"/>
      <c r="AMJ38" s="316"/>
      <c r="AMK38" s="316"/>
      <c r="AML38" s="316"/>
      <c r="AMM38" s="316"/>
      <c r="AMN38" s="316"/>
      <c r="AMO38" s="316"/>
      <c r="AMP38" s="316"/>
      <c r="AMQ38" s="316"/>
      <c r="AMR38" s="316"/>
      <c r="AMS38" s="316"/>
      <c r="AMT38" s="316"/>
      <c r="AMU38" s="316"/>
      <c r="AMV38" s="316"/>
      <c r="AMW38" s="316"/>
      <c r="AMX38" s="316"/>
      <c r="AMY38" s="316"/>
      <c r="AMZ38" s="316"/>
      <c r="ANA38" s="316"/>
      <c r="ANB38" s="316"/>
      <c r="ANC38" s="316"/>
      <c r="AND38" s="316"/>
      <c r="ANE38" s="316"/>
      <c r="ANF38" s="316"/>
      <c r="ANG38" s="316"/>
      <c r="ANH38" s="316"/>
      <c r="ANI38" s="316"/>
      <c r="ANJ38" s="316"/>
      <c r="ANK38" s="316"/>
      <c r="ANL38" s="316"/>
      <c r="ANM38" s="316"/>
      <c r="ANN38" s="316"/>
      <c r="ANO38" s="316"/>
      <c r="ANP38" s="316"/>
      <c r="ANQ38" s="316"/>
      <c r="ANR38" s="316"/>
      <c r="ANS38" s="316"/>
      <c r="ANT38" s="316"/>
      <c r="ANU38" s="316"/>
      <c r="ANV38" s="316"/>
      <c r="ANW38" s="316"/>
      <c r="ANX38" s="316"/>
      <c r="ANY38" s="316"/>
      <c r="ANZ38" s="316"/>
      <c r="AOA38" s="316"/>
      <c r="AOB38" s="316"/>
      <c r="AOC38" s="316"/>
      <c r="AOD38" s="316"/>
      <c r="AOE38" s="316"/>
      <c r="AOF38" s="316"/>
      <c r="AOG38" s="316"/>
      <c r="AOH38" s="316"/>
      <c r="AOI38" s="316"/>
      <c r="AOJ38" s="316"/>
      <c r="AOK38" s="316"/>
      <c r="AOL38" s="316"/>
      <c r="AOM38" s="316"/>
      <c r="AON38" s="316"/>
      <c r="AOO38" s="316"/>
      <c r="AOP38" s="316"/>
      <c r="AOQ38" s="316"/>
      <c r="AOR38" s="316"/>
      <c r="AOS38" s="316"/>
      <c r="AOT38" s="316"/>
      <c r="AOU38" s="316"/>
      <c r="AOV38" s="316"/>
      <c r="AOW38" s="316"/>
      <c r="AOX38" s="316"/>
      <c r="AOY38" s="316"/>
      <c r="AOZ38" s="316"/>
      <c r="APA38" s="316"/>
      <c r="APB38" s="316"/>
      <c r="APC38" s="316"/>
      <c r="APD38" s="316"/>
      <c r="APE38" s="316"/>
      <c r="APF38" s="316"/>
      <c r="APG38" s="316"/>
      <c r="APH38" s="316"/>
      <c r="API38" s="316"/>
      <c r="APJ38" s="316"/>
      <c r="APK38" s="316"/>
      <c r="APL38" s="316"/>
      <c r="APM38" s="316"/>
      <c r="APN38" s="316"/>
      <c r="APO38" s="316"/>
      <c r="APP38" s="316"/>
      <c r="APQ38" s="316"/>
      <c r="APR38" s="316"/>
      <c r="APS38" s="316"/>
      <c r="APT38" s="316"/>
      <c r="APU38" s="316"/>
      <c r="APV38" s="316"/>
      <c r="APW38" s="316"/>
      <c r="APX38" s="316"/>
      <c r="APY38" s="316"/>
      <c r="APZ38" s="316"/>
      <c r="AQA38" s="316"/>
      <c r="AQB38" s="316"/>
      <c r="AQC38" s="316"/>
      <c r="AQD38" s="316"/>
      <c r="AQE38" s="316"/>
      <c r="AQF38" s="316"/>
      <c r="AQG38" s="316"/>
      <c r="AQH38" s="316"/>
      <c r="AQI38" s="316"/>
      <c r="AQJ38" s="316"/>
      <c r="AQK38" s="316"/>
      <c r="AQL38" s="316"/>
      <c r="AQM38" s="316"/>
      <c r="AQN38" s="316"/>
      <c r="AQO38" s="316"/>
      <c r="AQP38" s="316"/>
      <c r="AQQ38" s="316"/>
      <c r="AQR38" s="316"/>
      <c r="AQS38" s="316"/>
      <c r="AQT38" s="316"/>
      <c r="AQU38" s="316"/>
      <c r="AQV38" s="316"/>
      <c r="AQW38" s="316"/>
      <c r="AQX38" s="316"/>
      <c r="AQY38" s="316"/>
      <c r="AQZ38" s="316"/>
      <c r="ARA38" s="316"/>
      <c r="ARB38" s="316"/>
      <c r="ARC38" s="316"/>
      <c r="ARD38" s="316"/>
      <c r="ARE38" s="316"/>
      <c r="ARF38" s="316"/>
      <c r="ARG38" s="316"/>
      <c r="ARH38" s="316"/>
      <c r="ARI38" s="316"/>
      <c r="ARJ38" s="316"/>
      <c r="ARK38" s="316"/>
      <c r="ARL38" s="316"/>
      <c r="ARM38" s="316"/>
      <c r="ARN38" s="316"/>
      <c r="ARO38" s="316"/>
      <c r="ARP38" s="316"/>
      <c r="ARQ38" s="316"/>
      <c r="ARR38" s="316"/>
      <c r="ARS38" s="316"/>
      <c r="ART38" s="316"/>
      <c r="ARU38" s="316"/>
      <c r="ARV38" s="316"/>
      <c r="ARW38" s="316"/>
      <c r="ARX38" s="316"/>
      <c r="ARY38" s="316"/>
      <c r="ARZ38" s="316"/>
      <c r="ASA38" s="316"/>
      <c r="ASB38" s="316"/>
      <c r="ASC38" s="316"/>
      <c r="ASD38" s="316"/>
      <c r="ASE38" s="316"/>
      <c r="ASF38" s="316"/>
      <c r="ASG38" s="316"/>
      <c r="ASH38" s="316"/>
      <c r="ASI38" s="316"/>
      <c r="ASJ38" s="316"/>
      <c r="ASK38" s="316"/>
      <c r="ASL38" s="316"/>
      <c r="ASM38" s="316"/>
      <c r="ASN38" s="316"/>
      <c r="ASO38" s="316"/>
      <c r="ASP38" s="316"/>
      <c r="ASQ38" s="316"/>
      <c r="ASR38" s="316"/>
      <c r="ASS38" s="316"/>
      <c r="AST38" s="316"/>
      <c r="ASU38" s="316"/>
      <c r="ASV38" s="316"/>
      <c r="ASW38" s="316"/>
      <c r="ASX38" s="316"/>
      <c r="ASY38" s="316"/>
      <c r="ASZ38" s="316"/>
      <c r="ATA38" s="316"/>
      <c r="ATB38" s="316"/>
      <c r="ATC38" s="316"/>
      <c r="ATD38" s="316"/>
      <c r="ATE38" s="316"/>
      <c r="ATF38" s="316"/>
      <c r="ATG38" s="316"/>
      <c r="ATH38" s="316"/>
      <c r="ATI38" s="316"/>
      <c r="ATJ38" s="316"/>
      <c r="ATK38" s="316"/>
      <c r="ATL38" s="316"/>
      <c r="ATM38" s="316"/>
      <c r="ATN38" s="316"/>
      <c r="ATO38" s="316"/>
      <c r="ATP38" s="316"/>
      <c r="ATQ38" s="316"/>
      <c r="ATR38" s="316"/>
      <c r="ATS38" s="316"/>
      <c r="ATT38" s="316"/>
      <c r="ATU38" s="316"/>
      <c r="ATV38" s="316"/>
      <c r="ATW38" s="316"/>
      <c r="ATX38" s="316"/>
      <c r="ATY38" s="316"/>
      <c r="ATZ38" s="316"/>
      <c r="AUA38" s="316"/>
      <c r="AUB38" s="316"/>
      <c r="AUC38" s="316"/>
      <c r="AUD38" s="316"/>
      <c r="AUE38" s="316"/>
      <c r="AUF38" s="316"/>
      <c r="AUG38" s="316"/>
      <c r="AUH38" s="316"/>
      <c r="AUI38" s="316"/>
      <c r="AUJ38" s="316"/>
      <c r="AUK38" s="316"/>
      <c r="AUL38" s="316"/>
      <c r="AUM38" s="316"/>
      <c r="AUN38" s="316"/>
      <c r="AUO38" s="316"/>
      <c r="AUP38" s="316"/>
      <c r="AUQ38" s="316"/>
      <c r="AUR38" s="316"/>
      <c r="AUS38" s="316"/>
      <c r="AUT38" s="316"/>
      <c r="AUU38" s="316"/>
      <c r="AUV38" s="316"/>
      <c r="AUW38" s="316"/>
      <c r="AUX38" s="316"/>
      <c r="AUY38" s="316"/>
      <c r="AUZ38" s="316"/>
      <c r="AVA38" s="316"/>
      <c r="AVB38" s="316"/>
      <c r="AVC38" s="316"/>
      <c r="AVD38" s="316"/>
      <c r="AVE38" s="316"/>
      <c r="AVF38" s="316"/>
      <c r="AVG38" s="316"/>
      <c r="AVH38" s="316"/>
      <c r="AVI38" s="316"/>
      <c r="AVJ38" s="316"/>
      <c r="AVK38" s="316"/>
      <c r="AVL38" s="316"/>
      <c r="AVM38" s="316"/>
      <c r="AVN38" s="316"/>
      <c r="AVO38" s="316"/>
      <c r="AVP38" s="316"/>
      <c r="AVQ38" s="316"/>
      <c r="AVR38" s="316"/>
      <c r="AVS38" s="316"/>
      <c r="AVT38" s="316"/>
      <c r="AVU38" s="316"/>
      <c r="AVV38" s="316"/>
      <c r="AVW38" s="316"/>
      <c r="AVX38" s="316"/>
      <c r="AVY38" s="316"/>
      <c r="AVZ38" s="316"/>
      <c r="AWA38" s="316"/>
      <c r="AWB38" s="316"/>
      <c r="AWC38" s="316"/>
      <c r="AWD38" s="316"/>
      <c r="AWE38" s="316"/>
      <c r="AWF38" s="316"/>
      <c r="AWG38" s="316"/>
      <c r="AWH38" s="316"/>
      <c r="AWI38" s="316"/>
      <c r="AWJ38" s="316"/>
      <c r="AWK38" s="316"/>
      <c r="AWL38" s="316"/>
      <c r="AWM38" s="316"/>
      <c r="AWN38" s="316"/>
      <c r="AWO38" s="316"/>
      <c r="AWP38" s="316"/>
      <c r="AWQ38" s="316"/>
      <c r="AWR38" s="316"/>
      <c r="AWS38" s="316"/>
      <c r="AWT38" s="316"/>
      <c r="AWU38" s="316"/>
      <c r="AWV38" s="316"/>
      <c r="AWW38" s="316"/>
      <c r="AWX38" s="316"/>
      <c r="AWY38" s="316"/>
      <c r="AWZ38" s="316"/>
      <c r="AXA38" s="316"/>
      <c r="AXB38" s="316"/>
      <c r="AXC38" s="316"/>
      <c r="AXD38" s="316"/>
      <c r="AXE38" s="316"/>
      <c r="AXF38" s="316"/>
      <c r="AXG38" s="316"/>
      <c r="AXH38" s="316"/>
      <c r="AXI38" s="316"/>
      <c r="AXJ38" s="316"/>
      <c r="AXK38" s="316"/>
      <c r="AXL38" s="316"/>
      <c r="AXM38" s="316"/>
      <c r="AXN38" s="316"/>
      <c r="AXO38" s="316"/>
      <c r="AXP38" s="316"/>
      <c r="AXQ38" s="316"/>
      <c r="AXR38" s="316"/>
      <c r="AXS38" s="316"/>
      <c r="AXT38" s="316"/>
      <c r="AXU38" s="316"/>
      <c r="AXV38" s="316"/>
      <c r="AXW38" s="316"/>
      <c r="AXX38" s="316"/>
      <c r="AXY38" s="316"/>
      <c r="AXZ38" s="316"/>
      <c r="AYA38" s="316"/>
      <c r="AYB38" s="316"/>
      <c r="AYC38" s="316"/>
      <c r="AYD38" s="316"/>
      <c r="AYE38" s="316"/>
      <c r="AYF38" s="316"/>
      <c r="AYG38" s="316"/>
      <c r="AYH38" s="316"/>
      <c r="AYI38" s="316"/>
      <c r="AYJ38" s="316"/>
      <c r="AYK38" s="316"/>
      <c r="AYL38" s="316"/>
      <c r="AYM38" s="316"/>
      <c r="AYN38" s="316"/>
      <c r="AYO38" s="316"/>
      <c r="AYP38" s="316"/>
      <c r="AYQ38" s="316"/>
      <c r="AYR38" s="316"/>
      <c r="AYS38" s="316"/>
      <c r="AYT38" s="316"/>
      <c r="AYU38" s="316"/>
      <c r="AYV38" s="316"/>
      <c r="AYW38" s="316"/>
      <c r="AYX38" s="316"/>
      <c r="AYY38" s="316"/>
      <c r="AYZ38" s="316"/>
      <c r="AZA38" s="316"/>
      <c r="AZB38" s="316"/>
      <c r="AZC38" s="316"/>
      <c r="AZD38" s="316"/>
      <c r="AZE38" s="316"/>
      <c r="AZF38" s="316"/>
      <c r="AZG38" s="316"/>
      <c r="AZH38" s="316"/>
      <c r="AZI38" s="316"/>
      <c r="AZJ38" s="316"/>
      <c r="AZK38" s="316"/>
      <c r="AZL38" s="316"/>
      <c r="AZM38" s="316"/>
      <c r="AZN38" s="316"/>
      <c r="AZO38" s="316"/>
      <c r="AZP38" s="316"/>
      <c r="AZQ38" s="316"/>
      <c r="AZR38" s="316"/>
      <c r="AZS38" s="316"/>
      <c r="AZT38" s="316"/>
      <c r="AZU38" s="316"/>
      <c r="AZV38" s="316"/>
      <c r="AZW38" s="316"/>
      <c r="AZX38" s="316"/>
      <c r="AZY38" s="316"/>
      <c r="AZZ38" s="316"/>
      <c r="BAA38" s="316"/>
      <c r="BAB38" s="316"/>
      <c r="BAC38" s="316"/>
      <c r="BAD38" s="316"/>
      <c r="BAE38" s="316"/>
      <c r="BAF38" s="316"/>
      <c r="BAG38" s="316"/>
      <c r="BAH38" s="316"/>
      <c r="BAI38" s="316"/>
      <c r="BAJ38" s="316"/>
      <c r="BAK38" s="316"/>
      <c r="BAL38" s="316"/>
      <c r="BAM38" s="316"/>
      <c r="BAN38" s="316"/>
      <c r="BAO38" s="316"/>
      <c r="BAP38" s="316"/>
      <c r="BAQ38" s="316"/>
      <c r="BAR38" s="316"/>
      <c r="BAS38" s="316"/>
      <c r="BAT38" s="316"/>
      <c r="BAU38" s="316"/>
      <c r="BAV38" s="316"/>
      <c r="BAW38" s="316"/>
      <c r="BAX38" s="316"/>
      <c r="BAY38" s="316"/>
      <c r="BAZ38" s="316"/>
      <c r="BBA38" s="316"/>
      <c r="BBB38" s="316"/>
      <c r="BBC38" s="316"/>
      <c r="BBD38" s="316"/>
      <c r="BBE38" s="316"/>
      <c r="BBF38" s="316"/>
      <c r="BBG38" s="316"/>
      <c r="BBH38" s="316"/>
      <c r="BBI38" s="316"/>
      <c r="BBJ38" s="316"/>
      <c r="BBK38" s="316"/>
      <c r="BBL38" s="316"/>
      <c r="BBM38" s="316"/>
      <c r="BBN38" s="316"/>
      <c r="BBO38" s="316"/>
      <c r="BBP38" s="316"/>
      <c r="BBQ38" s="316"/>
      <c r="BBR38" s="316"/>
      <c r="BBS38" s="316"/>
      <c r="BBT38" s="316"/>
      <c r="BBU38" s="316"/>
      <c r="BBV38" s="316"/>
      <c r="BBW38" s="316"/>
      <c r="BBX38" s="316"/>
      <c r="BBY38" s="316"/>
      <c r="BBZ38" s="316"/>
      <c r="BCA38" s="316"/>
      <c r="BCB38" s="316"/>
      <c r="BCC38" s="316"/>
      <c r="BCD38" s="316"/>
      <c r="BCE38" s="316"/>
      <c r="BCF38" s="316"/>
      <c r="BCG38" s="316"/>
      <c r="BCH38" s="316"/>
      <c r="BCI38" s="316"/>
      <c r="BCJ38" s="316"/>
      <c r="BCK38" s="316"/>
      <c r="BCL38" s="316"/>
      <c r="BCM38" s="316"/>
      <c r="BCN38" s="316"/>
      <c r="BCO38" s="316"/>
      <c r="BCP38" s="316"/>
      <c r="BCQ38" s="316"/>
      <c r="BCR38" s="316"/>
      <c r="BCS38" s="316"/>
      <c r="BCT38" s="316"/>
      <c r="BCU38" s="316"/>
      <c r="BCV38" s="316"/>
      <c r="BCW38" s="316"/>
      <c r="BCX38" s="316"/>
      <c r="BCY38" s="316"/>
      <c r="BCZ38" s="316"/>
      <c r="BDA38" s="316"/>
      <c r="BDB38" s="316"/>
      <c r="BDC38" s="316"/>
      <c r="BDD38" s="316"/>
      <c r="BDE38" s="316"/>
      <c r="BDF38" s="316"/>
      <c r="BDG38" s="316"/>
      <c r="BDH38" s="316"/>
      <c r="BDI38" s="316"/>
      <c r="BDJ38" s="316"/>
      <c r="BDK38" s="316"/>
      <c r="BDL38" s="316"/>
      <c r="BDM38" s="316"/>
      <c r="BDN38" s="316"/>
      <c r="BDO38" s="316"/>
      <c r="BDP38" s="316"/>
      <c r="BDQ38" s="316"/>
      <c r="BDR38" s="316"/>
      <c r="BDS38" s="316"/>
      <c r="BDT38" s="316"/>
      <c r="BDU38" s="316"/>
      <c r="BDV38" s="316"/>
      <c r="BDW38" s="316"/>
      <c r="BDX38" s="316"/>
      <c r="BDY38" s="316"/>
      <c r="BDZ38" s="316"/>
      <c r="BEA38" s="316"/>
      <c r="BEB38" s="316"/>
      <c r="BEC38" s="316"/>
      <c r="BED38" s="316"/>
      <c r="BEE38" s="316"/>
      <c r="BEF38" s="316"/>
      <c r="BEG38" s="316"/>
      <c r="BEH38" s="316"/>
      <c r="BEI38" s="316"/>
      <c r="BEJ38" s="316"/>
      <c r="BEK38" s="316"/>
      <c r="BEL38" s="316"/>
      <c r="BEM38" s="316"/>
      <c r="BEN38" s="316"/>
      <c r="BEO38" s="316"/>
      <c r="BEP38" s="316"/>
      <c r="BEQ38" s="316"/>
      <c r="BER38" s="316"/>
      <c r="BES38" s="316"/>
      <c r="BET38" s="316"/>
      <c r="BEU38" s="316"/>
      <c r="BEV38" s="316"/>
      <c r="BEW38" s="316"/>
      <c r="BEX38" s="316"/>
      <c r="BEY38" s="316"/>
      <c r="BEZ38" s="316"/>
      <c r="BFA38" s="316"/>
      <c r="BFB38" s="316"/>
      <c r="BFC38" s="316"/>
      <c r="BFD38" s="316"/>
      <c r="BFE38" s="316"/>
      <c r="BFF38" s="316"/>
      <c r="BFG38" s="316"/>
      <c r="BFH38" s="316"/>
      <c r="BFI38" s="316"/>
      <c r="BFJ38" s="316"/>
      <c r="BFK38" s="316"/>
      <c r="BFL38" s="316"/>
      <c r="BFM38" s="316"/>
      <c r="BFN38" s="316"/>
      <c r="BFO38" s="316"/>
      <c r="BFP38" s="316"/>
      <c r="BFQ38" s="316"/>
      <c r="BFR38" s="316"/>
      <c r="BFS38" s="316"/>
      <c r="BFT38" s="316"/>
      <c r="BFU38" s="316"/>
      <c r="BFV38" s="316"/>
      <c r="BFW38" s="316"/>
      <c r="BFX38" s="316"/>
      <c r="BFY38" s="316"/>
      <c r="BFZ38" s="316"/>
      <c r="BGA38" s="316"/>
      <c r="BGB38" s="316"/>
      <c r="BGC38" s="316"/>
      <c r="BGD38" s="316"/>
      <c r="BGE38" s="316"/>
      <c r="BGF38" s="316"/>
      <c r="BGG38" s="316"/>
      <c r="BGH38" s="316"/>
      <c r="BGI38" s="316"/>
      <c r="BGJ38" s="316"/>
      <c r="BGK38" s="316"/>
      <c r="BGL38" s="316"/>
      <c r="BGM38" s="316"/>
      <c r="BGN38" s="316"/>
      <c r="BGO38" s="316"/>
      <c r="BGP38" s="316"/>
      <c r="BGQ38" s="316"/>
      <c r="BGR38" s="316"/>
      <c r="BGS38" s="316"/>
      <c r="BGT38" s="316"/>
      <c r="BGU38" s="316"/>
      <c r="BGV38" s="316"/>
      <c r="BGW38" s="316"/>
      <c r="BGX38" s="316"/>
      <c r="BGY38" s="316"/>
      <c r="BGZ38" s="316"/>
      <c r="BHA38" s="316"/>
      <c r="BHB38" s="316"/>
      <c r="BHC38" s="316"/>
      <c r="BHD38" s="316"/>
      <c r="BHE38" s="316"/>
      <c r="BHF38" s="316"/>
      <c r="BHG38" s="316"/>
      <c r="BHH38" s="316"/>
      <c r="BHI38" s="316"/>
      <c r="BHJ38" s="316"/>
      <c r="BHK38" s="316"/>
      <c r="BHL38" s="316"/>
      <c r="BHM38" s="316"/>
      <c r="BHN38" s="316"/>
      <c r="BHO38" s="316"/>
      <c r="BHP38" s="316"/>
      <c r="BHQ38" s="316"/>
      <c r="BHR38" s="316"/>
      <c r="BHS38" s="316"/>
      <c r="BHT38" s="316"/>
      <c r="BHU38" s="316"/>
      <c r="BHV38" s="316"/>
      <c r="BHW38" s="316"/>
      <c r="BHX38" s="316"/>
      <c r="BHY38" s="316"/>
      <c r="BHZ38" s="316"/>
      <c r="BIA38" s="316"/>
      <c r="BIB38" s="316"/>
      <c r="BIC38" s="316"/>
      <c r="BID38" s="316"/>
      <c r="BIE38" s="316"/>
      <c r="BIF38" s="316"/>
      <c r="BIG38" s="316"/>
      <c r="BIH38" s="316"/>
      <c r="BII38" s="316"/>
      <c r="BIJ38" s="316"/>
      <c r="BIK38" s="316"/>
      <c r="BIL38" s="316"/>
      <c r="BIM38" s="316"/>
      <c r="BIN38" s="316"/>
      <c r="BIO38" s="316"/>
      <c r="BIP38" s="316"/>
      <c r="BIQ38" s="316"/>
      <c r="BIR38" s="316"/>
      <c r="BIS38" s="316"/>
      <c r="BIT38" s="316"/>
      <c r="BIU38" s="316"/>
      <c r="BIV38" s="316"/>
      <c r="BIW38" s="316"/>
      <c r="BIX38" s="316"/>
      <c r="BIY38" s="316"/>
      <c r="BIZ38" s="316"/>
      <c r="BJA38" s="316"/>
      <c r="BJB38" s="316"/>
      <c r="BJC38" s="316"/>
      <c r="BJD38" s="316"/>
      <c r="BJE38" s="316"/>
      <c r="BJF38" s="316"/>
      <c r="BJG38" s="316"/>
      <c r="BJH38" s="316"/>
      <c r="BJI38" s="316"/>
      <c r="BJJ38" s="316"/>
      <c r="BJK38" s="316"/>
      <c r="BJL38" s="316"/>
      <c r="BJM38" s="316"/>
      <c r="BJN38" s="316"/>
      <c r="BJO38" s="316"/>
      <c r="BJP38" s="316"/>
      <c r="BJQ38" s="316"/>
      <c r="BJR38" s="316"/>
      <c r="BJS38" s="316"/>
      <c r="BJT38" s="316"/>
      <c r="BJU38" s="316"/>
      <c r="BJV38" s="316"/>
      <c r="BJW38" s="316"/>
      <c r="BJX38" s="316"/>
      <c r="BJY38" s="316"/>
      <c r="BJZ38" s="316"/>
      <c r="BKA38" s="316"/>
      <c r="BKB38" s="316"/>
      <c r="BKC38" s="316"/>
      <c r="BKD38" s="316"/>
      <c r="BKE38" s="316"/>
      <c r="BKF38" s="316"/>
      <c r="BKG38" s="316"/>
      <c r="BKH38" s="316"/>
      <c r="BKI38" s="316"/>
      <c r="BKJ38" s="316"/>
      <c r="BKK38" s="316"/>
      <c r="BKL38" s="316"/>
      <c r="BKM38" s="316"/>
      <c r="BKN38" s="316"/>
      <c r="BKO38" s="316"/>
      <c r="BKP38" s="316"/>
      <c r="BKQ38" s="316"/>
      <c r="BKR38" s="316"/>
      <c r="BKS38" s="316"/>
      <c r="BKT38" s="316"/>
      <c r="BKU38" s="316"/>
      <c r="BKV38" s="316"/>
      <c r="BKW38" s="316"/>
      <c r="BKX38" s="316"/>
      <c r="BKY38" s="316"/>
      <c r="BKZ38" s="316"/>
      <c r="BLA38" s="316"/>
      <c r="BLB38" s="316"/>
      <c r="BLC38" s="316"/>
      <c r="BLD38" s="316"/>
      <c r="BLE38" s="316"/>
      <c r="BLF38" s="316"/>
      <c r="BLG38" s="316"/>
      <c r="BLH38" s="316"/>
      <c r="BLI38" s="316"/>
      <c r="BLJ38" s="316"/>
      <c r="BLK38" s="316"/>
      <c r="BLL38" s="316"/>
      <c r="BLM38" s="316"/>
      <c r="BLN38" s="316"/>
      <c r="BLO38" s="316"/>
      <c r="BLP38" s="316"/>
      <c r="BLQ38" s="316"/>
      <c r="BLR38" s="316"/>
      <c r="BLS38" s="316"/>
      <c r="BLT38" s="316"/>
      <c r="BLU38" s="316"/>
      <c r="BLV38" s="316"/>
      <c r="BLW38" s="316"/>
      <c r="BLX38" s="316"/>
      <c r="BLY38" s="316"/>
      <c r="BLZ38" s="316"/>
      <c r="BMA38" s="316"/>
      <c r="BMB38" s="316"/>
      <c r="BMC38" s="316"/>
      <c r="BMD38" s="316"/>
      <c r="BME38" s="316"/>
      <c r="BMF38" s="316"/>
      <c r="BMG38" s="316"/>
      <c r="BMH38" s="316"/>
      <c r="BMI38" s="316"/>
      <c r="BMJ38" s="316"/>
      <c r="BMK38" s="316"/>
      <c r="BML38" s="316"/>
      <c r="BMM38" s="316"/>
      <c r="BMN38" s="316"/>
      <c r="BMO38" s="316"/>
      <c r="BMP38" s="316"/>
      <c r="BMQ38" s="316"/>
      <c r="BMR38" s="316"/>
      <c r="BMS38" s="316"/>
      <c r="BMT38" s="316"/>
      <c r="BMU38" s="316"/>
      <c r="BMV38" s="316"/>
      <c r="BMW38" s="316"/>
      <c r="BMX38" s="316"/>
      <c r="BMY38" s="316"/>
      <c r="BMZ38" s="316"/>
      <c r="BNA38" s="316"/>
      <c r="BNB38" s="316"/>
      <c r="BNC38" s="316"/>
      <c r="BND38" s="316"/>
      <c r="BNE38" s="316"/>
      <c r="BNF38" s="316"/>
      <c r="BNG38" s="316"/>
      <c r="BNH38" s="316"/>
      <c r="BNI38" s="316"/>
      <c r="BNJ38" s="316"/>
      <c r="BNK38" s="316"/>
      <c r="BNL38" s="316"/>
      <c r="BNM38" s="316"/>
      <c r="BNN38" s="316"/>
      <c r="BNO38" s="316"/>
      <c r="BNP38" s="316"/>
      <c r="BNQ38" s="316"/>
      <c r="BNR38" s="316"/>
      <c r="BNS38" s="316"/>
      <c r="BNT38" s="316"/>
      <c r="BNU38" s="316"/>
      <c r="BNV38" s="316"/>
      <c r="BNW38" s="316"/>
      <c r="BNX38" s="316"/>
      <c r="BNY38" s="316"/>
      <c r="BNZ38" s="316"/>
      <c r="BOA38" s="316"/>
      <c r="BOB38" s="316"/>
      <c r="BOC38" s="316"/>
      <c r="BOD38" s="316"/>
      <c r="BOE38" s="316"/>
      <c r="BOF38" s="316"/>
      <c r="BOG38" s="316"/>
      <c r="BOH38" s="316"/>
      <c r="BOI38" s="316"/>
      <c r="BOJ38" s="316"/>
      <c r="BOK38" s="316"/>
      <c r="BOL38" s="316"/>
      <c r="BOM38" s="316"/>
      <c r="BON38" s="316"/>
      <c r="BOO38" s="316"/>
      <c r="BOP38" s="316"/>
      <c r="BOQ38" s="316"/>
      <c r="BOR38" s="316"/>
      <c r="BOS38" s="316"/>
      <c r="BOT38" s="316"/>
      <c r="BOU38" s="316"/>
      <c r="BOV38" s="316"/>
      <c r="BOW38" s="316"/>
      <c r="BOX38" s="316"/>
      <c r="BOY38" s="316"/>
      <c r="BOZ38" s="316"/>
      <c r="BPA38" s="316"/>
      <c r="BPB38" s="316"/>
      <c r="BPC38" s="316"/>
      <c r="BPD38" s="316"/>
      <c r="BPE38" s="316"/>
      <c r="BPF38" s="316"/>
      <c r="BPG38" s="316"/>
      <c r="BPH38" s="316"/>
      <c r="BPI38" s="316"/>
      <c r="BPJ38" s="316"/>
      <c r="BPK38" s="316"/>
      <c r="BPL38" s="316"/>
      <c r="BPM38" s="316"/>
      <c r="BPN38" s="316"/>
      <c r="BPO38" s="316"/>
      <c r="BPP38" s="316"/>
      <c r="BPQ38" s="316"/>
      <c r="BPR38" s="316"/>
      <c r="BPS38" s="316"/>
      <c r="BPT38" s="316"/>
      <c r="BPU38" s="316"/>
      <c r="BPV38" s="316"/>
      <c r="BPW38" s="316"/>
      <c r="BPX38" s="316"/>
      <c r="BPY38" s="316"/>
      <c r="BPZ38" s="316"/>
      <c r="BQA38" s="316"/>
      <c r="BQB38" s="316"/>
      <c r="BQC38" s="316"/>
      <c r="BQD38" s="316"/>
      <c r="BQE38" s="316"/>
      <c r="BQF38" s="316"/>
      <c r="BQG38" s="316"/>
      <c r="BQH38" s="316"/>
      <c r="BQI38" s="316"/>
      <c r="BQJ38" s="316"/>
      <c r="BQK38" s="316"/>
      <c r="BQL38" s="316"/>
      <c r="BQM38" s="316"/>
      <c r="BQN38" s="316"/>
      <c r="BQO38" s="316"/>
      <c r="BQP38" s="316"/>
      <c r="BQQ38" s="316"/>
      <c r="BQR38" s="316"/>
      <c r="BQS38" s="316"/>
      <c r="BQT38" s="316"/>
      <c r="BQU38" s="316"/>
      <c r="BQV38" s="316"/>
      <c r="BQW38" s="316"/>
      <c r="BQX38" s="316"/>
      <c r="BQY38" s="316"/>
      <c r="BQZ38" s="316"/>
      <c r="BRA38" s="316"/>
      <c r="BRB38" s="316"/>
      <c r="BRC38" s="316"/>
      <c r="BRD38" s="316"/>
      <c r="BRE38" s="316"/>
      <c r="BRF38" s="316"/>
      <c r="BRG38" s="316"/>
      <c r="BRH38" s="316"/>
      <c r="BRI38" s="316"/>
      <c r="BRJ38" s="316"/>
      <c r="BRK38" s="316"/>
      <c r="BRL38" s="316"/>
      <c r="BRM38" s="316"/>
      <c r="BRN38" s="316"/>
      <c r="BRO38" s="316"/>
      <c r="BRP38" s="316"/>
      <c r="BRQ38" s="316"/>
      <c r="BRR38" s="316"/>
      <c r="BRS38" s="316"/>
      <c r="BRT38" s="316"/>
      <c r="BRU38" s="316"/>
      <c r="BRV38" s="316"/>
      <c r="BRW38" s="316"/>
      <c r="BRX38" s="316"/>
      <c r="BRY38" s="316"/>
      <c r="BRZ38" s="316"/>
      <c r="BSA38" s="316"/>
      <c r="BSB38" s="316"/>
      <c r="BSC38" s="316"/>
      <c r="BSD38" s="316"/>
      <c r="BSE38" s="316"/>
      <c r="BSF38" s="316"/>
      <c r="BSG38" s="316"/>
      <c r="BSH38" s="316"/>
      <c r="BSI38" s="316"/>
      <c r="BSJ38" s="316"/>
      <c r="BSK38" s="316"/>
      <c r="BSL38" s="316"/>
      <c r="BSM38" s="316"/>
      <c r="BSN38" s="316"/>
      <c r="BSO38" s="316"/>
      <c r="BSP38" s="316"/>
      <c r="BSQ38" s="316"/>
      <c r="BSR38" s="316"/>
      <c r="BSS38" s="316"/>
      <c r="BST38" s="316"/>
      <c r="BSU38" s="316"/>
      <c r="BSV38" s="316"/>
      <c r="BSW38" s="316"/>
      <c r="BSX38" s="316"/>
      <c r="BSY38" s="316"/>
      <c r="BSZ38" s="316"/>
      <c r="BTA38" s="316"/>
      <c r="BTB38" s="316"/>
      <c r="BTC38" s="316"/>
      <c r="BTD38" s="316"/>
      <c r="BTE38" s="316"/>
      <c r="BTF38" s="316"/>
      <c r="BTG38" s="316"/>
      <c r="BTH38" s="316"/>
      <c r="BTI38" s="316"/>
      <c r="BTJ38" s="316"/>
      <c r="BTK38" s="316"/>
      <c r="BTL38" s="316"/>
      <c r="BTM38" s="316"/>
      <c r="BTN38" s="316"/>
      <c r="BTO38" s="316"/>
      <c r="BTP38" s="316"/>
      <c r="BTQ38" s="316"/>
      <c r="BTR38" s="316"/>
      <c r="BTS38" s="316"/>
      <c r="BTT38" s="316"/>
      <c r="BTU38" s="316"/>
      <c r="BTV38" s="316"/>
      <c r="BTW38" s="316"/>
      <c r="BTX38" s="316"/>
      <c r="BTY38" s="316"/>
      <c r="BTZ38" s="316"/>
      <c r="BUA38" s="316"/>
      <c r="BUB38" s="316"/>
      <c r="BUC38" s="316"/>
      <c r="BUD38" s="316"/>
      <c r="BUE38" s="316"/>
      <c r="BUF38" s="316"/>
      <c r="BUG38" s="316"/>
      <c r="BUH38" s="316"/>
      <c r="BUI38" s="316"/>
      <c r="BUJ38" s="316"/>
      <c r="BUK38" s="316"/>
      <c r="BUL38" s="316"/>
      <c r="BUM38" s="316"/>
      <c r="BUN38" s="316"/>
      <c r="BUO38" s="316"/>
      <c r="BUP38" s="316"/>
      <c r="BUQ38" s="316"/>
      <c r="BUR38" s="316"/>
      <c r="BUS38" s="316"/>
      <c r="BUT38" s="316"/>
      <c r="BUU38" s="316"/>
      <c r="BUV38" s="316"/>
      <c r="BUW38" s="316"/>
      <c r="BUX38" s="316"/>
      <c r="BUY38" s="316"/>
      <c r="BUZ38" s="316"/>
      <c r="BVA38" s="316"/>
      <c r="BVB38" s="316"/>
      <c r="BVC38" s="316"/>
      <c r="BVD38" s="316"/>
      <c r="BVE38" s="316"/>
      <c r="BVF38" s="316"/>
      <c r="BVG38" s="316"/>
      <c r="BVH38" s="316"/>
      <c r="BVI38" s="316"/>
      <c r="BVJ38" s="316"/>
      <c r="BVK38" s="316"/>
      <c r="BVL38" s="316"/>
      <c r="BVM38" s="316"/>
      <c r="BVN38" s="316"/>
      <c r="BVO38" s="316"/>
      <c r="BVP38" s="316"/>
      <c r="BVQ38" s="316"/>
      <c r="BVR38" s="316"/>
      <c r="BVS38" s="316"/>
      <c r="BVT38" s="316"/>
      <c r="BVU38" s="316"/>
      <c r="BVV38" s="316"/>
      <c r="BVW38" s="316"/>
      <c r="BVX38" s="316"/>
      <c r="BVY38" s="316"/>
      <c r="BVZ38" s="316"/>
      <c r="BWA38" s="316"/>
      <c r="BWB38" s="316"/>
      <c r="BWC38" s="316"/>
      <c r="BWD38" s="316"/>
      <c r="BWE38" s="316"/>
      <c r="BWF38" s="316"/>
      <c r="BWG38" s="316"/>
      <c r="BWH38" s="316"/>
      <c r="BWI38" s="316"/>
      <c r="BWJ38" s="316"/>
      <c r="BWK38" s="316"/>
      <c r="BWL38" s="316"/>
      <c r="BWM38" s="316"/>
      <c r="BWN38" s="316"/>
      <c r="BWO38" s="316"/>
      <c r="BWP38" s="316"/>
      <c r="BWQ38" s="316"/>
      <c r="BWR38" s="316"/>
      <c r="BWS38" s="316"/>
      <c r="BWT38" s="316"/>
      <c r="BWU38" s="316"/>
      <c r="BWV38" s="316"/>
      <c r="BWW38" s="316"/>
      <c r="BWX38" s="316"/>
      <c r="BWY38" s="316"/>
      <c r="BWZ38" s="316"/>
      <c r="BXA38" s="316"/>
      <c r="BXB38" s="316"/>
      <c r="BXC38" s="316"/>
      <c r="BXD38" s="316"/>
      <c r="BXE38" s="316"/>
      <c r="BXF38" s="316"/>
      <c r="BXG38" s="316"/>
      <c r="BXH38" s="316"/>
      <c r="BXI38" s="316"/>
      <c r="BXJ38" s="316"/>
      <c r="BXK38" s="316"/>
      <c r="BXL38" s="316"/>
      <c r="BXM38" s="316"/>
      <c r="BXN38" s="316"/>
      <c r="BXO38" s="316"/>
      <c r="BXP38" s="316"/>
      <c r="BXQ38" s="316"/>
      <c r="BXR38" s="316"/>
      <c r="BXS38" s="316"/>
      <c r="BXT38" s="316"/>
      <c r="BXU38" s="316"/>
      <c r="BXV38" s="316"/>
      <c r="BXW38" s="316"/>
      <c r="BXX38" s="316"/>
      <c r="BXY38" s="316"/>
      <c r="BXZ38" s="316"/>
      <c r="BYA38" s="316"/>
      <c r="BYB38" s="316"/>
      <c r="BYC38" s="316"/>
      <c r="BYD38" s="316"/>
      <c r="BYE38" s="316"/>
      <c r="BYF38" s="316"/>
      <c r="BYG38" s="316"/>
      <c r="BYH38" s="316"/>
      <c r="BYI38" s="316"/>
      <c r="BYJ38" s="316"/>
      <c r="BYK38" s="316"/>
      <c r="BYL38" s="316"/>
      <c r="BYM38" s="316"/>
      <c r="BYN38" s="316"/>
      <c r="BYO38" s="316"/>
      <c r="BYP38" s="316"/>
      <c r="BYQ38" s="316"/>
      <c r="BYR38" s="316"/>
      <c r="BYS38" s="316"/>
      <c r="BYT38" s="316"/>
      <c r="BYU38" s="316"/>
      <c r="BYV38" s="316"/>
      <c r="BYW38" s="316"/>
      <c r="BYX38" s="316"/>
      <c r="BYY38" s="316"/>
      <c r="BYZ38" s="316"/>
      <c r="BZA38" s="316"/>
      <c r="BZB38" s="316"/>
      <c r="BZC38" s="316"/>
      <c r="BZD38" s="316"/>
      <c r="BZE38" s="316"/>
      <c r="BZF38" s="316"/>
      <c r="BZG38" s="316"/>
      <c r="BZH38" s="316"/>
      <c r="BZI38" s="316"/>
      <c r="BZJ38" s="316"/>
      <c r="BZK38" s="316"/>
      <c r="BZL38" s="316"/>
      <c r="BZM38" s="316"/>
      <c r="BZN38" s="316"/>
      <c r="BZO38" s="316"/>
      <c r="BZP38" s="316"/>
      <c r="BZQ38" s="316"/>
      <c r="BZR38" s="316"/>
      <c r="BZS38" s="316"/>
      <c r="BZT38" s="316"/>
      <c r="BZU38" s="316"/>
      <c r="BZV38" s="316"/>
      <c r="BZW38" s="316"/>
      <c r="BZX38" s="316"/>
      <c r="BZY38" s="316"/>
      <c r="BZZ38" s="316"/>
      <c r="CAA38" s="316"/>
      <c r="CAB38" s="316"/>
      <c r="CAC38" s="316"/>
      <c r="CAD38" s="316"/>
      <c r="CAE38" s="316"/>
      <c r="CAF38" s="316"/>
      <c r="CAG38" s="316"/>
      <c r="CAH38" s="316"/>
      <c r="CAI38" s="316"/>
      <c r="CAJ38" s="316"/>
      <c r="CAK38" s="316"/>
      <c r="CAL38" s="316"/>
      <c r="CAM38" s="316"/>
      <c r="CAN38" s="316"/>
      <c r="CAO38" s="316"/>
      <c r="CAP38" s="316"/>
      <c r="CAQ38" s="316"/>
      <c r="CAR38" s="316"/>
      <c r="CAS38" s="316"/>
      <c r="CAT38" s="316"/>
      <c r="CAU38" s="316"/>
      <c r="CAV38" s="316"/>
      <c r="CAW38" s="316"/>
      <c r="CAX38" s="316"/>
      <c r="CAY38" s="316"/>
      <c r="CAZ38" s="316"/>
      <c r="CBA38" s="316"/>
      <c r="CBB38" s="316"/>
      <c r="CBC38" s="316"/>
      <c r="CBD38" s="316"/>
      <c r="CBE38" s="316"/>
      <c r="CBF38" s="316"/>
      <c r="CBG38" s="316"/>
      <c r="CBH38" s="316"/>
      <c r="CBI38" s="316"/>
      <c r="CBJ38" s="316"/>
      <c r="CBK38" s="316"/>
      <c r="CBL38" s="316"/>
      <c r="CBM38" s="316"/>
      <c r="CBN38" s="316"/>
      <c r="CBO38" s="316"/>
      <c r="CBP38" s="316"/>
      <c r="CBQ38" s="316"/>
      <c r="CBR38" s="316"/>
      <c r="CBS38" s="316"/>
      <c r="CBT38" s="316"/>
      <c r="CBU38" s="316"/>
      <c r="CBV38" s="316"/>
      <c r="CBW38" s="316"/>
      <c r="CBX38" s="316"/>
      <c r="CBY38" s="316"/>
      <c r="CBZ38" s="316"/>
      <c r="CCA38" s="316"/>
      <c r="CCB38" s="316"/>
      <c r="CCC38" s="316"/>
      <c r="CCD38" s="316"/>
      <c r="CCE38" s="316"/>
      <c r="CCF38" s="316"/>
      <c r="CCG38" s="316"/>
      <c r="CCH38" s="316"/>
      <c r="CCI38" s="316"/>
      <c r="CCJ38" s="316"/>
      <c r="CCK38" s="316"/>
      <c r="CCL38" s="316"/>
      <c r="CCM38" s="316"/>
      <c r="CCN38" s="316"/>
      <c r="CCO38" s="316"/>
      <c r="CCP38" s="316"/>
      <c r="CCQ38" s="316"/>
      <c r="CCR38" s="316"/>
      <c r="CCS38" s="316"/>
      <c r="CCT38" s="316"/>
      <c r="CCU38" s="316"/>
      <c r="CCV38" s="316"/>
      <c r="CCW38" s="316"/>
      <c r="CCX38" s="316"/>
      <c r="CCY38" s="316"/>
      <c r="CCZ38" s="316"/>
      <c r="CDA38" s="316"/>
      <c r="CDB38" s="316"/>
      <c r="CDC38" s="316"/>
      <c r="CDD38" s="316"/>
      <c r="CDE38" s="316"/>
      <c r="CDF38" s="316"/>
      <c r="CDG38" s="316"/>
      <c r="CDH38" s="316"/>
      <c r="CDI38" s="316"/>
      <c r="CDJ38" s="316"/>
      <c r="CDK38" s="316"/>
      <c r="CDL38" s="316"/>
      <c r="CDM38" s="316"/>
      <c r="CDN38" s="316"/>
      <c r="CDO38" s="316"/>
      <c r="CDP38" s="316"/>
      <c r="CDQ38" s="316"/>
      <c r="CDR38" s="316"/>
      <c r="CDS38" s="316"/>
      <c r="CDT38" s="316"/>
      <c r="CDU38" s="316"/>
      <c r="CDV38" s="316"/>
      <c r="CDW38" s="316"/>
      <c r="CDX38" s="316"/>
      <c r="CDY38" s="316"/>
      <c r="CDZ38" s="316"/>
      <c r="CEA38" s="316"/>
      <c r="CEB38" s="316"/>
      <c r="CEC38" s="316"/>
      <c r="CED38" s="316"/>
      <c r="CEE38" s="316"/>
      <c r="CEF38" s="316"/>
      <c r="CEG38" s="316"/>
      <c r="CEH38" s="316"/>
      <c r="CEI38" s="316"/>
      <c r="CEJ38" s="316"/>
      <c r="CEK38" s="316"/>
      <c r="CEL38" s="316"/>
      <c r="CEM38" s="316"/>
      <c r="CEN38" s="316"/>
      <c r="CEO38" s="316"/>
      <c r="CEP38" s="316"/>
      <c r="CEQ38" s="316"/>
      <c r="CER38" s="316"/>
      <c r="CES38" s="316"/>
      <c r="CET38" s="316"/>
      <c r="CEU38" s="316"/>
      <c r="CEV38" s="316"/>
      <c r="CEW38" s="316"/>
      <c r="CEX38" s="316"/>
      <c r="CEY38" s="316"/>
      <c r="CEZ38" s="316"/>
      <c r="CFA38" s="316"/>
      <c r="CFB38" s="316"/>
      <c r="CFC38" s="316"/>
      <c r="CFD38" s="316"/>
      <c r="CFE38" s="316"/>
      <c r="CFF38" s="316"/>
      <c r="CFG38" s="316"/>
      <c r="CFH38" s="316"/>
      <c r="CFI38" s="316"/>
      <c r="CFJ38" s="316"/>
      <c r="CFK38" s="316"/>
      <c r="CFL38" s="316"/>
      <c r="CFM38" s="316"/>
      <c r="CFN38" s="316"/>
      <c r="CFO38" s="316"/>
      <c r="CFP38" s="316"/>
      <c r="CFQ38" s="316"/>
      <c r="CFR38" s="316"/>
      <c r="CFS38" s="316"/>
      <c r="CFT38" s="316"/>
      <c r="CFU38" s="316"/>
      <c r="CFV38" s="316"/>
      <c r="CFW38" s="316"/>
      <c r="CFX38" s="316"/>
      <c r="CFY38" s="316"/>
      <c r="CFZ38" s="316"/>
      <c r="CGA38" s="316"/>
      <c r="CGB38" s="316"/>
      <c r="CGC38" s="316"/>
      <c r="CGD38" s="316"/>
      <c r="CGE38" s="316"/>
      <c r="CGF38" s="316"/>
      <c r="CGG38" s="316"/>
      <c r="CGH38" s="316"/>
      <c r="CGI38" s="316"/>
      <c r="CGJ38" s="316"/>
      <c r="CGK38" s="316"/>
      <c r="CGL38" s="316"/>
      <c r="CGM38" s="316"/>
      <c r="CGN38" s="316"/>
      <c r="CGO38" s="316"/>
      <c r="CGP38" s="316"/>
      <c r="CGQ38" s="316"/>
      <c r="CGR38" s="316"/>
      <c r="CGS38" s="316"/>
      <c r="CGT38" s="316"/>
      <c r="CGU38" s="316"/>
      <c r="CGV38" s="316"/>
      <c r="CGW38" s="316"/>
      <c r="CGX38" s="316"/>
      <c r="CGY38" s="316"/>
      <c r="CGZ38" s="316"/>
      <c r="CHA38" s="316"/>
      <c r="CHB38" s="316"/>
      <c r="CHC38" s="316"/>
      <c r="CHD38" s="316"/>
      <c r="CHE38" s="316"/>
      <c r="CHF38" s="316"/>
      <c r="CHG38" s="316"/>
      <c r="CHH38" s="316"/>
      <c r="CHI38" s="316"/>
      <c r="CHJ38" s="316"/>
      <c r="CHK38" s="316"/>
      <c r="CHL38" s="316"/>
      <c r="CHM38" s="316"/>
      <c r="CHN38" s="316"/>
      <c r="CHO38" s="316"/>
      <c r="CHP38" s="316"/>
      <c r="CHQ38" s="316"/>
      <c r="CHR38" s="316"/>
      <c r="CHS38" s="316"/>
      <c r="CHT38" s="316"/>
      <c r="CHU38" s="316"/>
      <c r="CHV38" s="316"/>
      <c r="CHW38" s="316"/>
      <c r="CHX38" s="316"/>
      <c r="CHY38" s="316"/>
      <c r="CHZ38" s="316"/>
      <c r="CIA38" s="316"/>
      <c r="CIB38" s="316"/>
      <c r="CIC38" s="316"/>
      <c r="CID38" s="316"/>
      <c r="CIE38" s="316"/>
      <c r="CIF38" s="316"/>
      <c r="CIG38" s="316"/>
      <c r="CIH38" s="316"/>
      <c r="CII38" s="316"/>
      <c r="CIJ38" s="316"/>
      <c r="CIK38" s="316"/>
      <c r="CIL38" s="316"/>
      <c r="CIM38" s="316"/>
      <c r="CIN38" s="316"/>
      <c r="CIO38" s="316"/>
      <c r="CIP38" s="316"/>
      <c r="CIQ38" s="316"/>
      <c r="CIR38" s="316"/>
      <c r="CIS38" s="316"/>
      <c r="CIT38" s="316"/>
      <c r="CIU38" s="316"/>
      <c r="CIV38" s="316"/>
      <c r="CIW38" s="316"/>
      <c r="CIX38" s="316"/>
      <c r="CIY38" s="316"/>
      <c r="CIZ38" s="316"/>
      <c r="CJA38" s="316"/>
      <c r="CJB38" s="316"/>
      <c r="CJC38" s="316"/>
      <c r="CJD38" s="316"/>
      <c r="CJE38" s="316"/>
      <c r="CJF38" s="316"/>
      <c r="CJG38" s="316"/>
      <c r="CJH38" s="316"/>
      <c r="CJI38" s="316"/>
      <c r="CJJ38" s="316"/>
      <c r="CJK38" s="316"/>
      <c r="CJL38" s="316"/>
      <c r="CJM38" s="316"/>
      <c r="CJN38" s="316"/>
      <c r="CJO38" s="316"/>
      <c r="CJP38" s="316"/>
      <c r="CJQ38" s="316"/>
      <c r="CJR38" s="316"/>
      <c r="CJS38" s="316"/>
      <c r="CJT38" s="316"/>
      <c r="CJU38" s="316"/>
      <c r="CJV38" s="316"/>
      <c r="CJW38" s="316"/>
      <c r="CJX38" s="316"/>
      <c r="CJY38" s="316"/>
      <c r="CJZ38" s="316"/>
      <c r="CKA38" s="316"/>
      <c r="CKB38" s="316"/>
      <c r="CKC38" s="316"/>
      <c r="CKD38" s="316"/>
      <c r="CKE38" s="316"/>
      <c r="CKF38" s="316"/>
      <c r="CKG38" s="316"/>
      <c r="CKH38" s="316"/>
      <c r="CKI38" s="316"/>
      <c r="CKJ38" s="316"/>
      <c r="CKK38" s="316"/>
      <c r="CKL38" s="316"/>
      <c r="CKM38" s="316"/>
      <c r="CKN38" s="316"/>
      <c r="CKO38" s="316"/>
      <c r="CKP38" s="316"/>
      <c r="CKQ38" s="316"/>
      <c r="CKR38" s="316"/>
      <c r="CKS38" s="316"/>
      <c r="CKT38" s="316"/>
      <c r="CKU38" s="316"/>
      <c r="CKV38" s="316"/>
      <c r="CKW38" s="316"/>
      <c r="CKX38" s="316"/>
      <c r="CKY38" s="316"/>
      <c r="CKZ38" s="316"/>
      <c r="CLA38" s="316"/>
      <c r="CLB38" s="316"/>
      <c r="CLC38" s="316"/>
      <c r="CLD38" s="316"/>
      <c r="CLE38" s="316"/>
      <c r="CLF38" s="316"/>
      <c r="CLG38" s="316"/>
      <c r="CLH38" s="316"/>
      <c r="CLI38" s="316"/>
      <c r="CLJ38" s="316"/>
      <c r="CLK38" s="316"/>
      <c r="CLL38" s="316"/>
      <c r="CLM38" s="316"/>
      <c r="CLN38" s="316"/>
      <c r="CLO38" s="316"/>
      <c r="CLP38" s="316"/>
      <c r="CLQ38" s="316"/>
      <c r="CLR38" s="316"/>
      <c r="CLS38" s="316"/>
      <c r="CLT38" s="316"/>
      <c r="CLU38" s="316"/>
      <c r="CLV38" s="316"/>
      <c r="CLW38" s="316"/>
      <c r="CLX38" s="316"/>
      <c r="CLY38" s="316"/>
      <c r="CLZ38" s="316"/>
      <c r="CMA38" s="316"/>
      <c r="CMB38" s="316"/>
      <c r="CMC38" s="316"/>
      <c r="CMD38" s="316"/>
      <c r="CME38" s="316"/>
      <c r="CMF38" s="316"/>
      <c r="CMG38" s="316"/>
      <c r="CMH38" s="316"/>
      <c r="CMI38" s="316"/>
      <c r="CMJ38" s="316"/>
      <c r="CMK38" s="316"/>
      <c r="CML38" s="316"/>
      <c r="CMM38" s="316"/>
      <c r="CMN38" s="316"/>
      <c r="CMO38" s="316"/>
      <c r="CMP38" s="316"/>
      <c r="CMQ38" s="316"/>
      <c r="CMR38" s="316"/>
      <c r="CMS38" s="316"/>
      <c r="CMT38" s="316"/>
      <c r="CMU38" s="316"/>
      <c r="CMV38" s="316"/>
      <c r="CMW38" s="316"/>
      <c r="CMX38" s="316"/>
      <c r="CMY38" s="316"/>
      <c r="CMZ38" s="316"/>
      <c r="CNA38" s="316"/>
      <c r="CNB38" s="316"/>
      <c r="CNC38" s="316"/>
      <c r="CND38" s="316"/>
      <c r="CNE38" s="316"/>
      <c r="CNF38" s="316"/>
      <c r="CNG38" s="316"/>
      <c r="CNH38" s="316"/>
      <c r="CNI38" s="316"/>
      <c r="CNJ38" s="316"/>
      <c r="CNK38" s="316"/>
      <c r="CNL38" s="316"/>
      <c r="CNM38" s="316"/>
      <c r="CNN38" s="316"/>
      <c r="CNO38" s="316"/>
      <c r="CNP38" s="316"/>
      <c r="CNQ38" s="316"/>
      <c r="CNR38" s="316"/>
      <c r="CNS38" s="316"/>
      <c r="CNT38" s="316"/>
      <c r="CNU38" s="316"/>
      <c r="CNV38" s="316"/>
      <c r="CNW38" s="316"/>
      <c r="CNX38" s="316"/>
      <c r="CNY38" s="316"/>
      <c r="CNZ38" s="316"/>
      <c r="COA38" s="316"/>
      <c r="COB38" s="316"/>
      <c r="COC38" s="316"/>
      <c r="COD38" s="316"/>
      <c r="COE38" s="316"/>
      <c r="COF38" s="316"/>
      <c r="COG38" s="316"/>
      <c r="COH38" s="316"/>
      <c r="COI38" s="316"/>
      <c r="COJ38" s="316"/>
      <c r="COK38" s="316"/>
      <c r="COL38" s="316"/>
      <c r="COM38" s="316"/>
      <c r="CON38" s="316"/>
      <c r="COO38" s="316"/>
      <c r="COP38" s="316"/>
      <c r="COQ38" s="316"/>
      <c r="COR38" s="316"/>
      <c r="COS38" s="316"/>
      <c r="COT38" s="316"/>
      <c r="COU38" s="316"/>
      <c r="COV38" s="316"/>
      <c r="COW38" s="316"/>
      <c r="COX38" s="316"/>
      <c r="COY38" s="316"/>
      <c r="COZ38" s="316"/>
      <c r="CPA38" s="316"/>
      <c r="CPB38" s="316"/>
      <c r="CPC38" s="316"/>
      <c r="CPD38" s="316"/>
      <c r="CPE38" s="316"/>
      <c r="CPF38" s="316"/>
      <c r="CPG38" s="316"/>
      <c r="CPH38" s="316"/>
      <c r="CPI38" s="316"/>
      <c r="CPJ38" s="316"/>
      <c r="CPK38" s="316"/>
      <c r="CPL38" s="316"/>
      <c r="CPM38" s="316"/>
      <c r="CPN38" s="316"/>
      <c r="CPO38" s="316"/>
      <c r="CPP38" s="316"/>
      <c r="CPQ38" s="316"/>
      <c r="CPR38" s="316"/>
      <c r="CPS38" s="316"/>
      <c r="CPT38" s="316"/>
      <c r="CPU38" s="316"/>
      <c r="CPV38" s="316"/>
      <c r="CPW38" s="316"/>
      <c r="CPX38" s="316"/>
      <c r="CPY38" s="316"/>
      <c r="CPZ38" s="316"/>
      <c r="CQA38" s="316"/>
      <c r="CQB38" s="316"/>
      <c r="CQC38" s="316"/>
      <c r="CQD38" s="316"/>
      <c r="CQE38" s="316"/>
      <c r="CQF38" s="316"/>
      <c r="CQG38" s="316"/>
      <c r="CQH38" s="316"/>
      <c r="CQI38" s="316"/>
      <c r="CQJ38" s="316"/>
      <c r="CQK38" s="316"/>
      <c r="CQL38" s="316"/>
      <c r="CQM38" s="316"/>
      <c r="CQN38" s="316"/>
      <c r="CQO38" s="316"/>
      <c r="CQP38" s="316"/>
      <c r="CQQ38" s="316"/>
      <c r="CQR38" s="316"/>
      <c r="CQS38" s="316"/>
      <c r="CQT38" s="316"/>
      <c r="CQU38" s="316"/>
      <c r="CQV38" s="316"/>
      <c r="CQW38" s="316"/>
      <c r="CQX38" s="316"/>
      <c r="CQY38" s="316"/>
      <c r="CQZ38" s="316"/>
      <c r="CRA38" s="316"/>
      <c r="CRB38" s="316"/>
      <c r="CRC38" s="316"/>
      <c r="CRD38" s="316"/>
      <c r="CRE38" s="316"/>
      <c r="CRF38" s="316"/>
      <c r="CRG38" s="316"/>
      <c r="CRH38" s="316"/>
      <c r="CRI38" s="316"/>
      <c r="CRJ38" s="316"/>
      <c r="CRK38" s="316"/>
      <c r="CRL38" s="316"/>
      <c r="CRM38" s="316"/>
      <c r="CRN38" s="316"/>
      <c r="CRO38" s="316"/>
      <c r="CRP38" s="316"/>
      <c r="CRQ38" s="316"/>
      <c r="CRR38" s="316"/>
      <c r="CRS38" s="316"/>
      <c r="CRT38" s="316"/>
      <c r="CRU38" s="316"/>
      <c r="CRV38" s="316"/>
      <c r="CRW38" s="316"/>
      <c r="CRX38" s="316"/>
      <c r="CRY38" s="316"/>
      <c r="CRZ38" s="316"/>
      <c r="CSA38" s="316"/>
      <c r="CSB38" s="316"/>
      <c r="CSC38" s="316"/>
      <c r="CSD38" s="316"/>
      <c r="CSE38" s="316"/>
      <c r="CSF38" s="316"/>
      <c r="CSG38" s="316"/>
      <c r="CSH38" s="316"/>
      <c r="CSI38" s="316"/>
      <c r="CSJ38" s="316"/>
      <c r="CSK38" s="316"/>
      <c r="CSL38" s="316"/>
      <c r="CSM38" s="316"/>
      <c r="CSN38" s="316"/>
      <c r="CSO38" s="316"/>
      <c r="CSP38" s="316"/>
      <c r="CSQ38" s="316"/>
      <c r="CSR38" s="316"/>
      <c r="CSS38" s="316"/>
      <c r="CST38" s="316"/>
      <c r="CSU38" s="316"/>
      <c r="CSV38" s="316"/>
      <c r="CSW38" s="316"/>
      <c r="CSX38" s="316"/>
      <c r="CSY38" s="316"/>
      <c r="CSZ38" s="316"/>
      <c r="CTA38" s="316"/>
      <c r="CTB38" s="316"/>
      <c r="CTC38" s="316"/>
      <c r="CTD38" s="316"/>
      <c r="CTE38" s="316"/>
      <c r="CTF38" s="316"/>
      <c r="CTG38" s="316"/>
      <c r="CTH38" s="316"/>
      <c r="CTI38" s="316"/>
      <c r="CTJ38" s="316"/>
      <c r="CTK38" s="316"/>
      <c r="CTL38" s="316"/>
      <c r="CTM38" s="316"/>
      <c r="CTN38" s="316"/>
      <c r="CTO38" s="316"/>
      <c r="CTP38" s="316"/>
      <c r="CTQ38" s="316"/>
      <c r="CTR38" s="316"/>
      <c r="CTS38" s="316"/>
      <c r="CTT38" s="316"/>
      <c r="CTU38" s="316"/>
      <c r="CTV38" s="316"/>
      <c r="CTW38" s="316"/>
      <c r="CTX38" s="316"/>
      <c r="CTY38" s="316"/>
      <c r="CTZ38" s="316"/>
      <c r="CUA38" s="316"/>
      <c r="CUB38" s="316"/>
      <c r="CUC38" s="316"/>
      <c r="CUD38" s="316"/>
      <c r="CUE38" s="316"/>
      <c r="CUF38" s="316"/>
      <c r="CUG38" s="316"/>
      <c r="CUH38" s="316"/>
      <c r="CUI38" s="316"/>
      <c r="CUJ38" s="316"/>
      <c r="CUK38" s="316"/>
      <c r="CUL38" s="316"/>
      <c r="CUM38" s="316"/>
      <c r="CUN38" s="316"/>
      <c r="CUO38" s="316"/>
      <c r="CUP38" s="316"/>
      <c r="CUQ38" s="316"/>
      <c r="CUR38" s="316"/>
      <c r="CUS38" s="316"/>
      <c r="CUT38" s="316"/>
      <c r="CUU38" s="316"/>
      <c r="CUV38" s="316"/>
      <c r="CUW38" s="316"/>
      <c r="CUX38" s="316"/>
      <c r="CUY38" s="316"/>
      <c r="CUZ38" s="316"/>
      <c r="CVA38" s="316"/>
      <c r="CVB38" s="316"/>
      <c r="CVC38" s="316"/>
      <c r="CVD38" s="316"/>
      <c r="CVE38" s="316"/>
      <c r="CVF38" s="316"/>
      <c r="CVG38" s="316"/>
      <c r="CVH38" s="316"/>
      <c r="CVI38" s="316"/>
      <c r="CVJ38" s="316"/>
      <c r="CVK38" s="316"/>
      <c r="CVL38" s="316"/>
      <c r="CVM38" s="316"/>
      <c r="CVN38" s="316"/>
      <c r="CVO38" s="316"/>
      <c r="CVP38" s="316"/>
      <c r="CVQ38" s="316"/>
      <c r="CVR38" s="316"/>
      <c r="CVS38" s="316"/>
      <c r="CVT38" s="316"/>
      <c r="CVU38" s="316"/>
      <c r="CVV38" s="316"/>
      <c r="CVW38" s="316"/>
      <c r="CVX38" s="316"/>
      <c r="CVY38" s="316"/>
      <c r="CVZ38" s="316"/>
      <c r="CWA38" s="316"/>
      <c r="CWB38" s="316"/>
      <c r="CWC38" s="316"/>
      <c r="CWD38" s="316"/>
      <c r="CWE38" s="316"/>
      <c r="CWF38" s="316"/>
      <c r="CWG38" s="316"/>
      <c r="CWH38" s="316"/>
      <c r="CWI38" s="316"/>
      <c r="CWJ38" s="316"/>
      <c r="CWK38" s="316"/>
      <c r="CWL38" s="316"/>
      <c r="CWM38" s="316"/>
      <c r="CWN38" s="316"/>
      <c r="CWO38" s="316"/>
      <c r="CWP38" s="316"/>
      <c r="CWQ38" s="316"/>
      <c r="CWR38" s="316"/>
      <c r="CWS38" s="316"/>
      <c r="CWT38" s="316"/>
      <c r="CWU38" s="316"/>
      <c r="CWV38" s="316"/>
      <c r="CWW38" s="316"/>
      <c r="CWX38" s="316"/>
      <c r="CWY38" s="316"/>
      <c r="CWZ38" s="316"/>
      <c r="CXA38" s="316"/>
      <c r="CXB38" s="316"/>
      <c r="CXC38" s="316"/>
      <c r="CXD38" s="316"/>
      <c r="CXE38" s="316"/>
      <c r="CXF38" s="316"/>
      <c r="CXG38" s="316"/>
      <c r="CXH38" s="316"/>
      <c r="CXI38" s="316"/>
      <c r="CXJ38" s="316"/>
      <c r="CXK38" s="316"/>
      <c r="CXL38" s="316"/>
      <c r="CXM38" s="316"/>
      <c r="CXN38" s="316"/>
      <c r="CXO38" s="316"/>
      <c r="CXP38" s="316"/>
      <c r="CXQ38" s="316"/>
      <c r="CXR38" s="316"/>
      <c r="CXS38" s="316"/>
      <c r="CXT38" s="316"/>
      <c r="CXU38" s="316"/>
      <c r="CXV38" s="316"/>
      <c r="CXW38" s="316"/>
      <c r="CXX38" s="316"/>
      <c r="CXY38" s="316"/>
      <c r="CXZ38" s="316"/>
      <c r="CYA38" s="316"/>
      <c r="CYB38" s="316"/>
      <c r="CYC38" s="316"/>
      <c r="CYD38" s="316"/>
      <c r="CYE38" s="316"/>
      <c r="CYF38" s="316"/>
      <c r="CYG38" s="316"/>
      <c r="CYH38" s="316"/>
      <c r="CYI38" s="316"/>
      <c r="CYJ38" s="316"/>
      <c r="CYK38" s="316"/>
      <c r="CYL38" s="316"/>
      <c r="CYM38" s="316"/>
      <c r="CYN38" s="316"/>
      <c r="CYO38" s="316"/>
      <c r="CYP38" s="316"/>
      <c r="CYQ38" s="316"/>
      <c r="CYR38" s="316"/>
      <c r="CYS38" s="316"/>
      <c r="CYT38" s="316"/>
      <c r="CYU38" s="316"/>
      <c r="CYV38" s="316"/>
      <c r="CYW38" s="316"/>
      <c r="CYX38" s="316"/>
      <c r="CYY38" s="316"/>
      <c r="CYZ38" s="316"/>
      <c r="CZA38" s="316"/>
      <c r="CZB38" s="316"/>
      <c r="CZC38" s="316"/>
      <c r="CZD38" s="316"/>
      <c r="CZE38" s="316"/>
      <c r="CZF38" s="316"/>
      <c r="CZG38" s="316"/>
      <c r="CZH38" s="316"/>
      <c r="CZI38" s="316"/>
      <c r="CZJ38" s="316"/>
      <c r="CZK38" s="316"/>
      <c r="CZL38" s="316"/>
      <c r="CZM38" s="316"/>
      <c r="CZN38" s="316"/>
      <c r="CZO38" s="316"/>
      <c r="CZP38" s="316"/>
      <c r="CZQ38" s="316"/>
      <c r="CZR38" s="316"/>
      <c r="CZS38" s="316"/>
      <c r="CZT38" s="316"/>
      <c r="CZU38" s="316"/>
      <c r="CZV38" s="316"/>
      <c r="CZW38" s="316"/>
      <c r="CZX38" s="316"/>
      <c r="CZY38" s="316"/>
      <c r="CZZ38" s="316"/>
      <c r="DAA38" s="316"/>
      <c r="DAB38" s="316"/>
      <c r="DAC38" s="316"/>
      <c r="DAD38" s="316"/>
      <c r="DAE38" s="316"/>
      <c r="DAF38" s="316"/>
      <c r="DAG38" s="316"/>
      <c r="DAH38" s="316"/>
      <c r="DAI38" s="316"/>
      <c r="DAJ38" s="316"/>
      <c r="DAK38" s="316"/>
      <c r="DAL38" s="316"/>
      <c r="DAM38" s="316"/>
      <c r="DAN38" s="316"/>
      <c r="DAO38" s="316"/>
      <c r="DAP38" s="316"/>
      <c r="DAQ38" s="316"/>
      <c r="DAR38" s="316"/>
      <c r="DAS38" s="316"/>
      <c r="DAT38" s="316"/>
      <c r="DAU38" s="316"/>
      <c r="DAV38" s="316"/>
      <c r="DAW38" s="316"/>
      <c r="DAX38" s="316"/>
      <c r="DAY38" s="316"/>
      <c r="DAZ38" s="316"/>
      <c r="DBA38" s="316"/>
      <c r="DBB38" s="316"/>
      <c r="DBC38" s="316"/>
      <c r="DBD38" s="316"/>
      <c r="DBE38" s="316"/>
      <c r="DBF38" s="316"/>
      <c r="DBG38" s="316"/>
      <c r="DBH38" s="316"/>
      <c r="DBI38" s="316"/>
      <c r="DBJ38" s="316"/>
      <c r="DBK38" s="316"/>
      <c r="DBL38" s="316"/>
      <c r="DBM38" s="316"/>
      <c r="DBN38" s="316"/>
      <c r="DBO38" s="316"/>
      <c r="DBP38" s="316"/>
      <c r="DBQ38" s="316"/>
      <c r="DBR38" s="316"/>
      <c r="DBS38" s="316"/>
      <c r="DBT38" s="316"/>
      <c r="DBU38" s="316"/>
      <c r="DBV38" s="316"/>
      <c r="DBW38" s="316"/>
      <c r="DBX38" s="316"/>
      <c r="DBY38" s="316"/>
      <c r="DBZ38" s="316"/>
      <c r="DCA38" s="316"/>
      <c r="DCB38" s="316"/>
      <c r="DCC38" s="316"/>
      <c r="DCD38" s="316"/>
      <c r="DCE38" s="316"/>
      <c r="DCF38" s="316"/>
      <c r="DCG38" s="316"/>
      <c r="DCH38" s="316"/>
      <c r="DCI38" s="316"/>
      <c r="DCJ38" s="316"/>
      <c r="DCK38" s="316"/>
      <c r="DCL38" s="316"/>
      <c r="DCM38" s="316"/>
      <c r="DCN38" s="316"/>
      <c r="DCO38" s="316"/>
      <c r="DCP38" s="316"/>
      <c r="DCQ38" s="316"/>
      <c r="DCR38" s="316"/>
      <c r="DCS38" s="316"/>
      <c r="DCT38" s="316"/>
      <c r="DCU38" s="316"/>
      <c r="DCV38" s="316"/>
      <c r="DCW38" s="316"/>
      <c r="DCX38" s="316"/>
      <c r="DCY38" s="316"/>
      <c r="DCZ38" s="316"/>
      <c r="DDA38" s="316"/>
      <c r="DDB38" s="316"/>
      <c r="DDC38" s="316"/>
      <c r="DDD38" s="316"/>
      <c r="DDE38" s="316"/>
      <c r="DDF38" s="316"/>
      <c r="DDG38" s="316"/>
      <c r="DDH38" s="316"/>
      <c r="DDI38" s="316"/>
      <c r="DDJ38" s="316"/>
      <c r="DDK38" s="316"/>
      <c r="DDL38" s="316"/>
      <c r="DDM38" s="316"/>
      <c r="DDN38" s="316"/>
      <c r="DDO38" s="316"/>
      <c r="DDP38" s="316"/>
      <c r="DDQ38" s="316"/>
      <c r="DDR38" s="316"/>
      <c r="DDS38" s="316"/>
      <c r="DDT38" s="316"/>
      <c r="DDU38" s="316"/>
      <c r="DDV38" s="316"/>
      <c r="DDW38" s="316"/>
      <c r="DDX38" s="316"/>
      <c r="DDY38" s="316"/>
      <c r="DDZ38" s="316"/>
      <c r="DEA38" s="316"/>
      <c r="DEB38" s="316"/>
      <c r="DEC38" s="316"/>
      <c r="DED38" s="316"/>
      <c r="DEE38" s="316"/>
      <c r="DEF38" s="316"/>
      <c r="DEG38" s="316"/>
      <c r="DEH38" s="316"/>
      <c r="DEI38" s="316"/>
      <c r="DEJ38" s="316"/>
      <c r="DEK38" s="316"/>
      <c r="DEL38" s="316"/>
      <c r="DEM38" s="316"/>
      <c r="DEN38" s="316"/>
      <c r="DEO38" s="316"/>
      <c r="DEP38" s="316"/>
      <c r="DEQ38" s="316"/>
      <c r="DER38" s="316"/>
      <c r="DES38" s="316"/>
      <c r="DET38" s="316"/>
      <c r="DEU38" s="316"/>
      <c r="DEV38" s="316"/>
      <c r="DEW38" s="316"/>
      <c r="DEX38" s="316"/>
      <c r="DEY38" s="316"/>
      <c r="DEZ38" s="316"/>
      <c r="DFA38" s="316"/>
      <c r="DFB38" s="316"/>
      <c r="DFC38" s="316"/>
      <c r="DFD38" s="316"/>
      <c r="DFE38" s="316"/>
      <c r="DFF38" s="316"/>
      <c r="DFG38" s="316"/>
      <c r="DFH38" s="316"/>
      <c r="DFI38" s="316"/>
      <c r="DFJ38" s="316"/>
      <c r="DFK38" s="316"/>
      <c r="DFL38" s="316"/>
      <c r="DFM38" s="316"/>
      <c r="DFN38" s="316"/>
      <c r="DFO38" s="316"/>
      <c r="DFP38" s="316"/>
      <c r="DFQ38" s="316"/>
      <c r="DFR38" s="316"/>
      <c r="DFS38" s="316"/>
      <c r="DFT38" s="316"/>
      <c r="DFU38" s="316"/>
      <c r="DFV38" s="316"/>
      <c r="DFW38" s="316"/>
      <c r="DFX38" s="316"/>
      <c r="DFY38" s="316"/>
      <c r="DFZ38" s="316"/>
      <c r="DGA38" s="316"/>
      <c r="DGB38" s="316"/>
      <c r="DGC38" s="316"/>
      <c r="DGD38" s="316"/>
      <c r="DGE38" s="316"/>
      <c r="DGF38" s="316"/>
      <c r="DGG38" s="316"/>
      <c r="DGH38" s="316"/>
      <c r="DGI38" s="316"/>
      <c r="DGJ38" s="316"/>
      <c r="DGK38" s="316"/>
      <c r="DGL38" s="316"/>
      <c r="DGM38" s="316"/>
      <c r="DGN38" s="316"/>
      <c r="DGO38" s="316"/>
      <c r="DGP38" s="316"/>
      <c r="DGQ38" s="316"/>
      <c r="DGR38" s="316"/>
      <c r="DGS38" s="316"/>
      <c r="DGT38" s="316"/>
      <c r="DGU38" s="316"/>
      <c r="DGV38" s="316"/>
      <c r="DGW38" s="316"/>
      <c r="DGX38" s="316"/>
      <c r="DGY38" s="316"/>
      <c r="DGZ38" s="316"/>
      <c r="DHA38" s="316"/>
      <c r="DHB38" s="316"/>
      <c r="DHC38" s="316"/>
      <c r="DHD38" s="316"/>
      <c r="DHE38" s="316"/>
      <c r="DHF38" s="316"/>
      <c r="DHG38" s="316"/>
      <c r="DHH38" s="316"/>
      <c r="DHI38" s="316"/>
      <c r="DHJ38" s="316"/>
      <c r="DHK38" s="316"/>
      <c r="DHL38" s="316"/>
      <c r="DHM38" s="316"/>
      <c r="DHN38" s="316"/>
      <c r="DHO38" s="316"/>
      <c r="DHP38" s="316"/>
      <c r="DHQ38" s="316"/>
      <c r="DHR38" s="316"/>
      <c r="DHS38" s="316"/>
      <c r="DHT38" s="316"/>
      <c r="DHU38" s="316"/>
      <c r="DHV38" s="316"/>
      <c r="DHW38" s="316"/>
      <c r="DHX38" s="316"/>
      <c r="DHY38" s="316"/>
      <c r="DHZ38" s="316"/>
      <c r="DIA38" s="316"/>
      <c r="DIB38" s="316"/>
      <c r="DIC38" s="316"/>
      <c r="DID38" s="316"/>
      <c r="DIE38" s="316"/>
      <c r="DIF38" s="316"/>
      <c r="DIG38" s="316"/>
      <c r="DIH38" s="316"/>
      <c r="DII38" s="316"/>
      <c r="DIJ38" s="316"/>
      <c r="DIK38" s="316"/>
      <c r="DIL38" s="316"/>
      <c r="DIM38" s="316"/>
      <c r="DIN38" s="316"/>
      <c r="DIO38" s="316"/>
      <c r="DIP38" s="316"/>
      <c r="DIQ38" s="316"/>
      <c r="DIR38" s="316"/>
      <c r="DIS38" s="316"/>
      <c r="DIT38" s="316"/>
      <c r="DIU38" s="316"/>
      <c r="DIV38" s="316"/>
      <c r="DIW38" s="316"/>
      <c r="DIX38" s="316"/>
      <c r="DIY38" s="316"/>
      <c r="DIZ38" s="316"/>
      <c r="DJA38" s="316"/>
      <c r="DJB38" s="316"/>
      <c r="DJC38" s="316"/>
      <c r="DJD38" s="316"/>
      <c r="DJE38" s="316"/>
      <c r="DJF38" s="316"/>
      <c r="DJG38" s="316"/>
      <c r="DJH38" s="316"/>
      <c r="DJI38" s="316"/>
      <c r="DJJ38" s="316"/>
      <c r="DJK38" s="316"/>
      <c r="DJL38" s="316"/>
      <c r="DJM38" s="316"/>
      <c r="DJN38" s="316"/>
      <c r="DJO38" s="316"/>
      <c r="DJP38" s="316"/>
      <c r="DJQ38" s="316"/>
      <c r="DJR38" s="316"/>
      <c r="DJS38" s="316"/>
      <c r="DJT38" s="316"/>
      <c r="DJU38" s="316"/>
      <c r="DJV38" s="316"/>
      <c r="DJW38" s="316"/>
      <c r="DJX38" s="316"/>
      <c r="DJY38" s="316"/>
      <c r="DJZ38" s="316"/>
      <c r="DKA38" s="316"/>
      <c r="DKB38" s="316"/>
      <c r="DKC38" s="316"/>
      <c r="DKD38" s="316"/>
      <c r="DKE38" s="316"/>
      <c r="DKF38" s="316"/>
      <c r="DKG38" s="316"/>
      <c r="DKH38" s="316"/>
      <c r="DKI38" s="316"/>
      <c r="DKJ38" s="316"/>
      <c r="DKK38" s="316"/>
      <c r="DKL38" s="316"/>
      <c r="DKM38" s="316"/>
      <c r="DKN38" s="316"/>
      <c r="DKO38" s="316"/>
      <c r="DKP38" s="316"/>
      <c r="DKQ38" s="316"/>
      <c r="DKR38" s="316"/>
      <c r="DKS38" s="316"/>
      <c r="DKT38" s="316"/>
      <c r="DKU38" s="316"/>
      <c r="DKV38" s="316"/>
      <c r="DKW38" s="316"/>
      <c r="DKX38" s="316"/>
      <c r="DKY38" s="316"/>
      <c r="DKZ38" s="316"/>
      <c r="DLA38" s="316"/>
      <c r="DLB38" s="316"/>
      <c r="DLC38" s="316"/>
      <c r="DLD38" s="316"/>
      <c r="DLE38" s="316"/>
      <c r="DLF38" s="316"/>
      <c r="DLG38" s="316"/>
      <c r="DLH38" s="316"/>
      <c r="DLI38" s="316"/>
      <c r="DLJ38" s="316"/>
      <c r="DLK38" s="316"/>
      <c r="DLL38" s="316"/>
      <c r="DLM38" s="316"/>
      <c r="DLN38" s="316"/>
      <c r="DLO38" s="316"/>
      <c r="DLP38" s="316"/>
      <c r="DLQ38" s="316"/>
      <c r="DLR38" s="316"/>
      <c r="DLS38" s="316"/>
      <c r="DLT38" s="316"/>
      <c r="DLU38" s="316"/>
      <c r="DLV38" s="316"/>
      <c r="DLW38" s="316"/>
      <c r="DLX38" s="316"/>
      <c r="DLY38" s="316"/>
      <c r="DLZ38" s="316"/>
      <c r="DMA38" s="316"/>
      <c r="DMB38" s="316"/>
      <c r="DMC38" s="316"/>
      <c r="DMD38" s="316"/>
      <c r="DME38" s="316"/>
      <c r="DMF38" s="316"/>
      <c r="DMG38" s="316"/>
      <c r="DMH38" s="316"/>
      <c r="DMI38" s="316"/>
      <c r="DMJ38" s="316"/>
      <c r="DMK38" s="316"/>
      <c r="DML38" s="316"/>
      <c r="DMM38" s="316"/>
      <c r="DMN38" s="316"/>
      <c r="DMO38" s="316"/>
      <c r="DMP38" s="316"/>
      <c r="DMQ38" s="316"/>
      <c r="DMR38" s="316"/>
      <c r="DMS38" s="316"/>
      <c r="DMT38" s="316"/>
      <c r="DMU38" s="316"/>
      <c r="DMV38" s="316"/>
      <c r="DMW38" s="316"/>
      <c r="DMX38" s="316"/>
      <c r="DMY38" s="316"/>
      <c r="DMZ38" s="316"/>
      <c r="DNA38" s="316"/>
      <c r="DNB38" s="316"/>
      <c r="DNC38" s="316"/>
      <c r="DND38" s="316"/>
      <c r="DNE38" s="316"/>
      <c r="DNF38" s="316"/>
      <c r="DNG38" s="316"/>
      <c r="DNH38" s="316"/>
      <c r="DNI38" s="316"/>
      <c r="DNJ38" s="316"/>
      <c r="DNK38" s="316"/>
      <c r="DNL38" s="316"/>
      <c r="DNM38" s="316"/>
      <c r="DNN38" s="316"/>
      <c r="DNO38" s="316"/>
      <c r="DNP38" s="316"/>
      <c r="DNQ38" s="316"/>
      <c r="DNR38" s="316"/>
      <c r="DNS38" s="316"/>
      <c r="DNT38" s="316"/>
      <c r="DNU38" s="316"/>
      <c r="DNV38" s="316"/>
      <c r="DNW38" s="316"/>
      <c r="DNX38" s="316"/>
      <c r="DNY38" s="316"/>
      <c r="DNZ38" s="316"/>
      <c r="DOA38" s="316"/>
      <c r="DOB38" s="316"/>
      <c r="DOC38" s="316"/>
      <c r="DOD38" s="316"/>
      <c r="DOE38" s="316"/>
      <c r="DOF38" s="316"/>
      <c r="DOG38" s="316"/>
      <c r="DOH38" s="316"/>
      <c r="DOI38" s="316"/>
      <c r="DOJ38" s="316"/>
      <c r="DOK38" s="316"/>
      <c r="DOL38" s="316"/>
      <c r="DOM38" s="316"/>
      <c r="DON38" s="316"/>
      <c r="DOO38" s="316"/>
      <c r="DOP38" s="316"/>
      <c r="DOQ38" s="316"/>
      <c r="DOR38" s="316"/>
      <c r="DOS38" s="316"/>
      <c r="DOT38" s="316"/>
      <c r="DOU38" s="316"/>
      <c r="DOV38" s="316"/>
      <c r="DOW38" s="316"/>
      <c r="DOX38" s="316"/>
      <c r="DOY38" s="316"/>
      <c r="DOZ38" s="316"/>
      <c r="DPA38" s="316"/>
      <c r="DPB38" s="316"/>
      <c r="DPC38" s="316"/>
      <c r="DPD38" s="316"/>
      <c r="DPE38" s="316"/>
      <c r="DPF38" s="316"/>
      <c r="DPG38" s="316"/>
      <c r="DPH38" s="316"/>
      <c r="DPI38" s="316"/>
      <c r="DPJ38" s="316"/>
      <c r="DPK38" s="316"/>
      <c r="DPL38" s="316"/>
      <c r="DPM38" s="316"/>
      <c r="DPN38" s="316"/>
      <c r="DPO38" s="316"/>
      <c r="DPP38" s="316"/>
      <c r="DPQ38" s="316"/>
      <c r="DPR38" s="316"/>
      <c r="DPS38" s="316"/>
      <c r="DPT38" s="316"/>
      <c r="DPU38" s="316"/>
      <c r="DPV38" s="316"/>
      <c r="DPW38" s="316"/>
      <c r="DPX38" s="316"/>
      <c r="DPY38" s="316"/>
      <c r="DPZ38" s="316"/>
      <c r="DQA38" s="316"/>
      <c r="DQB38" s="316"/>
      <c r="DQC38" s="316"/>
      <c r="DQD38" s="316"/>
      <c r="DQE38" s="316"/>
      <c r="DQF38" s="316"/>
      <c r="DQG38" s="316"/>
      <c r="DQH38" s="316"/>
      <c r="DQI38" s="316"/>
      <c r="DQJ38" s="316"/>
      <c r="DQK38" s="316"/>
      <c r="DQL38" s="316"/>
      <c r="DQM38" s="316"/>
      <c r="DQN38" s="316"/>
      <c r="DQO38" s="316"/>
      <c r="DQP38" s="316"/>
      <c r="DQQ38" s="316"/>
      <c r="DQR38" s="316"/>
      <c r="DQS38" s="316"/>
      <c r="DQT38" s="316"/>
      <c r="DQU38" s="316"/>
      <c r="DQV38" s="316"/>
      <c r="DQW38" s="316"/>
      <c r="DQX38" s="316"/>
      <c r="DQY38" s="316"/>
      <c r="DQZ38" s="316"/>
      <c r="DRA38" s="316"/>
      <c r="DRB38" s="316"/>
      <c r="DRC38" s="316"/>
      <c r="DRD38" s="316"/>
      <c r="DRE38" s="316"/>
      <c r="DRF38" s="316"/>
      <c r="DRG38" s="316"/>
      <c r="DRH38" s="316"/>
      <c r="DRI38" s="316"/>
      <c r="DRJ38" s="316"/>
      <c r="DRK38" s="316"/>
      <c r="DRL38" s="316"/>
      <c r="DRM38" s="316"/>
      <c r="DRN38" s="316"/>
      <c r="DRO38" s="316"/>
      <c r="DRP38" s="316"/>
      <c r="DRQ38" s="316"/>
      <c r="DRR38" s="316"/>
      <c r="DRS38" s="316"/>
      <c r="DRT38" s="316"/>
      <c r="DRU38" s="316"/>
      <c r="DRV38" s="316"/>
      <c r="DRW38" s="316"/>
      <c r="DRX38" s="316"/>
      <c r="DRY38" s="316"/>
      <c r="DRZ38" s="316"/>
      <c r="DSA38" s="316"/>
      <c r="DSB38" s="316"/>
      <c r="DSC38" s="316"/>
      <c r="DSD38" s="316"/>
      <c r="DSE38" s="316"/>
      <c r="DSF38" s="316"/>
      <c r="DSG38" s="316"/>
      <c r="DSH38" s="316"/>
      <c r="DSI38" s="316"/>
      <c r="DSJ38" s="316"/>
      <c r="DSK38" s="316"/>
      <c r="DSL38" s="316"/>
      <c r="DSM38" s="316"/>
      <c r="DSN38" s="316"/>
      <c r="DSO38" s="316"/>
      <c r="DSP38" s="316"/>
      <c r="DSQ38" s="316"/>
      <c r="DSR38" s="316"/>
      <c r="DSS38" s="316"/>
      <c r="DST38" s="316"/>
      <c r="DSU38" s="316"/>
      <c r="DSV38" s="316"/>
      <c r="DSW38" s="316"/>
      <c r="DSX38" s="316"/>
      <c r="DSY38" s="316"/>
      <c r="DSZ38" s="316"/>
      <c r="DTA38" s="316"/>
      <c r="DTB38" s="316"/>
      <c r="DTC38" s="316"/>
      <c r="DTD38" s="316"/>
      <c r="DTE38" s="316"/>
      <c r="DTF38" s="316"/>
      <c r="DTG38" s="316"/>
      <c r="DTH38" s="316"/>
      <c r="DTI38" s="316"/>
      <c r="DTJ38" s="316"/>
      <c r="DTK38" s="316"/>
      <c r="DTL38" s="316"/>
      <c r="DTM38" s="316"/>
      <c r="DTN38" s="316"/>
      <c r="DTO38" s="316"/>
      <c r="DTP38" s="316"/>
      <c r="DTQ38" s="316"/>
      <c r="DTR38" s="316"/>
      <c r="DTS38" s="316"/>
      <c r="DTT38" s="316"/>
      <c r="DTU38" s="316"/>
      <c r="DTV38" s="316"/>
      <c r="DTW38" s="316"/>
      <c r="DTX38" s="316"/>
      <c r="DTY38" s="316"/>
      <c r="DTZ38" s="316"/>
      <c r="DUA38" s="316"/>
      <c r="DUB38" s="316"/>
      <c r="DUC38" s="316"/>
      <c r="DUD38" s="316"/>
      <c r="DUE38" s="316"/>
      <c r="DUF38" s="316"/>
      <c r="DUG38" s="316"/>
      <c r="DUH38" s="316"/>
      <c r="DUI38" s="316"/>
      <c r="DUJ38" s="316"/>
      <c r="DUK38" s="316"/>
      <c r="DUL38" s="316"/>
      <c r="DUM38" s="316"/>
      <c r="DUN38" s="316"/>
      <c r="DUO38" s="316"/>
      <c r="DUP38" s="316"/>
      <c r="DUQ38" s="316"/>
      <c r="DUR38" s="316"/>
      <c r="DUS38" s="316"/>
      <c r="DUT38" s="316"/>
      <c r="DUU38" s="316"/>
      <c r="DUV38" s="316"/>
      <c r="DUW38" s="316"/>
      <c r="DUX38" s="316"/>
      <c r="DUY38" s="316"/>
      <c r="DUZ38" s="316"/>
      <c r="DVA38" s="316"/>
      <c r="DVB38" s="316"/>
      <c r="DVC38" s="316"/>
      <c r="DVD38" s="316"/>
      <c r="DVE38" s="316"/>
      <c r="DVF38" s="316"/>
      <c r="DVG38" s="316"/>
      <c r="DVH38" s="316"/>
      <c r="DVI38" s="316"/>
      <c r="DVJ38" s="316"/>
      <c r="DVK38" s="316"/>
      <c r="DVL38" s="316"/>
      <c r="DVM38" s="316"/>
      <c r="DVN38" s="316"/>
      <c r="DVO38" s="316"/>
      <c r="DVP38" s="316"/>
      <c r="DVQ38" s="316"/>
      <c r="DVR38" s="316"/>
      <c r="DVS38" s="316"/>
      <c r="DVT38" s="316"/>
      <c r="DVU38" s="316"/>
      <c r="DVV38" s="316"/>
      <c r="DVW38" s="316"/>
      <c r="DVX38" s="316"/>
      <c r="DVY38" s="316"/>
      <c r="DVZ38" s="316"/>
      <c r="DWA38" s="316"/>
      <c r="DWB38" s="316"/>
      <c r="DWC38" s="316"/>
      <c r="DWD38" s="316"/>
      <c r="DWE38" s="316"/>
      <c r="DWF38" s="316"/>
      <c r="DWG38" s="316"/>
      <c r="DWH38" s="316"/>
      <c r="DWI38" s="316"/>
      <c r="DWJ38" s="316"/>
      <c r="DWK38" s="316"/>
      <c r="DWL38" s="316"/>
      <c r="DWM38" s="316"/>
      <c r="DWN38" s="316"/>
      <c r="DWO38" s="316"/>
      <c r="DWP38" s="316"/>
      <c r="DWQ38" s="316"/>
      <c r="DWR38" s="316"/>
      <c r="DWS38" s="316"/>
      <c r="DWT38" s="316"/>
      <c r="DWU38" s="316"/>
      <c r="DWV38" s="316"/>
      <c r="DWW38" s="316"/>
      <c r="DWX38" s="316"/>
      <c r="DWY38" s="316"/>
      <c r="DWZ38" s="316"/>
      <c r="DXA38" s="316"/>
      <c r="DXB38" s="316"/>
      <c r="DXC38" s="316"/>
      <c r="DXD38" s="316"/>
      <c r="DXE38" s="316"/>
      <c r="DXF38" s="316"/>
      <c r="DXG38" s="316"/>
      <c r="DXH38" s="316"/>
      <c r="DXI38" s="316"/>
      <c r="DXJ38" s="316"/>
      <c r="DXK38" s="316"/>
      <c r="DXL38" s="316"/>
      <c r="DXM38" s="316"/>
      <c r="DXN38" s="316"/>
      <c r="DXO38" s="316"/>
      <c r="DXP38" s="316"/>
      <c r="DXQ38" s="316"/>
      <c r="DXR38" s="316"/>
      <c r="DXS38" s="316"/>
      <c r="DXT38" s="316"/>
      <c r="DXU38" s="316"/>
      <c r="DXV38" s="316"/>
      <c r="DXW38" s="316"/>
      <c r="DXX38" s="316"/>
      <c r="DXY38" s="316"/>
      <c r="DXZ38" s="316"/>
      <c r="DYA38" s="316"/>
      <c r="DYB38" s="316"/>
      <c r="DYC38" s="316"/>
      <c r="DYD38" s="316"/>
      <c r="DYE38" s="316"/>
      <c r="DYF38" s="316"/>
      <c r="DYG38" s="316"/>
      <c r="DYH38" s="316"/>
      <c r="DYI38" s="316"/>
      <c r="DYJ38" s="316"/>
      <c r="DYK38" s="316"/>
      <c r="DYL38" s="316"/>
      <c r="DYM38" s="316"/>
      <c r="DYN38" s="316"/>
      <c r="DYO38" s="316"/>
      <c r="DYP38" s="316"/>
      <c r="DYQ38" s="316"/>
      <c r="DYR38" s="316"/>
      <c r="DYS38" s="316"/>
      <c r="DYT38" s="316"/>
      <c r="DYU38" s="316"/>
      <c r="DYV38" s="316"/>
      <c r="DYW38" s="316"/>
      <c r="DYX38" s="316"/>
      <c r="DYY38" s="316"/>
      <c r="DYZ38" s="316"/>
      <c r="DZA38" s="316"/>
      <c r="DZB38" s="316"/>
      <c r="DZC38" s="316"/>
      <c r="DZD38" s="316"/>
      <c r="DZE38" s="316"/>
      <c r="DZF38" s="316"/>
      <c r="DZG38" s="316"/>
      <c r="DZH38" s="316"/>
      <c r="DZI38" s="316"/>
      <c r="DZJ38" s="316"/>
      <c r="DZK38" s="316"/>
      <c r="DZL38" s="316"/>
      <c r="DZM38" s="316"/>
      <c r="DZN38" s="316"/>
      <c r="DZO38" s="316"/>
      <c r="DZP38" s="316"/>
      <c r="DZQ38" s="316"/>
      <c r="DZR38" s="316"/>
      <c r="DZS38" s="316"/>
      <c r="DZT38" s="316"/>
      <c r="DZU38" s="316"/>
      <c r="DZV38" s="316"/>
      <c r="DZW38" s="316"/>
      <c r="DZX38" s="316"/>
      <c r="DZY38" s="316"/>
      <c r="DZZ38" s="316"/>
      <c r="EAA38" s="316"/>
      <c r="EAB38" s="316"/>
      <c r="EAC38" s="316"/>
      <c r="EAD38" s="316"/>
      <c r="EAE38" s="316"/>
      <c r="EAF38" s="316"/>
      <c r="EAG38" s="316"/>
      <c r="EAH38" s="316"/>
      <c r="EAI38" s="316"/>
      <c r="EAJ38" s="316"/>
      <c r="EAK38" s="316"/>
      <c r="EAL38" s="316"/>
      <c r="EAM38" s="316"/>
      <c r="EAN38" s="316"/>
      <c r="EAO38" s="316"/>
      <c r="EAP38" s="316"/>
      <c r="EAQ38" s="316"/>
      <c r="EAR38" s="316"/>
      <c r="EAS38" s="316"/>
      <c r="EAT38" s="316"/>
      <c r="EAU38" s="316"/>
      <c r="EAV38" s="316"/>
      <c r="EAW38" s="316"/>
      <c r="EAX38" s="316"/>
      <c r="EAY38" s="316"/>
      <c r="EAZ38" s="316"/>
      <c r="EBA38" s="316"/>
      <c r="EBB38" s="316"/>
      <c r="EBC38" s="316"/>
      <c r="EBD38" s="316"/>
      <c r="EBE38" s="316"/>
      <c r="EBF38" s="316"/>
      <c r="EBG38" s="316"/>
      <c r="EBH38" s="316"/>
      <c r="EBI38" s="316"/>
      <c r="EBJ38" s="316"/>
      <c r="EBK38" s="316"/>
      <c r="EBL38" s="316"/>
      <c r="EBM38" s="316"/>
      <c r="EBN38" s="316"/>
      <c r="EBO38" s="316"/>
      <c r="EBP38" s="316"/>
      <c r="EBQ38" s="316"/>
      <c r="EBR38" s="316"/>
      <c r="EBS38" s="316"/>
      <c r="EBT38" s="316"/>
      <c r="EBU38" s="316"/>
      <c r="EBV38" s="316"/>
      <c r="EBW38" s="316"/>
      <c r="EBX38" s="316"/>
      <c r="EBY38" s="316"/>
      <c r="EBZ38" s="316"/>
      <c r="ECA38" s="316"/>
      <c r="ECB38" s="316"/>
      <c r="ECC38" s="316"/>
      <c r="ECD38" s="316"/>
      <c r="ECE38" s="316"/>
      <c r="ECF38" s="316"/>
      <c r="ECG38" s="316"/>
      <c r="ECH38" s="316"/>
      <c r="ECI38" s="316"/>
      <c r="ECJ38" s="316"/>
      <c r="ECK38" s="316"/>
      <c r="ECL38" s="316"/>
      <c r="ECM38" s="316"/>
      <c r="ECN38" s="316"/>
      <c r="ECO38" s="316"/>
      <c r="ECP38" s="316"/>
      <c r="ECQ38" s="316"/>
      <c r="ECR38" s="316"/>
      <c r="ECS38" s="316"/>
      <c r="ECT38" s="316"/>
      <c r="ECU38" s="316"/>
      <c r="ECV38" s="316"/>
      <c r="ECW38" s="316"/>
      <c r="ECX38" s="316"/>
      <c r="ECY38" s="316"/>
      <c r="ECZ38" s="316"/>
      <c r="EDA38" s="316"/>
      <c r="EDB38" s="316"/>
      <c r="EDC38" s="316"/>
      <c r="EDD38" s="316"/>
      <c r="EDE38" s="316"/>
      <c r="EDF38" s="316"/>
      <c r="EDG38" s="316"/>
      <c r="EDH38" s="316"/>
      <c r="EDI38" s="316"/>
      <c r="EDJ38" s="316"/>
      <c r="EDK38" s="316"/>
      <c r="EDL38" s="316"/>
      <c r="EDM38" s="316"/>
      <c r="EDN38" s="316"/>
      <c r="EDO38" s="316"/>
      <c r="EDP38" s="316"/>
      <c r="EDQ38" s="316"/>
      <c r="EDR38" s="316"/>
      <c r="EDS38" s="316"/>
      <c r="EDT38" s="316"/>
      <c r="EDU38" s="316"/>
      <c r="EDV38" s="316"/>
      <c r="EDW38" s="316"/>
      <c r="EDX38" s="316"/>
      <c r="EDY38" s="316"/>
      <c r="EDZ38" s="316"/>
      <c r="EEA38" s="316"/>
      <c r="EEB38" s="316"/>
      <c r="EEC38" s="316"/>
      <c r="EED38" s="316"/>
      <c r="EEE38" s="316"/>
      <c r="EEF38" s="316"/>
      <c r="EEG38" s="316"/>
      <c r="EEH38" s="316"/>
      <c r="EEI38" s="316"/>
      <c r="EEJ38" s="316"/>
      <c r="EEK38" s="316"/>
      <c r="EEL38" s="316"/>
      <c r="EEM38" s="316"/>
      <c r="EEN38" s="316"/>
      <c r="EEO38" s="316"/>
      <c r="EEP38" s="316"/>
      <c r="EEQ38" s="316"/>
      <c r="EER38" s="316"/>
      <c r="EES38" s="316"/>
      <c r="EET38" s="316"/>
      <c r="EEU38" s="316"/>
      <c r="EEV38" s="316"/>
      <c r="EEW38" s="316"/>
      <c r="EEX38" s="316"/>
      <c r="EEY38" s="316"/>
      <c r="EEZ38" s="316"/>
      <c r="EFA38" s="316"/>
      <c r="EFB38" s="316"/>
      <c r="EFC38" s="316"/>
      <c r="EFD38" s="316"/>
      <c r="EFE38" s="316"/>
      <c r="EFF38" s="316"/>
      <c r="EFG38" s="316"/>
      <c r="EFH38" s="316"/>
      <c r="EFI38" s="316"/>
      <c r="EFJ38" s="316"/>
      <c r="EFK38" s="316"/>
      <c r="EFL38" s="316"/>
      <c r="EFM38" s="316"/>
      <c r="EFN38" s="316"/>
      <c r="EFO38" s="316"/>
      <c r="EFP38" s="316"/>
      <c r="EFQ38" s="316"/>
      <c r="EFR38" s="316"/>
      <c r="EFS38" s="316"/>
      <c r="EFT38" s="316"/>
      <c r="EFU38" s="316"/>
      <c r="EFV38" s="316"/>
      <c r="EFW38" s="316"/>
      <c r="EFX38" s="316"/>
      <c r="EFY38" s="316"/>
      <c r="EFZ38" s="316"/>
      <c r="EGA38" s="316"/>
      <c r="EGB38" s="316"/>
      <c r="EGC38" s="316"/>
      <c r="EGD38" s="316"/>
      <c r="EGE38" s="316"/>
      <c r="EGF38" s="316"/>
      <c r="EGG38" s="316"/>
      <c r="EGH38" s="316"/>
      <c r="EGI38" s="316"/>
      <c r="EGJ38" s="316"/>
      <c r="EGK38" s="316"/>
      <c r="EGL38" s="316"/>
      <c r="EGM38" s="316"/>
      <c r="EGN38" s="316"/>
      <c r="EGO38" s="316"/>
      <c r="EGP38" s="316"/>
      <c r="EGQ38" s="316"/>
      <c r="EGR38" s="316"/>
      <c r="EGS38" s="316"/>
      <c r="EGT38" s="316"/>
      <c r="EGU38" s="316"/>
      <c r="EGV38" s="316"/>
      <c r="EGW38" s="316"/>
      <c r="EGX38" s="316"/>
      <c r="EGY38" s="316"/>
      <c r="EGZ38" s="316"/>
      <c r="EHA38" s="316"/>
      <c r="EHB38" s="316"/>
      <c r="EHC38" s="316"/>
      <c r="EHD38" s="316"/>
      <c r="EHE38" s="316"/>
      <c r="EHF38" s="316"/>
      <c r="EHG38" s="316"/>
      <c r="EHH38" s="316"/>
      <c r="EHI38" s="316"/>
      <c r="EHJ38" s="316"/>
      <c r="EHK38" s="316"/>
      <c r="EHL38" s="316"/>
      <c r="EHM38" s="316"/>
      <c r="EHN38" s="316"/>
      <c r="EHO38" s="316"/>
      <c r="EHP38" s="316"/>
      <c r="EHQ38" s="316"/>
      <c r="EHR38" s="316"/>
      <c r="EHS38" s="316"/>
      <c r="EHT38" s="316"/>
      <c r="EHU38" s="316"/>
      <c r="EHV38" s="316"/>
      <c r="EHW38" s="316"/>
      <c r="EHX38" s="316"/>
      <c r="EHY38" s="316"/>
      <c r="EHZ38" s="316"/>
      <c r="EIA38" s="316"/>
      <c r="EIB38" s="316"/>
      <c r="EIC38" s="316"/>
      <c r="EID38" s="316"/>
      <c r="EIE38" s="316"/>
      <c r="EIF38" s="316"/>
      <c r="EIG38" s="316"/>
      <c r="EIH38" s="316"/>
      <c r="EII38" s="316"/>
      <c r="EIJ38" s="316"/>
      <c r="EIK38" s="316"/>
      <c r="EIL38" s="316"/>
      <c r="EIM38" s="316"/>
      <c r="EIN38" s="316"/>
      <c r="EIO38" s="316"/>
      <c r="EIP38" s="316"/>
      <c r="EIQ38" s="316"/>
      <c r="EIR38" s="316"/>
      <c r="EIS38" s="316"/>
      <c r="EIT38" s="316"/>
      <c r="EIU38" s="316"/>
      <c r="EIV38" s="316"/>
      <c r="EIW38" s="316"/>
      <c r="EIX38" s="316"/>
      <c r="EIY38" s="316"/>
      <c r="EIZ38" s="316"/>
      <c r="EJA38" s="316"/>
      <c r="EJB38" s="316"/>
      <c r="EJC38" s="316"/>
      <c r="EJD38" s="316"/>
      <c r="EJE38" s="316"/>
      <c r="EJF38" s="316"/>
      <c r="EJG38" s="316"/>
      <c r="EJH38" s="316"/>
      <c r="EJI38" s="316"/>
      <c r="EJJ38" s="316"/>
      <c r="EJK38" s="316"/>
      <c r="EJL38" s="316"/>
      <c r="EJM38" s="316"/>
      <c r="EJN38" s="316"/>
      <c r="EJO38" s="316"/>
      <c r="EJP38" s="316"/>
      <c r="EJQ38" s="316"/>
      <c r="EJR38" s="316"/>
      <c r="EJS38" s="316"/>
      <c r="EJT38" s="316"/>
      <c r="EJU38" s="316"/>
      <c r="EJV38" s="316"/>
      <c r="EJW38" s="316"/>
      <c r="EJX38" s="316"/>
      <c r="EJY38" s="316"/>
      <c r="EJZ38" s="316"/>
      <c r="EKA38" s="316"/>
      <c r="EKB38" s="316"/>
      <c r="EKC38" s="316"/>
      <c r="EKD38" s="316"/>
      <c r="EKE38" s="316"/>
      <c r="EKF38" s="316"/>
      <c r="EKG38" s="316"/>
      <c r="EKH38" s="316"/>
      <c r="EKI38" s="316"/>
      <c r="EKJ38" s="316"/>
      <c r="EKK38" s="316"/>
      <c r="EKL38" s="316"/>
      <c r="EKM38" s="316"/>
      <c r="EKN38" s="316"/>
      <c r="EKO38" s="316"/>
      <c r="EKP38" s="316"/>
      <c r="EKQ38" s="316"/>
      <c r="EKR38" s="316"/>
      <c r="EKS38" s="316"/>
      <c r="EKT38" s="316"/>
      <c r="EKU38" s="316"/>
      <c r="EKV38" s="316"/>
      <c r="EKW38" s="316"/>
      <c r="EKX38" s="316"/>
      <c r="EKY38" s="316"/>
      <c r="EKZ38" s="316"/>
      <c r="ELA38" s="316"/>
      <c r="ELB38" s="316"/>
      <c r="ELC38" s="316"/>
      <c r="ELD38" s="316"/>
      <c r="ELE38" s="316"/>
      <c r="ELF38" s="316"/>
      <c r="ELG38" s="316"/>
      <c r="ELH38" s="316"/>
      <c r="ELI38" s="316"/>
      <c r="ELJ38" s="316"/>
      <c r="ELK38" s="316"/>
      <c r="ELL38" s="316"/>
      <c r="ELM38" s="316"/>
      <c r="ELN38" s="316"/>
      <c r="ELO38" s="316"/>
      <c r="ELP38" s="316"/>
      <c r="ELQ38" s="316"/>
      <c r="ELR38" s="316"/>
      <c r="ELS38" s="316"/>
      <c r="ELT38" s="316"/>
      <c r="ELU38" s="316"/>
      <c r="ELV38" s="316"/>
      <c r="ELW38" s="316"/>
      <c r="ELX38" s="316"/>
      <c r="ELY38" s="316"/>
      <c r="ELZ38" s="316"/>
      <c r="EMA38" s="316"/>
      <c r="EMB38" s="316"/>
      <c r="EMC38" s="316"/>
      <c r="EMD38" s="316"/>
      <c r="EME38" s="316"/>
      <c r="EMF38" s="316"/>
      <c r="EMG38" s="316"/>
      <c r="EMH38" s="316"/>
      <c r="EMI38" s="316"/>
      <c r="EMJ38" s="316"/>
      <c r="EMK38" s="316"/>
      <c r="EML38" s="316"/>
      <c r="EMM38" s="316"/>
      <c r="EMN38" s="316"/>
      <c r="EMO38" s="316"/>
      <c r="EMP38" s="316"/>
      <c r="EMQ38" s="316"/>
      <c r="EMR38" s="316"/>
      <c r="EMS38" s="316"/>
      <c r="EMT38" s="316"/>
      <c r="EMU38" s="316"/>
      <c r="EMV38" s="316"/>
      <c r="EMW38" s="316"/>
      <c r="EMX38" s="316"/>
      <c r="EMY38" s="316"/>
      <c r="EMZ38" s="316"/>
      <c r="ENA38" s="316"/>
      <c r="ENB38" s="316"/>
      <c r="ENC38" s="316"/>
      <c r="END38" s="316"/>
      <c r="ENE38" s="316"/>
      <c r="ENF38" s="316"/>
      <c r="ENG38" s="316"/>
      <c r="ENH38" s="316"/>
      <c r="ENI38" s="316"/>
      <c r="ENJ38" s="316"/>
      <c r="ENK38" s="316"/>
      <c r="ENL38" s="316"/>
      <c r="ENM38" s="316"/>
      <c r="ENN38" s="316"/>
      <c r="ENO38" s="316"/>
      <c r="ENP38" s="316"/>
      <c r="ENQ38" s="316"/>
      <c r="ENR38" s="316"/>
      <c r="ENS38" s="316"/>
      <c r="ENT38" s="316"/>
      <c r="ENU38" s="316"/>
      <c r="ENV38" s="316"/>
      <c r="ENW38" s="316"/>
      <c r="ENX38" s="316"/>
      <c r="ENY38" s="316"/>
      <c r="ENZ38" s="316"/>
      <c r="EOA38" s="316"/>
      <c r="EOB38" s="316"/>
      <c r="EOC38" s="316"/>
      <c r="EOD38" s="316"/>
      <c r="EOE38" s="316"/>
      <c r="EOF38" s="316"/>
      <c r="EOG38" s="316"/>
      <c r="EOH38" s="316"/>
      <c r="EOI38" s="316"/>
      <c r="EOJ38" s="316"/>
      <c r="EOK38" s="316"/>
      <c r="EOL38" s="316"/>
      <c r="EOM38" s="316"/>
      <c r="EON38" s="316"/>
      <c r="EOO38" s="316"/>
      <c r="EOP38" s="316"/>
      <c r="EOQ38" s="316"/>
      <c r="EOR38" s="316"/>
      <c r="EOS38" s="316"/>
      <c r="EOT38" s="316"/>
      <c r="EOU38" s="316"/>
      <c r="EOV38" s="316"/>
      <c r="EOW38" s="316"/>
      <c r="EOX38" s="316"/>
      <c r="EOY38" s="316"/>
      <c r="EOZ38" s="316"/>
      <c r="EPA38" s="316"/>
      <c r="EPB38" s="316"/>
      <c r="EPC38" s="316"/>
      <c r="EPD38" s="316"/>
      <c r="EPE38" s="316"/>
      <c r="EPF38" s="316"/>
      <c r="EPG38" s="316"/>
      <c r="EPH38" s="316"/>
      <c r="EPI38" s="316"/>
      <c r="EPJ38" s="316"/>
      <c r="EPK38" s="316"/>
      <c r="EPL38" s="316"/>
      <c r="EPM38" s="316"/>
      <c r="EPN38" s="316"/>
      <c r="EPO38" s="316"/>
      <c r="EPP38" s="316"/>
      <c r="EPQ38" s="316"/>
      <c r="EPR38" s="316"/>
      <c r="EPS38" s="316"/>
      <c r="EPT38" s="316"/>
      <c r="EPU38" s="316"/>
      <c r="EPV38" s="316"/>
      <c r="EPW38" s="316"/>
      <c r="EPX38" s="316"/>
      <c r="EPY38" s="316"/>
      <c r="EPZ38" s="316"/>
      <c r="EQA38" s="316"/>
      <c r="EQB38" s="316"/>
      <c r="EQC38" s="316"/>
      <c r="EQD38" s="316"/>
      <c r="EQE38" s="316"/>
      <c r="EQF38" s="316"/>
      <c r="EQG38" s="316"/>
      <c r="EQH38" s="316"/>
      <c r="EQI38" s="316"/>
      <c r="EQJ38" s="316"/>
      <c r="EQK38" s="316"/>
      <c r="EQL38" s="316"/>
      <c r="EQM38" s="316"/>
      <c r="EQN38" s="316"/>
      <c r="EQO38" s="316"/>
      <c r="EQP38" s="316"/>
      <c r="EQQ38" s="316"/>
      <c r="EQR38" s="316"/>
      <c r="EQS38" s="316"/>
      <c r="EQT38" s="316"/>
      <c r="EQU38" s="316"/>
      <c r="EQV38" s="316"/>
      <c r="EQW38" s="316"/>
      <c r="EQX38" s="316"/>
      <c r="EQY38" s="316"/>
      <c r="EQZ38" s="316"/>
      <c r="ERA38" s="316"/>
      <c r="ERB38" s="316"/>
      <c r="ERC38" s="316"/>
      <c r="ERD38" s="316"/>
      <c r="ERE38" s="316"/>
      <c r="ERF38" s="316"/>
      <c r="ERG38" s="316"/>
      <c r="ERH38" s="316"/>
      <c r="ERI38" s="316"/>
      <c r="ERJ38" s="316"/>
      <c r="ERK38" s="316"/>
      <c r="ERL38" s="316"/>
      <c r="ERM38" s="316"/>
      <c r="ERN38" s="316"/>
      <c r="ERO38" s="316"/>
      <c r="ERP38" s="316"/>
      <c r="ERQ38" s="316"/>
      <c r="ERR38" s="316"/>
      <c r="ERS38" s="316"/>
      <c r="ERT38" s="316"/>
      <c r="ERU38" s="316"/>
      <c r="ERV38" s="316"/>
      <c r="ERW38" s="316"/>
      <c r="ERX38" s="316"/>
      <c r="ERY38" s="316"/>
      <c r="ERZ38" s="316"/>
      <c r="ESA38" s="316"/>
      <c r="ESB38" s="316"/>
      <c r="ESC38" s="316"/>
      <c r="ESD38" s="316"/>
      <c r="ESE38" s="316"/>
      <c r="ESF38" s="316"/>
      <c r="ESG38" s="316"/>
      <c r="ESH38" s="316"/>
      <c r="ESI38" s="316"/>
      <c r="ESJ38" s="316"/>
      <c r="ESK38" s="316"/>
      <c r="ESL38" s="316"/>
      <c r="ESM38" s="316"/>
      <c r="ESN38" s="316"/>
      <c r="ESO38" s="316"/>
      <c r="ESP38" s="316"/>
      <c r="ESQ38" s="316"/>
      <c r="ESR38" s="316"/>
      <c r="ESS38" s="316"/>
      <c r="EST38" s="316"/>
      <c r="ESU38" s="316"/>
      <c r="ESV38" s="316"/>
      <c r="ESW38" s="316"/>
      <c r="ESX38" s="316"/>
      <c r="ESY38" s="316"/>
      <c r="ESZ38" s="316"/>
      <c r="ETA38" s="316"/>
      <c r="ETB38" s="316"/>
      <c r="ETC38" s="316"/>
      <c r="ETD38" s="316"/>
      <c r="ETE38" s="316"/>
      <c r="ETF38" s="316"/>
      <c r="ETG38" s="316"/>
      <c r="ETH38" s="316"/>
      <c r="ETI38" s="316"/>
      <c r="ETJ38" s="316"/>
      <c r="ETK38" s="316"/>
      <c r="ETL38" s="316"/>
      <c r="ETM38" s="316"/>
      <c r="ETN38" s="316"/>
      <c r="ETO38" s="316"/>
      <c r="ETP38" s="316"/>
      <c r="ETQ38" s="316"/>
      <c r="ETR38" s="316"/>
      <c r="ETS38" s="316"/>
      <c r="ETT38" s="316"/>
      <c r="ETU38" s="316"/>
      <c r="ETV38" s="316"/>
      <c r="ETW38" s="316"/>
      <c r="ETX38" s="316"/>
      <c r="ETY38" s="316"/>
      <c r="ETZ38" s="316"/>
      <c r="EUA38" s="316"/>
      <c r="EUB38" s="316"/>
      <c r="EUC38" s="316"/>
      <c r="EUD38" s="316"/>
      <c r="EUE38" s="316"/>
      <c r="EUF38" s="316"/>
      <c r="EUG38" s="316"/>
      <c r="EUH38" s="316"/>
      <c r="EUI38" s="316"/>
      <c r="EUJ38" s="316"/>
      <c r="EUK38" s="316"/>
      <c r="EUL38" s="316"/>
      <c r="EUM38" s="316"/>
      <c r="EUN38" s="316"/>
      <c r="EUO38" s="316"/>
      <c r="EUP38" s="316"/>
      <c r="EUQ38" s="316"/>
      <c r="EUR38" s="316"/>
      <c r="EUS38" s="316"/>
      <c r="EUT38" s="316"/>
      <c r="EUU38" s="316"/>
      <c r="EUV38" s="316"/>
      <c r="EUW38" s="316"/>
      <c r="EUX38" s="316"/>
      <c r="EUY38" s="316"/>
      <c r="EUZ38" s="316"/>
      <c r="EVA38" s="316"/>
      <c r="EVB38" s="316"/>
      <c r="EVC38" s="316"/>
      <c r="EVD38" s="316"/>
      <c r="EVE38" s="316"/>
      <c r="EVF38" s="316"/>
      <c r="EVG38" s="316"/>
      <c r="EVH38" s="316"/>
      <c r="EVI38" s="316"/>
      <c r="EVJ38" s="316"/>
      <c r="EVK38" s="316"/>
      <c r="EVL38" s="316"/>
      <c r="EVM38" s="316"/>
      <c r="EVN38" s="316"/>
      <c r="EVO38" s="316"/>
      <c r="EVP38" s="316"/>
      <c r="EVQ38" s="316"/>
      <c r="EVR38" s="316"/>
      <c r="EVS38" s="316"/>
      <c r="EVT38" s="316"/>
      <c r="EVU38" s="316"/>
      <c r="EVV38" s="316"/>
      <c r="EVW38" s="316"/>
      <c r="EVX38" s="316"/>
      <c r="EVY38" s="316"/>
      <c r="EVZ38" s="316"/>
      <c r="EWA38" s="316"/>
      <c r="EWB38" s="316"/>
      <c r="EWC38" s="316"/>
      <c r="EWD38" s="316"/>
      <c r="EWE38" s="316"/>
      <c r="EWF38" s="316"/>
      <c r="EWG38" s="316"/>
      <c r="EWH38" s="316"/>
      <c r="EWI38" s="316"/>
      <c r="EWJ38" s="316"/>
      <c r="EWK38" s="316"/>
      <c r="EWL38" s="316"/>
      <c r="EWM38" s="316"/>
      <c r="EWN38" s="316"/>
      <c r="EWO38" s="316"/>
      <c r="EWP38" s="316"/>
      <c r="EWQ38" s="316"/>
      <c r="EWR38" s="316"/>
      <c r="EWS38" s="316"/>
      <c r="EWT38" s="316"/>
      <c r="EWU38" s="316"/>
      <c r="EWV38" s="316"/>
      <c r="EWW38" s="316"/>
      <c r="EWX38" s="316"/>
      <c r="EWY38" s="316"/>
      <c r="EWZ38" s="316"/>
      <c r="EXA38" s="316"/>
      <c r="EXB38" s="316"/>
      <c r="EXC38" s="316"/>
      <c r="EXD38" s="316"/>
      <c r="EXE38" s="316"/>
      <c r="EXF38" s="316"/>
      <c r="EXG38" s="316"/>
      <c r="EXH38" s="316"/>
      <c r="EXI38" s="316"/>
      <c r="EXJ38" s="316"/>
      <c r="EXK38" s="316"/>
      <c r="EXL38" s="316"/>
      <c r="EXM38" s="316"/>
      <c r="EXN38" s="316"/>
      <c r="EXO38" s="316"/>
      <c r="EXP38" s="316"/>
      <c r="EXQ38" s="316"/>
      <c r="EXR38" s="316"/>
      <c r="EXS38" s="316"/>
      <c r="EXT38" s="316"/>
      <c r="EXU38" s="316"/>
      <c r="EXV38" s="316"/>
      <c r="EXW38" s="316"/>
      <c r="EXX38" s="316"/>
      <c r="EXY38" s="316"/>
      <c r="EXZ38" s="316"/>
      <c r="EYA38" s="316"/>
      <c r="EYB38" s="316"/>
      <c r="EYC38" s="316"/>
      <c r="EYD38" s="316"/>
      <c r="EYE38" s="316"/>
      <c r="EYF38" s="316"/>
      <c r="EYG38" s="316"/>
      <c r="EYH38" s="316"/>
      <c r="EYI38" s="316"/>
      <c r="EYJ38" s="316"/>
      <c r="EYK38" s="316"/>
      <c r="EYL38" s="316"/>
      <c r="EYM38" s="316"/>
      <c r="EYN38" s="316"/>
      <c r="EYO38" s="316"/>
      <c r="EYP38" s="316"/>
      <c r="EYQ38" s="316"/>
      <c r="EYR38" s="316"/>
      <c r="EYS38" s="316"/>
      <c r="EYT38" s="316"/>
      <c r="EYU38" s="316"/>
      <c r="EYV38" s="316"/>
      <c r="EYW38" s="316"/>
      <c r="EYX38" s="316"/>
      <c r="EYY38" s="316"/>
      <c r="EYZ38" s="316"/>
      <c r="EZA38" s="316"/>
      <c r="EZB38" s="316"/>
      <c r="EZC38" s="316"/>
      <c r="EZD38" s="316"/>
      <c r="EZE38" s="316"/>
      <c r="EZF38" s="316"/>
      <c r="EZG38" s="316"/>
      <c r="EZH38" s="316"/>
      <c r="EZI38" s="316"/>
      <c r="EZJ38" s="316"/>
      <c r="EZK38" s="316"/>
      <c r="EZL38" s="316"/>
      <c r="EZM38" s="316"/>
      <c r="EZN38" s="316"/>
      <c r="EZO38" s="316"/>
      <c r="EZP38" s="316"/>
      <c r="EZQ38" s="316"/>
      <c r="EZR38" s="316"/>
      <c r="EZS38" s="316"/>
      <c r="EZT38" s="316"/>
      <c r="EZU38" s="316"/>
      <c r="EZV38" s="316"/>
      <c r="EZW38" s="316"/>
      <c r="EZX38" s="316"/>
      <c r="EZY38" s="316"/>
      <c r="EZZ38" s="316"/>
      <c r="FAA38" s="316"/>
      <c r="FAB38" s="316"/>
      <c r="FAC38" s="316"/>
      <c r="FAD38" s="316"/>
      <c r="FAE38" s="316"/>
      <c r="FAF38" s="316"/>
      <c r="FAG38" s="316"/>
      <c r="FAH38" s="316"/>
      <c r="FAI38" s="316"/>
      <c r="FAJ38" s="316"/>
      <c r="FAK38" s="316"/>
      <c r="FAL38" s="316"/>
      <c r="FAM38" s="316"/>
      <c r="FAN38" s="316"/>
      <c r="FAO38" s="316"/>
      <c r="FAP38" s="316"/>
      <c r="FAQ38" s="316"/>
      <c r="FAR38" s="316"/>
      <c r="FAS38" s="316"/>
      <c r="FAT38" s="316"/>
      <c r="FAU38" s="316"/>
      <c r="FAV38" s="316"/>
      <c r="FAW38" s="316"/>
      <c r="FAX38" s="316"/>
      <c r="FAY38" s="316"/>
      <c r="FAZ38" s="316"/>
      <c r="FBA38" s="316"/>
      <c r="FBB38" s="316"/>
      <c r="FBC38" s="316"/>
      <c r="FBD38" s="316"/>
      <c r="FBE38" s="316"/>
      <c r="FBF38" s="316"/>
      <c r="FBG38" s="316"/>
      <c r="FBH38" s="316"/>
      <c r="FBI38" s="316"/>
      <c r="FBJ38" s="316"/>
      <c r="FBK38" s="316"/>
      <c r="FBL38" s="316"/>
      <c r="FBM38" s="316"/>
      <c r="FBN38" s="316"/>
      <c r="FBO38" s="316"/>
      <c r="FBP38" s="316"/>
      <c r="FBQ38" s="316"/>
      <c r="FBR38" s="316"/>
      <c r="FBS38" s="316"/>
      <c r="FBT38" s="316"/>
      <c r="FBU38" s="316"/>
      <c r="FBV38" s="316"/>
      <c r="FBW38" s="316"/>
      <c r="FBX38" s="316"/>
      <c r="FBY38" s="316"/>
      <c r="FBZ38" s="316"/>
      <c r="FCA38" s="316"/>
      <c r="FCB38" s="316"/>
      <c r="FCC38" s="316"/>
      <c r="FCD38" s="316"/>
      <c r="FCE38" s="316"/>
      <c r="FCF38" s="316"/>
      <c r="FCG38" s="316"/>
      <c r="FCH38" s="316"/>
      <c r="FCI38" s="316"/>
      <c r="FCJ38" s="316"/>
      <c r="FCK38" s="316"/>
      <c r="FCL38" s="316"/>
      <c r="FCM38" s="316"/>
      <c r="FCN38" s="316"/>
      <c r="FCO38" s="316"/>
      <c r="FCP38" s="316"/>
      <c r="FCQ38" s="316"/>
      <c r="FCR38" s="316"/>
      <c r="FCS38" s="316"/>
      <c r="FCT38" s="316"/>
      <c r="FCU38" s="316"/>
      <c r="FCV38" s="316"/>
      <c r="FCW38" s="316"/>
      <c r="FCX38" s="316"/>
      <c r="FCY38" s="316"/>
      <c r="FCZ38" s="316"/>
      <c r="FDA38" s="316"/>
      <c r="FDB38" s="316"/>
      <c r="FDC38" s="316"/>
      <c r="FDD38" s="316"/>
      <c r="FDE38" s="316"/>
      <c r="FDF38" s="316"/>
      <c r="FDG38" s="316"/>
      <c r="FDH38" s="316"/>
      <c r="FDI38" s="316"/>
      <c r="FDJ38" s="316"/>
      <c r="FDK38" s="316"/>
      <c r="FDL38" s="316"/>
      <c r="FDM38" s="316"/>
      <c r="FDN38" s="316"/>
      <c r="FDO38" s="316"/>
      <c r="FDP38" s="316"/>
      <c r="FDQ38" s="316"/>
      <c r="FDR38" s="316"/>
      <c r="FDS38" s="316"/>
      <c r="FDT38" s="316"/>
      <c r="FDU38" s="316"/>
      <c r="FDV38" s="316"/>
      <c r="FDW38" s="316"/>
      <c r="FDX38" s="316"/>
      <c r="FDY38" s="316"/>
      <c r="FDZ38" s="316"/>
      <c r="FEA38" s="316"/>
      <c r="FEB38" s="316"/>
      <c r="FEC38" s="316"/>
      <c r="FED38" s="316"/>
      <c r="FEE38" s="316"/>
      <c r="FEF38" s="316"/>
      <c r="FEG38" s="316"/>
      <c r="FEH38" s="316"/>
      <c r="FEI38" s="316"/>
      <c r="FEJ38" s="316"/>
      <c r="FEK38" s="316"/>
      <c r="FEL38" s="316"/>
      <c r="FEM38" s="316"/>
      <c r="FEN38" s="316"/>
      <c r="FEO38" s="316"/>
      <c r="FEP38" s="316"/>
      <c r="FEQ38" s="316"/>
      <c r="FER38" s="316"/>
      <c r="FES38" s="316"/>
      <c r="FET38" s="316"/>
      <c r="FEU38" s="316"/>
      <c r="FEV38" s="316"/>
      <c r="FEW38" s="316"/>
      <c r="FEX38" s="316"/>
      <c r="FEY38" s="316"/>
      <c r="FEZ38" s="316"/>
      <c r="FFA38" s="316"/>
      <c r="FFB38" s="316"/>
      <c r="FFC38" s="316"/>
      <c r="FFD38" s="316"/>
      <c r="FFE38" s="316"/>
      <c r="FFF38" s="316"/>
      <c r="FFG38" s="316"/>
      <c r="FFH38" s="316"/>
      <c r="FFI38" s="316"/>
      <c r="FFJ38" s="316"/>
      <c r="FFK38" s="316"/>
      <c r="FFL38" s="316"/>
      <c r="FFM38" s="316"/>
      <c r="FFN38" s="316"/>
      <c r="FFO38" s="316"/>
      <c r="FFP38" s="316"/>
      <c r="FFQ38" s="316"/>
      <c r="FFR38" s="316"/>
      <c r="FFS38" s="316"/>
      <c r="FFT38" s="316"/>
      <c r="FFU38" s="316"/>
      <c r="FFV38" s="316"/>
      <c r="FFW38" s="316"/>
      <c r="FFX38" s="316"/>
      <c r="FFY38" s="316"/>
      <c r="FFZ38" s="316"/>
      <c r="FGA38" s="316"/>
      <c r="FGB38" s="316"/>
      <c r="FGC38" s="316"/>
      <c r="FGD38" s="316"/>
      <c r="FGE38" s="316"/>
      <c r="FGF38" s="316"/>
      <c r="FGG38" s="316"/>
      <c r="FGH38" s="316"/>
      <c r="FGI38" s="316"/>
      <c r="FGJ38" s="316"/>
      <c r="FGK38" s="316"/>
      <c r="FGL38" s="316"/>
      <c r="FGM38" s="316"/>
      <c r="FGN38" s="316"/>
      <c r="FGO38" s="316"/>
      <c r="FGP38" s="316"/>
      <c r="FGQ38" s="316"/>
      <c r="FGR38" s="316"/>
      <c r="FGS38" s="316"/>
      <c r="FGT38" s="316"/>
      <c r="FGU38" s="316"/>
      <c r="FGV38" s="316"/>
      <c r="FGW38" s="316"/>
      <c r="FGX38" s="316"/>
      <c r="FGY38" s="316"/>
      <c r="FGZ38" s="316"/>
      <c r="FHA38" s="316"/>
      <c r="FHB38" s="316"/>
      <c r="FHC38" s="316"/>
      <c r="FHD38" s="316"/>
      <c r="FHE38" s="316"/>
      <c r="FHF38" s="316"/>
      <c r="FHG38" s="316"/>
      <c r="FHH38" s="316"/>
      <c r="FHI38" s="316"/>
      <c r="FHJ38" s="316"/>
      <c r="FHK38" s="316"/>
      <c r="FHL38" s="316"/>
      <c r="FHM38" s="316"/>
      <c r="FHN38" s="316"/>
      <c r="FHO38" s="316"/>
      <c r="FHP38" s="316"/>
      <c r="FHQ38" s="316"/>
      <c r="FHR38" s="316"/>
      <c r="FHS38" s="316"/>
      <c r="FHT38" s="316"/>
      <c r="FHU38" s="316"/>
      <c r="FHV38" s="316"/>
      <c r="FHW38" s="316"/>
      <c r="FHX38" s="316"/>
      <c r="FHY38" s="316"/>
      <c r="FHZ38" s="316"/>
      <c r="FIA38" s="316"/>
      <c r="FIB38" s="316"/>
      <c r="FIC38" s="316"/>
      <c r="FID38" s="316"/>
      <c r="FIE38" s="316"/>
      <c r="FIF38" s="316"/>
      <c r="FIG38" s="316"/>
      <c r="FIH38" s="316"/>
      <c r="FII38" s="316"/>
      <c r="FIJ38" s="316"/>
      <c r="FIK38" s="316"/>
      <c r="FIL38" s="316"/>
      <c r="FIM38" s="316"/>
      <c r="FIN38" s="316"/>
      <c r="FIO38" s="316"/>
      <c r="FIP38" s="316"/>
      <c r="FIQ38" s="316"/>
      <c r="FIR38" s="316"/>
      <c r="FIS38" s="316"/>
      <c r="FIT38" s="316"/>
      <c r="FIU38" s="316"/>
      <c r="FIV38" s="316"/>
      <c r="FIW38" s="316"/>
      <c r="FIX38" s="316"/>
      <c r="FIY38" s="316"/>
      <c r="FIZ38" s="316"/>
      <c r="FJA38" s="316"/>
      <c r="FJB38" s="316"/>
      <c r="FJC38" s="316"/>
      <c r="FJD38" s="316"/>
      <c r="FJE38" s="316"/>
      <c r="FJF38" s="316"/>
      <c r="FJG38" s="316"/>
      <c r="FJH38" s="316"/>
      <c r="FJI38" s="316"/>
      <c r="FJJ38" s="316"/>
      <c r="FJK38" s="316"/>
      <c r="FJL38" s="316"/>
      <c r="FJM38" s="316"/>
      <c r="FJN38" s="316"/>
      <c r="FJO38" s="316"/>
      <c r="FJP38" s="316"/>
      <c r="FJQ38" s="316"/>
      <c r="FJR38" s="316"/>
      <c r="FJS38" s="316"/>
      <c r="FJT38" s="316"/>
      <c r="FJU38" s="316"/>
      <c r="FJV38" s="316"/>
      <c r="FJW38" s="316"/>
      <c r="FJX38" s="316"/>
      <c r="FJY38" s="316"/>
      <c r="FJZ38" s="316"/>
      <c r="FKA38" s="316"/>
      <c r="FKB38" s="316"/>
      <c r="FKC38" s="316"/>
      <c r="FKD38" s="316"/>
      <c r="FKE38" s="316"/>
      <c r="FKF38" s="316"/>
      <c r="FKG38" s="316"/>
      <c r="FKH38" s="316"/>
      <c r="FKI38" s="316"/>
      <c r="FKJ38" s="316"/>
      <c r="FKK38" s="316"/>
      <c r="FKL38" s="316"/>
      <c r="FKM38" s="316"/>
      <c r="FKN38" s="316"/>
      <c r="FKO38" s="316"/>
      <c r="FKP38" s="316"/>
      <c r="FKQ38" s="316"/>
      <c r="FKR38" s="316"/>
      <c r="FKS38" s="316"/>
      <c r="FKT38" s="316"/>
      <c r="FKU38" s="316"/>
      <c r="FKV38" s="316"/>
      <c r="FKW38" s="316"/>
      <c r="FKX38" s="316"/>
      <c r="FKY38" s="316"/>
      <c r="FKZ38" s="316"/>
      <c r="FLA38" s="316"/>
      <c r="FLB38" s="316"/>
      <c r="FLC38" s="316"/>
      <c r="FLD38" s="316"/>
      <c r="FLE38" s="316"/>
      <c r="FLF38" s="316"/>
      <c r="FLG38" s="316"/>
      <c r="FLH38" s="316"/>
      <c r="FLI38" s="316"/>
      <c r="FLJ38" s="316"/>
      <c r="FLK38" s="316"/>
      <c r="FLL38" s="316"/>
      <c r="FLM38" s="316"/>
      <c r="FLN38" s="316"/>
      <c r="FLO38" s="316"/>
      <c r="FLP38" s="316"/>
      <c r="FLQ38" s="316"/>
      <c r="FLR38" s="316"/>
      <c r="FLS38" s="316"/>
      <c r="FLT38" s="316"/>
      <c r="FLU38" s="316"/>
      <c r="FLV38" s="316"/>
      <c r="FLW38" s="316"/>
      <c r="FLX38" s="316"/>
      <c r="FLY38" s="316"/>
      <c r="FLZ38" s="316"/>
      <c r="FMA38" s="316"/>
      <c r="FMB38" s="316"/>
      <c r="FMC38" s="316"/>
      <c r="FMD38" s="316"/>
      <c r="FME38" s="316"/>
      <c r="FMF38" s="316"/>
      <c r="FMG38" s="316"/>
      <c r="FMH38" s="316"/>
      <c r="FMI38" s="316"/>
      <c r="FMJ38" s="316"/>
      <c r="FMK38" s="316"/>
      <c r="FML38" s="316"/>
      <c r="FMM38" s="316"/>
      <c r="FMN38" s="316"/>
      <c r="FMO38" s="316"/>
      <c r="FMP38" s="316"/>
      <c r="FMQ38" s="316"/>
      <c r="FMR38" s="316"/>
      <c r="FMS38" s="316"/>
      <c r="FMT38" s="316"/>
      <c r="FMU38" s="316"/>
      <c r="FMV38" s="316"/>
      <c r="FMW38" s="316"/>
      <c r="FMX38" s="316"/>
      <c r="FMY38" s="316"/>
      <c r="FMZ38" s="316"/>
      <c r="FNA38" s="316"/>
      <c r="FNB38" s="316"/>
      <c r="FNC38" s="316"/>
      <c r="FND38" s="316"/>
      <c r="FNE38" s="316"/>
      <c r="FNF38" s="316"/>
      <c r="FNG38" s="316"/>
      <c r="FNH38" s="316"/>
      <c r="FNI38" s="316"/>
      <c r="FNJ38" s="316"/>
      <c r="FNK38" s="316"/>
      <c r="FNL38" s="316"/>
      <c r="FNM38" s="316"/>
      <c r="FNN38" s="316"/>
      <c r="FNO38" s="316"/>
      <c r="FNP38" s="316"/>
      <c r="FNQ38" s="316"/>
      <c r="FNR38" s="316"/>
      <c r="FNS38" s="316"/>
      <c r="FNT38" s="316"/>
      <c r="FNU38" s="316"/>
      <c r="FNV38" s="316"/>
      <c r="FNW38" s="316"/>
      <c r="FNX38" s="316"/>
      <c r="FNY38" s="316"/>
      <c r="FNZ38" s="316"/>
      <c r="FOA38" s="316"/>
      <c r="FOB38" s="316"/>
      <c r="FOC38" s="316"/>
      <c r="FOD38" s="316"/>
      <c r="FOE38" s="316"/>
      <c r="FOF38" s="316"/>
      <c r="FOG38" s="316"/>
      <c r="FOH38" s="316"/>
      <c r="FOI38" s="316"/>
      <c r="FOJ38" s="316"/>
      <c r="FOK38" s="316"/>
      <c r="FOL38" s="316"/>
      <c r="FOM38" s="316"/>
      <c r="FON38" s="316"/>
      <c r="FOO38" s="316"/>
      <c r="FOP38" s="316"/>
      <c r="FOQ38" s="316"/>
      <c r="FOR38" s="316"/>
      <c r="FOS38" s="316"/>
      <c r="FOT38" s="316"/>
      <c r="FOU38" s="316"/>
      <c r="FOV38" s="316"/>
      <c r="FOW38" s="316"/>
      <c r="FOX38" s="316"/>
      <c r="FOY38" s="316"/>
      <c r="FOZ38" s="316"/>
      <c r="FPA38" s="316"/>
      <c r="FPB38" s="316"/>
      <c r="FPC38" s="316"/>
      <c r="FPD38" s="316"/>
      <c r="FPE38" s="316"/>
      <c r="FPF38" s="316"/>
      <c r="FPG38" s="316"/>
      <c r="FPH38" s="316"/>
      <c r="FPI38" s="316"/>
      <c r="FPJ38" s="316"/>
      <c r="FPK38" s="316"/>
      <c r="FPL38" s="316"/>
      <c r="FPM38" s="316"/>
      <c r="FPN38" s="316"/>
      <c r="FPO38" s="316"/>
      <c r="FPP38" s="316"/>
      <c r="FPQ38" s="316"/>
      <c r="FPR38" s="316"/>
      <c r="FPS38" s="316"/>
      <c r="FPT38" s="316"/>
      <c r="FPU38" s="316"/>
      <c r="FPV38" s="316"/>
      <c r="FPW38" s="316"/>
      <c r="FPX38" s="316"/>
      <c r="FPY38" s="316"/>
      <c r="FPZ38" s="316"/>
      <c r="FQA38" s="316"/>
      <c r="FQB38" s="316"/>
      <c r="FQC38" s="316"/>
      <c r="FQD38" s="316"/>
      <c r="FQE38" s="316"/>
      <c r="FQF38" s="316"/>
      <c r="FQG38" s="316"/>
      <c r="FQH38" s="316"/>
      <c r="FQI38" s="316"/>
      <c r="FQJ38" s="316"/>
      <c r="FQK38" s="316"/>
      <c r="FQL38" s="316"/>
      <c r="FQM38" s="316"/>
      <c r="FQN38" s="316"/>
      <c r="FQO38" s="316"/>
      <c r="FQP38" s="316"/>
      <c r="FQQ38" s="316"/>
      <c r="FQR38" s="316"/>
      <c r="FQS38" s="316"/>
      <c r="FQT38" s="316"/>
      <c r="FQU38" s="316"/>
      <c r="FQV38" s="316"/>
      <c r="FQW38" s="316"/>
      <c r="FQX38" s="316"/>
      <c r="FQY38" s="316"/>
      <c r="FQZ38" s="316"/>
      <c r="FRA38" s="316"/>
      <c r="FRB38" s="316"/>
      <c r="FRC38" s="316"/>
      <c r="FRD38" s="316"/>
      <c r="FRE38" s="316"/>
      <c r="FRF38" s="316"/>
      <c r="FRG38" s="316"/>
      <c r="FRH38" s="316"/>
      <c r="FRI38" s="316"/>
      <c r="FRJ38" s="316"/>
      <c r="FRK38" s="316"/>
      <c r="FRL38" s="316"/>
      <c r="FRM38" s="316"/>
      <c r="FRN38" s="316"/>
      <c r="FRO38" s="316"/>
      <c r="FRP38" s="316"/>
      <c r="FRQ38" s="316"/>
      <c r="FRR38" s="316"/>
      <c r="FRS38" s="316"/>
      <c r="FRT38" s="316"/>
      <c r="FRU38" s="316"/>
      <c r="FRV38" s="316"/>
      <c r="FRW38" s="316"/>
      <c r="FRX38" s="316"/>
      <c r="FRY38" s="316"/>
      <c r="FRZ38" s="316"/>
      <c r="FSA38" s="316"/>
      <c r="FSB38" s="316"/>
      <c r="FSC38" s="316"/>
      <c r="FSD38" s="316"/>
      <c r="FSE38" s="316"/>
      <c r="FSF38" s="316"/>
      <c r="FSG38" s="316"/>
      <c r="FSH38" s="316"/>
      <c r="FSI38" s="316"/>
      <c r="FSJ38" s="316"/>
      <c r="FSK38" s="316"/>
      <c r="FSL38" s="316"/>
      <c r="FSM38" s="316"/>
      <c r="FSN38" s="316"/>
      <c r="FSO38" s="316"/>
      <c r="FSP38" s="316"/>
      <c r="FSQ38" s="316"/>
      <c r="FSR38" s="316"/>
      <c r="FSS38" s="316"/>
      <c r="FST38" s="316"/>
      <c r="FSU38" s="316"/>
      <c r="FSV38" s="316"/>
      <c r="FSW38" s="316"/>
      <c r="FSX38" s="316"/>
      <c r="FSY38" s="316"/>
      <c r="FSZ38" s="316"/>
      <c r="FTA38" s="316"/>
      <c r="FTB38" s="316"/>
      <c r="FTC38" s="316"/>
      <c r="FTD38" s="316"/>
      <c r="FTE38" s="316"/>
      <c r="FTF38" s="316"/>
      <c r="FTG38" s="316"/>
      <c r="FTH38" s="316"/>
      <c r="FTI38" s="316"/>
      <c r="FTJ38" s="316"/>
      <c r="FTK38" s="316"/>
      <c r="FTL38" s="316"/>
      <c r="FTM38" s="316"/>
      <c r="FTN38" s="316"/>
      <c r="FTO38" s="316"/>
      <c r="FTP38" s="316"/>
      <c r="FTQ38" s="316"/>
      <c r="FTR38" s="316"/>
      <c r="FTS38" s="316"/>
      <c r="FTT38" s="316"/>
      <c r="FTU38" s="316"/>
      <c r="FTV38" s="316"/>
      <c r="FTW38" s="316"/>
      <c r="FTX38" s="316"/>
      <c r="FTY38" s="316"/>
      <c r="FTZ38" s="316"/>
      <c r="FUA38" s="316"/>
      <c r="FUB38" s="316"/>
      <c r="FUC38" s="316"/>
      <c r="FUD38" s="316"/>
      <c r="FUE38" s="316"/>
      <c r="FUF38" s="316"/>
      <c r="FUG38" s="316"/>
      <c r="FUH38" s="316"/>
      <c r="FUI38" s="316"/>
      <c r="FUJ38" s="316"/>
      <c r="FUK38" s="316"/>
      <c r="FUL38" s="316"/>
      <c r="FUM38" s="316"/>
      <c r="FUN38" s="316"/>
      <c r="FUO38" s="316"/>
      <c r="FUP38" s="316"/>
      <c r="FUQ38" s="316"/>
      <c r="FUR38" s="316"/>
      <c r="FUS38" s="316"/>
      <c r="FUT38" s="316"/>
      <c r="FUU38" s="316"/>
      <c r="FUV38" s="316"/>
      <c r="FUW38" s="316"/>
      <c r="FUX38" s="316"/>
      <c r="FUY38" s="316"/>
      <c r="FUZ38" s="316"/>
      <c r="FVA38" s="316"/>
      <c r="FVB38" s="316"/>
      <c r="FVC38" s="316"/>
      <c r="FVD38" s="316"/>
      <c r="FVE38" s="316"/>
      <c r="FVF38" s="316"/>
      <c r="FVG38" s="316"/>
      <c r="FVH38" s="316"/>
      <c r="FVI38" s="316"/>
      <c r="FVJ38" s="316"/>
      <c r="FVK38" s="316"/>
      <c r="FVL38" s="316"/>
      <c r="FVM38" s="316"/>
      <c r="FVN38" s="316"/>
      <c r="FVO38" s="316"/>
      <c r="FVP38" s="316"/>
      <c r="FVQ38" s="316"/>
      <c r="FVR38" s="316"/>
      <c r="FVS38" s="316"/>
      <c r="FVT38" s="316"/>
      <c r="FVU38" s="316"/>
      <c r="FVV38" s="316"/>
      <c r="FVW38" s="316"/>
      <c r="FVX38" s="316"/>
      <c r="FVY38" s="316"/>
      <c r="FVZ38" s="316"/>
      <c r="FWA38" s="316"/>
      <c r="FWB38" s="316"/>
      <c r="FWC38" s="316"/>
      <c r="FWD38" s="316"/>
      <c r="FWE38" s="316"/>
      <c r="FWF38" s="316"/>
      <c r="FWG38" s="316"/>
      <c r="FWH38" s="316"/>
      <c r="FWI38" s="316"/>
      <c r="FWJ38" s="316"/>
      <c r="FWK38" s="316"/>
      <c r="FWL38" s="316"/>
      <c r="FWM38" s="316"/>
      <c r="FWN38" s="316"/>
      <c r="FWO38" s="316"/>
      <c r="FWP38" s="316"/>
      <c r="FWQ38" s="316"/>
      <c r="FWR38" s="316"/>
      <c r="FWS38" s="316"/>
      <c r="FWT38" s="316"/>
      <c r="FWU38" s="316"/>
      <c r="FWV38" s="316"/>
      <c r="FWW38" s="316"/>
      <c r="FWX38" s="316"/>
      <c r="FWY38" s="316"/>
      <c r="FWZ38" s="316"/>
      <c r="FXA38" s="316"/>
      <c r="FXB38" s="316"/>
      <c r="FXC38" s="316"/>
      <c r="FXD38" s="316"/>
      <c r="FXE38" s="316"/>
      <c r="FXF38" s="316"/>
      <c r="FXG38" s="316"/>
      <c r="FXH38" s="316"/>
      <c r="FXI38" s="316"/>
      <c r="FXJ38" s="316"/>
      <c r="FXK38" s="316"/>
      <c r="FXL38" s="316"/>
      <c r="FXM38" s="316"/>
      <c r="FXN38" s="316"/>
      <c r="FXO38" s="316"/>
      <c r="FXP38" s="316"/>
      <c r="FXQ38" s="316"/>
      <c r="FXR38" s="316"/>
      <c r="FXS38" s="316"/>
      <c r="FXT38" s="316"/>
      <c r="FXU38" s="316"/>
      <c r="FXV38" s="316"/>
      <c r="FXW38" s="316"/>
      <c r="FXX38" s="316"/>
      <c r="FXY38" s="316"/>
      <c r="FXZ38" s="316"/>
      <c r="FYA38" s="316"/>
      <c r="FYB38" s="316"/>
      <c r="FYC38" s="316"/>
      <c r="FYD38" s="316"/>
      <c r="FYE38" s="316"/>
      <c r="FYF38" s="316"/>
      <c r="FYG38" s="316"/>
      <c r="FYH38" s="316"/>
      <c r="FYI38" s="316"/>
      <c r="FYJ38" s="316"/>
      <c r="FYK38" s="316"/>
      <c r="FYL38" s="316"/>
      <c r="FYM38" s="316"/>
      <c r="FYN38" s="316"/>
      <c r="FYO38" s="316"/>
      <c r="FYP38" s="316"/>
      <c r="FYQ38" s="316"/>
      <c r="FYR38" s="316"/>
      <c r="FYS38" s="316"/>
      <c r="FYT38" s="316"/>
      <c r="FYU38" s="316"/>
      <c r="FYV38" s="316"/>
      <c r="FYW38" s="316"/>
      <c r="FYX38" s="316"/>
      <c r="FYY38" s="316"/>
      <c r="FYZ38" s="316"/>
      <c r="FZA38" s="316"/>
      <c r="FZB38" s="316"/>
      <c r="FZC38" s="316"/>
      <c r="FZD38" s="316"/>
      <c r="FZE38" s="316"/>
      <c r="FZF38" s="316"/>
      <c r="FZG38" s="316"/>
      <c r="FZH38" s="316"/>
      <c r="FZI38" s="316"/>
      <c r="FZJ38" s="316"/>
      <c r="FZK38" s="316"/>
      <c r="FZL38" s="316"/>
      <c r="FZM38" s="316"/>
      <c r="FZN38" s="316"/>
      <c r="FZO38" s="316"/>
      <c r="FZP38" s="316"/>
      <c r="FZQ38" s="316"/>
      <c r="FZR38" s="316"/>
      <c r="FZS38" s="316"/>
      <c r="FZT38" s="316"/>
      <c r="FZU38" s="316"/>
      <c r="FZV38" s="316"/>
      <c r="FZW38" s="316"/>
      <c r="FZX38" s="316"/>
      <c r="FZY38" s="316"/>
      <c r="FZZ38" s="316"/>
      <c r="GAA38" s="316"/>
      <c r="GAB38" s="316"/>
      <c r="GAC38" s="316"/>
      <c r="GAD38" s="316"/>
      <c r="GAE38" s="316"/>
      <c r="GAF38" s="316"/>
      <c r="GAG38" s="316"/>
      <c r="GAH38" s="316"/>
      <c r="GAI38" s="316"/>
      <c r="GAJ38" s="316"/>
      <c r="GAK38" s="316"/>
      <c r="GAL38" s="316"/>
      <c r="GAM38" s="316"/>
      <c r="GAN38" s="316"/>
      <c r="GAO38" s="316"/>
      <c r="GAP38" s="316"/>
      <c r="GAQ38" s="316"/>
      <c r="GAR38" s="316"/>
      <c r="GAS38" s="316"/>
      <c r="GAT38" s="316"/>
      <c r="GAU38" s="316"/>
      <c r="GAV38" s="316"/>
      <c r="GAW38" s="316"/>
      <c r="GAX38" s="316"/>
      <c r="GAY38" s="316"/>
      <c r="GAZ38" s="316"/>
      <c r="GBA38" s="316"/>
      <c r="GBB38" s="316"/>
      <c r="GBC38" s="316"/>
      <c r="GBD38" s="316"/>
      <c r="GBE38" s="316"/>
      <c r="GBF38" s="316"/>
      <c r="GBG38" s="316"/>
      <c r="GBH38" s="316"/>
      <c r="GBI38" s="316"/>
      <c r="GBJ38" s="316"/>
      <c r="GBK38" s="316"/>
      <c r="GBL38" s="316"/>
      <c r="GBM38" s="316"/>
      <c r="GBN38" s="316"/>
      <c r="GBO38" s="316"/>
      <c r="GBP38" s="316"/>
      <c r="GBQ38" s="316"/>
      <c r="GBR38" s="316"/>
      <c r="GBS38" s="316"/>
      <c r="GBT38" s="316"/>
      <c r="GBU38" s="316"/>
      <c r="GBV38" s="316"/>
      <c r="GBW38" s="316"/>
      <c r="GBX38" s="316"/>
      <c r="GBY38" s="316"/>
      <c r="GBZ38" s="316"/>
      <c r="GCA38" s="316"/>
      <c r="GCB38" s="316"/>
      <c r="GCC38" s="316"/>
      <c r="GCD38" s="316"/>
      <c r="GCE38" s="316"/>
      <c r="GCF38" s="316"/>
      <c r="GCG38" s="316"/>
      <c r="GCH38" s="316"/>
      <c r="GCI38" s="316"/>
      <c r="GCJ38" s="316"/>
      <c r="GCK38" s="316"/>
      <c r="GCL38" s="316"/>
      <c r="GCM38" s="316"/>
      <c r="GCN38" s="316"/>
      <c r="GCO38" s="316"/>
      <c r="GCP38" s="316"/>
      <c r="GCQ38" s="316"/>
      <c r="GCR38" s="316"/>
      <c r="GCS38" s="316"/>
      <c r="GCT38" s="316"/>
      <c r="GCU38" s="316"/>
      <c r="GCV38" s="316"/>
      <c r="GCW38" s="316"/>
      <c r="GCX38" s="316"/>
      <c r="GCY38" s="316"/>
      <c r="GCZ38" s="316"/>
      <c r="GDA38" s="316"/>
      <c r="GDB38" s="316"/>
      <c r="GDC38" s="316"/>
      <c r="GDD38" s="316"/>
      <c r="GDE38" s="316"/>
      <c r="GDF38" s="316"/>
      <c r="GDG38" s="316"/>
      <c r="GDH38" s="316"/>
      <c r="GDI38" s="316"/>
      <c r="GDJ38" s="316"/>
      <c r="GDK38" s="316"/>
      <c r="GDL38" s="316"/>
      <c r="GDM38" s="316"/>
      <c r="GDN38" s="316"/>
      <c r="GDO38" s="316"/>
      <c r="GDP38" s="316"/>
      <c r="GDQ38" s="316"/>
      <c r="GDR38" s="316"/>
      <c r="GDS38" s="316"/>
      <c r="GDT38" s="316"/>
      <c r="GDU38" s="316"/>
      <c r="GDV38" s="316"/>
      <c r="GDW38" s="316"/>
      <c r="GDX38" s="316"/>
      <c r="GDY38" s="316"/>
      <c r="GDZ38" s="316"/>
      <c r="GEA38" s="316"/>
      <c r="GEB38" s="316"/>
      <c r="GEC38" s="316"/>
      <c r="GED38" s="316"/>
      <c r="GEE38" s="316"/>
      <c r="GEF38" s="316"/>
      <c r="GEG38" s="316"/>
      <c r="GEH38" s="316"/>
      <c r="GEI38" s="316"/>
      <c r="GEJ38" s="316"/>
      <c r="GEK38" s="316"/>
      <c r="GEL38" s="316"/>
      <c r="GEM38" s="316"/>
      <c r="GEN38" s="316"/>
      <c r="GEO38" s="316"/>
      <c r="GEP38" s="316"/>
      <c r="GEQ38" s="316"/>
      <c r="GER38" s="316"/>
      <c r="GES38" s="316"/>
      <c r="GET38" s="316"/>
      <c r="GEU38" s="316"/>
      <c r="GEV38" s="316"/>
      <c r="GEW38" s="316"/>
      <c r="GEX38" s="316"/>
      <c r="GEY38" s="316"/>
      <c r="GEZ38" s="316"/>
      <c r="GFA38" s="316"/>
      <c r="GFB38" s="316"/>
      <c r="GFC38" s="316"/>
      <c r="GFD38" s="316"/>
      <c r="GFE38" s="316"/>
      <c r="GFF38" s="316"/>
      <c r="GFG38" s="316"/>
      <c r="GFH38" s="316"/>
      <c r="GFI38" s="316"/>
      <c r="GFJ38" s="316"/>
      <c r="GFK38" s="316"/>
      <c r="GFL38" s="316"/>
      <c r="GFM38" s="316"/>
      <c r="GFN38" s="316"/>
      <c r="GFO38" s="316"/>
      <c r="GFP38" s="316"/>
      <c r="GFQ38" s="316"/>
      <c r="GFR38" s="316"/>
      <c r="GFS38" s="316"/>
      <c r="GFT38" s="316"/>
      <c r="GFU38" s="316"/>
      <c r="GFV38" s="316"/>
      <c r="GFW38" s="316"/>
      <c r="GFX38" s="316"/>
      <c r="GFY38" s="316"/>
      <c r="GFZ38" s="316"/>
      <c r="GGA38" s="316"/>
      <c r="GGB38" s="316"/>
      <c r="GGC38" s="316"/>
      <c r="GGD38" s="316"/>
      <c r="GGE38" s="316"/>
      <c r="GGF38" s="316"/>
      <c r="GGG38" s="316"/>
      <c r="GGH38" s="316"/>
      <c r="GGI38" s="316"/>
      <c r="GGJ38" s="316"/>
      <c r="GGK38" s="316"/>
      <c r="GGL38" s="316"/>
      <c r="GGM38" s="316"/>
      <c r="GGN38" s="316"/>
      <c r="GGO38" s="316"/>
      <c r="GGP38" s="316"/>
      <c r="GGQ38" s="316"/>
      <c r="GGR38" s="316"/>
      <c r="GGS38" s="316"/>
      <c r="GGT38" s="316"/>
      <c r="GGU38" s="316"/>
      <c r="GGV38" s="316"/>
      <c r="GGW38" s="316"/>
      <c r="GGX38" s="316"/>
      <c r="GGY38" s="316"/>
      <c r="GGZ38" s="316"/>
      <c r="GHA38" s="316"/>
      <c r="GHB38" s="316"/>
      <c r="GHC38" s="316"/>
      <c r="GHD38" s="316"/>
      <c r="GHE38" s="316"/>
      <c r="GHF38" s="316"/>
      <c r="GHG38" s="316"/>
      <c r="GHH38" s="316"/>
      <c r="GHI38" s="316"/>
      <c r="GHJ38" s="316"/>
      <c r="GHK38" s="316"/>
      <c r="GHL38" s="316"/>
      <c r="GHM38" s="316"/>
      <c r="GHN38" s="316"/>
      <c r="GHO38" s="316"/>
      <c r="GHP38" s="316"/>
      <c r="GHQ38" s="316"/>
      <c r="GHR38" s="316"/>
      <c r="GHS38" s="316"/>
      <c r="GHT38" s="316"/>
      <c r="GHU38" s="316"/>
      <c r="GHV38" s="316"/>
      <c r="GHW38" s="316"/>
      <c r="GHX38" s="316"/>
      <c r="GHY38" s="316"/>
      <c r="GHZ38" s="316"/>
      <c r="GIA38" s="316"/>
      <c r="GIB38" s="316"/>
      <c r="GIC38" s="316"/>
      <c r="GID38" s="316"/>
      <c r="GIE38" s="316"/>
      <c r="GIF38" s="316"/>
      <c r="GIG38" s="316"/>
      <c r="GIH38" s="316"/>
      <c r="GII38" s="316"/>
      <c r="GIJ38" s="316"/>
      <c r="GIK38" s="316"/>
      <c r="GIL38" s="316"/>
      <c r="GIM38" s="316"/>
      <c r="GIN38" s="316"/>
      <c r="GIO38" s="316"/>
      <c r="GIP38" s="316"/>
      <c r="GIQ38" s="316"/>
      <c r="GIR38" s="316"/>
      <c r="GIS38" s="316"/>
      <c r="GIT38" s="316"/>
      <c r="GIU38" s="316"/>
      <c r="GIV38" s="316"/>
      <c r="GIW38" s="316"/>
      <c r="GIX38" s="316"/>
      <c r="GIY38" s="316"/>
      <c r="GIZ38" s="316"/>
      <c r="GJA38" s="316"/>
      <c r="GJB38" s="316"/>
      <c r="GJC38" s="316"/>
      <c r="GJD38" s="316"/>
      <c r="GJE38" s="316"/>
      <c r="GJF38" s="316"/>
      <c r="GJG38" s="316"/>
      <c r="GJH38" s="316"/>
      <c r="GJI38" s="316"/>
      <c r="GJJ38" s="316"/>
      <c r="GJK38" s="316"/>
      <c r="GJL38" s="316"/>
      <c r="GJM38" s="316"/>
      <c r="GJN38" s="316"/>
      <c r="GJO38" s="316"/>
      <c r="GJP38" s="316"/>
      <c r="GJQ38" s="316"/>
      <c r="GJR38" s="316"/>
      <c r="GJS38" s="316"/>
      <c r="GJT38" s="316"/>
      <c r="GJU38" s="316"/>
      <c r="GJV38" s="316"/>
      <c r="GJW38" s="316"/>
      <c r="GJX38" s="316"/>
      <c r="GJY38" s="316"/>
      <c r="GJZ38" s="316"/>
      <c r="GKA38" s="316"/>
      <c r="GKB38" s="316"/>
      <c r="GKC38" s="316"/>
      <c r="GKD38" s="316"/>
      <c r="GKE38" s="316"/>
      <c r="GKF38" s="316"/>
      <c r="GKG38" s="316"/>
      <c r="GKH38" s="316"/>
      <c r="GKI38" s="316"/>
      <c r="GKJ38" s="316"/>
      <c r="GKK38" s="316"/>
      <c r="GKL38" s="316"/>
      <c r="GKM38" s="316"/>
      <c r="GKN38" s="316"/>
      <c r="GKO38" s="316"/>
      <c r="GKP38" s="316"/>
      <c r="GKQ38" s="316"/>
      <c r="GKR38" s="316"/>
      <c r="GKS38" s="316"/>
      <c r="GKT38" s="316"/>
      <c r="GKU38" s="316"/>
      <c r="GKV38" s="316"/>
      <c r="GKW38" s="316"/>
      <c r="GKX38" s="316"/>
      <c r="GKY38" s="316"/>
      <c r="GKZ38" s="316"/>
      <c r="GLA38" s="316"/>
      <c r="GLB38" s="316"/>
      <c r="GLC38" s="316"/>
      <c r="GLD38" s="316"/>
      <c r="GLE38" s="316"/>
      <c r="GLF38" s="316"/>
      <c r="GLG38" s="316"/>
      <c r="GLH38" s="316"/>
      <c r="GLI38" s="316"/>
      <c r="GLJ38" s="316"/>
      <c r="GLK38" s="316"/>
      <c r="GLL38" s="316"/>
      <c r="GLM38" s="316"/>
      <c r="GLN38" s="316"/>
      <c r="GLO38" s="316"/>
      <c r="GLP38" s="316"/>
      <c r="GLQ38" s="316"/>
      <c r="GLR38" s="316"/>
      <c r="GLS38" s="316"/>
      <c r="GLT38" s="316"/>
      <c r="GLU38" s="316"/>
      <c r="GLV38" s="316"/>
      <c r="GLW38" s="316"/>
      <c r="GLX38" s="316"/>
      <c r="GLY38" s="316"/>
      <c r="GLZ38" s="316"/>
      <c r="GMA38" s="316"/>
      <c r="GMB38" s="316"/>
      <c r="GMC38" s="316"/>
      <c r="GMD38" s="316"/>
      <c r="GME38" s="316"/>
      <c r="GMF38" s="316"/>
      <c r="GMG38" s="316"/>
      <c r="GMH38" s="316"/>
      <c r="GMI38" s="316"/>
      <c r="GMJ38" s="316"/>
      <c r="GMK38" s="316"/>
      <c r="GML38" s="316"/>
      <c r="GMM38" s="316"/>
      <c r="GMN38" s="316"/>
      <c r="GMO38" s="316"/>
      <c r="GMP38" s="316"/>
      <c r="GMQ38" s="316"/>
      <c r="GMR38" s="316"/>
      <c r="GMS38" s="316"/>
      <c r="GMT38" s="316"/>
      <c r="GMU38" s="316"/>
      <c r="GMV38" s="316"/>
      <c r="GMW38" s="316"/>
      <c r="GMX38" s="316"/>
      <c r="GMY38" s="316"/>
      <c r="GMZ38" s="316"/>
      <c r="GNA38" s="316"/>
      <c r="GNB38" s="316"/>
      <c r="GNC38" s="316"/>
      <c r="GND38" s="316"/>
      <c r="GNE38" s="316"/>
      <c r="GNF38" s="316"/>
      <c r="GNG38" s="316"/>
      <c r="GNH38" s="316"/>
      <c r="GNI38" s="316"/>
      <c r="GNJ38" s="316"/>
      <c r="GNK38" s="316"/>
      <c r="GNL38" s="316"/>
      <c r="GNM38" s="316"/>
      <c r="GNN38" s="316"/>
      <c r="GNO38" s="316"/>
      <c r="GNP38" s="316"/>
      <c r="GNQ38" s="316"/>
      <c r="GNR38" s="316"/>
      <c r="GNS38" s="316"/>
      <c r="GNT38" s="316"/>
      <c r="GNU38" s="316"/>
      <c r="GNV38" s="316"/>
      <c r="GNW38" s="316"/>
      <c r="GNX38" s="316"/>
      <c r="GNY38" s="316"/>
      <c r="GNZ38" s="316"/>
      <c r="GOA38" s="316"/>
      <c r="GOB38" s="316"/>
      <c r="GOC38" s="316"/>
      <c r="GOD38" s="316"/>
      <c r="GOE38" s="316"/>
      <c r="GOF38" s="316"/>
      <c r="GOG38" s="316"/>
      <c r="GOH38" s="316"/>
      <c r="GOI38" s="316"/>
      <c r="GOJ38" s="316"/>
      <c r="GOK38" s="316"/>
      <c r="GOL38" s="316"/>
      <c r="GOM38" s="316"/>
      <c r="GON38" s="316"/>
      <c r="GOO38" s="316"/>
      <c r="GOP38" s="316"/>
      <c r="GOQ38" s="316"/>
      <c r="GOR38" s="316"/>
      <c r="GOS38" s="316"/>
      <c r="GOT38" s="316"/>
      <c r="GOU38" s="316"/>
      <c r="GOV38" s="316"/>
      <c r="GOW38" s="316"/>
      <c r="GOX38" s="316"/>
      <c r="GOY38" s="316"/>
      <c r="GOZ38" s="316"/>
      <c r="GPA38" s="316"/>
      <c r="GPB38" s="316"/>
      <c r="GPC38" s="316"/>
      <c r="GPD38" s="316"/>
      <c r="GPE38" s="316"/>
      <c r="GPF38" s="316"/>
      <c r="GPG38" s="316"/>
      <c r="GPH38" s="316"/>
      <c r="GPI38" s="316"/>
      <c r="GPJ38" s="316"/>
      <c r="GPK38" s="316"/>
      <c r="GPL38" s="316"/>
      <c r="GPM38" s="316"/>
      <c r="GPN38" s="316"/>
      <c r="GPO38" s="316"/>
      <c r="GPP38" s="316"/>
      <c r="GPQ38" s="316"/>
      <c r="GPR38" s="316"/>
      <c r="GPS38" s="316"/>
      <c r="GPT38" s="316"/>
      <c r="GPU38" s="316"/>
      <c r="GPV38" s="316"/>
      <c r="GPW38" s="316"/>
      <c r="GPX38" s="316"/>
      <c r="GPY38" s="316"/>
      <c r="GPZ38" s="316"/>
      <c r="GQA38" s="316"/>
      <c r="GQB38" s="316"/>
      <c r="GQC38" s="316"/>
      <c r="GQD38" s="316"/>
      <c r="GQE38" s="316"/>
      <c r="GQF38" s="316"/>
      <c r="GQG38" s="316"/>
      <c r="GQH38" s="316"/>
      <c r="GQI38" s="316"/>
      <c r="GQJ38" s="316"/>
      <c r="GQK38" s="316"/>
      <c r="GQL38" s="316"/>
      <c r="GQM38" s="316"/>
      <c r="GQN38" s="316"/>
      <c r="GQO38" s="316"/>
      <c r="GQP38" s="316"/>
      <c r="GQQ38" s="316"/>
      <c r="GQR38" s="316"/>
      <c r="GQS38" s="316"/>
      <c r="GQT38" s="316"/>
      <c r="GQU38" s="316"/>
      <c r="GQV38" s="316"/>
      <c r="GQW38" s="316"/>
      <c r="GQX38" s="316"/>
      <c r="GQY38" s="316"/>
      <c r="GQZ38" s="316"/>
      <c r="GRA38" s="316"/>
      <c r="GRB38" s="316"/>
      <c r="GRC38" s="316"/>
      <c r="GRD38" s="316"/>
      <c r="GRE38" s="316"/>
      <c r="GRF38" s="316"/>
      <c r="GRG38" s="316"/>
      <c r="GRH38" s="316"/>
      <c r="GRI38" s="316"/>
      <c r="GRJ38" s="316"/>
      <c r="GRK38" s="316"/>
      <c r="GRL38" s="316"/>
      <c r="GRM38" s="316"/>
      <c r="GRN38" s="316"/>
      <c r="GRO38" s="316"/>
      <c r="GRP38" s="316"/>
      <c r="GRQ38" s="316"/>
      <c r="GRR38" s="316"/>
      <c r="GRS38" s="316"/>
      <c r="GRT38" s="316"/>
      <c r="GRU38" s="316"/>
      <c r="GRV38" s="316"/>
      <c r="GRW38" s="316"/>
      <c r="GRX38" s="316"/>
      <c r="GRY38" s="316"/>
      <c r="GRZ38" s="316"/>
      <c r="GSA38" s="316"/>
      <c r="GSB38" s="316"/>
      <c r="GSC38" s="316"/>
      <c r="GSD38" s="316"/>
      <c r="GSE38" s="316"/>
      <c r="GSF38" s="316"/>
      <c r="GSG38" s="316"/>
      <c r="GSH38" s="316"/>
      <c r="GSI38" s="316"/>
      <c r="GSJ38" s="316"/>
      <c r="GSK38" s="316"/>
      <c r="GSL38" s="316"/>
      <c r="GSM38" s="316"/>
      <c r="GSN38" s="316"/>
      <c r="GSO38" s="316"/>
      <c r="GSP38" s="316"/>
      <c r="GSQ38" s="316"/>
      <c r="GSR38" s="316"/>
      <c r="GSS38" s="316"/>
      <c r="GST38" s="316"/>
      <c r="GSU38" s="316"/>
      <c r="GSV38" s="316"/>
      <c r="GSW38" s="316"/>
      <c r="GSX38" s="316"/>
      <c r="GSY38" s="316"/>
      <c r="GSZ38" s="316"/>
      <c r="GTA38" s="316"/>
      <c r="GTB38" s="316"/>
      <c r="GTC38" s="316"/>
      <c r="GTD38" s="316"/>
      <c r="GTE38" s="316"/>
      <c r="GTF38" s="316"/>
      <c r="GTG38" s="316"/>
      <c r="GTH38" s="316"/>
      <c r="GTI38" s="316"/>
      <c r="GTJ38" s="316"/>
      <c r="GTK38" s="316"/>
      <c r="GTL38" s="316"/>
      <c r="GTM38" s="316"/>
      <c r="GTN38" s="316"/>
      <c r="GTO38" s="316"/>
      <c r="GTP38" s="316"/>
      <c r="GTQ38" s="316"/>
      <c r="GTR38" s="316"/>
      <c r="GTS38" s="316"/>
      <c r="GTT38" s="316"/>
      <c r="GTU38" s="316"/>
      <c r="GTV38" s="316"/>
      <c r="GTW38" s="316"/>
      <c r="GTX38" s="316"/>
      <c r="GTY38" s="316"/>
      <c r="GTZ38" s="316"/>
      <c r="GUA38" s="316"/>
      <c r="GUB38" s="316"/>
      <c r="GUC38" s="316"/>
      <c r="GUD38" s="316"/>
      <c r="GUE38" s="316"/>
      <c r="GUF38" s="316"/>
      <c r="GUG38" s="316"/>
      <c r="GUH38" s="316"/>
      <c r="GUI38" s="316"/>
      <c r="GUJ38" s="316"/>
      <c r="GUK38" s="316"/>
      <c r="GUL38" s="316"/>
      <c r="GUM38" s="316"/>
      <c r="GUN38" s="316"/>
      <c r="GUO38" s="316"/>
      <c r="GUP38" s="316"/>
      <c r="GUQ38" s="316"/>
      <c r="GUR38" s="316"/>
      <c r="GUS38" s="316"/>
      <c r="GUT38" s="316"/>
      <c r="GUU38" s="316"/>
      <c r="GUV38" s="316"/>
      <c r="GUW38" s="316"/>
      <c r="GUX38" s="316"/>
      <c r="GUY38" s="316"/>
      <c r="GUZ38" s="316"/>
      <c r="GVA38" s="316"/>
      <c r="GVB38" s="316"/>
      <c r="GVC38" s="316"/>
      <c r="GVD38" s="316"/>
      <c r="GVE38" s="316"/>
      <c r="GVF38" s="316"/>
      <c r="GVG38" s="316"/>
      <c r="GVH38" s="316"/>
      <c r="GVI38" s="316"/>
      <c r="GVJ38" s="316"/>
      <c r="GVK38" s="316"/>
      <c r="GVL38" s="316"/>
      <c r="GVM38" s="316"/>
      <c r="GVN38" s="316"/>
      <c r="GVO38" s="316"/>
      <c r="GVP38" s="316"/>
      <c r="GVQ38" s="316"/>
      <c r="GVR38" s="316"/>
      <c r="GVS38" s="316"/>
      <c r="GVT38" s="316"/>
      <c r="GVU38" s="316"/>
      <c r="GVV38" s="316"/>
      <c r="GVW38" s="316"/>
      <c r="GVX38" s="316"/>
      <c r="GVY38" s="316"/>
      <c r="GVZ38" s="316"/>
      <c r="GWA38" s="316"/>
      <c r="GWB38" s="316"/>
      <c r="GWC38" s="316"/>
      <c r="GWD38" s="316"/>
      <c r="GWE38" s="316"/>
      <c r="GWF38" s="316"/>
      <c r="GWG38" s="316"/>
      <c r="GWH38" s="316"/>
      <c r="GWI38" s="316"/>
      <c r="GWJ38" s="316"/>
      <c r="GWK38" s="316"/>
      <c r="GWL38" s="316"/>
      <c r="GWM38" s="316"/>
      <c r="GWN38" s="316"/>
      <c r="GWO38" s="316"/>
      <c r="GWP38" s="316"/>
      <c r="GWQ38" s="316"/>
      <c r="GWR38" s="316"/>
      <c r="GWS38" s="316"/>
      <c r="GWT38" s="316"/>
      <c r="GWU38" s="316"/>
      <c r="GWV38" s="316"/>
      <c r="GWW38" s="316"/>
      <c r="GWX38" s="316"/>
      <c r="GWY38" s="316"/>
      <c r="GWZ38" s="316"/>
      <c r="GXA38" s="316"/>
      <c r="GXB38" s="316"/>
      <c r="GXC38" s="316"/>
      <c r="GXD38" s="316"/>
      <c r="GXE38" s="316"/>
      <c r="GXF38" s="316"/>
      <c r="GXG38" s="316"/>
      <c r="GXH38" s="316"/>
      <c r="GXI38" s="316"/>
      <c r="GXJ38" s="316"/>
      <c r="GXK38" s="316"/>
      <c r="GXL38" s="316"/>
      <c r="GXM38" s="316"/>
      <c r="GXN38" s="316"/>
      <c r="GXO38" s="316"/>
      <c r="GXP38" s="316"/>
      <c r="GXQ38" s="316"/>
      <c r="GXR38" s="316"/>
      <c r="GXS38" s="316"/>
      <c r="GXT38" s="316"/>
      <c r="GXU38" s="316"/>
      <c r="GXV38" s="316"/>
      <c r="GXW38" s="316"/>
      <c r="GXX38" s="316"/>
      <c r="GXY38" s="316"/>
      <c r="GXZ38" s="316"/>
      <c r="GYA38" s="316"/>
      <c r="GYB38" s="316"/>
      <c r="GYC38" s="316"/>
      <c r="GYD38" s="316"/>
      <c r="GYE38" s="316"/>
      <c r="GYF38" s="316"/>
      <c r="GYG38" s="316"/>
      <c r="GYH38" s="316"/>
      <c r="GYI38" s="316"/>
      <c r="GYJ38" s="316"/>
      <c r="GYK38" s="316"/>
      <c r="GYL38" s="316"/>
      <c r="GYM38" s="316"/>
      <c r="GYN38" s="316"/>
      <c r="GYO38" s="316"/>
      <c r="GYP38" s="316"/>
      <c r="GYQ38" s="316"/>
      <c r="GYR38" s="316"/>
      <c r="GYS38" s="316"/>
      <c r="GYT38" s="316"/>
      <c r="GYU38" s="316"/>
      <c r="GYV38" s="316"/>
      <c r="GYW38" s="316"/>
      <c r="GYX38" s="316"/>
      <c r="GYY38" s="316"/>
      <c r="GYZ38" s="316"/>
      <c r="GZA38" s="316"/>
      <c r="GZB38" s="316"/>
      <c r="GZC38" s="316"/>
      <c r="GZD38" s="316"/>
      <c r="GZE38" s="316"/>
      <c r="GZF38" s="316"/>
      <c r="GZG38" s="316"/>
      <c r="GZH38" s="316"/>
      <c r="GZI38" s="316"/>
      <c r="GZJ38" s="316"/>
      <c r="GZK38" s="316"/>
      <c r="GZL38" s="316"/>
      <c r="GZM38" s="316"/>
      <c r="GZN38" s="316"/>
      <c r="GZO38" s="316"/>
      <c r="GZP38" s="316"/>
      <c r="GZQ38" s="316"/>
      <c r="GZR38" s="316"/>
      <c r="GZS38" s="316"/>
      <c r="GZT38" s="316"/>
      <c r="GZU38" s="316"/>
      <c r="GZV38" s="316"/>
      <c r="GZW38" s="316"/>
      <c r="GZX38" s="316"/>
      <c r="GZY38" s="316"/>
      <c r="GZZ38" s="316"/>
      <c r="HAA38" s="316"/>
      <c r="HAB38" s="316"/>
      <c r="HAC38" s="316"/>
      <c r="HAD38" s="316"/>
      <c r="HAE38" s="316"/>
      <c r="HAF38" s="316"/>
      <c r="HAG38" s="316"/>
      <c r="HAH38" s="316"/>
      <c r="HAI38" s="316"/>
      <c r="HAJ38" s="316"/>
      <c r="HAK38" s="316"/>
      <c r="HAL38" s="316"/>
      <c r="HAM38" s="316"/>
      <c r="HAN38" s="316"/>
      <c r="HAO38" s="316"/>
      <c r="HAP38" s="316"/>
      <c r="HAQ38" s="316"/>
      <c r="HAR38" s="316"/>
      <c r="HAS38" s="316"/>
      <c r="HAT38" s="316"/>
      <c r="HAU38" s="316"/>
      <c r="HAV38" s="316"/>
      <c r="HAW38" s="316"/>
      <c r="HAX38" s="316"/>
      <c r="HAY38" s="316"/>
      <c r="HAZ38" s="316"/>
      <c r="HBA38" s="316"/>
      <c r="HBB38" s="316"/>
      <c r="HBC38" s="316"/>
      <c r="HBD38" s="316"/>
      <c r="HBE38" s="316"/>
      <c r="HBF38" s="316"/>
      <c r="HBG38" s="316"/>
      <c r="HBH38" s="316"/>
      <c r="HBI38" s="316"/>
      <c r="HBJ38" s="316"/>
      <c r="HBK38" s="316"/>
      <c r="HBL38" s="316"/>
      <c r="HBM38" s="316"/>
      <c r="HBN38" s="316"/>
      <c r="HBO38" s="316"/>
      <c r="HBP38" s="316"/>
      <c r="HBQ38" s="316"/>
      <c r="HBR38" s="316"/>
      <c r="HBS38" s="316"/>
      <c r="HBT38" s="316"/>
      <c r="HBU38" s="316"/>
      <c r="HBV38" s="316"/>
      <c r="HBW38" s="316"/>
      <c r="HBX38" s="316"/>
      <c r="HBY38" s="316"/>
      <c r="HBZ38" s="316"/>
      <c r="HCA38" s="316"/>
      <c r="HCB38" s="316"/>
      <c r="HCC38" s="316"/>
      <c r="HCD38" s="316"/>
      <c r="HCE38" s="316"/>
      <c r="HCF38" s="316"/>
      <c r="HCG38" s="316"/>
      <c r="HCH38" s="316"/>
      <c r="HCI38" s="316"/>
      <c r="HCJ38" s="316"/>
      <c r="HCK38" s="316"/>
      <c r="HCL38" s="316"/>
      <c r="HCM38" s="316"/>
      <c r="HCN38" s="316"/>
      <c r="HCO38" s="316"/>
      <c r="HCP38" s="316"/>
      <c r="HCQ38" s="316"/>
      <c r="HCR38" s="316"/>
      <c r="HCS38" s="316"/>
      <c r="HCT38" s="316"/>
      <c r="HCU38" s="316"/>
      <c r="HCV38" s="316"/>
      <c r="HCW38" s="316"/>
      <c r="HCX38" s="316"/>
      <c r="HCY38" s="316"/>
      <c r="HCZ38" s="316"/>
      <c r="HDA38" s="316"/>
      <c r="HDB38" s="316"/>
      <c r="HDC38" s="316"/>
      <c r="HDD38" s="316"/>
      <c r="HDE38" s="316"/>
      <c r="HDF38" s="316"/>
      <c r="HDG38" s="316"/>
      <c r="HDH38" s="316"/>
      <c r="HDI38" s="316"/>
      <c r="HDJ38" s="316"/>
      <c r="HDK38" s="316"/>
      <c r="HDL38" s="316"/>
      <c r="HDM38" s="316"/>
      <c r="HDN38" s="316"/>
      <c r="HDO38" s="316"/>
      <c r="HDP38" s="316"/>
      <c r="HDQ38" s="316"/>
      <c r="HDR38" s="316"/>
      <c r="HDS38" s="316"/>
      <c r="HDT38" s="316"/>
      <c r="HDU38" s="316"/>
      <c r="HDV38" s="316"/>
      <c r="HDW38" s="316"/>
      <c r="HDX38" s="316"/>
      <c r="HDY38" s="316"/>
      <c r="HDZ38" s="316"/>
      <c r="HEA38" s="316"/>
      <c r="HEB38" s="316"/>
      <c r="HEC38" s="316"/>
      <c r="HED38" s="316"/>
      <c r="HEE38" s="316"/>
      <c r="HEF38" s="316"/>
      <c r="HEG38" s="316"/>
      <c r="HEH38" s="316"/>
      <c r="HEI38" s="316"/>
      <c r="HEJ38" s="316"/>
      <c r="HEK38" s="316"/>
      <c r="HEL38" s="316"/>
      <c r="HEM38" s="316"/>
      <c r="HEN38" s="316"/>
      <c r="HEO38" s="316"/>
      <c r="HEP38" s="316"/>
      <c r="HEQ38" s="316"/>
      <c r="HER38" s="316"/>
      <c r="HES38" s="316"/>
      <c r="HET38" s="316"/>
      <c r="HEU38" s="316"/>
      <c r="HEV38" s="316"/>
      <c r="HEW38" s="316"/>
      <c r="HEX38" s="316"/>
      <c r="HEY38" s="316"/>
      <c r="HEZ38" s="316"/>
      <c r="HFA38" s="316"/>
      <c r="HFB38" s="316"/>
      <c r="HFC38" s="316"/>
      <c r="HFD38" s="316"/>
      <c r="HFE38" s="316"/>
      <c r="HFF38" s="316"/>
      <c r="HFG38" s="316"/>
      <c r="HFH38" s="316"/>
      <c r="HFI38" s="316"/>
      <c r="HFJ38" s="316"/>
      <c r="HFK38" s="316"/>
      <c r="HFL38" s="316"/>
      <c r="HFM38" s="316"/>
      <c r="HFN38" s="316"/>
      <c r="HFO38" s="316"/>
      <c r="HFP38" s="316"/>
      <c r="HFQ38" s="316"/>
      <c r="HFR38" s="316"/>
      <c r="HFS38" s="316"/>
      <c r="HFT38" s="316"/>
      <c r="HFU38" s="316"/>
      <c r="HFV38" s="316"/>
      <c r="HFW38" s="316"/>
      <c r="HFX38" s="316"/>
      <c r="HFY38" s="316"/>
      <c r="HFZ38" s="316"/>
      <c r="HGA38" s="316"/>
      <c r="HGB38" s="316"/>
      <c r="HGC38" s="316"/>
      <c r="HGD38" s="316"/>
      <c r="HGE38" s="316"/>
      <c r="HGF38" s="316"/>
      <c r="HGG38" s="316"/>
      <c r="HGH38" s="316"/>
      <c r="HGI38" s="316"/>
      <c r="HGJ38" s="316"/>
      <c r="HGK38" s="316"/>
      <c r="HGL38" s="316"/>
      <c r="HGM38" s="316"/>
      <c r="HGN38" s="316"/>
      <c r="HGO38" s="316"/>
      <c r="HGP38" s="316"/>
      <c r="HGQ38" s="316"/>
      <c r="HGR38" s="316"/>
      <c r="HGS38" s="316"/>
      <c r="HGT38" s="316"/>
      <c r="HGU38" s="316"/>
      <c r="HGV38" s="316"/>
      <c r="HGW38" s="316"/>
      <c r="HGX38" s="316"/>
      <c r="HGY38" s="316"/>
      <c r="HGZ38" s="316"/>
      <c r="HHA38" s="316"/>
      <c r="HHB38" s="316"/>
      <c r="HHC38" s="316"/>
      <c r="HHD38" s="316"/>
      <c r="HHE38" s="316"/>
      <c r="HHF38" s="316"/>
      <c r="HHG38" s="316"/>
      <c r="HHH38" s="316"/>
      <c r="HHI38" s="316"/>
      <c r="HHJ38" s="316"/>
      <c r="HHK38" s="316"/>
      <c r="HHL38" s="316"/>
      <c r="HHM38" s="316"/>
      <c r="HHN38" s="316"/>
      <c r="HHO38" s="316"/>
      <c r="HHP38" s="316"/>
      <c r="HHQ38" s="316"/>
      <c r="HHR38" s="316"/>
      <c r="HHS38" s="316"/>
      <c r="HHT38" s="316"/>
      <c r="HHU38" s="316"/>
      <c r="HHV38" s="316"/>
      <c r="HHW38" s="316"/>
      <c r="HHX38" s="316"/>
      <c r="HHY38" s="316"/>
      <c r="HHZ38" s="316"/>
      <c r="HIA38" s="316"/>
      <c r="HIB38" s="316"/>
      <c r="HIC38" s="316"/>
      <c r="HID38" s="316"/>
      <c r="HIE38" s="316"/>
      <c r="HIF38" s="316"/>
      <c r="HIG38" s="316"/>
      <c r="HIH38" s="316"/>
      <c r="HII38" s="316"/>
      <c r="HIJ38" s="316"/>
      <c r="HIK38" s="316"/>
      <c r="HIL38" s="316"/>
      <c r="HIM38" s="316"/>
      <c r="HIN38" s="316"/>
      <c r="HIO38" s="316"/>
      <c r="HIP38" s="316"/>
      <c r="HIQ38" s="316"/>
      <c r="HIR38" s="316"/>
      <c r="HIS38" s="316"/>
      <c r="HIT38" s="316"/>
      <c r="HIU38" s="316"/>
      <c r="HIV38" s="316"/>
      <c r="HIW38" s="316"/>
      <c r="HIX38" s="316"/>
      <c r="HIY38" s="316"/>
      <c r="HIZ38" s="316"/>
      <c r="HJA38" s="316"/>
      <c r="HJB38" s="316"/>
      <c r="HJC38" s="316"/>
      <c r="HJD38" s="316"/>
      <c r="HJE38" s="316"/>
      <c r="HJF38" s="316"/>
      <c r="HJG38" s="316"/>
      <c r="HJH38" s="316"/>
      <c r="HJI38" s="316"/>
      <c r="HJJ38" s="316"/>
      <c r="HJK38" s="316"/>
      <c r="HJL38" s="316"/>
      <c r="HJM38" s="316"/>
      <c r="HJN38" s="316"/>
      <c r="HJO38" s="316"/>
      <c r="HJP38" s="316"/>
      <c r="HJQ38" s="316"/>
      <c r="HJR38" s="316"/>
      <c r="HJS38" s="316"/>
      <c r="HJT38" s="316"/>
      <c r="HJU38" s="316"/>
      <c r="HJV38" s="316"/>
      <c r="HJW38" s="316"/>
      <c r="HJX38" s="316"/>
      <c r="HJY38" s="316"/>
      <c r="HJZ38" s="316"/>
      <c r="HKA38" s="316"/>
      <c r="HKB38" s="316"/>
      <c r="HKC38" s="316"/>
      <c r="HKD38" s="316"/>
      <c r="HKE38" s="316"/>
      <c r="HKF38" s="316"/>
      <c r="HKG38" s="316"/>
      <c r="HKH38" s="316"/>
      <c r="HKI38" s="316"/>
      <c r="HKJ38" s="316"/>
      <c r="HKK38" s="316"/>
      <c r="HKL38" s="316"/>
      <c r="HKM38" s="316"/>
      <c r="HKN38" s="316"/>
      <c r="HKO38" s="316"/>
      <c r="HKP38" s="316"/>
      <c r="HKQ38" s="316"/>
      <c r="HKR38" s="316"/>
      <c r="HKS38" s="316"/>
      <c r="HKT38" s="316"/>
      <c r="HKU38" s="316"/>
      <c r="HKV38" s="316"/>
      <c r="HKW38" s="316"/>
      <c r="HKX38" s="316"/>
      <c r="HKY38" s="316"/>
      <c r="HKZ38" s="316"/>
      <c r="HLA38" s="316"/>
      <c r="HLB38" s="316"/>
      <c r="HLC38" s="316"/>
      <c r="HLD38" s="316"/>
      <c r="HLE38" s="316"/>
      <c r="HLF38" s="316"/>
      <c r="HLG38" s="316"/>
      <c r="HLH38" s="316"/>
      <c r="HLI38" s="316"/>
      <c r="HLJ38" s="316"/>
      <c r="HLK38" s="316"/>
      <c r="HLL38" s="316"/>
      <c r="HLM38" s="316"/>
      <c r="HLN38" s="316"/>
      <c r="HLO38" s="316"/>
      <c r="HLP38" s="316"/>
      <c r="HLQ38" s="316"/>
      <c r="HLR38" s="316"/>
      <c r="HLS38" s="316"/>
      <c r="HLT38" s="316"/>
      <c r="HLU38" s="316"/>
      <c r="HLV38" s="316"/>
      <c r="HLW38" s="316"/>
      <c r="HLX38" s="316"/>
      <c r="HLY38" s="316"/>
      <c r="HLZ38" s="316"/>
      <c r="HMA38" s="316"/>
      <c r="HMB38" s="316"/>
      <c r="HMC38" s="316"/>
      <c r="HMD38" s="316"/>
      <c r="HME38" s="316"/>
      <c r="HMF38" s="316"/>
      <c r="HMG38" s="316"/>
      <c r="HMH38" s="316"/>
      <c r="HMI38" s="316"/>
      <c r="HMJ38" s="316"/>
      <c r="HMK38" s="316"/>
      <c r="HML38" s="316"/>
      <c r="HMM38" s="316"/>
      <c r="HMN38" s="316"/>
      <c r="HMO38" s="316"/>
      <c r="HMP38" s="316"/>
      <c r="HMQ38" s="316"/>
      <c r="HMR38" s="316"/>
      <c r="HMS38" s="316"/>
      <c r="HMT38" s="316"/>
      <c r="HMU38" s="316"/>
      <c r="HMV38" s="316"/>
      <c r="HMW38" s="316"/>
      <c r="HMX38" s="316"/>
      <c r="HMY38" s="316"/>
      <c r="HMZ38" s="316"/>
      <c r="HNA38" s="316"/>
      <c r="HNB38" s="316"/>
      <c r="HNC38" s="316"/>
      <c r="HND38" s="316"/>
      <c r="HNE38" s="316"/>
      <c r="HNF38" s="316"/>
      <c r="HNG38" s="316"/>
      <c r="HNH38" s="316"/>
      <c r="HNI38" s="316"/>
      <c r="HNJ38" s="316"/>
      <c r="HNK38" s="316"/>
      <c r="HNL38" s="316"/>
      <c r="HNM38" s="316"/>
      <c r="HNN38" s="316"/>
      <c r="HNO38" s="316"/>
      <c r="HNP38" s="316"/>
      <c r="HNQ38" s="316"/>
      <c r="HNR38" s="316"/>
      <c r="HNS38" s="316"/>
      <c r="HNT38" s="316"/>
      <c r="HNU38" s="316"/>
      <c r="HNV38" s="316"/>
      <c r="HNW38" s="316"/>
      <c r="HNX38" s="316"/>
      <c r="HNY38" s="316"/>
      <c r="HNZ38" s="316"/>
      <c r="HOA38" s="316"/>
      <c r="HOB38" s="316"/>
      <c r="HOC38" s="316"/>
      <c r="HOD38" s="316"/>
      <c r="HOE38" s="316"/>
      <c r="HOF38" s="316"/>
      <c r="HOG38" s="316"/>
      <c r="HOH38" s="316"/>
      <c r="HOI38" s="316"/>
      <c r="HOJ38" s="316"/>
      <c r="HOK38" s="316"/>
      <c r="HOL38" s="316"/>
      <c r="HOM38" s="316"/>
      <c r="HON38" s="316"/>
      <c r="HOO38" s="316"/>
      <c r="HOP38" s="316"/>
      <c r="HOQ38" s="316"/>
      <c r="HOR38" s="316"/>
      <c r="HOS38" s="316"/>
      <c r="HOT38" s="316"/>
      <c r="HOU38" s="316"/>
      <c r="HOV38" s="316"/>
      <c r="HOW38" s="316"/>
      <c r="HOX38" s="316"/>
      <c r="HOY38" s="316"/>
      <c r="HOZ38" s="316"/>
      <c r="HPA38" s="316"/>
      <c r="HPB38" s="316"/>
      <c r="HPC38" s="316"/>
      <c r="HPD38" s="316"/>
      <c r="HPE38" s="316"/>
      <c r="HPF38" s="316"/>
      <c r="HPG38" s="316"/>
      <c r="HPH38" s="316"/>
      <c r="HPI38" s="316"/>
      <c r="HPJ38" s="316"/>
      <c r="HPK38" s="316"/>
      <c r="HPL38" s="316"/>
      <c r="HPM38" s="316"/>
      <c r="HPN38" s="316"/>
      <c r="HPO38" s="316"/>
      <c r="HPP38" s="316"/>
      <c r="HPQ38" s="316"/>
      <c r="HPR38" s="316"/>
      <c r="HPS38" s="316"/>
      <c r="HPT38" s="316"/>
      <c r="HPU38" s="316"/>
      <c r="HPV38" s="316"/>
      <c r="HPW38" s="316"/>
      <c r="HPX38" s="316"/>
      <c r="HPY38" s="316"/>
      <c r="HPZ38" s="316"/>
      <c r="HQA38" s="316"/>
      <c r="HQB38" s="316"/>
      <c r="HQC38" s="316"/>
      <c r="HQD38" s="316"/>
      <c r="HQE38" s="316"/>
      <c r="HQF38" s="316"/>
      <c r="HQG38" s="316"/>
      <c r="HQH38" s="316"/>
      <c r="HQI38" s="316"/>
      <c r="HQJ38" s="316"/>
      <c r="HQK38" s="316"/>
      <c r="HQL38" s="316"/>
      <c r="HQM38" s="316"/>
      <c r="HQN38" s="316"/>
      <c r="HQO38" s="316"/>
      <c r="HQP38" s="316"/>
      <c r="HQQ38" s="316"/>
      <c r="HQR38" s="316"/>
      <c r="HQS38" s="316"/>
      <c r="HQT38" s="316"/>
      <c r="HQU38" s="316"/>
      <c r="HQV38" s="316"/>
      <c r="HQW38" s="316"/>
      <c r="HQX38" s="316"/>
      <c r="HQY38" s="316"/>
      <c r="HQZ38" s="316"/>
      <c r="HRA38" s="316"/>
      <c r="HRB38" s="316"/>
      <c r="HRC38" s="316"/>
      <c r="HRD38" s="316"/>
      <c r="HRE38" s="316"/>
      <c r="HRF38" s="316"/>
      <c r="HRG38" s="316"/>
      <c r="HRH38" s="316"/>
      <c r="HRI38" s="316"/>
      <c r="HRJ38" s="316"/>
      <c r="HRK38" s="316"/>
      <c r="HRL38" s="316"/>
      <c r="HRM38" s="316"/>
      <c r="HRN38" s="316"/>
      <c r="HRO38" s="316"/>
      <c r="HRP38" s="316"/>
      <c r="HRQ38" s="316"/>
      <c r="HRR38" s="316"/>
      <c r="HRS38" s="316"/>
      <c r="HRT38" s="316"/>
      <c r="HRU38" s="316"/>
      <c r="HRV38" s="316"/>
      <c r="HRW38" s="316"/>
      <c r="HRX38" s="316"/>
      <c r="HRY38" s="316"/>
      <c r="HRZ38" s="316"/>
      <c r="HSA38" s="316"/>
      <c r="HSB38" s="316"/>
      <c r="HSC38" s="316"/>
      <c r="HSD38" s="316"/>
      <c r="HSE38" s="316"/>
      <c r="HSF38" s="316"/>
      <c r="HSG38" s="316"/>
      <c r="HSH38" s="316"/>
      <c r="HSI38" s="316"/>
      <c r="HSJ38" s="316"/>
      <c r="HSK38" s="316"/>
      <c r="HSL38" s="316"/>
      <c r="HSM38" s="316"/>
      <c r="HSN38" s="316"/>
      <c r="HSO38" s="316"/>
      <c r="HSP38" s="316"/>
      <c r="HSQ38" s="316"/>
      <c r="HSR38" s="316"/>
      <c r="HSS38" s="316"/>
      <c r="HST38" s="316"/>
      <c r="HSU38" s="316"/>
      <c r="HSV38" s="316"/>
      <c r="HSW38" s="316"/>
      <c r="HSX38" s="316"/>
      <c r="HSY38" s="316"/>
      <c r="HSZ38" s="316"/>
      <c r="HTA38" s="316"/>
      <c r="HTB38" s="316"/>
      <c r="HTC38" s="316"/>
      <c r="HTD38" s="316"/>
      <c r="HTE38" s="316"/>
      <c r="HTF38" s="316"/>
      <c r="HTG38" s="316"/>
      <c r="HTH38" s="316"/>
      <c r="HTI38" s="316"/>
      <c r="HTJ38" s="316"/>
      <c r="HTK38" s="316"/>
      <c r="HTL38" s="316"/>
      <c r="HTM38" s="316"/>
      <c r="HTN38" s="316"/>
      <c r="HTO38" s="316"/>
      <c r="HTP38" s="316"/>
      <c r="HTQ38" s="316"/>
      <c r="HTR38" s="316"/>
      <c r="HTS38" s="316"/>
      <c r="HTT38" s="316"/>
      <c r="HTU38" s="316"/>
      <c r="HTV38" s="316"/>
      <c r="HTW38" s="316"/>
      <c r="HTX38" s="316"/>
      <c r="HTY38" s="316"/>
      <c r="HTZ38" s="316"/>
      <c r="HUA38" s="316"/>
      <c r="HUB38" s="316"/>
      <c r="HUC38" s="316"/>
      <c r="HUD38" s="316"/>
      <c r="HUE38" s="316"/>
      <c r="HUF38" s="316"/>
      <c r="HUG38" s="316"/>
      <c r="HUH38" s="316"/>
      <c r="HUI38" s="316"/>
      <c r="HUJ38" s="316"/>
      <c r="HUK38" s="316"/>
      <c r="HUL38" s="316"/>
      <c r="HUM38" s="316"/>
      <c r="HUN38" s="316"/>
      <c r="HUO38" s="316"/>
      <c r="HUP38" s="316"/>
      <c r="HUQ38" s="316"/>
      <c r="HUR38" s="316"/>
      <c r="HUS38" s="316"/>
      <c r="HUT38" s="316"/>
      <c r="HUU38" s="316"/>
      <c r="HUV38" s="316"/>
      <c r="HUW38" s="316"/>
      <c r="HUX38" s="316"/>
      <c r="HUY38" s="316"/>
      <c r="HUZ38" s="316"/>
      <c r="HVA38" s="316"/>
      <c r="HVB38" s="316"/>
      <c r="HVC38" s="316"/>
      <c r="HVD38" s="316"/>
      <c r="HVE38" s="316"/>
      <c r="HVF38" s="316"/>
      <c r="HVG38" s="316"/>
      <c r="HVH38" s="316"/>
      <c r="HVI38" s="316"/>
      <c r="HVJ38" s="316"/>
      <c r="HVK38" s="316"/>
      <c r="HVL38" s="316"/>
      <c r="HVM38" s="316"/>
      <c r="HVN38" s="316"/>
      <c r="HVO38" s="316"/>
      <c r="HVP38" s="316"/>
      <c r="HVQ38" s="316"/>
      <c r="HVR38" s="316"/>
      <c r="HVS38" s="316"/>
      <c r="HVT38" s="316"/>
      <c r="HVU38" s="316"/>
      <c r="HVV38" s="316"/>
      <c r="HVW38" s="316"/>
      <c r="HVX38" s="316"/>
      <c r="HVY38" s="316"/>
      <c r="HVZ38" s="316"/>
      <c r="HWA38" s="316"/>
      <c r="HWB38" s="316"/>
      <c r="HWC38" s="316"/>
      <c r="HWD38" s="316"/>
      <c r="HWE38" s="316"/>
      <c r="HWF38" s="316"/>
      <c r="HWG38" s="316"/>
      <c r="HWH38" s="316"/>
      <c r="HWI38" s="316"/>
      <c r="HWJ38" s="316"/>
      <c r="HWK38" s="316"/>
      <c r="HWL38" s="316"/>
      <c r="HWM38" s="316"/>
      <c r="HWN38" s="316"/>
      <c r="HWO38" s="316"/>
      <c r="HWP38" s="316"/>
      <c r="HWQ38" s="316"/>
      <c r="HWR38" s="316"/>
      <c r="HWS38" s="316"/>
      <c r="HWT38" s="316"/>
      <c r="HWU38" s="316"/>
      <c r="HWV38" s="316"/>
      <c r="HWW38" s="316"/>
      <c r="HWX38" s="316"/>
      <c r="HWY38" s="316"/>
      <c r="HWZ38" s="316"/>
      <c r="HXA38" s="316"/>
      <c r="HXB38" s="316"/>
      <c r="HXC38" s="316"/>
      <c r="HXD38" s="316"/>
      <c r="HXE38" s="316"/>
      <c r="HXF38" s="316"/>
      <c r="HXG38" s="316"/>
      <c r="HXH38" s="316"/>
      <c r="HXI38" s="316"/>
      <c r="HXJ38" s="316"/>
      <c r="HXK38" s="316"/>
      <c r="HXL38" s="316"/>
      <c r="HXM38" s="316"/>
      <c r="HXN38" s="316"/>
      <c r="HXO38" s="316"/>
      <c r="HXP38" s="316"/>
      <c r="HXQ38" s="316"/>
      <c r="HXR38" s="316"/>
      <c r="HXS38" s="316"/>
      <c r="HXT38" s="316"/>
      <c r="HXU38" s="316"/>
      <c r="HXV38" s="316"/>
      <c r="HXW38" s="316"/>
      <c r="HXX38" s="316"/>
      <c r="HXY38" s="316"/>
      <c r="HXZ38" s="316"/>
      <c r="HYA38" s="316"/>
      <c r="HYB38" s="316"/>
      <c r="HYC38" s="316"/>
      <c r="HYD38" s="316"/>
      <c r="HYE38" s="316"/>
      <c r="HYF38" s="316"/>
      <c r="HYG38" s="316"/>
      <c r="HYH38" s="316"/>
      <c r="HYI38" s="316"/>
      <c r="HYJ38" s="316"/>
      <c r="HYK38" s="316"/>
      <c r="HYL38" s="316"/>
      <c r="HYM38" s="316"/>
      <c r="HYN38" s="316"/>
      <c r="HYO38" s="316"/>
      <c r="HYP38" s="316"/>
      <c r="HYQ38" s="316"/>
      <c r="HYR38" s="316"/>
      <c r="HYS38" s="316"/>
      <c r="HYT38" s="316"/>
      <c r="HYU38" s="316"/>
      <c r="HYV38" s="316"/>
      <c r="HYW38" s="316"/>
      <c r="HYX38" s="316"/>
      <c r="HYY38" s="316"/>
      <c r="HYZ38" s="316"/>
      <c r="HZA38" s="316"/>
      <c r="HZB38" s="316"/>
      <c r="HZC38" s="316"/>
      <c r="HZD38" s="316"/>
      <c r="HZE38" s="316"/>
      <c r="HZF38" s="316"/>
      <c r="HZG38" s="316"/>
      <c r="HZH38" s="316"/>
      <c r="HZI38" s="316"/>
      <c r="HZJ38" s="316"/>
      <c r="HZK38" s="316"/>
      <c r="HZL38" s="316"/>
      <c r="HZM38" s="316"/>
      <c r="HZN38" s="316"/>
      <c r="HZO38" s="316"/>
      <c r="HZP38" s="316"/>
      <c r="HZQ38" s="316"/>
      <c r="HZR38" s="316"/>
      <c r="HZS38" s="316"/>
      <c r="HZT38" s="316"/>
      <c r="HZU38" s="316"/>
      <c r="HZV38" s="316"/>
      <c r="HZW38" s="316"/>
      <c r="HZX38" s="316"/>
      <c r="HZY38" s="316"/>
      <c r="HZZ38" s="316"/>
      <c r="IAA38" s="316"/>
      <c r="IAB38" s="316"/>
      <c r="IAC38" s="316"/>
      <c r="IAD38" s="316"/>
      <c r="IAE38" s="316"/>
      <c r="IAF38" s="316"/>
      <c r="IAG38" s="316"/>
      <c r="IAH38" s="316"/>
      <c r="IAI38" s="316"/>
      <c r="IAJ38" s="316"/>
      <c r="IAK38" s="316"/>
      <c r="IAL38" s="316"/>
      <c r="IAM38" s="316"/>
      <c r="IAN38" s="316"/>
      <c r="IAO38" s="316"/>
      <c r="IAP38" s="316"/>
      <c r="IAQ38" s="316"/>
      <c r="IAR38" s="316"/>
      <c r="IAS38" s="316"/>
      <c r="IAT38" s="316"/>
      <c r="IAU38" s="316"/>
      <c r="IAV38" s="316"/>
      <c r="IAW38" s="316"/>
      <c r="IAX38" s="316"/>
      <c r="IAY38" s="316"/>
      <c r="IAZ38" s="316"/>
      <c r="IBA38" s="316"/>
      <c r="IBB38" s="316"/>
      <c r="IBC38" s="316"/>
      <c r="IBD38" s="316"/>
      <c r="IBE38" s="316"/>
      <c r="IBF38" s="316"/>
      <c r="IBG38" s="316"/>
      <c r="IBH38" s="316"/>
      <c r="IBI38" s="316"/>
      <c r="IBJ38" s="316"/>
      <c r="IBK38" s="316"/>
      <c r="IBL38" s="316"/>
      <c r="IBM38" s="316"/>
      <c r="IBN38" s="316"/>
      <c r="IBO38" s="316"/>
      <c r="IBP38" s="316"/>
      <c r="IBQ38" s="316"/>
      <c r="IBR38" s="316"/>
      <c r="IBS38" s="316"/>
      <c r="IBT38" s="316"/>
      <c r="IBU38" s="316"/>
      <c r="IBV38" s="316"/>
      <c r="IBW38" s="316"/>
      <c r="IBX38" s="316"/>
      <c r="IBY38" s="316"/>
      <c r="IBZ38" s="316"/>
      <c r="ICA38" s="316"/>
      <c r="ICB38" s="316"/>
      <c r="ICC38" s="316"/>
      <c r="ICD38" s="316"/>
      <c r="ICE38" s="316"/>
      <c r="ICF38" s="316"/>
      <c r="ICG38" s="316"/>
      <c r="ICH38" s="316"/>
      <c r="ICI38" s="316"/>
      <c r="ICJ38" s="316"/>
      <c r="ICK38" s="316"/>
      <c r="ICL38" s="316"/>
      <c r="ICM38" s="316"/>
      <c r="ICN38" s="316"/>
      <c r="ICO38" s="316"/>
      <c r="ICP38" s="316"/>
      <c r="ICQ38" s="316"/>
      <c r="ICR38" s="316"/>
      <c r="ICS38" s="316"/>
      <c r="ICT38" s="316"/>
      <c r="ICU38" s="316"/>
      <c r="ICV38" s="316"/>
      <c r="ICW38" s="316"/>
      <c r="ICX38" s="316"/>
      <c r="ICY38" s="316"/>
      <c r="ICZ38" s="316"/>
      <c r="IDA38" s="316"/>
      <c r="IDB38" s="316"/>
      <c r="IDC38" s="316"/>
      <c r="IDD38" s="316"/>
      <c r="IDE38" s="316"/>
      <c r="IDF38" s="316"/>
      <c r="IDG38" s="316"/>
      <c r="IDH38" s="316"/>
      <c r="IDI38" s="316"/>
      <c r="IDJ38" s="316"/>
      <c r="IDK38" s="316"/>
      <c r="IDL38" s="316"/>
      <c r="IDM38" s="316"/>
      <c r="IDN38" s="316"/>
      <c r="IDO38" s="316"/>
      <c r="IDP38" s="316"/>
      <c r="IDQ38" s="316"/>
      <c r="IDR38" s="316"/>
      <c r="IDS38" s="316"/>
      <c r="IDT38" s="316"/>
      <c r="IDU38" s="316"/>
      <c r="IDV38" s="316"/>
      <c r="IDW38" s="316"/>
      <c r="IDX38" s="316"/>
      <c r="IDY38" s="316"/>
      <c r="IDZ38" s="316"/>
      <c r="IEA38" s="316"/>
      <c r="IEB38" s="316"/>
      <c r="IEC38" s="316"/>
      <c r="IED38" s="316"/>
      <c r="IEE38" s="316"/>
      <c r="IEF38" s="316"/>
      <c r="IEG38" s="316"/>
      <c r="IEH38" s="316"/>
      <c r="IEI38" s="316"/>
      <c r="IEJ38" s="316"/>
      <c r="IEK38" s="316"/>
      <c r="IEL38" s="316"/>
      <c r="IEM38" s="316"/>
      <c r="IEN38" s="316"/>
      <c r="IEO38" s="316"/>
      <c r="IEP38" s="316"/>
      <c r="IEQ38" s="316"/>
      <c r="IER38" s="316"/>
      <c r="IES38" s="316"/>
      <c r="IET38" s="316"/>
      <c r="IEU38" s="316"/>
      <c r="IEV38" s="316"/>
      <c r="IEW38" s="316"/>
      <c r="IEX38" s="316"/>
      <c r="IEY38" s="316"/>
      <c r="IEZ38" s="316"/>
      <c r="IFA38" s="316"/>
      <c r="IFB38" s="316"/>
      <c r="IFC38" s="316"/>
      <c r="IFD38" s="316"/>
      <c r="IFE38" s="316"/>
      <c r="IFF38" s="316"/>
      <c r="IFG38" s="316"/>
      <c r="IFH38" s="316"/>
      <c r="IFI38" s="316"/>
      <c r="IFJ38" s="316"/>
      <c r="IFK38" s="316"/>
      <c r="IFL38" s="316"/>
      <c r="IFM38" s="316"/>
      <c r="IFN38" s="316"/>
      <c r="IFO38" s="316"/>
      <c r="IFP38" s="316"/>
      <c r="IFQ38" s="316"/>
      <c r="IFR38" s="316"/>
      <c r="IFS38" s="316"/>
      <c r="IFT38" s="316"/>
      <c r="IFU38" s="316"/>
      <c r="IFV38" s="316"/>
      <c r="IFW38" s="316"/>
      <c r="IFX38" s="316"/>
      <c r="IFY38" s="316"/>
      <c r="IFZ38" s="316"/>
      <c r="IGA38" s="316"/>
      <c r="IGB38" s="316"/>
      <c r="IGC38" s="316"/>
      <c r="IGD38" s="316"/>
      <c r="IGE38" s="316"/>
      <c r="IGF38" s="316"/>
      <c r="IGG38" s="316"/>
      <c r="IGH38" s="316"/>
      <c r="IGI38" s="316"/>
      <c r="IGJ38" s="316"/>
      <c r="IGK38" s="316"/>
      <c r="IGL38" s="316"/>
      <c r="IGM38" s="316"/>
      <c r="IGN38" s="316"/>
      <c r="IGO38" s="316"/>
      <c r="IGP38" s="316"/>
      <c r="IGQ38" s="316"/>
      <c r="IGR38" s="316"/>
      <c r="IGS38" s="316"/>
      <c r="IGT38" s="316"/>
      <c r="IGU38" s="316"/>
      <c r="IGV38" s="316"/>
      <c r="IGW38" s="316"/>
      <c r="IGX38" s="316"/>
      <c r="IGY38" s="316"/>
      <c r="IGZ38" s="316"/>
      <c r="IHA38" s="316"/>
      <c r="IHB38" s="316"/>
      <c r="IHC38" s="316"/>
      <c r="IHD38" s="316"/>
      <c r="IHE38" s="316"/>
      <c r="IHF38" s="316"/>
      <c r="IHG38" s="316"/>
      <c r="IHH38" s="316"/>
      <c r="IHI38" s="316"/>
      <c r="IHJ38" s="316"/>
      <c r="IHK38" s="316"/>
      <c r="IHL38" s="316"/>
      <c r="IHM38" s="316"/>
      <c r="IHN38" s="316"/>
      <c r="IHO38" s="316"/>
      <c r="IHP38" s="316"/>
      <c r="IHQ38" s="316"/>
      <c r="IHR38" s="316"/>
      <c r="IHS38" s="316"/>
      <c r="IHT38" s="316"/>
      <c r="IHU38" s="316"/>
      <c r="IHV38" s="316"/>
      <c r="IHW38" s="316"/>
      <c r="IHX38" s="316"/>
      <c r="IHY38" s="316"/>
      <c r="IHZ38" s="316"/>
      <c r="IIA38" s="316"/>
      <c r="IIB38" s="316"/>
      <c r="IIC38" s="316"/>
      <c r="IID38" s="316"/>
      <c r="IIE38" s="316"/>
      <c r="IIF38" s="316"/>
      <c r="IIG38" s="316"/>
      <c r="IIH38" s="316"/>
      <c r="III38" s="316"/>
      <c r="IIJ38" s="316"/>
      <c r="IIK38" s="316"/>
      <c r="IIL38" s="316"/>
      <c r="IIM38" s="316"/>
      <c r="IIN38" s="316"/>
      <c r="IIO38" s="316"/>
      <c r="IIP38" s="316"/>
      <c r="IIQ38" s="316"/>
      <c r="IIR38" s="316"/>
      <c r="IIS38" s="316"/>
      <c r="IIT38" s="316"/>
      <c r="IIU38" s="316"/>
      <c r="IIV38" s="316"/>
      <c r="IIW38" s="316"/>
      <c r="IIX38" s="316"/>
      <c r="IIY38" s="316"/>
      <c r="IIZ38" s="316"/>
      <c r="IJA38" s="316"/>
      <c r="IJB38" s="316"/>
      <c r="IJC38" s="316"/>
      <c r="IJD38" s="316"/>
      <c r="IJE38" s="316"/>
      <c r="IJF38" s="316"/>
      <c r="IJG38" s="316"/>
      <c r="IJH38" s="316"/>
      <c r="IJI38" s="316"/>
      <c r="IJJ38" s="316"/>
      <c r="IJK38" s="316"/>
      <c r="IJL38" s="316"/>
      <c r="IJM38" s="316"/>
      <c r="IJN38" s="316"/>
      <c r="IJO38" s="316"/>
      <c r="IJP38" s="316"/>
      <c r="IJQ38" s="316"/>
      <c r="IJR38" s="316"/>
      <c r="IJS38" s="316"/>
      <c r="IJT38" s="316"/>
      <c r="IJU38" s="316"/>
      <c r="IJV38" s="316"/>
      <c r="IJW38" s="316"/>
      <c r="IJX38" s="316"/>
      <c r="IJY38" s="316"/>
      <c r="IJZ38" s="316"/>
      <c r="IKA38" s="316"/>
      <c r="IKB38" s="316"/>
      <c r="IKC38" s="316"/>
      <c r="IKD38" s="316"/>
      <c r="IKE38" s="316"/>
      <c r="IKF38" s="316"/>
      <c r="IKG38" s="316"/>
      <c r="IKH38" s="316"/>
      <c r="IKI38" s="316"/>
      <c r="IKJ38" s="316"/>
      <c r="IKK38" s="316"/>
      <c r="IKL38" s="316"/>
      <c r="IKM38" s="316"/>
      <c r="IKN38" s="316"/>
      <c r="IKO38" s="316"/>
      <c r="IKP38" s="316"/>
      <c r="IKQ38" s="316"/>
      <c r="IKR38" s="316"/>
      <c r="IKS38" s="316"/>
      <c r="IKT38" s="316"/>
      <c r="IKU38" s="316"/>
      <c r="IKV38" s="316"/>
      <c r="IKW38" s="316"/>
      <c r="IKX38" s="316"/>
      <c r="IKY38" s="316"/>
      <c r="IKZ38" s="316"/>
      <c r="ILA38" s="316"/>
      <c r="ILB38" s="316"/>
      <c r="ILC38" s="316"/>
      <c r="ILD38" s="316"/>
      <c r="ILE38" s="316"/>
      <c r="ILF38" s="316"/>
      <c r="ILG38" s="316"/>
      <c r="ILH38" s="316"/>
      <c r="ILI38" s="316"/>
      <c r="ILJ38" s="316"/>
      <c r="ILK38" s="316"/>
      <c r="ILL38" s="316"/>
      <c r="ILM38" s="316"/>
      <c r="ILN38" s="316"/>
      <c r="ILO38" s="316"/>
      <c r="ILP38" s="316"/>
      <c r="ILQ38" s="316"/>
      <c r="ILR38" s="316"/>
      <c r="ILS38" s="316"/>
      <c r="ILT38" s="316"/>
      <c r="ILU38" s="316"/>
      <c r="ILV38" s="316"/>
      <c r="ILW38" s="316"/>
      <c r="ILX38" s="316"/>
      <c r="ILY38" s="316"/>
      <c r="ILZ38" s="316"/>
      <c r="IMA38" s="316"/>
      <c r="IMB38" s="316"/>
      <c r="IMC38" s="316"/>
      <c r="IMD38" s="316"/>
      <c r="IME38" s="316"/>
      <c r="IMF38" s="316"/>
      <c r="IMG38" s="316"/>
      <c r="IMH38" s="316"/>
      <c r="IMI38" s="316"/>
      <c r="IMJ38" s="316"/>
      <c r="IMK38" s="316"/>
      <c r="IML38" s="316"/>
      <c r="IMM38" s="316"/>
      <c r="IMN38" s="316"/>
      <c r="IMO38" s="316"/>
      <c r="IMP38" s="316"/>
      <c r="IMQ38" s="316"/>
      <c r="IMR38" s="316"/>
      <c r="IMS38" s="316"/>
      <c r="IMT38" s="316"/>
      <c r="IMU38" s="316"/>
      <c r="IMV38" s="316"/>
      <c r="IMW38" s="316"/>
      <c r="IMX38" s="316"/>
      <c r="IMY38" s="316"/>
      <c r="IMZ38" s="316"/>
      <c r="INA38" s="316"/>
      <c r="INB38" s="316"/>
      <c r="INC38" s="316"/>
      <c r="IND38" s="316"/>
      <c r="INE38" s="316"/>
      <c r="INF38" s="316"/>
      <c r="ING38" s="316"/>
      <c r="INH38" s="316"/>
      <c r="INI38" s="316"/>
      <c r="INJ38" s="316"/>
      <c r="INK38" s="316"/>
      <c r="INL38" s="316"/>
      <c r="INM38" s="316"/>
      <c r="INN38" s="316"/>
      <c r="INO38" s="316"/>
      <c r="INP38" s="316"/>
      <c r="INQ38" s="316"/>
      <c r="INR38" s="316"/>
      <c r="INS38" s="316"/>
      <c r="INT38" s="316"/>
      <c r="INU38" s="316"/>
      <c r="INV38" s="316"/>
      <c r="INW38" s="316"/>
      <c r="INX38" s="316"/>
      <c r="INY38" s="316"/>
      <c r="INZ38" s="316"/>
      <c r="IOA38" s="316"/>
      <c r="IOB38" s="316"/>
      <c r="IOC38" s="316"/>
      <c r="IOD38" s="316"/>
      <c r="IOE38" s="316"/>
      <c r="IOF38" s="316"/>
      <c r="IOG38" s="316"/>
      <c r="IOH38" s="316"/>
      <c r="IOI38" s="316"/>
      <c r="IOJ38" s="316"/>
      <c r="IOK38" s="316"/>
      <c r="IOL38" s="316"/>
      <c r="IOM38" s="316"/>
      <c r="ION38" s="316"/>
      <c r="IOO38" s="316"/>
      <c r="IOP38" s="316"/>
      <c r="IOQ38" s="316"/>
      <c r="IOR38" s="316"/>
      <c r="IOS38" s="316"/>
      <c r="IOT38" s="316"/>
      <c r="IOU38" s="316"/>
      <c r="IOV38" s="316"/>
      <c r="IOW38" s="316"/>
      <c r="IOX38" s="316"/>
      <c r="IOY38" s="316"/>
      <c r="IOZ38" s="316"/>
      <c r="IPA38" s="316"/>
      <c r="IPB38" s="316"/>
      <c r="IPC38" s="316"/>
      <c r="IPD38" s="316"/>
      <c r="IPE38" s="316"/>
      <c r="IPF38" s="316"/>
      <c r="IPG38" s="316"/>
      <c r="IPH38" s="316"/>
      <c r="IPI38" s="316"/>
      <c r="IPJ38" s="316"/>
      <c r="IPK38" s="316"/>
      <c r="IPL38" s="316"/>
      <c r="IPM38" s="316"/>
      <c r="IPN38" s="316"/>
      <c r="IPO38" s="316"/>
      <c r="IPP38" s="316"/>
      <c r="IPQ38" s="316"/>
      <c r="IPR38" s="316"/>
      <c r="IPS38" s="316"/>
      <c r="IPT38" s="316"/>
      <c r="IPU38" s="316"/>
      <c r="IPV38" s="316"/>
      <c r="IPW38" s="316"/>
      <c r="IPX38" s="316"/>
      <c r="IPY38" s="316"/>
      <c r="IPZ38" s="316"/>
      <c r="IQA38" s="316"/>
      <c r="IQB38" s="316"/>
      <c r="IQC38" s="316"/>
      <c r="IQD38" s="316"/>
      <c r="IQE38" s="316"/>
      <c r="IQF38" s="316"/>
      <c r="IQG38" s="316"/>
      <c r="IQH38" s="316"/>
      <c r="IQI38" s="316"/>
      <c r="IQJ38" s="316"/>
      <c r="IQK38" s="316"/>
      <c r="IQL38" s="316"/>
      <c r="IQM38" s="316"/>
      <c r="IQN38" s="316"/>
      <c r="IQO38" s="316"/>
      <c r="IQP38" s="316"/>
      <c r="IQQ38" s="316"/>
      <c r="IQR38" s="316"/>
      <c r="IQS38" s="316"/>
      <c r="IQT38" s="316"/>
      <c r="IQU38" s="316"/>
      <c r="IQV38" s="316"/>
      <c r="IQW38" s="316"/>
      <c r="IQX38" s="316"/>
      <c r="IQY38" s="316"/>
      <c r="IQZ38" s="316"/>
      <c r="IRA38" s="316"/>
      <c r="IRB38" s="316"/>
      <c r="IRC38" s="316"/>
      <c r="IRD38" s="316"/>
      <c r="IRE38" s="316"/>
      <c r="IRF38" s="316"/>
      <c r="IRG38" s="316"/>
      <c r="IRH38" s="316"/>
      <c r="IRI38" s="316"/>
      <c r="IRJ38" s="316"/>
      <c r="IRK38" s="316"/>
      <c r="IRL38" s="316"/>
      <c r="IRM38" s="316"/>
      <c r="IRN38" s="316"/>
      <c r="IRO38" s="316"/>
      <c r="IRP38" s="316"/>
      <c r="IRQ38" s="316"/>
      <c r="IRR38" s="316"/>
      <c r="IRS38" s="316"/>
      <c r="IRT38" s="316"/>
      <c r="IRU38" s="316"/>
      <c r="IRV38" s="316"/>
      <c r="IRW38" s="316"/>
      <c r="IRX38" s="316"/>
      <c r="IRY38" s="316"/>
      <c r="IRZ38" s="316"/>
      <c r="ISA38" s="316"/>
      <c r="ISB38" s="316"/>
      <c r="ISC38" s="316"/>
      <c r="ISD38" s="316"/>
      <c r="ISE38" s="316"/>
      <c r="ISF38" s="316"/>
      <c r="ISG38" s="316"/>
      <c r="ISH38" s="316"/>
      <c r="ISI38" s="316"/>
      <c r="ISJ38" s="316"/>
      <c r="ISK38" s="316"/>
      <c r="ISL38" s="316"/>
      <c r="ISM38" s="316"/>
      <c r="ISN38" s="316"/>
      <c r="ISO38" s="316"/>
      <c r="ISP38" s="316"/>
      <c r="ISQ38" s="316"/>
      <c r="ISR38" s="316"/>
      <c r="ISS38" s="316"/>
      <c r="IST38" s="316"/>
      <c r="ISU38" s="316"/>
      <c r="ISV38" s="316"/>
      <c r="ISW38" s="316"/>
      <c r="ISX38" s="316"/>
      <c r="ISY38" s="316"/>
      <c r="ISZ38" s="316"/>
      <c r="ITA38" s="316"/>
      <c r="ITB38" s="316"/>
      <c r="ITC38" s="316"/>
      <c r="ITD38" s="316"/>
      <c r="ITE38" s="316"/>
      <c r="ITF38" s="316"/>
      <c r="ITG38" s="316"/>
      <c r="ITH38" s="316"/>
      <c r="ITI38" s="316"/>
      <c r="ITJ38" s="316"/>
      <c r="ITK38" s="316"/>
      <c r="ITL38" s="316"/>
      <c r="ITM38" s="316"/>
      <c r="ITN38" s="316"/>
      <c r="ITO38" s="316"/>
      <c r="ITP38" s="316"/>
      <c r="ITQ38" s="316"/>
      <c r="ITR38" s="316"/>
      <c r="ITS38" s="316"/>
      <c r="ITT38" s="316"/>
      <c r="ITU38" s="316"/>
      <c r="ITV38" s="316"/>
      <c r="ITW38" s="316"/>
      <c r="ITX38" s="316"/>
      <c r="ITY38" s="316"/>
      <c r="ITZ38" s="316"/>
      <c r="IUA38" s="316"/>
      <c r="IUB38" s="316"/>
      <c r="IUC38" s="316"/>
      <c r="IUD38" s="316"/>
      <c r="IUE38" s="316"/>
      <c r="IUF38" s="316"/>
      <c r="IUG38" s="316"/>
      <c r="IUH38" s="316"/>
      <c r="IUI38" s="316"/>
      <c r="IUJ38" s="316"/>
      <c r="IUK38" s="316"/>
      <c r="IUL38" s="316"/>
      <c r="IUM38" s="316"/>
      <c r="IUN38" s="316"/>
      <c r="IUO38" s="316"/>
      <c r="IUP38" s="316"/>
      <c r="IUQ38" s="316"/>
      <c r="IUR38" s="316"/>
      <c r="IUS38" s="316"/>
      <c r="IUT38" s="316"/>
      <c r="IUU38" s="316"/>
      <c r="IUV38" s="316"/>
      <c r="IUW38" s="316"/>
      <c r="IUX38" s="316"/>
      <c r="IUY38" s="316"/>
      <c r="IUZ38" s="316"/>
      <c r="IVA38" s="316"/>
      <c r="IVB38" s="316"/>
      <c r="IVC38" s="316"/>
      <c r="IVD38" s="316"/>
      <c r="IVE38" s="316"/>
      <c r="IVF38" s="316"/>
      <c r="IVG38" s="316"/>
      <c r="IVH38" s="316"/>
      <c r="IVI38" s="316"/>
      <c r="IVJ38" s="316"/>
      <c r="IVK38" s="316"/>
      <c r="IVL38" s="316"/>
      <c r="IVM38" s="316"/>
      <c r="IVN38" s="316"/>
      <c r="IVO38" s="316"/>
      <c r="IVP38" s="316"/>
      <c r="IVQ38" s="316"/>
      <c r="IVR38" s="316"/>
      <c r="IVS38" s="316"/>
      <c r="IVT38" s="316"/>
      <c r="IVU38" s="316"/>
      <c r="IVV38" s="316"/>
      <c r="IVW38" s="316"/>
      <c r="IVX38" s="316"/>
      <c r="IVY38" s="316"/>
      <c r="IVZ38" s="316"/>
      <c r="IWA38" s="316"/>
      <c r="IWB38" s="316"/>
      <c r="IWC38" s="316"/>
      <c r="IWD38" s="316"/>
      <c r="IWE38" s="316"/>
      <c r="IWF38" s="316"/>
      <c r="IWG38" s="316"/>
      <c r="IWH38" s="316"/>
      <c r="IWI38" s="316"/>
      <c r="IWJ38" s="316"/>
      <c r="IWK38" s="316"/>
      <c r="IWL38" s="316"/>
      <c r="IWM38" s="316"/>
      <c r="IWN38" s="316"/>
      <c r="IWO38" s="316"/>
      <c r="IWP38" s="316"/>
      <c r="IWQ38" s="316"/>
      <c r="IWR38" s="316"/>
      <c r="IWS38" s="316"/>
      <c r="IWT38" s="316"/>
      <c r="IWU38" s="316"/>
      <c r="IWV38" s="316"/>
      <c r="IWW38" s="316"/>
      <c r="IWX38" s="316"/>
      <c r="IWY38" s="316"/>
      <c r="IWZ38" s="316"/>
      <c r="IXA38" s="316"/>
      <c r="IXB38" s="316"/>
      <c r="IXC38" s="316"/>
      <c r="IXD38" s="316"/>
      <c r="IXE38" s="316"/>
      <c r="IXF38" s="316"/>
      <c r="IXG38" s="316"/>
      <c r="IXH38" s="316"/>
      <c r="IXI38" s="316"/>
      <c r="IXJ38" s="316"/>
      <c r="IXK38" s="316"/>
      <c r="IXL38" s="316"/>
      <c r="IXM38" s="316"/>
      <c r="IXN38" s="316"/>
      <c r="IXO38" s="316"/>
      <c r="IXP38" s="316"/>
      <c r="IXQ38" s="316"/>
      <c r="IXR38" s="316"/>
      <c r="IXS38" s="316"/>
      <c r="IXT38" s="316"/>
      <c r="IXU38" s="316"/>
      <c r="IXV38" s="316"/>
      <c r="IXW38" s="316"/>
      <c r="IXX38" s="316"/>
      <c r="IXY38" s="316"/>
      <c r="IXZ38" s="316"/>
      <c r="IYA38" s="316"/>
      <c r="IYB38" s="316"/>
      <c r="IYC38" s="316"/>
      <c r="IYD38" s="316"/>
      <c r="IYE38" s="316"/>
      <c r="IYF38" s="316"/>
      <c r="IYG38" s="316"/>
      <c r="IYH38" s="316"/>
      <c r="IYI38" s="316"/>
      <c r="IYJ38" s="316"/>
      <c r="IYK38" s="316"/>
      <c r="IYL38" s="316"/>
      <c r="IYM38" s="316"/>
      <c r="IYN38" s="316"/>
      <c r="IYO38" s="316"/>
      <c r="IYP38" s="316"/>
      <c r="IYQ38" s="316"/>
      <c r="IYR38" s="316"/>
      <c r="IYS38" s="316"/>
      <c r="IYT38" s="316"/>
      <c r="IYU38" s="316"/>
      <c r="IYV38" s="316"/>
      <c r="IYW38" s="316"/>
      <c r="IYX38" s="316"/>
      <c r="IYY38" s="316"/>
      <c r="IYZ38" s="316"/>
      <c r="IZA38" s="316"/>
      <c r="IZB38" s="316"/>
      <c r="IZC38" s="316"/>
      <c r="IZD38" s="316"/>
      <c r="IZE38" s="316"/>
      <c r="IZF38" s="316"/>
      <c r="IZG38" s="316"/>
      <c r="IZH38" s="316"/>
      <c r="IZI38" s="316"/>
      <c r="IZJ38" s="316"/>
      <c r="IZK38" s="316"/>
      <c r="IZL38" s="316"/>
      <c r="IZM38" s="316"/>
      <c r="IZN38" s="316"/>
      <c r="IZO38" s="316"/>
      <c r="IZP38" s="316"/>
      <c r="IZQ38" s="316"/>
      <c r="IZR38" s="316"/>
      <c r="IZS38" s="316"/>
      <c r="IZT38" s="316"/>
      <c r="IZU38" s="316"/>
      <c r="IZV38" s="316"/>
      <c r="IZW38" s="316"/>
      <c r="IZX38" s="316"/>
      <c r="IZY38" s="316"/>
      <c r="IZZ38" s="316"/>
      <c r="JAA38" s="316"/>
      <c r="JAB38" s="316"/>
      <c r="JAC38" s="316"/>
      <c r="JAD38" s="316"/>
      <c r="JAE38" s="316"/>
      <c r="JAF38" s="316"/>
      <c r="JAG38" s="316"/>
      <c r="JAH38" s="316"/>
      <c r="JAI38" s="316"/>
      <c r="JAJ38" s="316"/>
      <c r="JAK38" s="316"/>
      <c r="JAL38" s="316"/>
      <c r="JAM38" s="316"/>
      <c r="JAN38" s="316"/>
      <c r="JAO38" s="316"/>
      <c r="JAP38" s="316"/>
      <c r="JAQ38" s="316"/>
      <c r="JAR38" s="316"/>
      <c r="JAS38" s="316"/>
      <c r="JAT38" s="316"/>
      <c r="JAU38" s="316"/>
      <c r="JAV38" s="316"/>
      <c r="JAW38" s="316"/>
      <c r="JAX38" s="316"/>
      <c r="JAY38" s="316"/>
      <c r="JAZ38" s="316"/>
      <c r="JBA38" s="316"/>
      <c r="JBB38" s="316"/>
      <c r="JBC38" s="316"/>
      <c r="JBD38" s="316"/>
      <c r="JBE38" s="316"/>
      <c r="JBF38" s="316"/>
      <c r="JBG38" s="316"/>
      <c r="JBH38" s="316"/>
      <c r="JBI38" s="316"/>
      <c r="JBJ38" s="316"/>
      <c r="JBK38" s="316"/>
      <c r="JBL38" s="316"/>
      <c r="JBM38" s="316"/>
      <c r="JBN38" s="316"/>
      <c r="JBO38" s="316"/>
      <c r="JBP38" s="316"/>
      <c r="JBQ38" s="316"/>
      <c r="JBR38" s="316"/>
      <c r="JBS38" s="316"/>
      <c r="JBT38" s="316"/>
      <c r="JBU38" s="316"/>
      <c r="JBV38" s="316"/>
      <c r="JBW38" s="316"/>
      <c r="JBX38" s="316"/>
      <c r="JBY38" s="316"/>
      <c r="JBZ38" s="316"/>
      <c r="JCA38" s="316"/>
      <c r="JCB38" s="316"/>
      <c r="JCC38" s="316"/>
      <c r="JCD38" s="316"/>
      <c r="JCE38" s="316"/>
      <c r="JCF38" s="316"/>
      <c r="JCG38" s="316"/>
      <c r="JCH38" s="316"/>
      <c r="JCI38" s="316"/>
      <c r="JCJ38" s="316"/>
      <c r="JCK38" s="316"/>
      <c r="JCL38" s="316"/>
      <c r="JCM38" s="316"/>
      <c r="JCN38" s="316"/>
      <c r="JCO38" s="316"/>
      <c r="JCP38" s="316"/>
      <c r="JCQ38" s="316"/>
      <c r="JCR38" s="316"/>
      <c r="JCS38" s="316"/>
      <c r="JCT38" s="316"/>
      <c r="JCU38" s="316"/>
      <c r="JCV38" s="316"/>
      <c r="JCW38" s="316"/>
      <c r="JCX38" s="316"/>
      <c r="JCY38" s="316"/>
      <c r="JCZ38" s="316"/>
      <c r="JDA38" s="316"/>
      <c r="JDB38" s="316"/>
      <c r="JDC38" s="316"/>
      <c r="JDD38" s="316"/>
      <c r="JDE38" s="316"/>
      <c r="JDF38" s="316"/>
      <c r="JDG38" s="316"/>
      <c r="JDH38" s="316"/>
      <c r="JDI38" s="316"/>
      <c r="JDJ38" s="316"/>
      <c r="JDK38" s="316"/>
      <c r="JDL38" s="316"/>
      <c r="JDM38" s="316"/>
      <c r="JDN38" s="316"/>
      <c r="JDO38" s="316"/>
      <c r="JDP38" s="316"/>
      <c r="JDQ38" s="316"/>
      <c r="JDR38" s="316"/>
      <c r="JDS38" s="316"/>
      <c r="JDT38" s="316"/>
      <c r="JDU38" s="316"/>
      <c r="JDV38" s="316"/>
      <c r="JDW38" s="316"/>
      <c r="JDX38" s="316"/>
      <c r="JDY38" s="316"/>
      <c r="JDZ38" s="316"/>
      <c r="JEA38" s="316"/>
      <c r="JEB38" s="316"/>
      <c r="JEC38" s="316"/>
      <c r="JED38" s="316"/>
      <c r="JEE38" s="316"/>
      <c r="JEF38" s="316"/>
      <c r="JEG38" s="316"/>
      <c r="JEH38" s="316"/>
      <c r="JEI38" s="316"/>
      <c r="JEJ38" s="316"/>
      <c r="JEK38" s="316"/>
      <c r="JEL38" s="316"/>
      <c r="JEM38" s="316"/>
      <c r="JEN38" s="316"/>
      <c r="JEO38" s="316"/>
      <c r="JEP38" s="316"/>
      <c r="JEQ38" s="316"/>
      <c r="JER38" s="316"/>
      <c r="JES38" s="316"/>
      <c r="JET38" s="316"/>
      <c r="JEU38" s="316"/>
      <c r="JEV38" s="316"/>
      <c r="JEW38" s="316"/>
      <c r="JEX38" s="316"/>
      <c r="JEY38" s="316"/>
      <c r="JEZ38" s="316"/>
      <c r="JFA38" s="316"/>
      <c r="JFB38" s="316"/>
      <c r="JFC38" s="316"/>
      <c r="JFD38" s="316"/>
      <c r="JFE38" s="316"/>
      <c r="JFF38" s="316"/>
      <c r="JFG38" s="316"/>
      <c r="JFH38" s="316"/>
      <c r="JFI38" s="316"/>
      <c r="JFJ38" s="316"/>
      <c r="JFK38" s="316"/>
      <c r="JFL38" s="316"/>
      <c r="JFM38" s="316"/>
      <c r="JFN38" s="316"/>
      <c r="JFO38" s="316"/>
      <c r="JFP38" s="316"/>
      <c r="JFQ38" s="316"/>
      <c r="JFR38" s="316"/>
      <c r="JFS38" s="316"/>
      <c r="JFT38" s="316"/>
      <c r="JFU38" s="316"/>
      <c r="JFV38" s="316"/>
      <c r="JFW38" s="316"/>
      <c r="JFX38" s="316"/>
      <c r="JFY38" s="316"/>
      <c r="JFZ38" s="316"/>
      <c r="JGA38" s="316"/>
      <c r="JGB38" s="316"/>
      <c r="JGC38" s="316"/>
      <c r="JGD38" s="316"/>
      <c r="JGE38" s="316"/>
      <c r="JGF38" s="316"/>
      <c r="JGG38" s="316"/>
      <c r="JGH38" s="316"/>
      <c r="JGI38" s="316"/>
      <c r="JGJ38" s="316"/>
      <c r="JGK38" s="316"/>
      <c r="JGL38" s="316"/>
      <c r="JGM38" s="316"/>
      <c r="JGN38" s="316"/>
      <c r="JGO38" s="316"/>
      <c r="JGP38" s="316"/>
      <c r="JGQ38" s="316"/>
      <c r="JGR38" s="316"/>
      <c r="JGS38" s="316"/>
      <c r="JGT38" s="316"/>
      <c r="JGU38" s="316"/>
      <c r="JGV38" s="316"/>
      <c r="JGW38" s="316"/>
      <c r="JGX38" s="316"/>
      <c r="JGY38" s="316"/>
      <c r="JGZ38" s="316"/>
      <c r="JHA38" s="316"/>
      <c r="JHB38" s="316"/>
      <c r="JHC38" s="316"/>
      <c r="JHD38" s="316"/>
      <c r="JHE38" s="316"/>
      <c r="JHF38" s="316"/>
      <c r="JHG38" s="316"/>
      <c r="JHH38" s="316"/>
      <c r="JHI38" s="316"/>
      <c r="JHJ38" s="316"/>
      <c r="JHK38" s="316"/>
      <c r="JHL38" s="316"/>
      <c r="JHM38" s="316"/>
      <c r="JHN38" s="316"/>
      <c r="JHO38" s="316"/>
      <c r="JHP38" s="316"/>
      <c r="JHQ38" s="316"/>
      <c r="JHR38" s="316"/>
      <c r="JHS38" s="316"/>
      <c r="JHT38" s="316"/>
      <c r="JHU38" s="316"/>
      <c r="JHV38" s="316"/>
      <c r="JHW38" s="316"/>
      <c r="JHX38" s="316"/>
      <c r="JHY38" s="316"/>
      <c r="JHZ38" s="316"/>
      <c r="JIA38" s="316"/>
      <c r="JIB38" s="316"/>
      <c r="JIC38" s="316"/>
      <c r="JID38" s="316"/>
      <c r="JIE38" s="316"/>
      <c r="JIF38" s="316"/>
      <c r="JIG38" s="316"/>
      <c r="JIH38" s="316"/>
      <c r="JII38" s="316"/>
      <c r="JIJ38" s="316"/>
      <c r="JIK38" s="316"/>
      <c r="JIL38" s="316"/>
      <c r="JIM38" s="316"/>
      <c r="JIN38" s="316"/>
      <c r="JIO38" s="316"/>
      <c r="JIP38" s="316"/>
      <c r="JIQ38" s="316"/>
      <c r="JIR38" s="316"/>
      <c r="JIS38" s="316"/>
      <c r="JIT38" s="316"/>
      <c r="JIU38" s="316"/>
      <c r="JIV38" s="316"/>
      <c r="JIW38" s="316"/>
      <c r="JIX38" s="316"/>
      <c r="JIY38" s="316"/>
      <c r="JIZ38" s="316"/>
      <c r="JJA38" s="316"/>
      <c r="JJB38" s="316"/>
      <c r="JJC38" s="316"/>
      <c r="JJD38" s="316"/>
      <c r="JJE38" s="316"/>
      <c r="JJF38" s="316"/>
      <c r="JJG38" s="316"/>
      <c r="JJH38" s="316"/>
      <c r="JJI38" s="316"/>
      <c r="JJJ38" s="316"/>
      <c r="JJK38" s="316"/>
      <c r="JJL38" s="316"/>
      <c r="JJM38" s="316"/>
      <c r="JJN38" s="316"/>
      <c r="JJO38" s="316"/>
      <c r="JJP38" s="316"/>
      <c r="JJQ38" s="316"/>
      <c r="JJR38" s="316"/>
      <c r="JJS38" s="316"/>
      <c r="JJT38" s="316"/>
      <c r="JJU38" s="316"/>
      <c r="JJV38" s="316"/>
      <c r="JJW38" s="316"/>
      <c r="JJX38" s="316"/>
      <c r="JJY38" s="316"/>
      <c r="JJZ38" s="316"/>
      <c r="JKA38" s="316"/>
      <c r="JKB38" s="316"/>
      <c r="JKC38" s="316"/>
      <c r="JKD38" s="316"/>
      <c r="JKE38" s="316"/>
      <c r="JKF38" s="316"/>
      <c r="JKG38" s="316"/>
      <c r="JKH38" s="316"/>
      <c r="JKI38" s="316"/>
      <c r="JKJ38" s="316"/>
      <c r="JKK38" s="316"/>
      <c r="JKL38" s="316"/>
      <c r="JKM38" s="316"/>
      <c r="JKN38" s="316"/>
      <c r="JKO38" s="316"/>
      <c r="JKP38" s="316"/>
      <c r="JKQ38" s="316"/>
      <c r="JKR38" s="316"/>
      <c r="JKS38" s="316"/>
      <c r="JKT38" s="316"/>
      <c r="JKU38" s="316"/>
      <c r="JKV38" s="316"/>
      <c r="JKW38" s="316"/>
      <c r="JKX38" s="316"/>
      <c r="JKY38" s="316"/>
      <c r="JKZ38" s="316"/>
      <c r="JLA38" s="316"/>
      <c r="JLB38" s="316"/>
      <c r="JLC38" s="316"/>
      <c r="JLD38" s="316"/>
      <c r="JLE38" s="316"/>
      <c r="JLF38" s="316"/>
      <c r="JLG38" s="316"/>
      <c r="JLH38" s="316"/>
      <c r="JLI38" s="316"/>
      <c r="JLJ38" s="316"/>
      <c r="JLK38" s="316"/>
      <c r="JLL38" s="316"/>
      <c r="JLM38" s="316"/>
      <c r="JLN38" s="316"/>
      <c r="JLO38" s="316"/>
      <c r="JLP38" s="316"/>
      <c r="JLQ38" s="316"/>
      <c r="JLR38" s="316"/>
      <c r="JLS38" s="316"/>
      <c r="JLT38" s="316"/>
      <c r="JLU38" s="316"/>
      <c r="JLV38" s="316"/>
      <c r="JLW38" s="316"/>
      <c r="JLX38" s="316"/>
      <c r="JLY38" s="316"/>
      <c r="JLZ38" s="316"/>
      <c r="JMA38" s="316"/>
      <c r="JMB38" s="316"/>
      <c r="JMC38" s="316"/>
      <c r="JMD38" s="316"/>
      <c r="JME38" s="316"/>
      <c r="JMF38" s="316"/>
      <c r="JMG38" s="316"/>
      <c r="JMH38" s="316"/>
      <c r="JMI38" s="316"/>
      <c r="JMJ38" s="316"/>
      <c r="JMK38" s="316"/>
      <c r="JML38" s="316"/>
      <c r="JMM38" s="316"/>
      <c r="JMN38" s="316"/>
      <c r="JMO38" s="316"/>
      <c r="JMP38" s="316"/>
      <c r="JMQ38" s="316"/>
      <c r="JMR38" s="316"/>
      <c r="JMS38" s="316"/>
      <c r="JMT38" s="316"/>
      <c r="JMU38" s="316"/>
      <c r="JMV38" s="316"/>
      <c r="JMW38" s="316"/>
      <c r="JMX38" s="316"/>
      <c r="JMY38" s="316"/>
      <c r="JMZ38" s="316"/>
      <c r="JNA38" s="316"/>
      <c r="JNB38" s="316"/>
      <c r="JNC38" s="316"/>
      <c r="JND38" s="316"/>
      <c r="JNE38" s="316"/>
      <c r="JNF38" s="316"/>
      <c r="JNG38" s="316"/>
      <c r="JNH38" s="316"/>
      <c r="JNI38" s="316"/>
      <c r="JNJ38" s="316"/>
      <c r="JNK38" s="316"/>
      <c r="JNL38" s="316"/>
      <c r="JNM38" s="316"/>
      <c r="JNN38" s="316"/>
      <c r="JNO38" s="316"/>
      <c r="JNP38" s="316"/>
      <c r="JNQ38" s="316"/>
      <c r="JNR38" s="316"/>
      <c r="JNS38" s="316"/>
      <c r="JNT38" s="316"/>
      <c r="JNU38" s="316"/>
      <c r="JNV38" s="316"/>
      <c r="JNW38" s="316"/>
      <c r="JNX38" s="316"/>
      <c r="JNY38" s="316"/>
      <c r="JNZ38" s="316"/>
      <c r="JOA38" s="316"/>
      <c r="JOB38" s="316"/>
      <c r="JOC38" s="316"/>
      <c r="JOD38" s="316"/>
      <c r="JOE38" s="316"/>
      <c r="JOF38" s="316"/>
      <c r="JOG38" s="316"/>
      <c r="JOH38" s="316"/>
      <c r="JOI38" s="316"/>
      <c r="JOJ38" s="316"/>
      <c r="JOK38" s="316"/>
      <c r="JOL38" s="316"/>
      <c r="JOM38" s="316"/>
      <c r="JON38" s="316"/>
      <c r="JOO38" s="316"/>
      <c r="JOP38" s="316"/>
      <c r="JOQ38" s="316"/>
      <c r="JOR38" s="316"/>
      <c r="JOS38" s="316"/>
      <c r="JOT38" s="316"/>
      <c r="JOU38" s="316"/>
      <c r="JOV38" s="316"/>
      <c r="JOW38" s="316"/>
      <c r="JOX38" s="316"/>
      <c r="JOY38" s="316"/>
      <c r="JOZ38" s="316"/>
      <c r="JPA38" s="316"/>
      <c r="JPB38" s="316"/>
      <c r="JPC38" s="316"/>
      <c r="JPD38" s="316"/>
      <c r="JPE38" s="316"/>
      <c r="JPF38" s="316"/>
      <c r="JPG38" s="316"/>
      <c r="JPH38" s="316"/>
      <c r="JPI38" s="316"/>
      <c r="JPJ38" s="316"/>
      <c r="JPK38" s="316"/>
      <c r="JPL38" s="316"/>
      <c r="JPM38" s="316"/>
      <c r="JPN38" s="316"/>
      <c r="JPO38" s="316"/>
      <c r="JPP38" s="316"/>
      <c r="JPQ38" s="316"/>
      <c r="JPR38" s="316"/>
      <c r="JPS38" s="316"/>
      <c r="JPT38" s="316"/>
      <c r="JPU38" s="316"/>
      <c r="JPV38" s="316"/>
      <c r="JPW38" s="316"/>
      <c r="JPX38" s="316"/>
      <c r="JPY38" s="316"/>
      <c r="JPZ38" s="316"/>
      <c r="JQA38" s="316"/>
      <c r="JQB38" s="316"/>
      <c r="JQC38" s="316"/>
      <c r="JQD38" s="316"/>
      <c r="JQE38" s="316"/>
      <c r="JQF38" s="316"/>
      <c r="JQG38" s="316"/>
      <c r="JQH38" s="316"/>
      <c r="JQI38" s="316"/>
      <c r="JQJ38" s="316"/>
      <c r="JQK38" s="316"/>
      <c r="JQL38" s="316"/>
      <c r="JQM38" s="316"/>
      <c r="JQN38" s="316"/>
      <c r="JQO38" s="316"/>
      <c r="JQP38" s="316"/>
      <c r="JQQ38" s="316"/>
      <c r="JQR38" s="316"/>
      <c r="JQS38" s="316"/>
      <c r="JQT38" s="316"/>
      <c r="JQU38" s="316"/>
      <c r="JQV38" s="316"/>
      <c r="JQW38" s="316"/>
      <c r="JQX38" s="316"/>
      <c r="JQY38" s="316"/>
      <c r="JQZ38" s="316"/>
      <c r="JRA38" s="316"/>
      <c r="JRB38" s="316"/>
      <c r="JRC38" s="316"/>
      <c r="JRD38" s="316"/>
      <c r="JRE38" s="316"/>
      <c r="JRF38" s="316"/>
      <c r="JRG38" s="316"/>
      <c r="JRH38" s="316"/>
      <c r="JRI38" s="316"/>
      <c r="JRJ38" s="316"/>
      <c r="JRK38" s="316"/>
      <c r="JRL38" s="316"/>
      <c r="JRM38" s="316"/>
      <c r="JRN38" s="316"/>
      <c r="JRO38" s="316"/>
      <c r="JRP38" s="316"/>
      <c r="JRQ38" s="316"/>
      <c r="JRR38" s="316"/>
      <c r="JRS38" s="316"/>
      <c r="JRT38" s="316"/>
      <c r="JRU38" s="316"/>
      <c r="JRV38" s="316"/>
      <c r="JRW38" s="316"/>
      <c r="JRX38" s="316"/>
      <c r="JRY38" s="316"/>
      <c r="JRZ38" s="316"/>
      <c r="JSA38" s="316"/>
      <c r="JSB38" s="316"/>
      <c r="JSC38" s="316"/>
      <c r="JSD38" s="316"/>
      <c r="JSE38" s="316"/>
      <c r="JSF38" s="316"/>
      <c r="JSG38" s="316"/>
      <c r="JSH38" s="316"/>
      <c r="JSI38" s="316"/>
      <c r="JSJ38" s="316"/>
      <c r="JSK38" s="316"/>
      <c r="JSL38" s="316"/>
      <c r="JSM38" s="316"/>
      <c r="JSN38" s="316"/>
      <c r="JSO38" s="316"/>
      <c r="JSP38" s="316"/>
      <c r="JSQ38" s="316"/>
      <c r="JSR38" s="316"/>
      <c r="JSS38" s="316"/>
      <c r="JST38" s="316"/>
      <c r="JSU38" s="316"/>
      <c r="JSV38" s="316"/>
      <c r="JSW38" s="316"/>
      <c r="JSX38" s="316"/>
      <c r="JSY38" s="316"/>
      <c r="JSZ38" s="316"/>
      <c r="JTA38" s="316"/>
      <c r="JTB38" s="316"/>
      <c r="JTC38" s="316"/>
      <c r="JTD38" s="316"/>
      <c r="JTE38" s="316"/>
      <c r="JTF38" s="316"/>
      <c r="JTG38" s="316"/>
      <c r="JTH38" s="316"/>
      <c r="JTI38" s="316"/>
      <c r="JTJ38" s="316"/>
      <c r="JTK38" s="316"/>
      <c r="JTL38" s="316"/>
      <c r="JTM38" s="316"/>
      <c r="JTN38" s="316"/>
      <c r="JTO38" s="316"/>
      <c r="JTP38" s="316"/>
      <c r="JTQ38" s="316"/>
      <c r="JTR38" s="316"/>
      <c r="JTS38" s="316"/>
      <c r="JTT38" s="316"/>
      <c r="JTU38" s="316"/>
      <c r="JTV38" s="316"/>
      <c r="JTW38" s="316"/>
      <c r="JTX38" s="316"/>
      <c r="JTY38" s="316"/>
      <c r="JTZ38" s="316"/>
      <c r="JUA38" s="316"/>
      <c r="JUB38" s="316"/>
      <c r="JUC38" s="316"/>
      <c r="JUD38" s="316"/>
      <c r="JUE38" s="316"/>
      <c r="JUF38" s="316"/>
      <c r="JUG38" s="316"/>
      <c r="JUH38" s="316"/>
      <c r="JUI38" s="316"/>
      <c r="JUJ38" s="316"/>
      <c r="JUK38" s="316"/>
      <c r="JUL38" s="316"/>
      <c r="JUM38" s="316"/>
      <c r="JUN38" s="316"/>
      <c r="JUO38" s="316"/>
      <c r="JUP38" s="316"/>
      <c r="JUQ38" s="316"/>
      <c r="JUR38" s="316"/>
      <c r="JUS38" s="316"/>
      <c r="JUT38" s="316"/>
      <c r="JUU38" s="316"/>
      <c r="JUV38" s="316"/>
      <c r="JUW38" s="316"/>
      <c r="JUX38" s="316"/>
      <c r="JUY38" s="316"/>
      <c r="JUZ38" s="316"/>
      <c r="JVA38" s="316"/>
      <c r="JVB38" s="316"/>
      <c r="JVC38" s="316"/>
      <c r="JVD38" s="316"/>
      <c r="JVE38" s="316"/>
      <c r="JVF38" s="316"/>
      <c r="JVG38" s="316"/>
      <c r="JVH38" s="316"/>
      <c r="JVI38" s="316"/>
      <c r="JVJ38" s="316"/>
      <c r="JVK38" s="316"/>
      <c r="JVL38" s="316"/>
      <c r="JVM38" s="316"/>
      <c r="JVN38" s="316"/>
      <c r="JVO38" s="316"/>
      <c r="JVP38" s="316"/>
      <c r="JVQ38" s="316"/>
      <c r="JVR38" s="316"/>
      <c r="JVS38" s="316"/>
      <c r="JVT38" s="316"/>
      <c r="JVU38" s="316"/>
      <c r="JVV38" s="316"/>
      <c r="JVW38" s="316"/>
      <c r="JVX38" s="316"/>
      <c r="JVY38" s="316"/>
      <c r="JVZ38" s="316"/>
      <c r="JWA38" s="316"/>
      <c r="JWB38" s="316"/>
      <c r="JWC38" s="316"/>
      <c r="JWD38" s="316"/>
      <c r="JWE38" s="316"/>
      <c r="JWF38" s="316"/>
      <c r="JWG38" s="316"/>
      <c r="JWH38" s="316"/>
      <c r="JWI38" s="316"/>
      <c r="JWJ38" s="316"/>
      <c r="JWK38" s="316"/>
      <c r="JWL38" s="316"/>
      <c r="JWM38" s="316"/>
      <c r="JWN38" s="316"/>
      <c r="JWO38" s="316"/>
      <c r="JWP38" s="316"/>
      <c r="JWQ38" s="316"/>
      <c r="JWR38" s="316"/>
      <c r="JWS38" s="316"/>
      <c r="JWT38" s="316"/>
      <c r="JWU38" s="316"/>
      <c r="JWV38" s="316"/>
      <c r="JWW38" s="316"/>
      <c r="JWX38" s="316"/>
      <c r="JWY38" s="316"/>
      <c r="JWZ38" s="316"/>
      <c r="JXA38" s="316"/>
      <c r="JXB38" s="316"/>
      <c r="JXC38" s="316"/>
      <c r="JXD38" s="316"/>
      <c r="JXE38" s="316"/>
      <c r="JXF38" s="316"/>
      <c r="JXG38" s="316"/>
      <c r="JXH38" s="316"/>
      <c r="JXI38" s="316"/>
      <c r="JXJ38" s="316"/>
      <c r="JXK38" s="316"/>
      <c r="JXL38" s="316"/>
      <c r="JXM38" s="316"/>
      <c r="JXN38" s="316"/>
      <c r="JXO38" s="316"/>
      <c r="JXP38" s="316"/>
      <c r="JXQ38" s="316"/>
      <c r="JXR38" s="316"/>
      <c r="JXS38" s="316"/>
      <c r="JXT38" s="316"/>
      <c r="JXU38" s="316"/>
      <c r="JXV38" s="316"/>
      <c r="JXW38" s="316"/>
      <c r="JXX38" s="316"/>
      <c r="JXY38" s="316"/>
      <c r="JXZ38" s="316"/>
      <c r="JYA38" s="316"/>
      <c r="JYB38" s="316"/>
      <c r="JYC38" s="316"/>
      <c r="JYD38" s="316"/>
      <c r="JYE38" s="316"/>
      <c r="JYF38" s="316"/>
      <c r="JYG38" s="316"/>
      <c r="JYH38" s="316"/>
      <c r="JYI38" s="316"/>
      <c r="JYJ38" s="316"/>
      <c r="JYK38" s="316"/>
      <c r="JYL38" s="316"/>
      <c r="JYM38" s="316"/>
      <c r="JYN38" s="316"/>
      <c r="JYO38" s="316"/>
      <c r="JYP38" s="316"/>
      <c r="JYQ38" s="316"/>
      <c r="JYR38" s="316"/>
      <c r="JYS38" s="316"/>
      <c r="JYT38" s="316"/>
      <c r="JYU38" s="316"/>
      <c r="JYV38" s="316"/>
      <c r="JYW38" s="316"/>
      <c r="JYX38" s="316"/>
      <c r="JYY38" s="316"/>
      <c r="JYZ38" s="316"/>
      <c r="JZA38" s="316"/>
      <c r="JZB38" s="316"/>
      <c r="JZC38" s="316"/>
      <c r="JZD38" s="316"/>
      <c r="JZE38" s="316"/>
      <c r="JZF38" s="316"/>
      <c r="JZG38" s="316"/>
      <c r="JZH38" s="316"/>
      <c r="JZI38" s="316"/>
      <c r="JZJ38" s="316"/>
      <c r="JZK38" s="316"/>
      <c r="JZL38" s="316"/>
      <c r="JZM38" s="316"/>
      <c r="JZN38" s="316"/>
      <c r="JZO38" s="316"/>
      <c r="JZP38" s="316"/>
      <c r="JZQ38" s="316"/>
      <c r="JZR38" s="316"/>
      <c r="JZS38" s="316"/>
      <c r="JZT38" s="316"/>
      <c r="JZU38" s="316"/>
      <c r="JZV38" s="316"/>
      <c r="JZW38" s="316"/>
      <c r="JZX38" s="316"/>
      <c r="JZY38" s="316"/>
      <c r="JZZ38" s="316"/>
      <c r="KAA38" s="316"/>
      <c r="KAB38" s="316"/>
      <c r="KAC38" s="316"/>
      <c r="KAD38" s="316"/>
      <c r="KAE38" s="316"/>
      <c r="KAF38" s="316"/>
      <c r="KAG38" s="316"/>
      <c r="KAH38" s="316"/>
      <c r="KAI38" s="316"/>
      <c r="KAJ38" s="316"/>
      <c r="KAK38" s="316"/>
      <c r="KAL38" s="316"/>
      <c r="KAM38" s="316"/>
      <c r="KAN38" s="316"/>
      <c r="KAO38" s="316"/>
      <c r="KAP38" s="316"/>
      <c r="KAQ38" s="316"/>
      <c r="KAR38" s="316"/>
      <c r="KAS38" s="316"/>
      <c r="KAT38" s="316"/>
      <c r="KAU38" s="316"/>
      <c r="KAV38" s="316"/>
      <c r="KAW38" s="316"/>
      <c r="KAX38" s="316"/>
      <c r="KAY38" s="316"/>
      <c r="KAZ38" s="316"/>
      <c r="KBA38" s="316"/>
      <c r="KBB38" s="316"/>
      <c r="KBC38" s="316"/>
      <c r="KBD38" s="316"/>
      <c r="KBE38" s="316"/>
      <c r="KBF38" s="316"/>
      <c r="KBG38" s="316"/>
      <c r="KBH38" s="316"/>
      <c r="KBI38" s="316"/>
      <c r="KBJ38" s="316"/>
      <c r="KBK38" s="316"/>
      <c r="KBL38" s="316"/>
      <c r="KBM38" s="316"/>
      <c r="KBN38" s="316"/>
      <c r="KBO38" s="316"/>
      <c r="KBP38" s="316"/>
      <c r="KBQ38" s="316"/>
      <c r="KBR38" s="316"/>
      <c r="KBS38" s="316"/>
      <c r="KBT38" s="316"/>
      <c r="KBU38" s="316"/>
      <c r="KBV38" s="316"/>
      <c r="KBW38" s="316"/>
      <c r="KBX38" s="316"/>
      <c r="KBY38" s="316"/>
      <c r="KBZ38" s="316"/>
      <c r="KCA38" s="316"/>
      <c r="KCB38" s="316"/>
      <c r="KCC38" s="316"/>
      <c r="KCD38" s="316"/>
      <c r="KCE38" s="316"/>
      <c r="KCF38" s="316"/>
      <c r="KCG38" s="316"/>
      <c r="KCH38" s="316"/>
      <c r="KCI38" s="316"/>
      <c r="KCJ38" s="316"/>
      <c r="KCK38" s="316"/>
      <c r="KCL38" s="316"/>
      <c r="KCM38" s="316"/>
      <c r="KCN38" s="316"/>
      <c r="KCO38" s="316"/>
      <c r="KCP38" s="316"/>
      <c r="KCQ38" s="316"/>
      <c r="KCR38" s="316"/>
      <c r="KCS38" s="316"/>
      <c r="KCT38" s="316"/>
      <c r="KCU38" s="316"/>
      <c r="KCV38" s="316"/>
      <c r="KCW38" s="316"/>
      <c r="KCX38" s="316"/>
      <c r="KCY38" s="316"/>
      <c r="KCZ38" s="316"/>
      <c r="KDA38" s="316"/>
      <c r="KDB38" s="316"/>
      <c r="KDC38" s="316"/>
      <c r="KDD38" s="316"/>
      <c r="KDE38" s="316"/>
      <c r="KDF38" s="316"/>
      <c r="KDG38" s="316"/>
      <c r="KDH38" s="316"/>
      <c r="KDI38" s="316"/>
      <c r="KDJ38" s="316"/>
      <c r="KDK38" s="316"/>
      <c r="KDL38" s="316"/>
      <c r="KDM38" s="316"/>
      <c r="KDN38" s="316"/>
      <c r="KDO38" s="316"/>
      <c r="KDP38" s="316"/>
      <c r="KDQ38" s="316"/>
      <c r="KDR38" s="316"/>
      <c r="KDS38" s="316"/>
      <c r="KDT38" s="316"/>
      <c r="KDU38" s="316"/>
      <c r="KDV38" s="316"/>
      <c r="KDW38" s="316"/>
      <c r="KDX38" s="316"/>
      <c r="KDY38" s="316"/>
      <c r="KDZ38" s="316"/>
      <c r="KEA38" s="316"/>
      <c r="KEB38" s="316"/>
      <c r="KEC38" s="316"/>
      <c r="KED38" s="316"/>
      <c r="KEE38" s="316"/>
      <c r="KEF38" s="316"/>
      <c r="KEG38" s="316"/>
      <c r="KEH38" s="316"/>
      <c r="KEI38" s="316"/>
      <c r="KEJ38" s="316"/>
      <c r="KEK38" s="316"/>
      <c r="KEL38" s="316"/>
      <c r="KEM38" s="316"/>
      <c r="KEN38" s="316"/>
      <c r="KEO38" s="316"/>
      <c r="KEP38" s="316"/>
      <c r="KEQ38" s="316"/>
      <c r="KER38" s="316"/>
      <c r="KES38" s="316"/>
      <c r="KET38" s="316"/>
      <c r="KEU38" s="316"/>
      <c r="KEV38" s="316"/>
      <c r="KEW38" s="316"/>
      <c r="KEX38" s="316"/>
      <c r="KEY38" s="316"/>
      <c r="KEZ38" s="316"/>
      <c r="KFA38" s="316"/>
      <c r="KFB38" s="316"/>
      <c r="KFC38" s="316"/>
      <c r="KFD38" s="316"/>
      <c r="KFE38" s="316"/>
      <c r="KFF38" s="316"/>
      <c r="KFG38" s="316"/>
      <c r="KFH38" s="316"/>
      <c r="KFI38" s="316"/>
      <c r="KFJ38" s="316"/>
      <c r="KFK38" s="316"/>
      <c r="KFL38" s="316"/>
      <c r="KFM38" s="316"/>
      <c r="KFN38" s="316"/>
      <c r="KFO38" s="316"/>
      <c r="KFP38" s="316"/>
      <c r="KFQ38" s="316"/>
      <c r="KFR38" s="316"/>
      <c r="KFS38" s="316"/>
      <c r="KFT38" s="316"/>
      <c r="KFU38" s="316"/>
      <c r="KFV38" s="316"/>
      <c r="KFW38" s="316"/>
      <c r="KFX38" s="316"/>
      <c r="KFY38" s="316"/>
      <c r="KFZ38" s="316"/>
      <c r="KGA38" s="316"/>
      <c r="KGB38" s="316"/>
      <c r="KGC38" s="316"/>
      <c r="KGD38" s="316"/>
      <c r="KGE38" s="316"/>
      <c r="KGF38" s="316"/>
      <c r="KGG38" s="316"/>
      <c r="KGH38" s="316"/>
      <c r="KGI38" s="316"/>
      <c r="KGJ38" s="316"/>
      <c r="KGK38" s="316"/>
      <c r="KGL38" s="316"/>
      <c r="KGM38" s="316"/>
      <c r="KGN38" s="316"/>
      <c r="KGO38" s="316"/>
      <c r="KGP38" s="316"/>
      <c r="KGQ38" s="316"/>
      <c r="KGR38" s="316"/>
      <c r="KGS38" s="316"/>
      <c r="KGT38" s="316"/>
      <c r="KGU38" s="316"/>
      <c r="KGV38" s="316"/>
      <c r="KGW38" s="316"/>
      <c r="KGX38" s="316"/>
      <c r="KGY38" s="316"/>
      <c r="KGZ38" s="316"/>
      <c r="KHA38" s="316"/>
      <c r="KHB38" s="316"/>
      <c r="KHC38" s="316"/>
      <c r="KHD38" s="316"/>
      <c r="KHE38" s="316"/>
      <c r="KHF38" s="316"/>
      <c r="KHG38" s="316"/>
      <c r="KHH38" s="316"/>
      <c r="KHI38" s="316"/>
      <c r="KHJ38" s="316"/>
      <c r="KHK38" s="316"/>
      <c r="KHL38" s="316"/>
      <c r="KHM38" s="316"/>
      <c r="KHN38" s="316"/>
      <c r="KHO38" s="316"/>
      <c r="KHP38" s="316"/>
      <c r="KHQ38" s="316"/>
      <c r="KHR38" s="316"/>
      <c r="KHS38" s="316"/>
      <c r="KHT38" s="316"/>
      <c r="KHU38" s="316"/>
      <c r="KHV38" s="316"/>
      <c r="KHW38" s="316"/>
      <c r="KHX38" s="316"/>
      <c r="KHY38" s="316"/>
      <c r="KHZ38" s="316"/>
      <c r="KIA38" s="316"/>
      <c r="KIB38" s="316"/>
      <c r="KIC38" s="316"/>
      <c r="KID38" s="316"/>
      <c r="KIE38" s="316"/>
      <c r="KIF38" s="316"/>
      <c r="KIG38" s="316"/>
      <c r="KIH38" s="316"/>
      <c r="KII38" s="316"/>
      <c r="KIJ38" s="316"/>
      <c r="KIK38" s="316"/>
      <c r="KIL38" s="316"/>
      <c r="KIM38" s="316"/>
      <c r="KIN38" s="316"/>
      <c r="KIO38" s="316"/>
      <c r="KIP38" s="316"/>
      <c r="KIQ38" s="316"/>
      <c r="KIR38" s="316"/>
      <c r="KIS38" s="316"/>
      <c r="KIT38" s="316"/>
      <c r="KIU38" s="316"/>
      <c r="KIV38" s="316"/>
      <c r="KIW38" s="316"/>
      <c r="KIX38" s="316"/>
      <c r="KIY38" s="316"/>
      <c r="KIZ38" s="316"/>
      <c r="KJA38" s="316"/>
      <c r="KJB38" s="316"/>
      <c r="KJC38" s="316"/>
      <c r="KJD38" s="316"/>
      <c r="KJE38" s="316"/>
      <c r="KJF38" s="316"/>
      <c r="KJG38" s="316"/>
      <c r="KJH38" s="316"/>
      <c r="KJI38" s="316"/>
      <c r="KJJ38" s="316"/>
      <c r="KJK38" s="316"/>
      <c r="KJL38" s="316"/>
      <c r="KJM38" s="316"/>
      <c r="KJN38" s="316"/>
      <c r="KJO38" s="316"/>
      <c r="KJP38" s="316"/>
      <c r="KJQ38" s="316"/>
      <c r="KJR38" s="316"/>
      <c r="KJS38" s="316"/>
      <c r="KJT38" s="316"/>
      <c r="KJU38" s="316"/>
      <c r="KJV38" s="316"/>
      <c r="KJW38" s="316"/>
      <c r="KJX38" s="316"/>
      <c r="KJY38" s="316"/>
      <c r="KJZ38" s="316"/>
      <c r="KKA38" s="316"/>
      <c r="KKB38" s="316"/>
      <c r="KKC38" s="316"/>
      <c r="KKD38" s="316"/>
      <c r="KKE38" s="316"/>
      <c r="KKF38" s="316"/>
      <c r="KKG38" s="316"/>
      <c r="KKH38" s="316"/>
      <c r="KKI38" s="316"/>
      <c r="KKJ38" s="316"/>
      <c r="KKK38" s="316"/>
      <c r="KKL38" s="316"/>
      <c r="KKM38" s="316"/>
      <c r="KKN38" s="316"/>
      <c r="KKO38" s="316"/>
      <c r="KKP38" s="316"/>
      <c r="KKQ38" s="316"/>
      <c r="KKR38" s="316"/>
      <c r="KKS38" s="316"/>
      <c r="KKT38" s="316"/>
      <c r="KKU38" s="316"/>
      <c r="KKV38" s="316"/>
      <c r="KKW38" s="316"/>
      <c r="KKX38" s="316"/>
      <c r="KKY38" s="316"/>
      <c r="KKZ38" s="316"/>
      <c r="KLA38" s="316"/>
      <c r="KLB38" s="316"/>
      <c r="KLC38" s="316"/>
      <c r="KLD38" s="316"/>
      <c r="KLE38" s="316"/>
      <c r="KLF38" s="316"/>
      <c r="KLG38" s="316"/>
      <c r="KLH38" s="316"/>
      <c r="KLI38" s="316"/>
      <c r="KLJ38" s="316"/>
      <c r="KLK38" s="316"/>
      <c r="KLL38" s="316"/>
      <c r="KLM38" s="316"/>
      <c r="KLN38" s="316"/>
      <c r="KLO38" s="316"/>
      <c r="KLP38" s="316"/>
      <c r="KLQ38" s="316"/>
      <c r="KLR38" s="316"/>
      <c r="KLS38" s="316"/>
      <c r="KLT38" s="316"/>
      <c r="KLU38" s="316"/>
      <c r="KLV38" s="316"/>
      <c r="KLW38" s="316"/>
      <c r="KLX38" s="316"/>
      <c r="KLY38" s="316"/>
      <c r="KLZ38" s="316"/>
      <c r="KMA38" s="316"/>
      <c r="KMB38" s="316"/>
      <c r="KMC38" s="316"/>
      <c r="KMD38" s="316"/>
      <c r="KME38" s="316"/>
      <c r="KMF38" s="316"/>
      <c r="KMG38" s="316"/>
      <c r="KMH38" s="316"/>
      <c r="KMI38" s="316"/>
      <c r="KMJ38" s="316"/>
      <c r="KMK38" s="316"/>
      <c r="KML38" s="316"/>
      <c r="KMM38" s="316"/>
      <c r="KMN38" s="316"/>
      <c r="KMO38" s="316"/>
      <c r="KMP38" s="316"/>
      <c r="KMQ38" s="316"/>
      <c r="KMR38" s="316"/>
      <c r="KMS38" s="316"/>
      <c r="KMT38" s="316"/>
      <c r="KMU38" s="316"/>
      <c r="KMV38" s="316"/>
      <c r="KMW38" s="316"/>
      <c r="KMX38" s="316"/>
      <c r="KMY38" s="316"/>
      <c r="KMZ38" s="316"/>
      <c r="KNA38" s="316"/>
      <c r="KNB38" s="316"/>
      <c r="KNC38" s="316"/>
      <c r="KND38" s="316"/>
      <c r="KNE38" s="316"/>
      <c r="KNF38" s="316"/>
      <c r="KNG38" s="316"/>
      <c r="KNH38" s="316"/>
      <c r="KNI38" s="316"/>
      <c r="KNJ38" s="316"/>
      <c r="KNK38" s="316"/>
      <c r="KNL38" s="316"/>
      <c r="KNM38" s="316"/>
      <c r="KNN38" s="316"/>
      <c r="KNO38" s="316"/>
      <c r="KNP38" s="316"/>
      <c r="KNQ38" s="316"/>
      <c r="KNR38" s="316"/>
      <c r="KNS38" s="316"/>
      <c r="KNT38" s="316"/>
      <c r="KNU38" s="316"/>
      <c r="KNV38" s="316"/>
      <c r="KNW38" s="316"/>
      <c r="KNX38" s="316"/>
      <c r="KNY38" s="316"/>
      <c r="KNZ38" s="316"/>
      <c r="KOA38" s="316"/>
      <c r="KOB38" s="316"/>
      <c r="KOC38" s="316"/>
      <c r="KOD38" s="316"/>
      <c r="KOE38" s="316"/>
      <c r="KOF38" s="316"/>
      <c r="KOG38" s="316"/>
      <c r="KOH38" s="316"/>
      <c r="KOI38" s="316"/>
      <c r="KOJ38" s="316"/>
      <c r="KOK38" s="316"/>
      <c r="KOL38" s="316"/>
      <c r="KOM38" s="316"/>
      <c r="KON38" s="316"/>
      <c r="KOO38" s="316"/>
      <c r="KOP38" s="316"/>
      <c r="KOQ38" s="316"/>
      <c r="KOR38" s="316"/>
      <c r="KOS38" s="316"/>
      <c r="KOT38" s="316"/>
      <c r="KOU38" s="316"/>
      <c r="KOV38" s="316"/>
      <c r="KOW38" s="316"/>
      <c r="KOX38" s="316"/>
      <c r="KOY38" s="316"/>
      <c r="KOZ38" s="316"/>
      <c r="KPA38" s="316"/>
      <c r="KPB38" s="316"/>
      <c r="KPC38" s="316"/>
      <c r="KPD38" s="316"/>
      <c r="KPE38" s="316"/>
      <c r="KPF38" s="316"/>
      <c r="KPG38" s="316"/>
      <c r="KPH38" s="316"/>
      <c r="KPI38" s="316"/>
      <c r="KPJ38" s="316"/>
      <c r="KPK38" s="316"/>
      <c r="KPL38" s="316"/>
      <c r="KPM38" s="316"/>
      <c r="KPN38" s="316"/>
      <c r="KPO38" s="316"/>
      <c r="KPP38" s="316"/>
      <c r="KPQ38" s="316"/>
      <c r="KPR38" s="316"/>
      <c r="KPS38" s="316"/>
      <c r="KPT38" s="316"/>
      <c r="KPU38" s="316"/>
      <c r="KPV38" s="316"/>
      <c r="KPW38" s="316"/>
      <c r="KPX38" s="316"/>
      <c r="KPY38" s="316"/>
      <c r="KPZ38" s="316"/>
      <c r="KQA38" s="316"/>
      <c r="KQB38" s="316"/>
      <c r="KQC38" s="316"/>
      <c r="KQD38" s="316"/>
      <c r="KQE38" s="316"/>
      <c r="KQF38" s="316"/>
      <c r="KQG38" s="316"/>
      <c r="KQH38" s="316"/>
      <c r="KQI38" s="316"/>
      <c r="KQJ38" s="316"/>
      <c r="KQK38" s="316"/>
      <c r="KQL38" s="316"/>
      <c r="KQM38" s="316"/>
      <c r="KQN38" s="316"/>
      <c r="KQO38" s="316"/>
      <c r="KQP38" s="316"/>
      <c r="KQQ38" s="316"/>
      <c r="KQR38" s="316"/>
      <c r="KQS38" s="316"/>
      <c r="KQT38" s="316"/>
      <c r="KQU38" s="316"/>
      <c r="KQV38" s="316"/>
      <c r="KQW38" s="316"/>
      <c r="KQX38" s="316"/>
      <c r="KQY38" s="316"/>
      <c r="KQZ38" s="316"/>
      <c r="KRA38" s="316"/>
      <c r="KRB38" s="316"/>
      <c r="KRC38" s="316"/>
      <c r="KRD38" s="316"/>
      <c r="KRE38" s="316"/>
      <c r="KRF38" s="316"/>
      <c r="KRG38" s="316"/>
      <c r="KRH38" s="316"/>
      <c r="KRI38" s="316"/>
      <c r="KRJ38" s="316"/>
      <c r="KRK38" s="316"/>
      <c r="KRL38" s="316"/>
      <c r="KRM38" s="316"/>
      <c r="KRN38" s="316"/>
      <c r="KRO38" s="316"/>
      <c r="KRP38" s="316"/>
      <c r="KRQ38" s="316"/>
      <c r="KRR38" s="316"/>
      <c r="KRS38" s="316"/>
      <c r="KRT38" s="316"/>
      <c r="KRU38" s="316"/>
      <c r="KRV38" s="316"/>
      <c r="KRW38" s="316"/>
      <c r="KRX38" s="316"/>
      <c r="KRY38" s="316"/>
      <c r="KRZ38" s="316"/>
      <c r="KSA38" s="316"/>
      <c r="KSB38" s="316"/>
      <c r="KSC38" s="316"/>
      <c r="KSD38" s="316"/>
      <c r="KSE38" s="316"/>
      <c r="KSF38" s="316"/>
      <c r="KSG38" s="316"/>
      <c r="KSH38" s="316"/>
      <c r="KSI38" s="316"/>
      <c r="KSJ38" s="316"/>
      <c r="KSK38" s="316"/>
      <c r="KSL38" s="316"/>
      <c r="KSM38" s="316"/>
      <c r="KSN38" s="316"/>
      <c r="KSO38" s="316"/>
      <c r="KSP38" s="316"/>
      <c r="KSQ38" s="316"/>
      <c r="KSR38" s="316"/>
      <c r="KSS38" s="316"/>
      <c r="KST38" s="316"/>
      <c r="KSU38" s="316"/>
      <c r="KSV38" s="316"/>
      <c r="KSW38" s="316"/>
      <c r="KSX38" s="316"/>
      <c r="KSY38" s="316"/>
      <c r="KSZ38" s="316"/>
      <c r="KTA38" s="316"/>
      <c r="KTB38" s="316"/>
      <c r="KTC38" s="316"/>
      <c r="KTD38" s="316"/>
      <c r="KTE38" s="316"/>
      <c r="KTF38" s="316"/>
      <c r="KTG38" s="316"/>
      <c r="KTH38" s="316"/>
      <c r="KTI38" s="316"/>
      <c r="KTJ38" s="316"/>
      <c r="KTK38" s="316"/>
      <c r="KTL38" s="316"/>
      <c r="KTM38" s="316"/>
      <c r="KTN38" s="316"/>
      <c r="KTO38" s="316"/>
      <c r="KTP38" s="316"/>
      <c r="KTQ38" s="316"/>
      <c r="KTR38" s="316"/>
      <c r="KTS38" s="316"/>
      <c r="KTT38" s="316"/>
      <c r="KTU38" s="316"/>
      <c r="KTV38" s="316"/>
      <c r="KTW38" s="316"/>
      <c r="KTX38" s="316"/>
      <c r="KTY38" s="316"/>
      <c r="KTZ38" s="316"/>
      <c r="KUA38" s="316"/>
      <c r="KUB38" s="316"/>
      <c r="KUC38" s="316"/>
      <c r="KUD38" s="316"/>
      <c r="KUE38" s="316"/>
      <c r="KUF38" s="316"/>
      <c r="KUG38" s="316"/>
      <c r="KUH38" s="316"/>
      <c r="KUI38" s="316"/>
      <c r="KUJ38" s="316"/>
      <c r="KUK38" s="316"/>
      <c r="KUL38" s="316"/>
      <c r="KUM38" s="316"/>
      <c r="KUN38" s="316"/>
      <c r="KUO38" s="316"/>
      <c r="KUP38" s="316"/>
      <c r="KUQ38" s="316"/>
      <c r="KUR38" s="316"/>
      <c r="KUS38" s="316"/>
      <c r="KUT38" s="316"/>
      <c r="KUU38" s="316"/>
      <c r="KUV38" s="316"/>
      <c r="KUW38" s="316"/>
      <c r="KUX38" s="316"/>
      <c r="KUY38" s="316"/>
      <c r="KUZ38" s="316"/>
      <c r="KVA38" s="316"/>
      <c r="KVB38" s="316"/>
      <c r="KVC38" s="316"/>
      <c r="KVD38" s="316"/>
      <c r="KVE38" s="316"/>
      <c r="KVF38" s="316"/>
      <c r="KVG38" s="316"/>
      <c r="KVH38" s="316"/>
      <c r="KVI38" s="316"/>
      <c r="KVJ38" s="316"/>
      <c r="KVK38" s="316"/>
      <c r="KVL38" s="316"/>
      <c r="KVM38" s="316"/>
      <c r="KVN38" s="316"/>
      <c r="KVO38" s="316"/>
      <c r="KVP38" s="316"/>
      <c r="KVQ38" s="316"/>
      <c r="KVR38" s="316"/>
      <c r="KVS38" s="316"/>
      <c r="KVT38" s="316"/>
      <c r="KVU38" s="316"/>
      <c r="KVV38" s="316"/>
      <c r="KVW38" s="316"/>
      <c r="KVX38" s="316"/>
      <c r="KVY38" s="316"/>
      <c r="KVZ38" s="316"/>
      <c r="KWA38" s="316"/>
      <c r="KWB38" s="316"/>
      <c r="KWC38" s="316"/>
      <c r="KWD38" s="316"/>
      <c r="KWE38" s="316"/>
      <c r="KWF38" s="316"/>
      <c r="KWG38" s="316"/>
      <c r="KWH38" s="316"/>
      <c r="KWI38" s="316"/>
      <c r="KWJ38" s="316"/>
      <c r="KWK38" s="316"/>
      <c r="KWL38" s="316"/>
      <c r="KWM38" s="316"/>
      <c r="KWN38" s="316"/>
      <c r="KWO38" s="316"/>
      <c r="KWP38" s="316"/>
      <c r="KWQ38" s="316"/>
      <c r="KWR38" s="316"/>
      <c r="KWS38" s="316"/>
      <c r="KWT38" s="316"/>
      <c r="KWU38" s="316"/>
      <c r="KWV38" s="316"/>
      <c r="KWW38" s="316"/>
      <c r="KWX38" s="316"/>
      <c r="KWY38" s="316"/>
      <c r="KWZ38" s="316"/>
      <c r="KXA38" s="316"/>
      <c r="KXB38" s="316"/>
      <c r="KXC38" s="316"/>
      <c r="KXD38" s="316"/>
      <c r="KXE38" s="316"/>
      <c r="KXF38" s="316"/>
      <c r="KXG38" s="316"/>
      <c r="KXH38" s="316"/>
      <c r="KXI38" s="316"/>
      <c r="KXJ38" s="316"/>
      <c r="KXK38" s="316"/>
      <c r="KXL38" s="316"/>
      <c r="KXM38" s="316"/>
      <c r="KXN38" s="316"/>
      <c r="KXO38" s="316"/>
      <c r="KXP38" s="316"/>
      <c r="KXQ38" s="316"/>
      <c r="KXR38" s="316"/>
      <c r="KXS38" s="316"/>
      <c r="KXT38" s="316"/>
      <c r="KXU38" s="316"/>
      <c r="KXV38" s="316"/>
      <c r="KXW38" s="316"/>
      <c r="KXX38" s="316"/>
      <c r="KXY38" s="316"/>
      <c r="KXZ38" s="316"/>
      <c r="KYA38" s="316"/>
      <c r="KYB38" s="316"/>
      <c r="KYC38" s="316"/>
      <c r="KYD38" s="316"/>
      <c r="KYE38" s="316"/>
      <c r="KYF38" s="316"/>
      <c r="KYG38" s="316"/>
      <c r="KYH38" s="316"/>
      <c r="KYI38" s="316"/>
      <c r="KYJ38" s="316"/>
      <c r="KYK38" s="316"/>
      <c r="KYL38" s="316"/>
      <c r="KYM38" s="316"/>
      <c r="KYN38" s="316"/>
      <c r="KYO38" s="316"/>
      <c r="KYP38" s="316"/>
      <c r="KYQ38" s="316"/>
      <c r="KYR38" s="316"/>
      <c r="KYS38" s="316"/>
      <c r="KYT38" s="316"/>
      <c r="KYU38" s="316"/>
      <c r="KYV38" s="316"/>
      <c r="KYW38" s="316"/>
      <c r="KYX38" s="316"/>
      <c r="KYY38" s="316"/>
      <c r="KYZ38" s="316"/>
      <c r="KZA38" s="316"/>
      <c r="KZB38" s="316"/>
      <c r="KZC38" s="316"/>
      <c r="KZD38" s="316"/>
      <c r="KZE38" s="316"/>
      <c r="KZF38" s="316"/>
      <c r="KZG38" s="316"/>
      <c r="KZH38" s="316"/>
      <c r="KZI38" s="316"/>
      <c r="KZJ38" s="316"/>
      <c r="KZK38" s="316"/>
      <c r="KZL38" s="316"/>
      <c r="KZM38" s="316"/>
      <c r="KZN38" s="316"/>
      <c r="KZO38" s="316"/>
      <c r="KZP38" s="316"/>
      <c r="KZQ38" s="316"/>
      <c r="KZR38" s="316"/>
      <c r="KZS38" s="316"/>
      <c r="KZT38" s="316"/>
      <c r="KZU38" s="316"/>
      <c r="KZV38" s="316"/>
      <c r="KZW38" s="316"/>
      <c r="KZX38" s="316"/>
      <c r="KZY38" s="316"/>
      <c r="KZZ38" s="316"/>
      <c r="LAA38" s="316"/>
      <c r="LAB38" s="316"/>
      <c r="LAC38" s="316"/>
      <c r="LAD38" s="316"/>
      <c r="LAE38" s="316"/>
      <c r="LAF38" s="316"/>
      <c r="LAG38" s="316"/>
      <c r="LAH38" s="316"/>
      <c r="LAI38" s="316"/>
      <c r="LAJ38" s="316"/>
      <c r="LAK38" s="316"/>
      <c r="LAL38" s="316"/>
      <c r="LAM38" s="316"/>
      <c r="LAN38" s="316"/>
      <c r="LAO38" s="316"/>
      <c r="LAP38" s="316"/>
      <c r="LAQ38" s="316"/>
      <c r="LAR38" s="316"/>
      <c r="LAS38" s="316"/>
      <c r="LAT38" s="316"/>
      <c r="LAU38" s="316"/>
      <c r="LAV38" s="316"/>
      <c r="LAW38" s="316"/>
      <c r="LAX38" s="316"/>
      <c r="LAY38" s="316"/>
      <c r="LAZ38" s="316"/>
      <c r="LBA38" s="316"/>
      <c r="LBB38" s="316"/>
      <c r="LBC38" s="316"/>
      <c r="LBD38" s="316"/>
      <c r="LBE38" s="316"/>
      <c r="LBF38" s="316"/>
      <c r="LBG38" s="316"/>
      <c r="LBH38" s="316"/>
      <c r="LBI38" s="316"/>
      <c r="LBJ38" s="316"/>
      <c r="LBK38" s="316"/>
      <c r="LBL38" s="316"/>
      <c r="LBM38" s="316"/>
      <c r="LBN38" s="316"/>
      <c r="LBO38" s="316"/>
      <c r="LBP38" s="316"/>
      <c r="LBQ38" s="316"/>
      <c r="LBR38" s="316"/>
      <c r="LBS38" s="316"/>
      <c r="LBT38" s="316"/>
      <c r="LBU38" s="316"/>
      <c r="LBV38" s="316"/>
      <c r="LBW38" s="316"/>
      <c r="LBX38" s="316"/>
      <c r="LBY38" s="316"/>
      <c r="LBZ38" s="316"/>
      <c r="LCA38" s="316"/>
      <c r="LCB38" s="316"/>
      <c r="LCC38" s="316"/>
      <c r="LCD38" s="316"/>
      <c r="LCE38" s="316"/>
      <c r="LCF38" s="316"/>
      <c r="LCG38" s="316"/>
      <c r="LCH38" s="316"/>
      <c r="LCI38" s="316"/>
      <c r="LCJ38" s="316"/>
      <c r="LCK38" s="316"/>
      <c r="LCL38" s="316"/>
      <c r="LCM38" s="316"/>
      <c r="LCN38" s="316"/>
      <c r="LCO38" s="316"/>
      <c r="LCP38" s="316"/>
      <c r="LCQ38" s="316"/>
      <c r="LCR38" s="316"/>
      <c r="LCS38" s="316"/>
      <c r="LCT38" s="316"/>
      <c r="LCU38" s="316"/>
      <c r="LCV38" s="316"/>
      <c r="LCW38" s="316"/>
      <c r="LCX38" s="316"/>
      <c r="LCY38" s="316"/>
      <c r="LCZ38" s="316"/>
      <c r="LDA38" s="316"/>
      <c r="LDB38" s="316"/>
      <c r="LDC38" s="316"/>
      <c r="LDD38" s="316"/>
      <c r="LDE38" s="316"/>
      <c r="LDF38" s="316"/>
      <c r="LDG38" s="316"/>
      <c r="LDH38" s="316"/>
      <c r="LDI38" s="316"/>
      <c r="LDJ38" s="316"/>
      <c r="LDK38" s="316"/>
      <c r="LDL38" s="316"/>
      <c r="LDM38" s="316"/>
      <c r="LDN38" s="316"/>
      <c r="LDO38" s="316"/>
      <c r="LDP38" s="316"/>
      <c r="LDQ38" s="316"/>
      <c r="LDR38" s="316"/>
      <c r="LDS38" s="316"/>
      <c r="LDT38" s="316"/>
      <c r="LDU38" s="316"/>
      <c r="LDV38" s="316"/>
      <c r="LDW38" s="316"/>
      <c r="LDX38" s="316"/>
      <c r="LDY38" s="316"/>
      <c r="LDZ38" s="316"/>
      <c r="LEA38" s="316"/>
      <c r="LEB38" s="316"/>
      <c r="LEC38" s="316"/>
      <c r="LED38" s="316"/>
      <c r="LEE38" s="316"/>
      <c r="LEF38" s="316"/>
      <c r="LEG38" s="316"/>
      <c r="LEH38" s="316"/>
      <c r="LEI38" s="316"/>
      <c r="LEJ38" s="316"/>
      <c r="LEK38" s="316"/>
      <c r="LEL38" s="316"/>
      <c r="LEM38" s="316"/>
      <c r="LEN38" s="316"/>
      <c r="LEO38" s="316"/>
      <c r="LEP38" s="316"/>
      <c r="LEQ38" s="316"/>
      <c r="LER38" s="316"/>
      <c r="LES38" s="316"/>
      <c r="LET38" s="316"/>
      <c r="LEU38" s="316"/>
      <c r="LEV38" s="316"/>
      <c r="LEW38" s="316"/>
      <c r="LEX38" s="316"/>
      <c r="LEY38" s="316"/>
      <c r="LEZ38" s="316"/>
      <c r="LFA38" s="316"/>
      <c r="LFB38" s="316"/>
      <c r="LFC38" s="316"/>
      <c r="LFD38" s="316"/>
      <c r="LFE38" s="316"/>
      <c r="LFF38" s="316"/>
      <c r="LFG38" s="316"/>
      <c r="LFH38" s="316"/>
      <c r="LFI38" s="316"/>
      <c r="LFJ38" s="316"/>
      <c r="LFK38" s="316"/>
      <c r="LFL38" s="316"/>
      <c r="LFM38" s="316"/>
      <c r="LFN38" s="316"/>
      <c r="LFO38" s="316"/>
      <c r="LFP38" s="316"/>
      <c r="LFQ38" s="316"/>
      <c r="LFR38" s="316"/>
      <c r="LFS38" s="316"/>
      <c r="LFT38" s="316"/>
      <c r="LFU38" s="316"/>
      <c r="LFV38" s="316"/>
      <c r="LFW38" s="316"/>
      <c r="LFX38" s="316"/>
      <c r="LFY38" s="316"/>
      <c r="LFZ38" s="316"/>
      <c r="LGA38" s="316"/>
      <c r="LGB38" s="316"/>
      <c r="LGC38" s="316"/>
      <c r="LGD38" s="316"/>
      <c r="LGE38" s="316"/>
      <c r="LGF38" s="316"/>
      <c r="LGG38" s="316"/>
      <c r="LGH38" s="316"/>
      <c r="LGI38" s="316"/>
      <c r="LGJ38" s="316"/>
      <c r="LGK38" s="316"/>
      <c r="LGL38" s="316"/>
      <c r="LGM38" s="316"/>
      <c r="LGN38" s="316"/>
      <c r="LGO38" s="316"/>
      <c r="LGP38" s="316"/>
      <c r="LGQ38" s="316"/>
      <c r="LGR38" s="316"/>
      <c r="LGS38" s="316"/>
      <c r="LGT38" s="316"/>
      <c r="LGU38" s="316"/>
      <c r="LGV38" s="316"/>
      <c r="LGW38" s="316"/>
      <c r="LGX38" s="316"/>
      <c r="LGY38" s="316"/>
      <c r="LGZ38" s="316"/>
      <c r="LHA38" s="316"/>
      <c r="LHB38" s="316"/>
      <c r="LHC38" s="316"/>
      <c r="LHD38" s="316"/>
      <c r="LHE38" s="316"/>
      <c r="LHF38" s="316"/>
      <c r="LHG38" s="316"/>
      <c r="LHH38" s="316"/>
      <c r="LHI38" s="316"/>
      <c r="LHJ38" s="316"/>
      <c r="LHK38" s="316"/>
      <c r="LHL38" s="316"/>
      <c r="LHM38" s="316"/>
      <c r="LHN38" s="316"/>
      <c r="LHO38" s="316"/>
      <c r="LHP38" s="316"/>
      <c r="LHQ38" s="316"/>
      <c r="LHR38" s="316"/>
      <c r="LHS38" s="316"/>
      <c r="LHT38" s="316"/>
      <c r="LHU38" s="316"/>
      <c r="LHV38" s="316"/>
      <c r="LHW38" s="316"/>
      <c r="LHX38" s="316"/>
      <c r="LHY38" s="316"/>
      <c r="LHZ38" s="316"/>
      <c r="LIA38" s="316"/>
      <c r="LIB38" s="316"/>
      <c r="LIC38" s="316"/>
      <c r="LID38" s="316"/>
      <c r="LIE38" s="316"/>
      <c r="LIF38" s="316"/>
      <c r="LIG38" s="316"/>
      <c r="LIH38" s="316"/>
      <c r="LII38" s="316"/>
      <c r="LIJ38" s="316"/>
      <c r="LIK38" s="316"/>
      <c r="LIL38" s="316"/>
      <c r="LIM38" s="316"/>
      <c r="LIN38" s="316"/>
      <c r="LIO38" s="316"/>
      <c r="LIP38" s="316"/>
      <c r="LIQ38" s="316"/>
      <c r="LIR38" s="316"/>
      <c r="LIS38" s="316"/>
      <c r="LIT38" s="316"/>
      <c r="LIU38" s="316"/>
      <c r="LIV38" s="316"/>
      <c r="LIW38" s="316"/>
      <c r="LIX38" s="316"/>
      <c r="LIY38" s="316"/>
      <c r="LIZ38" s="316"/>
      <c r="LJA38" s="316"/>
      <c r="LJB38" s="316"/>
      <c r="LJC38" s="316"/>
      <c r="LJD38" s="316"/>
      <c r="LJE38" s="316"/>
      <c r="LJF38" s="316"/>
      <c r="LJG38" s="316"/>
      <c r="LJH38" s="316"/>
      <c r="LJI38" s="316"/>
      <c r="LJJ38" s="316"/>
      <c r="LJK38" s="316"/>
      <c r="LJL38" s="316"/>
      <c r="LJM38" s="316"/>
      <c r="LJN38" s="316"/>
      <c r="LJO38" s="316"/>
      <c r="LJP38" s="316"/>
      <c r="LJQ38" s="316"/>
      <c r="LJR38" s="316"/>
      <c r="LJS38" s="316"/>
      <c r="LJT38" s="316"/>
      <c r="LJU38" s="316"/>
      <c r="LJV38" s="316"/>
      <c r="LJW38" s="316"/>
      <c r="LJX38" s="316"/>
      <c r="LJY38" s="316"/>
      <c r="LJZ38" s="316"/>
      <c r="LKA38" s="316"/>
      <c r="LKB38" s="316"/>
      <c r="LKC38" s="316"/>
      <c r="LKD38" s="316"/>
      <c r="LKE38" s="316"/>
      <c r="LKF38" s="316"/>
      <c r="LKG38" s="316"/>
      <c r="LKH38" s="316"/>
      <c r="LKI38" s="316"/>
      <c r="LKJ38" s="316"/>
      <c r="LKK38" s="316"/>
      <c r="LKL38" s="316"/>
      <c r="LKM38" s="316"/>
      <c r="LKN38" s="316"/>
      <c r="LKO38" s="316"/>
      <c r="LKP38" s="316"/>
      <c r="LKQ38" s="316"/>
      <c r="LKR38" s="316"/>
      <c r="LKS38" s="316"/>
      <c r="LKT38" s="316"/>
      <c r="LKU38" s="316"/>
      <c r="LKV38" s="316"/>
      <c r="LKW38" s="316"/>
      <c r="LKX38" s="316"/>
      <c r="LKY38" s="316"/>
      <c r="LKZ38" s="316"/>
      <c r="LLA38" s="316"/>
      <c r="LLB38" s="316"/>
      <c r="LLC38" s="316"/>
      <c r="LLD38" s="316"/>
      <c r="LLE38" s="316"/>
      <c r="LLF38" s="316"/>
      <c r="LLG38" s="316"/>
      <c r="LLH38" s="316"/>
      <c r="LLI38" s="316"/>
      <c r="LLJ38" s="316"/>
      <c r="LLK38" s="316"/>
      <c r="LLL38" s="316"/>
      <c r="LLM38" s="316"/>
      <c r="LLN38" s="316"/>
      <c r="LLO38" s="316"/>
      <c r="LLP38" s="316"/>
      <c r="LLQ38" s="316"/>
      <c r="LLR38" s="316"/>
      <c r="LLS38" s="316"/>
      <c r="LLT38" s="316"/>
      <c r="LLU38" s="316"/>
      <c r="LLV38" s="316"/>
      <c r="LLW38" s="316"/>
      <c r="LLX38" s="316"/>
      <c r="LLY38" s="316"/>
      <c r="LLZ38" s="316"/>
      <c r="LMA38" s="316"/>
      <c r="LMB38" s="316"/>
      <c r="LMC38" s="316"/>
      <c r="LMD38" s="316"/>
      <c r="LME38" s="316"/>
      <c r="LMF38" s="316"/>
      <c r="LMG38" s="316"/>
      <c r="LMH38" s="316"/>
      <c r="LMI38" s="316"/>
      <c r="LMJ38" s="316"/>
      <c r="LMK38" s="316"/>
      <c r="LML38" s="316"/>
      <c r="LMM38" s="316"/>
      <c r="LMN38" s="316"/>
      <c r="LMO38" s="316"/>
      <c r="LMP38" s="316"/>
      <c r="LMQ38" s="316"/>
      <c r="LMR38" s="316"/>
      <c r="LMS38" s="316"/>
      <c r="LMT38" s="316"/>
      <c r="LMU38" s="316"/>
      <c r="LMV38" s="316"/>
      <c r="LMW38" s="316"/>
      <c r="LMX38" s="316"/>
      <c r="LMY38" s="316"/>
      <c r="LMZ38" s="316"/>
      <c r="LNA38" s="316"/>
      <c r="LNB38" s="316"/>
      <c r="LNC38" s="316"/>
      <c r="LND38" s="316"/>
      <c r="LNE38" s="316"/>
      <c r="LNF38" s="316"/>
      <c r="LNG38" s="316"/>
      <c r="LNH38" s="316"/>
      <c r="LNI38" s="316"/>
      <c r="LNJ38" s="316"/>
      <c r="LNK38" s="316"/>
      <c r="LNL38" s="316"/>
      <c r="LNM38" s="316"/>
      <c r="LNN38" s="316"/>
      <c r="LNO38" s="316"/>
      <c r="LNP38" s="316"/>
      <c r="LNQ38" s="316"/>
      <c r="LNR38" s="316"/>
      <c r="LNS38" s="316"/>
      <c r="LNT38" s="316"/>
      <c r="LNU38" s="316"/>
      <c r="LNV38" s="316"/>
      <c r="LNW38" s="316"/>
      <c r="LNX38" s="316"/>
      <c r="LNY38" s="316"/>
      <c r="LNZ38" s="316"/>
      <c r="LOA38" s="316"/>
      <c r="LOB38" s="316"/>
      <c r="LOC38" s="316"/>
      <c r="LOD38" s="316"/>
      <c r="LOE38" s="316"/>
      <c r="LOF38" s="316"/>
      <c r="LOG38" s="316"/>
      <c r="LOH38" s="316"/>
      <c r="LOI38" s="316"/>
      <c r="LOJ38" s="316"/>
      <c r="LOK38" s="316"/>
      <c r="LOL38" s="316"/>
      <c r="LOM38" s="316"/>
      <c r="LON38" s="316"/>
      <c r="LOO38" s="316"/>
      <c r="LOP38" s="316"/>
      <c r="LOQ38" s="316"/>
      <c r="LOR38" s="316"/>
      <c r="LOS38" s="316"/>
      <c r="LOT38" s="316"/>
      <c r="LOU38" s="316"/>
      <c r="LOV38" s="316"/>
      <c r="LOW38" s="316"/>
      <c r="LOX38" s="316"/>
      <c r="LOY38" s="316"/>
      <c r="LOZ38" s="316"/>
      <c r="LPA38" s="316"/>
      <c r="LPB38" s="316"/>
      <c r="LPC38" s="316"/>
      <c r="LPD38" s="316"/>
      <c r="LPE38" s="316"/>
      <c r="LPF38" s="316"/>
      <c r="LPG38" s="316"/>
      <c r="LPH38" s="316"/>
      <c r="LPI38" s="316"/>
      <c r="LPJ38" s="316"/>
      <c r="LPK38" s="316"/>
      <c r="LPL38" s="316"/>
      <c r="LPM38" s="316"/>
      <c r="LPN38" s="316"/>
      <c r="LPO38" s="316"/>
      <c r="LPP38" s="316"/>
      <c r="LPQ38" s="316"/>
      <c r="LPR38" s="316"/>
      <c r="LPS38" s="316"/>
      <c r="LPT38" s="316"/>
      <c r="LPU38" s="316"/>
      <c r="LPV38" s="316"/>
      <c r="LPW38" s="316"/>
      <c r="LPX38" s="316"/>
      <c r="LPY38" s="316"/>
      <c r="LPZ38" s="316"/>
      <c r="LQA38" s="316"/>
      <c r="LQB38" s="316"/>
      <c r="LQC38" s="316"/>
      <c r="LQD38" s="316"/>
      <c r="LQE38" s="316"/>
      <c r="LQF38" s="316"/>
      <c r="LQG38" s="316"/>
      <c r="LQH38" s="316"/>
      <c r="LQI38" s="316"/>
      <c r="LQJ38" s="316"/>
      <c r="LQK38" s="316"/>
      <c r="LQL38" s="316"/>
      <c r="LQM38" s="316"/>
      <c r="LQN38" s="316"/>
      <c r="LQO38" s="316"/>
      <c r="LQP38" s="316"/>
      <c r="LQQ38" s="316"/>
      <c r="LQR38" s="316"/>
      <c r="LQS38" s="316"/>
      <c r="LQT38" s="316"/>
      <c r="LQU38" s="316"/>
      <c r="LQV38" s="316"/>
      <c r="LQW38" s="316"/>
      <c r="LQX38" s="316"/>
      <c r="LQY38" s="316"/>
      <c r="LQZ38" s="316"/>
      <c r="LRA38" s="316"/>
      <c r="LRB38" s="316"/>
      <c r="LRC38" s="316"/>
      <c r="LRD38" s="316"/>
      <c r="LRE38" s="316"/>
      <c r="LRF38" s="316"/>
      <c r="LRG38" s="316"/>
      <c r="LRH38" s="316"/>
      <c r="LRI38" s="316"/>
      <c r="LRJ38" s="316"/>
      <c r="LRK38" s="316"/>
      <c r="LRL38" s="316"/>
      <c r="LRM38" s="316"/>
      <c r="LRN38" s="316"/>
      <c r="LRO38" s="316"/>
      <c r="LRP38" s="316"/>
      <c r="LRQ38" s="316"/>
      <c r="LRR38" s="316"/>
      <c r="LRS38" s="316"/>
      <c r="LRT38" s="316"/>
      <c r="LRU38" s="316"/>
      <c r="LRV38" s="316"/>
      <c r="LRW38" s="316"/>
      <c r="LRX38" s="316"/>
      <c r="LRY38" s="316"/>
      <c r="LRZ38" s="316"/>
      <c r="LSA38" s="316"/>
      <c r="LSB38" s="316"/>
      <c r="LSC38" s="316"/>
      <c r="LSD38" s="316"/>
      <c r="LSE38" s="316"/>
      <c r="LSF38" s="316"/>
      <c r="LSG38" s="316"/>
      <c r="LSH38" s="316"/>
      <c r="LSI38" s="316"/>
      <c r="LSJ38" s="316"/>
      <c r="LSK38" s="316"/>
      <c r="LSL38" s="316"/>
      <c r="LSM38" s="316"/>
      <c r="LSN38" s="316"/>
      <c r="LSO38" s="316"/>
      <c r="LSP38" s="316"/>
      <c r="LSQ38" s="316"/>
      <c r="LSR38" s="316"/>
      <c r="LSS38" s="316"/>
      <c r="LST38" s="316"/>
      <c r="LSU38" s="316"/>
      <c r="LSV38" s="316"/>
      <c r="LSW38" s="316"/>
      <c r="LSX38" s="316"/>
      <c r="LSY38" s="316"/>
      <c r="LSZ38" s="316"/>
      <c r="LTA38" s="316"/>
      <c r="LTB38" s="316"/>
      <c r="LTC38" s="316"/>
      <c r="LTD38" s="316"/>
      <c r="LTE38" s="316"/>
      <c r="LTF38" s="316"/>
      <c r="LTG38" s="316"/>
      <c r="LTH38" s="316"/>
      <c r="LTI38" s="316"/>
      <c r="LTJ38" s="316"/>
      <c r="LTK38" s="316"/>
      <c r="LTL38" s="316"/>
      <c r="LTM38" s="316"/>
      <c r="LTN38" s="316"/>
      <c r="LTO38" s="316"/>
      <c r="LTP38" s="316"/>
      <c r="LTQ38" s="316"/>
      <c r="LTR38" s="316"/>
      <c r="LTS38" s="316"/>
      <c r="LTT38" s="316"/>
      <c r="LTU38" s="316"/>
      <c r="LTV38" s="316"/>
      <c r="LTW38" s="316"/>
      <c r="LTX38" s="316"/>
      <c r="LTY38" s="316"/>
      <c r="LTZ38" s="316"/>
      <c r="LUA38" s="316"/>
      <c r="LUB38" s="316"/>
      <c r="LUC38" s="316"/>
      <c r="LUD38" s="316"/>
      <c r="LUE38" s="316"/>
      <c r="LUF38" s="316"/>
      <c r="LUG38" s="316"/>
      <c r="LUH38" s="316"/>
      <c r="LUI38" s="316"/>
      <c r="LUJ38" s="316"/>
      <c r="LUK38" s="316"/>
      <c r="LUL38" s="316"/>
      <c r="LUM38" s="316"/>
      <c r="LUN38" s="316"/>
      <c r="LUO38" s="316"/>
      <c r="LUP38" s="316"/>
      <c r="LUQ38" s="316"/>
      <c r="LUR38" s="316"/>
      <c r="LUS38" s="316"/>
      <c r="LUT38" s="316"/>
      <c r="LUU38" s="316"/>
      <c r="LUV38" s="316"/>
      <c r="LUW38" s="316"/>
      <c r="LUX38" s="316"/>
      <c r="LUY38" s="316"/>
      <c r="LUZ38" s="316"/>
      <c r="LVA38" s="316"/>
      <c r="LVB38" s="316"/>
      <c r="LVC38" s="316"/>
      <c r="LVD38" s="316"/>
      <c r="LVE38" s="316"/>
      <c r="LVF38" s="316"/>
      <c r="LVG38" s="316"/>
      <c r="LVH38" s="316"/>
      <c r="LVI38" s="316"/>
      <c r="LVJ38" s="316"/>
      <c r="LVK38" s="316"/>
      <c r="LVL38" s="316"/>
      <c r="LVM38" s="316"/>
      <c r="LVN38" s="316"/>
      <c r="LVO38" s="316"/>
      <c r="LVP38" s="316"/>
      <c r="LVQ38" s="316"/>
      <c r="LVR38" s="316"/>
      <c r="LVS38" s="316"/>
      <c r="LVT38" s="316"/>
      <c r="LVU38" s="316"/>
      <c r="LVV38" s="316"/>
      <c r="LVW38" s="316"/>
      <c r="LVX38" s="316"/>
      <c r="LVY38" s="316"/>
      <c r="LVZ38" s="316"/>
      <c r="LWA38" s="316"/>
      <c r="LWB38" s="316"/>
      <c r="LWC38" s="316"/>
      <c r="LWD38" s="316"/>
      <c r="LWE38" s="316"/>
      <c r="LWF38" s="316"/>
      <c r="LWG38" s="316"/>
      <c r="LWH38" s="316"/>
      <c r="LWI38" s="316"/>
      <c r="LWJ38" s="316"/>
      <c r="LWK38" s="316"/>
      <c r="LWL38" s="316"/>
      <c r="LWM38" s="316"/>
      <c r="LWN38" s="316"/>
      <c r="LWO38" s="316"/>
      <c r="LWP38" s="316"/>
      <c r="LWQ38" s="316"/>
      <c r="LWR38" s="316"/>
      <c r="LWS38" s="316"/>
      <c r="LWT38" s="316"/>
      <c r="LWU38" s="316"/>
      <c r="LWV38" s="316"/>
      <c r="LWW38" s="316"/>
      <c r="LWX38" s="316"/>
      <c r="LWY38" s="316"/>
      <c r="LWZ38" s="316"/>
      <c r="LXA38" s="316"/>
      <c r="LXB38" s="316"/>
      <c r="LXC38" s="316"/>
      <c r="LXD38" s="316"/>
      <c r="LXE38" s="316"/>
      <c r="LXF38" s="316"/>
      <c r="LXG38" s="316"/>
      <c r="LXH38" s="316"/>
      <c r="LXI38" s="316"/>
      <c r="LXJ38" s="316"/>
      <c r="LXK38" s="316"/>
      <c r="LXL38" s="316"/>
      <c r="LXM38" s="316"/>
      <c r="LXN38" s="316"/>
      <c r="LXO38" s="316"/>
      <c r="LXP38" s="316"/>
      <c r="LXQ38" s="316"/>
      <c r="LXR38" s="316"/>
      <c r="LXS38" s="316"/>
      <c r="LXT38" s="316"/>
      <c r="LXU38" s="316"/>
      <c r="LXV38" s="316"/>
      <c r="LXW38" s="316"/>
      <c r="LXX38" s="316"/>
      <c r="LXY38" s="316"/>
      <c r="LXZ38" s="316"/>
      <c r="LYA38" s="316"/>
      <c r="LYB38" s="316"/>
      <c r="LYC38" s="316"/>
      <c r="LYD38" s="316"/>
      <c r="LYE38" s="316"/>
      <c r="LYF38" s="316"/>
      <c r="LYG38" s="316"/>
      <c r="LYH38" s="316"/>
      <c r="LYI38" s="316"/>
      <c r="LYJ38" s="316"/>
      <c r="LYK38" s="316"/>
      <c r="LYL38" s="316"/>
      <c r="LYM38" s="316"/>
      <c r="LYN38" s="316"/>
      <c r="LYO38" s="316"/>
      <c r="LYP38" s="316"/>
      <c r="LYQ38" s="316"/>
      <c r="LYR38" s="316"/>
      <c r="LYS38" s="316"/>
      <c r="LYT38" s="316"/>
      <c r="LYU38" s="316"/>
      <c r="LYV38" s="316"/>
      <c r="LYW38" s="316"/>
      <c r="LYX38" s="316"/>
      <c r="LYY38" s="316"/>
      <c r="LYZ38" s="316"/>
      <c r="LZA38" s="316"/>
      <c r="LZB38" s="316"/>
      <c r="LZC38" s="316"/>
      <c r="LZD38" s="316"/>
      <c r="LZE38" s="316"/>
      <c r="LZF38" s="316"/>
      <c r="LZG38" s="316"/>
      <c r="LZH38" s="316"/>
      <c r="LZI38" s="316"/>
      <c r="LZJ38" s="316"/>
      <c r="LZK38" s="316"/>
      <c r="LZL38" s="316"/>
      <c r="LZM38" s="316"/>
      <c r="LZN38" s="316"/>
      <c r="LZO38" s="316"/>
      <c r="LZP38" s="316"/>
      <c r="LZQ38" s="316"/>
      <c r="LZR38" s="316"/>
      <c r="LZS38" s="316"/>
      <c r="LZT38" s="316"/>
      <c r="LZU38" s="316"/>
      <c r="LZV38" s="316"/>
      <c r="LZW38" s="316"/>
      <c r="LZX38" s="316"/>
      <c r="LZY38" s="316"/>
      <c r="LZZ38" s="316"/>
      <c r="MAA38" s="316"/>
      <c r="MAB38" s="316"/>
      <c r="MAC38" s="316"/>
      <c r="MAD38" s="316"/>
      <c r="MAE38" s="316"/>
      <c r="MAF38" s="316"/>
      <c r="MAG38" s="316"/>
      <c r="MAH38" s="316"/>
      <c r="MAI38" s="316"/>
      <c r="MAJ38" s="316"/>
      <c r="MAK38" s="316"/>
      <c r="MAL38" s="316"/>
      <c r="MAM38" s="316"/>
      <c r="MAN38" s="316"/>
      <c r="MAO38" s="316"/>
      <c r="MAP38" s="316"/>
      <c r="MAQ38" s="316"/>
      <c r="MAR38" s="316"/>
      <c r="MAS38" s="316"/>
      <c r="MAT38" s="316"/>
      <c r="MAU38" s="316"/>
      <c r="MAV38" s="316"/>
      <c r="MAW38" s="316"/>
      <c r="MAX38" s="316"/>
      <c r="MAY38" s="316"/>
      <c r="MAZ38" s="316"/>
      <c r="MBA38" s="316"/>
      <c r="MBB38" s="316"/>
      <c r="MBC38" s="316"/>
      <c r="MBD38" s="316"/>
      <c r="MBE38" s="316"/>
      <c r="MBF38" s="316"/>
      <c r="MBG38" s="316"/>
      <c r="MBH38" s="316"/>
      <c r="MBI38" s="316"/>
      <c r="MBJ38" s="316"/>
      <c r="MBK38" s="316"/>
      <c r="MBL38" s="316"/>
      <c r="MBM38" s="316"/>
      <c r="MBN38" s="316"/>
      <c r="MBO38" s="316"/>
      <c r="MBP38" s="316"/>
      <c r="MBQ38" s="316"/>
      <c r="MBR38" s="316"/>
      <c r="MBS38" s="316"/>
      <c r="MBT38" s="316"/>
      <c r="MBU38" s="316"/>
      <c r="MBV38" s="316"/>
      <c r="MBW38" s="316"/>
      <c r="MBX38" s="316"/>
      <c r="MBY38" s="316"/>
      <c r="MBZ38" s="316"/>
      <c r="MCA38" s="316"/>
      <c r="MCB38" s="316"/>
      <c r="MCC38" s="316"/>
      <c r="MCD38" s="316"/>
      <c r="MCE38" s="316"/>
      <c r="MCF38" s="316"/>
      <c r="MCG38" s="316"/>
      <c r="MCH38" s="316"/>
      <c r="MCI38" s="316"/>
      <c r="MCJ38" s="316"/>
      <c r="MCK38" s="316"/>
      <c r="MCL38" s="316"/>
      <c r="MCM38" s="316"/>
      <c r="MCN38" s="316"/>
      <c r="MCO38" s="316"/>
      <c r="MCP38" s="316"/>
      <c r="MCQ38" s="316"/>
      <c r="MCR38" s="316"/>
      <c r="MCS38" s="316"/>
      <c r="MCT38" s="316"/>
      <c r="MCU38" s="316"/>
      <c r="MCV38" s="316"/>
      <c r="MCW38" s="316"/>
      <c r="MCX38" s="316"/>
      <c r="MCY38" s="316"/>
      <c r="MCZ38" s="316"/>
      <c r="MDA38" s="316"/>
      <c r="MDB38" s="316"/>
      <c r="MDC38" s="316"/>
      <c r="MDD38" s="316"/>
      <c r="MDE38" s="316"/>
      <c r="MDF38" s="316"/>
      <c r="MDG38" s="316"/>
      <c r="MDH38" s="316"/>
      <c r="MDI38" s="316"/>
      <c r="MDJ38" s="316"/>
      <c r="MDK38" s="316"/>
      <c r="MDL38" s="316"/>
      <c r="MDM38" s="316"/>
      <c r="MDN38" s="316"/>
      <c r="MDO38" s="316"/>
      <c r="MDP38" s="316"/>
      <c r="MDQ38" s="316"/>
      <c r="MDR38" s="316"/>
      <c r="MDS38" s="316"/>
      <c r="MDT38" s="316"/>
      <c r="MDU38" s="316"/>
      <c r="MDV38" s="316"/>
      <c r="MDW38" s="316"/>
      <c r="MDX38" s="316"/>
      <c r="MDY38" s="316"/>
      <c r="MDZ38" s="316"/>
      <c r="MEA38" s="316"/>
      <c r="MEB38" s="316"/>
      <c r="MEC38" s="316"/>
      <c r="MED38" s="316"/>
      <c r="MEE38" s="316"/>
      <c r="MEF38" s="316"/>
      <c r="MEG38" s="316"/>
      <c r="MEH38" s="316"/>
      <c r="MEI38" s="316"/>
      <c r="MEJ38" s="316"/>
      <c r="MEK38" s="316"/>
      <c r="MEL38" s="316"/>
      <c r="MEM38" s="316"/>
      <c r="MEN38" s="316"/>
      <c r="MEO38" s="316"/>
      <c r="MEP38" s="316"/>
      <c r="MEQ38" s="316"/>
      <c r="MER38" s="316"/>
      <c r="MES38" s="316"/>
      <c r="MET38" s="316"/>
      <c r="MEU38" s="316"/>
      <c r="MEV38" s="316"/>
      <c r="MEW38" s="316"/>
      <c r="MEX38" s="316"/>
      <c r="MEY38" s="316"/>
      <c r="MEZ38" s="316"/>
      <c r="MFA38" s="316"/>
      <c r="MFB38" s="316"/>
      <c r="MFC38" s="316"/>
      <c r="MFD38" s="316"/>
      <c r="MFE38" s="316"/>
      <c r="MFF38" s="316"/>
      <c r="MFG38" s="316"/>
      <c r="MFH38" s="316"/>
      <c r="MFI38" s="316"/>
      <c r="MFJ38" s="316"/>
      <c r="MFK38" s="316"/>
      <c r="MFL38" s="316"/>
      <c r="MFM38" s="316"/>
      <c r="MFN38" s="316"/>
      <c r="MFO38" s="316"/>
      <c r="MFP38" s="316"/>
      <c r="MFQ38" s="316"/>
      <c r="MFR38" s="316"/>
      <c r="MFS38" s="316"/>
      <c r="MFT38" s="316"/>
      <c r="MFU38" s="316"/>
      <c r="MFV38" s="316"/>
      <c r="MFW38" s="316"/>
      <c r="MFX38" s="316"/>
      <c r="MFY38" s="316"/>
      <c r="MFZ38" s="316"/>
      <c r="MGA38" s="316"/>
      <c r="MGB38" s="316"/>
      <c r="MGC38" s="316"/>
      <c r="MGD38" s="316"/>
      <c r="MGE38" s="316"/>
      <c r="MGF38" s="316"/>
      <c r="MGG38" s="316"/>
      <c r="MGH38" s="316"/>
      <c r="MGI38" s="316"/>
      <c r="MGJ38" s="316"/>
      <c r="MGK38" s="316"/>
      <c r="MGL38" s="316"/>
      <c r="MGM38" s="316"/>
      <c r="MGN38" s="316"/>
      <c r="MGO38" s="316"/>
      <c r="MGP38" s="316"/>
      <c r="MGQ38" s="316"/>
      <c r="MGR38" s="316"/>
      <c r="MGS38" s="316"/>
      <c r="MGT38" s="316"/>
      <c r="MGU38" s="316"/>
      <c r="MGV38" s="316"/>
      <c r="MGW38" s="316"/>
      <c r="MGX38" s="316"/>
      <c r="MGY38" s="316"/>
      <c r="MGZ38" s="316"/>
      <c r="MHA38" s="316"/>
      <c r="MHB38" s="316"/>
      <c r="MHC38" s="316"/>
      <c r="MHD38" s="316"/>
      <c r="MHE38" s="316"/>
      <c r="MHF38" s="316"/>
      <c r="MHG38" s="316"/>
      <c r="MHH38" s="316"/>
      <c r="MHI38" s="316"/>
      <c r="MHJ38" s="316"/>
      <c r="MHK38" s="316"/>
      <c r="MHL38" s="316"/>
      <c r="MHM38" s="316"/>
      <c r="MHN38" s="316"/>
      <c r="MHO38" s="316"/>
      <c r="MHP38" s="316"/>
      <c r="MHQ38" s="316"/>
      <c r="MHR38" s="316"/>
      <c r="MHS38" s="316"/>
      <c r="MHT38" s="316"/>
      <c r="MHU38" s="316"/>
      <c r="MHV38" s="316"/>
      <c r="MHW38" s="316"/>
      <c r="MHX38" s="316"/>
      <c r="MHY38" s="316"/>
      <c r="MHZ38" s="316"/>
      <c r="MIA38" s="316"/>
      <c r="MIB38" s="316"/>
      <c r="MIC38" s="316"/>
      <c r="MID38" s="316"/>
      <c r="MIE38" s="316"/>
      <c r="MIF38" s="316"/>
      <c r="MIG38" s="316"/>
      <c r="MIH38" s="316"/>
      <c r="MII38" s="316"/>
      <c r="MIJ38" s="316"/>
      <c r="MIK38" s="316"/>
      <c r="MIL38" s="316"/>
      <c r="MIM38" s="316"/>
      <c r="MIN38" s="316"/>
      <c r="MIO38" s="316"/>
      <c r="MIP38" s="316"/>
      <c r="MIQ38" s="316"/>
      <c r="MIR38" s="316"/>
      <c r="MIS38" s="316"/>
      <c r="MIT38" s="316"/>
      <c r="MIU38" s="316"/>
      <c r="MIV38" s="316"/>
      <c r="MIW38" s="316"/>
      <c r="MIX38" s="316"/>
      <c r="MIY38" s="316"/>
      <c r="MIZ38" s="316"/>
      <c r="MJA38" s="316"/>
      <c r="MJB38" s="316"/>
      <c r="MJC38" s="316"/>
      <c r="MJD38" s="316"/>
      <c r="MJE38" s="316"/>
      <c r="MJF38" s="316"/>
      <c r="MJG38" s="316"/>
      <c r="MJH38" s="316"/>
      <c r="MJI38" s="316"/>
      <c r="MJJ38" s="316"/>
      <c r="MJK38" s="316"/>
      <c r="MJL38" s="316"/>
      <c r="MJM38" s="316"/>
      <c r="MJN38" s="316"/>
      <c r="MJO38" s="316"/>
      <c r="MJP38" s="316"/>
      <c r="MJQ38" s="316"/>
      <c r="MJR38" s="316"/>
      <c r="MJS38" s="316"/>
      <c r="MJT38" s="316"/>
      <c r="MJU38" s="316"/>
      <c r="MJV38" s="316"/>
      <c r="MJW38" s="316"/>
      <c r="MJX38" s="316"/>
      <c r="MJY38" s="316"/>
      <c r="MJZ38" s="316"/>
      <c r="MKA38" s="316"/>
      <c r="MKB38" s="316"/>
      <c r="MKC38" s="316"/>
      <c r="MKD38" s="316"/>
      <c r="MKE38" s="316"/>
      <c r="MKF38" s="316"/>
      <c r="MKG38" s="316"/>
      <c r="MKH38" s="316"/>
      <c r="MKI38" s="316"/>
      <c r="MKJ38" s="316"/>
      <c r="MKK38" s="316"/>
      <c r="MKL38" s="316"/>
      <c r="MKM38" s="316"/>
      <c r="MKN38" s="316"/>
      <c r="MKO38" s="316"/>
      <c r="MKP38" s="316"/>
      <c r="MKQ38" s="316"/>
      <c r="MKR38" s="316"/>
      <c r="MKS38" s="316"/>
      <c r="MKT38" s="316"/>
      <c r="MKU38" s="316"/>
      <c r="MKV38" s="316"/>
      <c r="MKW38" s="316"/>
      <c r="MKX38" s="316"/>
      <c r="MKY38" s="316"/>
      <c r="MKZ38" s="316"/>
      <c r="MLA38" s="316"/>
      <c r="MLB38" s="316"/>
      <c r="MLC38" s="316"/>
      <c r="MLD38" s="316"/>
      <c r="MLE38" s="316"/>
      <c r="MLF38" s="316"/>
      <c r="MLG38" s="316"/>
      <c r="MLH38" s="316"/>
      <c r="MLI38" s="316"/>
      <c r="MLJ38" s="316"/>
      <c r="MLK38" s="316"/>
      <c r="MLL38" s="316"/>
      <c r="MLM38" s="316"/>
      <c r="MLN38" s="316"/>
      <c r="MLO38" s="316"/>
      <c r="MLP38" s="316"/>
      <c r="MLQ38" s="316"/>
      <c r="MLR38" s="316"/>
      <c r="MLS38" s="316"/>
      <c r="MLT38" s="316"/>
      <c r="MLU38" s="316"/>
      <c r="MLV38" s="316"/>
      <c r="MLW38" s="316"/>
      <c r="MLX38" s="316"/>
      <c r="MLY38" s="316"/>
      <c r="MLZ38" s="316"/>
      <c r="MMA38" s="316"/>
      <c r="MMB38" s="316"/>
      <c r="MMC38" s="316"/>
      <c r="MMD38" s="316"/>
      <c r="MME38" s="316"/>
      <c r="MMF38" s="316"/>
      <c r="MMG38" s="316"/>
      <c r="MMH38" s="316"/>
      <c r="MMI38" s="316"/>
      <c r="MMJ38" s="316"/>
      <c r="MMK38" s="316"/>
      <c r="MML38" s="316"/>
      <c r="MMM38" s="316"/>
      <c r="MMN38" s="316"/>
      <c r="MMO38" s="316"/>
      <c r="MMP38" s="316"/>
      <c r="MMQ38" s="316"/>
      <c r="MMR38" s="316"/>
      <c r="MMS38" s="316"/>
      <c r="MMT38" s="316"/>
      <c r="MMU38" s="316"/>
      <c r="MMV38" s="316"/>
      <c r="MMW38" s="316"/>
      <c r="MMX38" s="316"/>
      <c r="MMY38" s="316"/>
      <c r="MMZ38" s="316"/>
      <c r="MNA38" s="316"/>
      <c r="MNB38" s="316"/>
      <c r="MNC38" s="316"/>
      <c r="MND38" s="316"/>
      <c r="MNE38" s="316"/>
      <c r="MNF38" s="316"/>
      <c r="MNG38" s="316"/>
      <c r="MNH38" s="316"/>
      <c r="MNI38" s="316"/>
      <c r="MNJ38" s="316"/>
      <c r="MNK38" s="316"/>
      <c r="MNL38" s="316"/>
      <c r="MNM38" s="316"/>
      <c r="MNN38" s="316"/>
      <c r="MNO38" s="316"/>
      <c r="MNP38" s="316"/>
      <c r="MNQ38" s="316"/>
      <c r="MNR38" s="316"/>
      <c r="MNS38" s="316"/>
      <c r="MNT38" s="316"/>
      <c r="MNU38" s="316"/>
      <c r="MNV38" s="316"/>
      <c r="MNW38" s="316"/>
      <c r="MNX38" s="316"/>
      <c r="MNY38" s="316"/>
      <c r="MNZ38" s="316"/>
      <c r="MOA38" s="316"/>
      <c r="MOB38" s="316"/>
      <c r="MOC38" s="316"/>
      <c r="MOD38" s="316"/>
      <c r="MOE38" s="316"/>
      <c r="MOF38" s="316"/>
      <c r="MOG38" s="316"/>
      <c r="MOH38" s="316"/>
      <c r="MOI38" s="316"/>
      <c r="MOJ38" s="316"/>
      <c r="MOK38" s="316"/>
      <c r="MOL38" s="316"/>
      <c r="MOM38" s="316"/>
      <c r="MON38" s="316"/>
      <c r="MOO38" s="316"/>
      <c r="MOP38" s="316"/>
      <c r="MOQ38" s="316"/>
      <c r="MOR38" s="316"/>
      <c r="MOS38" s="316"/>
      <c r="MOT38" s="316"/>
      <c r="MOU38" s="316"/>
      <c r="MOV38" s="316"/>
      <c r="MOW38" s="316"/>
      <c r="MOX38" s="316"/>
      <c r="MOY38" s="316"/>
      <c r="MOZ38" s="316"/>
      <c r="MPA38" s="316"/>
      <c r="MPB38" s="316"/>
      <c r="MPC38" s="316"/>
      <c r="MPD38" s="316"/>
      <c r="MPE38" s="316"/>
      <c r="MPF38" s="316"/>
      <c r="MPG38" s="316"/>
      <c r="MPH38" s="316"/>
      <c r="MPI38" s="316"/>
      <c r="MPJ38" s="316"/>
      <c r="MPK38" s="316"/>
      <c r="MPL38" s="316"/>
      <c r="MPM38" s="316"/>
      <c r="MPN38" s="316"/>
      <c r="MPO38" s="316"/>
      <c r="MPP38" s="316"/>
      <c r="MPQ38" s="316"/>
      <c r="MPR38" s="316"/>
      <c r="MPS38" s="316"/>
      <c r="MPT38" s="316"/>
      <c r="MPU38" s="316"/>
      <c r="MPV38" s="316"/>
      <c r="MPW38" s="316"/>
      <c r="MPX38" s="316"/>
      <c r="MPY38" s="316"/>
      <c r="MPZ38" s="316"/>
      <c r="MQA38" s="316"/>
      <c r="MQB38" s="316"/>
      <c r="MQC38" s="316"/>
      <c r="MQD38" s="316"/>
      <c r="MQE38" s="316"/>
      <c r="MQF38" s="316"/>
      <c r="MQG38" s="316"/>
      <c r="MQH38" s="316"/>
      <c r="MQI38" s="316"/>
      <c r="MQJ38" s="316"/>
      <c r="MQK38" s="316"/>
      <c r="MQL38" s="316"/>
      <c r="MQM38" s="316"/>
      <c r="MQN38" s="316"/>
      <c r="MQO38" s="316"/>
      <c r="MQP38" s="316"/>
      <c r="MQQ38" s="316"/>
      <c r="MQR38" s="316"/>
      <c r="MQS38" s="316"/>
      <c r="MQT38" s="316"/>
      <c r="MQU38" s="316"/>
      <c r="MQV38" s="316"/>
      <c r="MQW38" s="316"/>
      <c r="MQX38" s="316"/>
      <c r="MQY38" s="316"/>
      <c r="MQZ38" s="316"/>
      <c r="MRA38" s="316"/>
      <c r="MRB38" s="316"/>
      <c r="MRC38" s="316"/>
      <c r="MRD38" s="316"/>
      <c r="MRE38" s="316"/>
      <c r="MRF38" s="316"/>
      <c r="MRG38" s="316"/>
      <c r="MRH38" s="316"/>
      <c r="MRI38" s="316"/>
      <c r="MRJ38" s="316"/>
      <c r="MRK38" s="316"/>
      <c r="MRL38" s="316"/>
      <c r="MRM38" s="316"/>
      <c r="MRN38" s="316"/>
      <c r="MRO38" s="316"/>
      <c r="MRP38" s="316"/>
      <c r="MRQ38" s="316"/>
      <c r="MRR38" s="316"/>
      <c r="MRS38" s="316"/>
      <c r="MRT38" s="316"/>
      <c r="MRU38" s="316"/>
      <c r="MRV38" s="316"/>
      <c r="MRW38" s="316"/>
      <c r="MRX38" s="316"/>
      <c r="MRY38" s="316"/>
      <c r="MRZ38" s="316"/>
      <c r="MSA38" s="316"/>
      <c r="MSB38" s="316"/>
      <c r="MSC38" s="316"/>
      <c r="MSD38" s="316"/>
      <c r="MSE38" s="316"/>
      <c r="MSF38" s="316"/>
      <c r="MSG38" s="316"/>
      <c r="MSH38" s="316"/>
      <c r="MSI38" s="316"/>
      <c r="MSJ38" s="316"/>
      <c r="MSK38" s="316"/>
      <c r="MSL38" s="316"/>
      <c r="MSM38" s="316"/>
      <c r="MSN38" s="316"/>
      <c r="MSO38" s="316"/>
      <c r="MSP38" s="316"/>
      <c r="MSQ38" s="316"/>
      <c r="MSR38" s="316"/>
      <c r="MSS38" s="316"/>
      <c r="MST38" s="316"/>
      <c r="MSU38" s="316"/>
      <c r="MSV38" s="316"/>
      <c r="MSW38" s="316"/>
      <c r="MSX38" s="316"/>
      <c r="MSY38" s="316"/>
      <c r="MSZ38" s="316"/>
      <c r="MTA38" s="316"/>
      <c r="MTB38" s="316"/>
      <c r="MTC38" s="316"/>
      <c r="MTD38" s="316"/>
      <c r="MTE38" s="316"/>
      <c r="MTF38" s="316"/>
      <c r="MTG38" s="316"/>
      <c r="MTH38" s="316"/>
      <c r="MTI38" s="316"/>
      <c r="MTJ38" s="316"/>
      <c r="MTK38" s="316"/>
      <c r="MTL38" s="316"/>
      <c r="MTM38" s="316"/>
      <c r="MTN38" s="316"/>
      <c r="MTO38" s="316"/>
      <c r="MTP38" s="316"/>
      <c r="MTQ38" s="316"/>
      <c r="MTR38" s="316"/>
      <c r="MTS38" s="316"/>
      <c r="MTT38" s="316"/>
      <c r="MTU38" s="316"/>
      <c r="MTV38" s="316"/>
      <c r="MTW38" s="316"/>
      <c r="MTX38" s="316"/>
      <c r="MTY38" s="316"/>
      <c r="MTZ38" s="316"/>
      <c r="MUA38" s="316"/>
      <c r="MUB38" s="316"/>
      <c r="MUC38" s="316"/>
      <c r="MUD38" s="316"/>
      <c r="MUE38" s="316"/>
      <c r="MUF38" s="316"/>
      <c r="MUG38" s="316"/>
      <c r="MUH38" s="316"/>
      <c r="MUI38" s="316"/>
      <c r="MUJ38" s="316"/>
      <c r="MUK38" s="316"/>
      <c r="MUL38" s="316"/>
      <c r="MUM38" s="316"/>
      <c r="MUN38" s="316"/>
      <c r="MUO38" s="316"/>
      <c r="MUP38" s="316"/>
      <c r="MUQ38" s="316"/>
      <c r="MUR38" s="316"/>
      <c r="MUS38" s="316"/>
      <c r="MUT38" s="316"/>
      <c r="MUU38" s="316"/>
      <c r="MUV38" s="316"/>
      <c r="MUW38" s="316"/>
      <c r="MUX38" s="316"/>
      <c r="MUY38" s="316"/>
      <c r="MUZ38" s="316"/>
      <c r="MVA38" s="316"/>
      <c r="MVB38" s="316"/>
      <c r="MVC38" s="316"/>
      <c r="MVD38" s="316"/>
      <c r="MVE38" s="316"/>
      <c r="MVF38" s="316"/>
      <c r="MVG38" s="316"/>
      <c r="MVH38" s="316"/>
      <c r="MVI38" s="316"/>
      <c r="MVJ38" s="316"/>
      <c r="MVK38" s="316"/>
      <c r="MVL38" s="316"/>
      <c r="MVM38" s="316"/>
      <c r="MVN38" s="316"/>
      <c r="MVO38" s="316"/>
      <c r="MVP38" s="316"/>
      <c r="MVQ38" s="316"/>
      <c r="MVR38" s="316"/>
      <c r="MVS38" s="316"/>
      <c r="MVT38" s="316"/>
      <c r="MVU38" s="316"/>
      <c r="MVV38" s="316"/>
      <c r="MVW38" s="316"/>
      <c r="MVX38" s="316"/>
      <c r="MVY38" s="316"/>
      <c r="MVZ38" s="316"/>
      <c r="MWA38" s="316"/>
      <c r="MWB38" s="316"/>
      <c r="MWC38" s="316"/>
      <c r="MWD38" s="316"/>
      <c r="MWE38" s="316"/>
      <c r="MWF38" s="316"/>
      <c r="MWG38" s="316"/>
      <c r="MWH38" s="316"/>
      <c r="MWI38" s="316"/>
      <c r="MWJ38" s="316"/>
      <c r="MWK38" s="316"/>
      <c r="MWL38" s="316"/>
      <c r="MWM38" s="316"/>
      <c r="MWN38" s="316"/>
      <c r="MWO38" s="316"/>
      <c r="MWP38" s="316"/>
      <c r="MWQ38" s="316"/>
      <c r="MWR38" s="316"/>
      <c r="MWS38" s="316"/>
      <c r="MWT38" s="316"/>
      <c r="MWU38" s="316"/>
      <c r="MWV38" s="316"/>
      <c r="MWW38" s="316"/>
      <c r="MWX38" s="316"/>
      <c r="MWY38" s="316"/>
      <c r="MWZ38" s="316"/>
      <c r="MXA38" s="316"/>
      <c r="MXB38" s="316"/>
      <c r="MXC38" s="316"/>
      <c r="MXD38" s="316"/>
      <c r="MXE38" s="316"/>
      <c r="MXF38" s="316"/>
      <c r="MXG38" s="316"/>
      <c r="MXH38" s="316"/>
      <c r="MXI38" s="316"/>
      <c r="MXJ38" s="316"/>
      <c r="MXK38" s="316"/>
      <c r="MXL38" s="316"/>
      <c r="MXM38" s="316"/>
      <c r="MXN38" s="316"/>
      <c r="MXO38" s="316"/>
      <c r="MXP38" s="316"/>
      <c r="MXQ38" s="316"/>
      <c r="MXR38" s="316"/>
      <c r="MXS38" s="316"/>
      <c r="MXT38" s="316"/>
      <c r="MXU38" s="316"/>
      <c r="MXV38" s="316"/>
      <c r="MXW38" s="316"/>
      <c r="MXX38" s="316"/>
      <c r="MXY38" s="316"/>
      <c r="MXZ38" s="316"/>
      <c r="MYA38" s="316"/>
      <c r="MYB38" s="316"/>
      <c r="MYC38" s="316"/>
      <c r="MYD38" s="316"/>
      <c r="MYE38" s="316"/>
      <c r="MYF38" s="316"/>
      <c r="MYG38" s="316"/>
      <c r="MYH38" s="316"/>
      <c r="MYI38" s="316"/>
      <c r="MYJ38" s="316"/>
      <c r="MYK38" s="316"/>
      <c r="MYL38" s="316"/>
      <c r="MYM38" s="316"/>
      <c r="MYN38" s="316"/>
      <c r="MYO38" s="316"/>
      <c r="MYP38" s="316"/>
      <c r="MYQ38" s="316"/>
      <c r="MYR38" s="316"/>
      <c r="MYS38" s="316"/>
      <c r="MYT38" s="316"/>
      <c r="MYU38" s="316"/>
      <c r="MYV38" s="316"/>
      <c r="MYW38" s="316"/>
      <c r="MYX38" s="316"/>
      <c r="MYY38" s="316"/>
      <c r="MYZ38" s="316"/>
      <c r="MZA38" s="316"/>
      <c r="MZB38" s="316"/>
      <c r="MZC38" s="316"/>
      <c r="MZD38" s="316"/>
      <c r="MZE38" s="316"/>
      <c r="MZF38" s="316"/>
      <c r="MZG38" s="316"/>
      <c r="MZH38" s="316"/>
      <c r="MZI38" s="316"/>
      <c r="MZJ38" s="316"/>
      <c r="MZK38" s="316"/>
      <c r="MZL38" s="316"/>
      <c r="MZM38" s="316"/>
      <c r="MZN38" s="316"/>
      <c r="MZO38" s="316"/>
      <c r="MZP38" s="316"/>
      <c r="MZQ38" s="316"/>
      <c r="MZR38" s="316"/>
      <c r="MZS38" s="316"/>
      <c r="MZT38" s="316"/>
      <c r="MZU38" s="316"/>
      <c r="MZV38" s="316"/>
      <c r="MZW38" s="316"/>
      <c r="MZX38" s="316"/>
      <c r="MZY38" s="316"/>
      <c r="MZZ38" s="316"/>
      <c r="NAA38" s="316"/>
      <c r="NAB38" s="316"/>
      <c r="NAC38" s="316"/>
      <c r="NAD38" s="316"/>
      <c r="NAE38" s="316"/>
      <c r="NAF38" s="316"/>
      <c r="NAG38" s="316"/>
      <c r="NAH38" s="316"/>
      <c r="NAI38" s="316"/>
      <c r="NAJ38" s="316"/>
      <c r="NAK38" s="316"/>
      <c r="NAL38" s="316"/>
      <c r="NAM38" s="316"/>
      <c r="NAN38" s="316"/>
      <c r="NAO38" s="316"/>
      <c r="NAP38" s="316"/>
      <c r="NAQ38" s="316"/>
      <c r="NAR38" s="316"/>
      <c r="NAS38" s="316"/>
      <c r="NAT38" s="316"/>
      <c r="NAU38" s="316"/>
      <c r="NAV38" s="316"/>
      <c r="NAW38" s="316"/>
      <c r="NAX38" s="316"/>
      <c r="NAY38" s="316"/>
      <c r="NAZ38" s="316"/>
      <c r="NBA38" s="316"/>
      <c r="NBB38" s="316"/>
      <c r="NBC38" s="316"/>
      <c r="NBD38" s="316"/>
      <c r="NBE38" s="316"/>
      <c r="NBF38" s="316"/>
      <c r="NBG38" s="316"/>
      <c r="NBH38" s="316"/>
      <c r="NBI38" s="316"/>
      <c r="NBJ38" s="316"/>
      <c r="NBK38" s="316"/>
      <c r="NBL38" s="316"/>
      <c r="NBM38" s="316"/>
      <c r="NBN38" s="316"/>
      <c r="NBO38" s="316"/>
      <c r="NBP38" s="316"/>
      <c r="NBQ38" s="316"/>
      <c r="NBR38" s="316"/>
      <c r="NBS38" s="316"/>
      <c r="NBT38" s="316"/>
      <c r="NBU38" s="316"/>
      <c r="NBV38" s="316"/>
      <c r="NBW38" s="316"/>
      <c r="NBX38" s="316"/>
      <c r="NBY38" s="316"/>
      <c r="NBZ38" s="316"/>
      <c r="NCA38" s="316"/>
      <c r="NCB38" s="316"/>
      <c r="NCC38" s="316"/>
      <c r="NCD38" s="316"/>
      <c r="NCE38" s="316"/>
      <c r="NCF38" s="316"/>
      <c r="NCG38" s="316"/>
      <c r="NCH38" s="316"/>
      <c r="NCI38" s="316"/>
      <c r="NCJ38" s="316"/>
      <c r="NCK38" s="316"/>
      <c r="NCL38" s="316"/>
      <c r="NCM38" s="316"/>
      <c r="NCN38" s="316"/>
      <c r="NCO38" s="316"/>
      <c r="NCP38" s="316"/>
      <c r="NCQ38" s="316"/>
      <c r="NCR38" s="316"/>
      <c r="NCS38" s="316"/>
      <c r="NCT38" s="316"/>
      <c r="NCU38" s="316"/>
      <c r="NCV38" s="316"/>
      <c r="NCW38" s="316"/>
      <c r="NCX38" s="316"/>
      <c r="NCY38" s="316"/>
      <c r="NCZ38" s="316"/>
      <c r="NDA38" s="316"/>
      <c r="NDB38" s="316"/>
      <c r="NDC38" s="316"/>
      <c r="NDD38" s="316"/>
      <c r="NDE38" s="316"/>
      <c r="NDF38" s="316"/>
      <c r="NDG38" s="316"/>
      <c r="NDH38" s="316"/>
      <c r="NDI38" s="316"/>
      <c r="NDJ38" s="316"/>
      <c r="NDK38" s="316"/>
      <c r="NDL38" s="316"/>
      <c r="NDM38" s="316"/>
      <c r="NDN38" s="316"/>
      <c r="NDO38" s="316"/>
      <c r="NDP38" s="316"/>
      <c r="NDQ38" s="316"/>
      <c r="NDR38" s="316"/>
      <c r="NDS38" s="316"/>
      <c r="NDT38" s="316"/>
      <c r="NDU38" s="316"/>
      <c r="NDV38" s="316"/>
      <c r="NDW38" s="316"/>
      <c r="NDX38" s="316"/>
      <c r="NDY38" s="316"/>
      <c r="NDZ38" s="316"/>
      <c r="NEA38" s="316"/>
      <c r="NEB38" s="316"/>
      <c r="NEC38" s="316"/>
      <c r="NED38" s="316"/>
      <c r="NEE38" s="316"/>
      <c r="NEF38" s="316"/>
      <c r="NEG38" s="316"/>
      <c r="NEH38" s="316"/>
      <c r="NEI38" s="316"/>
      <c r="NEJ38" s="316"/>
      <c r="NEK38" s="316"/>
      <c r="NEL38" s="316"/>
      <c r="NEM38" s="316"/>
      <c r="NEN38" s="316"/>
      <c r="NEO38" s="316"/>
      <c r="NEP38" s="316"/>
      <c r="NEQ38" s="316"/>
      <c r="NER38" s="316"/>
      <c r="NES38" s="316"/>
      <c r="NET38" s="316"/>
      <c r="NEU38" s="316"/>
      <c r="NEV38" s="316"/>
      <c r="NEW38" s="316"/>
      <c r="NEX38" s="316"/>
      <c r="NEY38" s="316"/>
      <c r="NEZ38" s="316"/>
      <c r="NFA38" s="316"/>
      <c r="NFB38" s="316"/>
      <c r="NFC38" s="316"/>
      <c r="NFD38" s="316"/>
      <c r="NFE38" s="316"/>
      <c r="NFF38" s="316"/>
      <c r="NFG38" s="316"/>
      <c r="NFH38" s="316"/>
      <c r="NFI38" s="316"/>
      <c r="NFJ38" s="316"/>
      <c r="NFK38" s="316"/>
      <c r="NFL38" s="316"/>
      <c r="NFM38" s="316"/>
      <c r="NFN38" s="316"/>
      <c r="NFO38" s="316"/>
      <c r="NFP38" s="316"/>
      <c r="NFQ38" s="316"/>
      <c r="NFR38" s="316"/>
      <c r="NFS38" s="316"/>
      <c r="NFT38" s="316"/>
      <c r="NFU38" s="316"/>
      <c r="NFV38" s="316"/>
      <c r="NFW38" s="316"/>
      <c r="NFX38" s="316"/>
      <c r="NFY38" s="316"/>
      <c r="NFZ38" s="316"/>
      <c r="NGA38" s="316"/>
      <c r="NGB38" s="316"/>
      <c r="NGC38" s="316"/>
      <c r="NGD38" s="316"/>
      <c r="NGE38" s="316"/>
      <c r="NGF38" s="316"/>
      <c r="NGG38" s="316"/>
      <c r="NGH38" s="316"/>
      <c r="NGI38" s="316"/>
      <c r="NGJ38" s="316"/>
      <c r="NGK38" s="316"/>
      <c r="NGL38" s="316"/>
      <c r="NGM38" s="316"/>
      <c r="NGN38" s="316"/>
      <c r="NGO38" s="316"/>
      <c r="NGP38" s="316"/>
      <c r="NGQ38" s="316"/>
      <c r="NGR38" s="316"/>
      <c r="NGS38" s="316"/>
      <c r="NGT38" s="316"/>
      <c r="NGU38" s="316"/>
      <c r="NGV38" s="316"/>
      <c r="NGW38" s="316"/>
      <c r="NGX38" s="316"/>
      <c r="NGY38" s="316"/>
      <c r="NGZ38" s="316"/>
      <c r="NHA38" s="316"/>
      <c r="NHB38" s="316"/>
      <c r="NHC38" s="316"/>
      <c r="NHD38" s="316"/>
      <c r="NHE38" s="316"/>
      <c r="NHF38" s="316"/>
      <c r="NHG38" s="316"/>
      <c r="NHH38" s="316"/>
      <c r="NHI38" s="316"/>
      <c r="NHJ38" s="316"/>
      <c r="NHK38" s="316"/>
      <c r="NHL38" s="316"/>
      <c r="NHM38" s="316"/>
      <c r="NHN38" s="316"/>
      <c r="NHO38" s="316"/>
      <c r="NHP38" s="316"/>
      <c r="NHQ38" s="316"/>
      <c r="NHR38" s="316"/>
      <c r="NHS38" s="316"/>
      <c r="NHT38" s="316"/>
      <c r="NHU38" s="316"/>
      <c r="NHV38" s="316"/>
      <c r="NHW38" s="316"/>
      <c r="NHX38" s="316"/>
      <c r="NHY38" s="316"/>
      <c r="NHZ38" s="316"/>
      <c r="NIA38" s="316"/>
      <c r="NIB38" s="316"/>
      <c r="NIC38" s="316"/>
      <c r="NID38" s="316"/>
      <c r="NIE38" s="316"/>
      <c r="NIF38" s="316"/>
      <c r="NIG38" s="316"/>
      <c r="NIH38" s="316"/>
      <c r="NII38" s="316"/>
      <c r="NIJ38" s="316"/>
      <c r="NIK38" s="316"/>
      <c r="NIL38" s="316"/>
      <c r="NIM38" s="316"/>
      <c r="NIN38" s="316"/>
      <c r="NIO38" s="316"/>
      <c r="NIP38" s="316"/>
      <c r="NIQ38" s="316"/>
      <c r="NIR38" s="316"/>
      <c r="NIS38" s="316"/>
      <c r="NIT38" s="316"/>
      <c r="NIU38" s="316"/>
      <c r="NIV38" s="316"/>
      <c r="NIW38" s="316"/>
      <c r="NIX38" s="316"/>
      <c r="NIY38" s="316"/>
      <c r="NIZ38" s="316"/>
      <c r="NJA38" s="316"/>
      <c r="NJB38" s="316"/>
      <c r="NJC38" s="316"/>
      <c r="NJD38" s="316"/>
      <c r="NJE38" s="316"/>
      <c r="NJF38" s="316"/>
      <c r="NJG38" s="316"/>
      <c r="NJH38" s="316"/>
      <c r="NJI38" s="316"/>
      <c r="NJJ38" s="316"/>
      <c r="NJK38" s="316"/>
      <c r="NJL38" s="316"/>
      <c r="NJM38" s="316"/>
      <c r="NJN38" s="316"/>
      <c r="NJO38" s="316"/>
      <c r="NJP38" s="316"/>
      <c r="NJQ38" s="316"/>
      <c r="NJR38" s="316"/>
      <c r="NJS38" s="316"/>
      <c r="NJT38" s="316"/>
      <c r="NJU38" s="316"/>
      <c r="NJV38" s="316"/>
      <c r="NJW38" s="316"/>
      <c r="NJX38" s="316"/>
      <c r="NJY38" s="316"/>
      <c r="NJZ38" s="316"/>
      <c r="NKA38" s="316"/>
      <c r="NKB38" s="316"/>
      <c r="NKC38" s="316"/>
      <c r="NKD38" s="316"/>
      <c r="NKE38" s="316"/>
      <c r="NKF38" s="316"/>
      <c r="NKG38" s="316"/>
      <c r="NKH38" s="316"/>
      <c r="NKI38" s="316"/>
      <c r="NKJ38" s="316"/>
      <c r="NKK38" s="316"/>
      <c r="NKL38" s="316"/>
      <c r="NKM38" s="316"/>
      <c r="NKN38" s="316"/>
      <c r="NKO38" s="316"/>
      <c r="NKP38" s="316"/>
      <c r="NKQ38" s="316"/>
      <c r="NKR38" s="316"/>
      <c r="NKS38" s="316"/>
      <c r="NKT38" s="316"/>
      <c r="NKU38" s="316"/>
      <c r="NKV38" s="316"/>
      <c r="NKW38" s="316"/>
      <c r="NKX38" s="316"/>
      <c r="NKY38" s="316"/>
      <c r="NKZ38" s="316"/>
      <c r="NLA38" s="316"/>
      <c r="NLB38" s="316"/>
      <c r="NLC38" s="316"/>
      <c r="NLD38" s="316"/>
      <c r="NLE38" s="316"/>
      <c r="NLF38" s="316"/>
      <c r="NLG38" s="316"/>
      <c r="NLH38" s="316"/>
      <c r="NLI38" s="316"/>
      <c r="NLJ38" s="316"/>
      <c r="NLK38" s="316"/>
      <c r="NLL38" s="316"/>
      <c r="NLM38" s="316"/>
      <c r="NLN38" s="316"/>
      <c r="NLO38" s="316"/>
      <c r="NLP38" s="316"/>
      <c r="NLQ38" s="316"/>
      <c r="NLR38" s="316"/>
      <c r="NLS38" s="316"/>
      <c r="NLT38" s="316"/>
      <c r="NLU38" s="316"/>
      <c r="NLV38" s="316"/>
      <c r="NLW38" s="316"/>
      <c r="NLX38" s="316"/>
      <c r="NLY38" s="316"/>
      <c r="NLZ38" s="316"/>
      <c r="NMA38" s="316"/>
      <c r="NMB38" s="316"/>
      <c r="NMC38" s="316"/>
      <c r="NMD38" s="316"/>
      <c r="NME38" s="316"/>
      <c r="NMF38" s="316"/>
      <c r="NMG38" s="316"/>
      <c r="NMH38" s="316"/>
      <c r="NMI38" s="316"/>
      <c r="NMJ38" s="316"/>
      <c r="NMK38" s="316"/>
      <c r="NML38" s="316"/>
      <c r="NMM38" s="316"/>
      <c r="NMN38" s="316"/>
      <c r="NMO38" s="316"/>
      <c r="NMP38" s="316"/>
      <c r="NMQ38" s="316"/>
      <c r="NMR38" s="316"/>
      <c r="NMS38" s="316"/>
      <c r="NMT38" s="316"/>
      <c r="NMU38" s="316"/>
      <c r="NMV38" s="316"/>
      <c r="NMW38" s="316"/>
      <c r="NMX38" s="316"/>
      <c r="NMY38" s="316"/>
      <c r="NMZ38" s="316"/>
      <c r="NNA38" s="316"/>
      <c r="NNB38" s="316"/>
      <c r="NNC38" s="316"/>
      <c r="NND38" s="316"/>
      <c r="NNE38" s="316"/>
      <c r="NNF38" s="316"/>
      <c r="NNG38" s="316"/>
      <c r="NNH38" s="316"/>
      <c r="NNI38" s="316"/>
      <c r="NNJ38" s="316"/>
      <c r="NNK38" s="316"/>
      <c r="NNL38" s="316"/>
      <c r="NNM38" s="316"/>
      <c r="NNN38" s="316"/>
      <c r="NNO38" s="316"/>
      <c r="NNP38" s="316"/>
      <c r="NNQ38" s="316"/>
      <c r="NNR38" s="316"/>
      <c r="NNS38" s="316"/>
      <c r="NNT38" s="316"/>
      <c r="NNU38" s="316"/>
      <c r="NNV38" s="316"/>
      <c r="NNW38" s="316"/>
      <c r="NNX38" s="316"/>
      <c r="NNY38" s="316"/>
      <c r="NNZ38" s="316"/>
      <c r="NOA38" s="316"/>
      <c r="NOB38" s="316"/>
      <c r="NOC38" s="316"/>
      <c r="NOD38" s="316"/>
      <c r="NOE38" s="316"/>
      <c r="NOF38" s="316"/>
      <c r="NOG38" s="316"/>
      <c r="NOH38" s="316"/>
      <c r="NOI38" s="316"/>
      <c r="NOJ38" s="316"/>
      <c r="NOK38" s="316"/>
      <c r="NOL38" s="316"/>
      <c r="NOM38" s="316"/>
      <c r="NON38" s="316"/>
      <c r="NOO38" s="316"/>
      <c r="NOP38" s="316"/>
      <c r="NOQ38" s="316"/>
      <c r="NOR38" s="316"/>
      <c r="NOS38" s="316"/>
      <c r="NOT38" s="316"/>
      <c r="NOU38" s="316"/>
      <c r="NOV38" s="316"/>
      <c r="NOW38" s="316"/>
      <c r="NOX38" s="316"/>
      <c r="NOY38" s="316"/>
      <c r="NOZ38" s="316"/>
      <c r="NPA38" s="316"/>
      <c r="NPB38" s="316"/>
      <c r="NPC38" s="316"/>
      <c r="NPD38" s="316"/>
      <c r="NPE38" s="316"/>
      <c r="NPF38" s="316"/>
      <c r="NPG38" s="316"/>
      <c r="NPH38" s="316"/>
      <c r="NPI38" s="316"/>
      <c r="NPJ38" s="316"/>
      <c r="NPK38" s="316"/>
      <c r="NPL38" s="316"/>
      <c r="NPM38" s="316"/>
      <c r="NPN38" s="316"/>
      <c r="NPO38" s="316"/>
      <c r="NPP38" s="316"/>
      <c r="NPQ38" s="316"/>
      <c r="NPR38" s="316"/>
      <c r="NPS38" s="316"/>
      <c r="NPT38" s="316"/>
      <c r="NPU38" s="316"/>
      <c r="NPV38" s="316"/>
      <c r="NPW38" s="316"/>
      <c r="NPX38" s="316"/>
      <c r="NPY38" s="316"/>
      <c r="NPZ38" s="316"/>
      <c r="NQA38" s="316"/>
      <c r="NQB38" s="316"/>
      <c r="NQC38" s="316"/>
      <c r="NQD38" s="316"/>
      <c r="NQE38" s="316"/>
      <c r="NQF38" s="316"/>
      <c r="NQG38" s="316"/>
      <c r="NQH38" s="316"/>
      <c r="NQI38" s="316"/>
      <c r="NQJ38" s="316"/>
      <c r="NQK38" s="316"/>
      <c r="NQL38" s="316"/>
      <c r="NQM38" s="316"/>
      <c r="NQN38" s="316"/>
      <c r="NQO38" s="316"/>
      <c r="NQP38" s="316"/>
      <c r="NQQ38" s="316"/>
      <c r="NQR38" s="316"/>
      <c r="NQS38" s="316"/>
      <c r="NQT38" s="316"/>
      <c r="NQU38" s="316"/>
      <c r="NQV38" s="316"/>
      <c r="NQW38" s="316"/>
      <c r="NQX38" s="316"/>
      <c r="NQY38" s="316"/>
      <c r="NQZ38" s="316"/>
      <c r="NRA38" s="316"/>
      <c r="NRB38" s="316"/>
      <c r="NRC38" s="316"/>
      <c r="NRD38" s="316"/>
      <c r="NRE38" s="316"/>
      <c r="NRF38" s="316"/>
      <c r="NRG38" s="316"/>
      <c r="NRH38" s="316"/>
      <c r="NRI38" s="316"/>
      <c r="NRJ38" s="316"/>
      <c r="NRK38" s="316"/>
      <c r="NRL38" s="316"/>
      <c r="NRM38" s="316"/>
      <c r="NRN38" s="316"/>
      <c r="NRO38" s="316"/>
      <c r="NRP38" s="316"/>
      <c r="NRQ38" s="316"/>
      <c r="NRR38" s="316"/>
      <c r="NRS38" s="316"/>
      <c r="NRT38" s="316"/>
      <c r="NRU38" s="316"/>
      <c r="NRV38" s="316"/>
      <c r="NRW38" s="316"/>
      <c r="NRX38" s="316"/>
      <c r="NRY38" s="316"/>
      <c r="NRZ38" s="316"/>
      <c r="NSA38" s="316"/>
      <c r="NSB38" s="316"/>
      <c r="NSC38" s="316"/>
      <c r="NSD38" s="316"/>
      <c r="NSE38" s="316"/>
      <c r="NSF38" s="316"/>
      <c r="NSG38" s="316"/>
      <c r="NSH38" s="316"/>
      <c r="NSI38" s="316"/>
      <c r="NSJ38" s="316"/>
      <c r="NSK38" s="316"/>
      <c r="NSL38" s="316"/>
      <c r="NSM38" s="316"/>
      <c r="NSN38" s="316"/>
      <c r="NSO38" s="316"/>
      <c r="NSP38" s="316"/>
      <c r="NSQ38" s="316"/>
      <c r="NSR38" s="316"/>
      <c r="NSS38" s="316"/>
      <c r="NST38" s="316"/>
      <c r="NSU38" s="316"/>
      <c r="NSV38" s="316"/>
      <c r="NSW38" s="316"/>
      <c r="NSX38" s="316"/>
      <c r="NSY38" s="316"/>
      <c r="NSZ38" s="316"/>
      <c r="NTA38" s="316"/>
      <c r="NTB38" s="316"/>
      <c r="NTC38" s="316"/>
      <c r="NTD38" s="316"/>
      <c r="NTE38" s="316"/>
      <c r="NTF38" s="316"/>
      <c r="NTG38" s="316"/>
      <c r="NTH38" s="316"/>
      <c r="NTI38" s="316"/>
      <c r="NTJ38" s="316"/>
      <c r="NTK38" s="316"/>
      <c r="NTL38" s="316"/>
      <c r="NTM38" s="316"/>
      <c r="NTN38" s="316"/>
      <c r="NTO38" s="316"/>
      <c r="NTP38" s="316"/>
      <c r="NTQ38" s="316"/>
      <c r="NTR38" s="316"/>
      <c r="NTS38" s="316"/>
      <c r="NTT38" s="316"/>
      <c r="NTU38" s="316"/>
      <c r="NTV38" s="316"/>
      <c r="NTW38" s="316"/>
      <c r="NTX38" s="316"/>
      <c r="NTY38" s="316"/>
      <c r="NTZ38" s="316"/>
      <c r="NUA38" s="316"/>
      <c r="NUB38" s="316"/>
      <c r="NUC38" s="316"/>
      <c r="NUD38" s="316"/>
      <c r="NUE38" s="316"/>
      <c r="NUF38" s="316"/>
      <c r="NUG38" s="316"/>
      <c r="NUH38" s="316"/>
      <c r="NUI38" s="316"/>
      <c r="NUJ38" s="316"/>
      <c r="NUK38" s="316"/>
      <c r="NUL38" s="316"/>
      <c r="NUM38" s="316"/>
      <c r="NUN38" s="316"/>
      <c r="NUO38" s="316"/>
      <c r="NUP38" s="316"/>
      <c r="NUQ38" s="316"/>
      <c r="NUR38" s="316"/>
      <c r="NUS38" s="316"/>
      <c r="NUT38" s="316"/>
      <c r="NUU38" s="316"/>
      <c r="NUV38" s="316"/>
      <c r="NUW38" s="316"/>
      <c r="NUX38" s="316"/>
      <c r="NUY38" s="316"/>
      <c r="NUZ38" s="316"/>
      <c r="NVA38" s="316"/>
      <c r="NVB38" s="316"/>
      <c r="NVC38" s="316"/>
      <c r="NVD38" s="316"/>
      <c r="NVE38" s="316"/>
      <c r="NVF38" s="316"/>
      <c r="NVG38" s="316"/>
      <c r="NVH38" s="316"/>
      <c r="NVI38" s="316"/>
      <c r="NVJ38" s="316"/>
      <c r="NVK38" s="316"/>
      <c r="NVL38" s="316"/>
      <c r="NVM38" s="316"/>
      <c r="NVN38" s="316"/>
      <c r="NVO38" s="316"/>
      <c r="NVP38" s="316"/>
      <c r="NVQ38" s="316"/>
      <c r="NVR38" s="316"/>
      <c r="NVS38" s="316"/>
      <c r="NVT38" s="316"/>
      <c r="NVU38" s="316"/>
      <c r="NVV38" s="316"/>
      <c r="NVW38" s="316"/>
      <c r="NVX38" s="316"/>
      <c r="NVY38" s="316"/>
      <c r="NVZ38" s="316"/>
      <c r="NWA38" s="316"/>
      <c r="NWB38" s="316"/>
      <c r="NWC38" s="316"/>
      <c r="NWD38" s="316"/>
      <c r="NWE38" s="316"/>
      <c r="NWF38" s="316"/>
      <c r="NWG38" s="316"/>
      <c r="NWH38" s="316"/>
      <c r="NWI38" s="316"/>
      <c r="NWJ38" s="316"/>
      <c r="NWK38" s="316"/>
      <c r="NWL38" s="316"/>
      <c r="NWM38" s="316"/>
      <c r="NWN38" s="316"/>
      <c r="NWO38" s="316"/>
      <c r="NWP38" s="316"/>
      <c r="NWQ38" s="316"/>
      <c r="NWR38" s="316"/>
      <c r="NWS38" s="316"/>
      <c r="NWT38" s="316"/>
      <c r="NWU38" s="316"/>
      <c r="NWV38" s="316"/>
      <c r="NWW38" s="316"/>
      <c r="NWX38" s="316"/>
      <c r="NWY38" s="316"/>
      <c r="NWZ38" s="316"/>
      <c r="NXA38" s="316"/>
      <c r="NXB38" s="316"/>
      <c r="NXC38" s="316"/>
      <c r="NXD38" s="316"/>
      <c r="NXE38" s="316"/>
      <c r="NXF38" s="316"/>
      <c r="NXG38" s="316"/>
      <c r="NXH38" s="316"/>
      <c r="NXI38" s="316"/>
      <c r="NXJ38" s="316"/>
      <c r="NXK38" s="316"/>
      <c r="NXL38" s="316"/>
      <c r="NXM38" s="316"/>
      <c r="NXN38" s="316"/>
      <c r="NXO38" s="316"/>
      <c r="NXP38" s="316"/>
      <c r="NXQ38" s="316"/>
      <c r="NXR38" s="316"/>
      <c r="NXS38" s="316"/>
      <c r="NXT38" s="316"/>
      <c r="NXU38" s="316"/>
      <c r="NXV38" s="316"/>
      <c r="NXW38" s="316"/>
      <c r="NXX38" s="316"/>
      <c r="NXY38" s="316"/>
      <c r="NXZ38" s="316"/>
      <c r="NYA38" s="316"/>
      <c r="NYB38" s="316"/>
      <c r="NYC38" s="316"/>
      <c r="NYD38" s="316"/>
      <c r="NYE38" s="316"/>
      <c r="NYF38" s="316"/>
      <c r="NYG38" s="316"/>
      <c r="NYH38" s="316"/>
      <c r="NYI38" s="316"/>
      <c r="NYJ38" s="316"/>
      <c r="NYK38" s="316"/>
      <c r="NYL38" s="316"/>
      <c r="NYM38" s="316"/>
      <c r="NYN38" s="316"/>
      <c r="NYO38" s="316"/>
      <c r="NYP38" s="316"/>
      <c r="NYQ38" s="316"/>
      <c r="NYR38" s="316"/>
      <c r="NYS38" s="316"/>
      <c r="NYT38" s="316"/>
      <c r="NYU38" s="316"/>
      <c r="NYV38" s="316"/>
      <c r="NYW38" s="316"/>
      <c r="NYX38" s="316"/>
      <c r="NYY38" s="316"/>
      <c r="NYZ38" s="316"/>
      <c r="NZA38" s="316"/>
      <c r="NZB38" s="316"/>
      <c r="NZC38" s="316"/>
      <c r="NZD38" s="316"/>
      <c r="NZE38" s="316"/>
      <c r="NZF38" s="316"/>
      <c r="NZG38" s="316"/>
      <c r="NZH38" s="316"/>
      <c r="NZI38" s="316"/>
      <c r="NZJ38" s="316"/>
      <c r="NZK38" s="316"/>
      <c r="NZL38" s="316"/>
      <c r="NZM38" s="316"/>
      <c r="NZN38" s="316"/>
      <c r="NZO38" s="316"/>
      <c r="NZP38" s="316"/>
      <c r="NZQ38" s="316"/>
      <c r="NZR38" s="316"/>
      <c r="NZS38" s="316"/>
      <c r="NZT38" s="316"/>
      <c r="NZU38" s="316"/>
      <c r="NZV38" s="316"/>
      <c r="NZW38" s="316"/>
      <c r="NZX38" s="316"/>
      <c r="NZY38" s="316"/>
      <c r="NZZ38" s="316"/>
      <c r="OAA38" s="316"/>
      <c r="OAB38" s="316"/>
      <c r="OAC38" s="316"/>
      <c r="OAD38" s="316"/>
      <c r="OAE38" s="316"/>
      <c r="OAF38" s="316"/>
      <c r="OAG38" s="316"/>
      <c r="OAH38" s="316"/>
      <c r="OAI38" s="316"/>
      <c r="OAJ38" s="316"/>
      <c r="OAK38" s="316"/>
      <c r="OAL38" s="316"/>
      <c r="OAM38" s="316"/>
      <c r="OAN38" s="316"/>
      <c r="OAO38" s="316"/>
      <c r="OAP38" s="316"/>
      <c r="OAQ38" s="316"/>
      <c r="OAR38" s="316"/>
      <c r="OAS38" s="316"/>
      <c r="OAT38" s="316"/>
      <c r="OAU38" s="316"/>
      <c r="OAV38" s="316"/>
      <c r="OAW38" s="316"/>
      <c r="OAX38" s="316"/>
      <c r="OAY38" s="316"/>
      <c r="OAZ38" s="316"/>
      <c r="OBA38" s="316"/>
      <c r="OBB38" s="316"/>
      <c r="OBC38" s="316"/>
      <c r="OBD38" s="316"/>
      <c r="OBE38" s="316"/>
      <c r="OBF38" s="316"/>
      <c r="OBG38" s="316"/>
      <c r="OBH38" s="316"/>
      <c r="OBI38" s="316"/>
      <c r="OBJ38" s="316"/>
      <c r="OBK38" s="316"/>
      <c r="OBL38" s="316"/>
      <c r="OBM38" s="316"/>
      <c r="OBN38" s="316"/>
      <c r="OBO38" s="316"/>
      <c r="OBP38" s="316"/>
      <c r="OBQ38" s="316"/>
      <c r="OBR38" s="316"/>
      <c r="OBS38" s="316"/>
      <c r="OBT38" s="316"/>
      <c r="OBU38" s="316"/>
      <c r="OBV38" s="316"/>
      <c r="OBW38" s="316"/>
      <c r="OBX38" s="316"/>
      <c r="OBY38" s="316"/>
      <c r="OBZ38" s="316"/>
      <c r="OCA38" s="316"/>
      <c r="OCB38" s="316"/>
      <c r="OCC38" s="316"/>
      <c r="OCD38" s="316"/>
      <c r="OCE38" s="316"/>
      <c r="OCF38" s="316"/>
      <c r="OCG38" s="316"/>
      <c r="OCH38" s="316"/>
      <c r="OCI38" s="316"/>
      <c r="OCJ38" s="316"/>
      <c r="OCK38" s="316"/>
      <c r="OCL38" s="316"/>
      <c r="OCM38" s="316"/>
      <c r="OCN38" s="316"/>
      <c r="OCO38" s="316"/>
      <c r="OCP38" s="316"/>
      <c r="OCQ38" s="316"/>
      <c r="OCR38" s="316"/>
      <c r="OCS38" s="316"/>
      <c r="OCT38" s="316"/>
      <c r="OCU38" s="316"/>
      <c r="OCV38" s="316"/>
      <c r="OCW38" s="316"/>
      <c r="OCX38" s="316"/>
      <c r="OCY38" s="316"/>
      <c r="OCZ38" s="316"/>
      <c r="ODA38" s="316"/>
      <c r="ODB38" s="316"/>
      <c r="ODC38" s="316"/>
      <c r="ODD38" s="316"/>
      <c r="ODE38" s="316"/>
      <c r="ODF38" s="316"/>
      <c r="ODG38" s="316"/>
      <c r="ODH38" s="316"/>
      <c r="ODI38" s="316"/>
      <c r="ODJ38" s="316"/>
      <c r="ODK38" s="316"/>
      <c r="ODL38" s="316"/>
      <c r="ODM38" s="316"/>
      <c r="ODN38" s="316"/>
      <c r="ODO38" s="316"/>
      <c r="ODP38" s="316"/>
      <c r="ODQ38" s="316"/>
      <c r="ODR38" s="316"/>
      <c r="ODS38" s="316"/>
      <c r="ODT38" s="316"/>
      <c r="ODU38" s="316"/>
      <c r="ODV38" s="316"/>
      <c r="ODW38" s="316"/>
      <c r="ODX38" s="316"/>
      <c r="ODY38" s="316"/>
      <c r="ODZ38" s="316"/>
      <c r="OEA38" s="316"/>
      <c r="OEB38" s="316"/>
      <c r="OEC38" s="316"/>
      <c r="OED38" s="316"/>
      <c r="OEE38" s="316"/>
      <c r="OEF38" s="316"/>
      <c r="OEG38" s="316"/>
      <c r="OEH38" s="316"/>
      <c r="OEI38" s="316"/>
      <c r="OEJ38" s="316"/>
      <c r="OEK38" s="316"/>
      <c r="OEL38" s="316"/>
      <c r="OEM38" s="316"/>
      <c r="OEN38" s="316"/>
      <c r="OEO38" s="316"/>
      <c r="OEP38" s="316"/>
      <c r="OEQ38" s="316"/>
      <c r="OER38" s="316"/>
      <c r="OES38" s="316"/>
      <c r="OET38" s="316"/>
      <c r="OEU38" s="316"/>
      <c r="OEV38" s="316"/>
      <c r="OEW38" s="316"/>
      <c r="OEX38" s="316"/>
      <c r="OEY38" s="316"/>
      <c r="OEZ38" s="316"/>
      <c r="OFA38" s="316"/>
      <c r="OFB38" s="316"/>
      <c r="OFC38" s="316"/>
      <c r="OFD38" s="316"/>
      <c r="OFE38" s="316"/>
      <c r="OFF38" s="316"/>
      <c r="OFG38" s="316"/>
      <c r="OFH38" s="316"/>
      <c r="OFI38" s="316"/>
      <c r="OFJ38" s="316"/>
      <c r="OFK38" s="316"/>
      <c r="OFL38" s="316"/>
      <c r="OFM38" s="316"/>
      <c r="OFN38" s="316"/>
      <c r="OFO38" s="316"/>
      <c r="OFP38" s="316"/>
      <c r="OFQ38" s="316"/>
      <c r="OFR38" s="316"/>
      <c r="OFS38" s="316"/>
      <c r="OFT38" s="316"/>
      <c r="OFU38" s="316"/>
      <c r="OFV38" s="316"/>
      <c r="OFW38" s="316"/>
      <c r="OFX38" s="316"/>
      <c r="OFY38" s="316"/>
      <c r="OFZ38" s="316"/>
      <c r="OGA38" s="316"/>
      <c r="OGB38" s="316"/>
      <c r="OGC38" s="316"/>
      <c r="OGD38" s="316"/>
      <c r="OGE38" s="316"/>
      <c r="OGF38" s="316"/>
      <c r="OGG38" s="316"/>
      <c r="OGH38" s="316"/>
      <c r="OGI38" s="316"/>
      <c r="OGJ38" s="316"/>
      <c r="OGK38" s="316"/>
      <c r="OGL38" s="316"/>
      <c r="OGM38" s="316"/>
      <c r="OGN38" s="316"/>
      <c r="OGO38" s="316"/>
      <c r="OGP38" s="316"/>
      <c r="OGQ38" s="316"/>
      <c r="OGR38" s="316"/>
      <c r="OGS38" s="316"/>
      <c r="OGT38" s="316"/>
      <c r="OGU38" s="316"/>
      <c r="OGV38" s="316"/>
      <c r="OGW38" s="316"/>
      <c r="OGX38" s="316"/>
      <c r="OGY38" s="316"/>
      <c r="OGZ38" s="316"/>
      <c r="OHA38" s="316"/>
      <c r="OHB38" s="316"/>
      <c r="OHC38" s="316"/>
      <c r="OHD38" s="316"/>
      <c r="OHE38" s="316"/>
      <c r="OHF38" s="316"/>
      <c r="OHG38" s="316"/>
      <c r="OHH38" s="316"/>
      <c r="OHI38" s="316"/>
      <c r="OHJ38" s="316"/>
      <c r="OHK38" s="316"/>
      <c r="OHL38" s="316"/>
      <c r="OHM38" s="316"/>
      <c r="OHN38" s="316"/>
      <c r="OHO38" s="316"/>
      <c r="OHP38" s="316"/>
      <c r="OHQ38" s="316"/>
      <c r="OHR38" s="316"/>
      <c r="OHS38" s="316"/>
      <c r="OHT38" s="316"/>
      <c r="OHU38" s="316"/>
      <c r="OHV38" s="316"/>
      <c r="OHW38" s="316"/>
      <c r="OHX38" s="316"/>
      <c r="OHY38" s="316"/>
      <c r="OHZ38" s="316"/>
      <c r="OIA38" s="316"/>
      <c r="OIB38" s="316"/>
      <c r="OIC38" s="316"/>
      <c r="OID38" s="316"/>
      <c r="OIE38" s="316"/>
      <c r="OIF38" s="316"/>
      <c r="OIG38" s="316"/>
      <c r="OIH38" s="316"/>
      <c r="OII38" s="316"/>
      <c r="OIJ38" s="316"/>
      <c r="OIK38" s="316"/>
      <c r="OIL38" s="316"/>
      <c r="OIM38" s="316"/>
      <c r="OIN38" s="316"/>
      <c r="OIO38" s="316"/>
      <c r="OIP38" s="316"/>
      <c r="OIQ38" s="316"/>
      <c r="OIR38" s="316"/>
      <c r="OIS38" s="316"/>
      <c r="OIT38" s="316"/>
      <c r="OIU38" s="316"/>
      <c r="OIV38" s="316"/>
      <c r="OIW38" s="316"/>
      <c r="OIX38" s="316"/>
      <c r="OIY38" s="316"/>
      <c r="OIZ38" s="316"/>
      <c r="OJA38" s="316"/>
      <c r="OJB38" s="316"/>
      <c r="OJC38" s="316"/>
      <c r="OJD38" s="316"/>
      <c r="OJE38" s="316"/>
      <c r="OJF38" s="316"/>
      <c r="OJG38" s="316"/>
      <c r="OJH38" s="316"/>
      <c r="OJI38" s="316"/>
      <c r="OJJ38" s="316"/>
      <c r="OJK38" s="316"/>
      <c r="OJL38" s="316"/>
      <c r="OJM38" s="316"/>
      <c r="OJN38" s="316"/>
      <c r="OJO38" s="316"/>
      <c r="OJP38" s="316"/>
      <c r="OJQ38" s="316"/>
      <c r="OJR38" s="316"/>
      <c r="OJS38" s="316"/>
      <c r="OJT38" s="316"/>
      <c r="OJU38" s="316"/>
      <c r="OJV38" s="316"/>
      <c r="OJW38" s="316"/>
      <c r="OJX38" s="316"/>
      <c r="OJY38" s="316"/>
      <c r="OJZ38" s="316"/>
      <c r="OKA38" s="316"/>
      <c r="OKB38" s="316"/>
      <c r="OKC38" s="316"/>
      <c r="OKD38" s="316"/>
      <c r="OKE38" s="316"/>
      <c r="OKF38" s="316"/>
      <c r="OKG38" s="316"/>
      <c r="OKH38" s="316"/>
      <c r="OKI38" s="316"/>
      <c r="OKJ38" s="316"/>
      <c r="OKK38" s="316"/>
      <c r="OKL38" s="316"/>
      <c r="OKM38" s="316"/>
      <c r="OKN38" s="316"/>
      <c r="OKO38" s="316"/>
      <c r="OKP38" s="316"/>
      <c r="OKQ38" s="316"/>
      <c r="OKR38" s="316"/>
      <c r="OKS38" s="316"/>
      <c r="OKT38" s="316"/>
      <c r="OKU38" s="316"/>
      <c r="OKV38" s="316"/>
      <c r="OKW38" s="316"/>
      <c r="OKX38" s="316"/>
      <c r="OKY38" s="316"/>
      <c r="OKZ38" s="316"/>
      <c r="OLA38" s="316"/>
      <c r="OLB38" s="316"/>
      <c r="OLC38" s="316"/>
      <c r="OLD38" s="316"/>
      <c r="OLE38" s="316"/>
      <c r="OLF38" s="316"/>
      <c r="OLG38" s="316"/>
      <c r="OLH38" s="316"/>
      <c r="OLI38" s="316"/>
      <c r="OLJ38" s="316"/>
      <c r="OLK38" s="316"/>
      <c r="OLL38" s="316"/>
      <c r="OLM38" s="316"/>
      <c r="OLN38" s="316"/>
      <c r="OLO38" s="316"/>
      <c r="OLP38" s="316"/>
      <c r="OLQ38" s="316"/>
      <c r="OLR38" s="316"/>
      <c r="OLS38" s="316"/>
      <c r="OLT38" s="316"/>
      <c r="OLU38" s="316"/>
      <c r="OLV38" s="316"/>
      <c r="OLW38" s="316"/>
      <c r="OLX38" s="316"/>
      <c r="OLY38" s="316"/>
      <c r="OLZ38" s="316"/>
      <c r="OMA38" s="316"/>
      <c r="OMB38" s="316"/>
      <c r="OMC38" s="316"/>
      <c r="OMD38" s="316"/>
      <c r="OME38" s="316"/>
      <c r="OMF38" s="316"/>
      <c r="OMG38" s="316"/>
      <c r="OMH38" s="316"/>
      <c r="OMI38" s="316"/>
      <c r="OMJ38" s="316"/>
      <c r="OMK38" s="316"/>
      <c r="OML38" s="316"/>
      <c r="OMM38" s="316"/>
      <c r="OMN38" s="316"/>
      <c r="OMO38" s="316"/>
      <c r="OMP38" s="316"/>
      <c r="OMQ38" s="316"/>
      <c r="OMR38" s="316"/>
      <c r="OMS38" s="316"/>
      <c r="OMT38" s="316"/>
      <c r="OMU38" s="316"/>
      <c r="OMV38" s="316"/>
      <c r="OMW38" s="316"/>
      <c r="OMX38" s="316"/>
      <c r="OMY38" s="316"/>
      <c r="OMZ38" s="316"/>
      <c r="ONA38" s="316"/>
      <c r="ONB38" s="316"/>
      <c r="ONC38" s="316"/>
      <c r="OND38" s="316"/>
      <c r="ONE38" s="316"/>
      <c r="ONF38" s="316"/>
      <c r="ONG38" s="316"/>
      <c r="ONH38" s="316"/>
      <c r="ONI38" s="316"/>
      <c r="ONJ38" s="316"/>
      <c r="ONK38" s="316"/>
      <c r="ONL38" s="316"/>
      <c r="ONM38" s="316"/>
      <c r="ONN38" s="316"/>
      <c r="ONO38" s="316"/>
      <c r="ONP38" s="316"/>
      <c r="ONQ38" s="316"/>
      <c r="ONR38" s="316"/>
      <c r="ONS38" s="316"/>
      <c r="ONT38" s="316"/>
      <c r="ONU38" s="316"/>
      <c r="ONV38" s="316"/>
      <c r="ONW38" s="316"/>
      <c r="ONX38" s="316"/>
      <c r="ONY38" s="316"/>
      <c r="ONZ38" s="316"/>
      <c r="OOA38" s="316"/>
      <c r="OOB38" s="316"/>
      <c r="OOC38" s="316"/>
      <c r="OOD38" s="316"/>
      <c r="OOE38" s="316"/>
      <c r="OOF38" s="316"/>
      <c r="OOG38" s="316"/>
      <c r="OOH38" s="316"/>
      <c r="OOI38" s="316"/>
      <c r="OOJ38" s="316"/>
      <c r="OOK38" s="316"/>
      <c r="OOL38" s="316"/>
      <c r="OOM38" s="316"/>
      <c r="OON38" s="316"/>
      <c r="OOO38" s="316"/>
      <c r="OOP38" s="316"/>
      <c r="OOQ38" s="316"/>
      <c r="OOR38" s="316"/>
      <c r="OOS38" s="316"/>
      <c r="OOT38" s="316"/>
      <c r="OOU38" s="316"/>
      <c r="OOV38" s="316"/>
      <c r="OOW38" s="316"/>
      <c r="OOX38" s="316"/>
      <c r="OOY38" s="316"/>
      <c r="OOZ38" s="316"/>
      <c r="OPA38" s="316"/>
      <c r="OPB38" s="316"/>
      <c r="OPC38" s="316"/>
      <c r="OPD38" s="316"/>
      <c r="OPE38" s="316"/>
      <c r="OPF38" s="316"/>
      <c r="OPG38" s="316"/>
      <c r="OPH38" s="316"/>
      <c r="OPI38" s="316"/>
      <c r="OPJ38" s="316"/>
      <c r="OPK38" s="316"/>
      <c r="OPL38" s="316"/>
      <c r="OPM38" s="316"/>
      <c r="OPN38" s="316"/>
      <c r="OPO38" s="316"/>
      <c r="OPP38" s="316"/>
      <c r="OPQ38" s="316"/>
      <c r="OPR38" s="316"/>
      <c r="OPS38" s="316"/>
      <c r="OPT38" s="316"/>
      <c r="OPU38" s="316"/>
      <c r="OPV38" s="316"/>
      <c r="OPW38" s="316"/>
      <c r="OPX38" s="316"/>
      <c r="OPY38" s="316"/>
      <c r="OPZ38" s="316"/>
      <c r="OQA38" s="316"/>
      <c r="OQB38" s="316"/>
      <c r="OQC38" s="316"/>
      <c r="OQD38" s="316"/>
      <c r="OQE38" s="316"/>
      <c r="OQF38" s="316"/>
      <c r="OQG38" s="316"/>
      <c r="OQH38" s="316"/>
      <c r="OQI38" s="316"/>
      <c r="OQJ38" s="316"/>
      <c r="OQK38" s="316"/>
      <c r="OQL38" s="316"/>
      <c r="OQM38" s="316"/>
      <c r="OQN38" s="316"/>
      <c r="OQO38" s="316"/>
      <c r="OQP38" s="316"/>
      <c r="OQQ38" s="316"/>
      <c r="OQR38" s="316"/>
      <c r="OQS38" s="316"/>
      <c r="OQT38" s="316"/>
      <c r="OQU38" s="316"/>
      <c r="OQV38" s="316"/>
      <c r="OQW38" s="316"/>
      <c r="OQX38" s="316"/>
      <c r="OQY38" s="316"/>
      <c r="OQZ38" s="316"/>
      <c r="ORA38" s="316"/>
      <c r="ORB38" s="316"/>
      <c r="ORC38" s="316"/>
      <c r="ORD38" s="316"/>
      <c r="ORE38" s="316"/>
      <c r="ORF38" s="316"/>
      <c r="ORG38" s="316"/>
      <c r="ORH38" s="316"/>
      <c r="ORI38" s="316"/>
      <c r="ORJ38" s="316"/>
      <c r="ORK38" s="316"/>
      <c r="ORL38" s="316"/>
      <c r="ORM38" s="316"/>
      <c r="ORN38" s="316"/>
      <c r="ORO38" s="316"/>
      <c r="ORP38" s="316"/>
      <c r="ORQ38" s="316"/>
      <c r="ORR38" s="316"/>
      <c r="ORS38" s="316"/>
      <c r="ORT38" s="316"/>
      <c r="ORU38" s="316"/>
      <c r="ORV38" s="316"/>
      <c r="ORW38" s="316"/>
      <c r="ORX38" s="316"/>
      <c r="ORY38" s="316"/>
      <c r="ORZ38" s="316"/>
      <c r="OSA38" s="316"/>
      <c r="OSB38" s="316"/>
      <c r="OSC38" s="316"/>
      <c r="OSD38" s="316"/>
      <c r="OSE38" s="316"/>
      <c r="OSF38" s="316"/>
      <c r="OSG38" s="316"/>
      <c r="OSH38" s="316"/>
      <c r="OSI38" s="316"/>
      <c r="OSJ38" s="316"/>
      <c r="OSK38" s="316"/>
      <c r="OSL38" s="316"/>
      <c r="OSM38" s="316"/>
      <c r="OSN38" s="316"/>
      <c r="OSO38" s="316"/>
      <c r="OSP38" s="316"/>
      <c r="OSQ38" s="316"/>
      <c r="OSR38" s="316"/>
      <c r="OSS38" s="316"/>
      <c r="OST38" s="316"/>
      <c r="OSU38" s="316"/>
      <c r="OSV38" s="316"/>
      <c r="OSW38" s="316"/>
      <c r="OSX38" s="316"/>
      <c r="OSY38" s="316"/>
      <c r="OSZ38" s="316"/>
      <c r="OTA38" s="316"/>
      <c r="OTB38" s="316"/>
      <c r="OTC38" s="316"/>
      <c r="OTD38" s="316"/>
      <c r="OTE38" s="316"/>
      <c r="OTF38" s="316"/>
      <c r="OTG38" s="316"/>
      <c r="OTH38" s="316"/>
      <c r="OTI38" s="316"/>
      <c r="OTJ38" s="316"/>
      <c r="OTK38" s="316"/>
      <c r="OTL38" s="316"/>
      <c r="OTM38" s="316"/>
      <c r="OTN38" s="316"/>
      <c r="OTO38" s="316"/>
      <c r="OTP38" s="316"/>
      <c r="OTQ38" s="316"/>
      <c r="OTR38" s="316"/>
      <c r="OTS38" s="316"/>
      <c r="OTT38" s="316"/>
      <c r="OTU38" s="316"/>
      <c r="OTV38" s="316"/>
      <c r="OTW38" s="316"/>
      <c r="OTX38" s="316"/>
      <c r="OTY38" s="316"/>
      <c r="OTZ38" s="316"/>
      <c r="OUA38" s="316"/>
      <c r="OUB38" s="316"/>
      <c r="OUC38" s="316"/>
      <c r="OUD38" s="316"/>
      <c r="OUE38" s="316"/>
      <c r="OUF38" s="316"/>
      <c r="OUG38" s="316"/>
      <c r="OUH38" s="316"/>
      <c r="OUI38" s="316"/>
      <c r="OUJ38" s="316"/>
      <c r="OUK38" s="316"/>
      <c r="OUL38" s="316"/>
      <c r="OUM38" s="316"/>
      <c r="OUN38" s="316"/>
      <c r="OUO38" s="316"/>
      <c r="OUP38" s="316"/>
      <c r="OUQ38" s="316"/>
      <c r="OUR38" s="316"/>
      <c r="OUS38" s="316"/>
      <c r="OUT38" s="316"/>
      <c r="OUU38" s="316"/>
      <c r="OUV38" s="316"/>
      <c r="OUW38" s="316"/>
      <c r="OUX38" s="316"/>
      <c r="OUY38" s="316"/>
      <c r="OUZ38" s="316"/>
      <c r="OVA38" s="316"/>
      <c r="OVB38" s="316"/>
      <c r="OVC38" s="316"/>
      <c r="OVD38" s="316"/>
      <c r="OVE38" s="316"/>
      <c r="OVF38" s="316"/>
      <c r="OVG38" s="316"/>
      <c r="OVH38" s="316"/>
      <c r="OVI38" s="316"/>
      <c r="OVJ38" s="316"/>
      <c r="OVK38" s="316"/>
      <c r="OVL38" s="316"/>
      <c r="OVM38" s="316"/>
      <c r="OVN38" s="316"/>
      <c r="OVO38" s="316"/>
      <c r="OVP38" s="316"/>
      <c r="OVQ38" s="316"/>
      <c r="OVR38" s="316"/>
      <c r="OVS38" s="316"/>
      <c r="OVT38" s="316"/>
      <c r="OVU38" s="316"/>
      <c r="OVV38" s="316"/>
      <c r="OVW38" s="316"/>
      <c r="OVX38" s="316"/>
      <c r="OVY38" s="316"/>
      <c r="OVZ38" s="316"/>
      <c r="OWA38" s="316"/>
      <c r="OWB38" s="316"/>
      <c r="OWC38" s="316"/>
      <c r="OWD38" s="316"/>
      <c r="OWE38" s="316"/>
      <c r="OWF38" s="316"/>
      <c r="OWG38" s="316"/>
      <c r="OWH38" s="316"/>
      <c r="OWI38" s="316"/>
      <c r="OWJ38" s="316"/>
      <c r="OWK38" s="316"/>
      <c r="OWL38" s="316"/>
      <c r="OWM38" s="316"/>
      <c r="OWN38" s="316"/>
      <c r="OWO38" s="316"/>
      <c r="OWP38" s="316"/>
      <c r="OWQ38" s="316"/>
      <c r="OWR38" s="316"/>
      <c r="OWS38" s="316"/>
      <c r="OWT38" s="316"/>
      <c r="OWU38" s="316"/>
      <c r="OWV38" s="316"/>
      <c r="OWW38" s="316"/>
      <c r="OWX38" s="316"/>
      <c r="OWY38" s="316"/>
      <c r="OWZ38" s="316"/>
      <c r="OXA38" s="316"/>
      <c r="OXB38" s="316"/>
      <c r="OXC38" s="316"/>
      <c r="OXD38" s="316"/>
      <c r="OXE38" s="316"/>
      <c r="OXF38" s="316"/>
      <c r="OXG38" s="316"/>
      <c r="OXH38" s="316"/>
      <c r="OXI38" s="316"/>
      <c r="OXJ38" s="316"/>
      <c r="OXK38" s="316"/>
      <c r="OXL38" s="316"/>
      <c r="OXM38" s="316"/>
      <c r="OXN38" s="316"/>
      <c r="OXO38" s="316"/>
      <c r="OXP38" s="316"/>
      <c r="OXQ38" s="316"/>
      <c r="OXR38" s="316"/>
      <c r="OXS38" s="316"/>
      <c r="OXT38" s="316"/>
      <c r="OXU38" s="316"/>
      <c r="OXV38" s="316"/>
      <c r="OXW38" s="316"/>
      <c r="OXX38" s="316"/>
      <c r="OXY38" s="316"/>
      <c r="OXZ38" s="316"/>
      <c r="OYA38" s="316"/>
      <c r="OYB38" s="316"/>
      <c r="OYC38" s="316"/>
      <c r="OYD38" s="316"/>
      <c r="OYE38" s="316"/>
      <c r="OYF38" s="316"/>
      <c r="OYG38" s="316"/>
      <c r="OYH38" s="316"/>
      <c r="OYI38" s="316"/>
      <c r="OYJ38" s="316"/>
      <c r="OYK38" s="316"/>
      <c r="OYL38" s="316"/>
      <c r="OYM38" s="316"/>
      <c r="OYN38" s="316"/>
      <c r="OYO38" s="316"/>
      <c r="OYP38" s="316"/>
      <c r="OYQ38" s="316"/>
      <c r="OYR38" s="316"/>
      <c r="OYS38" s="316"/>
      <c r="OYT38" s="316"/>
      <c r="OYU38" s="316"/>
      <c r="OYV38" s="316"/>
      <c r="OYW38" s="316"/>
      <c r="OYX38" s="316"/>
      <c r="OYY38" s="316"/>
      <c r="OYZ38" s="316"/>
      <c r="OZA38" s="316"/>
      <c r="OZB38" s="316"/>
      <c r="OZC38" s="316"/>
      <c r="OZD38" s="316"/>
      <c r="OZE38" s="316"/>
      <c r="OZF38" s="316"/>
      <c r="OZG38" s="316"/>
      <c r="OZH38" s="316"/>
      <c r="OZI38" s="316"/>
      <c r="OZJ38" s="316"/>
      <c r="OZK38" s="316"/>
      <c r="OZL38" s="316"/>
      <c r="OZM38" s="316"/>
      <c r="OZN38" s="316"/>
      <c r="OZO38" s="316"/>
      <c r="OZP38" s="316"/>
      <c r="OZQ38" s="316"/>
      <c r="OZR38" s="316"/>
      <c r="OZS38" s="316"/>
      <c r="OZT38" s="316"/>
      <c r="OZU38" s="316"/>
      <c r="OZV38" s="316"/>
      <c r="OZW38" s="316"/>
      <c r="OZX38" s="316"/>
      <c r="OZY38" s="316"/>
      <c r="OZZ38" s="316"/>
      <c r="PAA38" s="316"/>
      <c r="PAB38" s="316"/>
      <c r="PAC38" s="316"/>
      <c r="PAD38" s="316"/>
      <c r="PAE38" s="316"/>
      <c r="PAF38" s="316"/>
      <c r="PAG38" s="316"/>
      <c r="PAH38" s="316"/>
      <c r="PAI38" s="316"/>
      <c r="PAJ38" s="316"/>
      <c r="PAK38" s="316"/>
      <c r="PAL38" s="316"/>
      <c r="PAM38" s="316"/>
      <c r="PAN38" s="316"/>
      <c r="PAO38" s="316"/>
      <c r="PAP38" s="316"/>
      <c r="PAQ38" s="316"/>
      <c r="PAR38" s="316"/>
      <c r="PAS38" s="316"/>
      <c r="PAT38" s="316"/>
      <c r="PAU38" s="316"/>
      <c r="PAV38" s="316"/>
      <c r="PAW38" s="316"/>
      <c r="PAX38" s="316"/>
      <c r="PAY38" s="316"/>
      <c r="PAZ38" s="316"/>
      <c r="PBA38" s="316"/>
      <c r="PBB38" s="316"/>
      <c r="PBC38" s="316"/>
      <c r="PBD38" s="316"/>
      <c r="PBE38" s="316"/>
      <c r="PBF38" s="316"/>
      <c r="PBG38" s="316"/>
      <c r="PBH38" s="316"/>
      <c r="PBI38" s="316"/>
      <c r="PBJ38" s="316"/>
      <c r="PBK38" s="316"/>
      <c r="PBL38" s="316"/>
      <c r="PBM38" s="316"/>
      <c r="PBN38" s="316"/>
      <c r="PBO38" s="316"/>
      <c r="PBP38" s="316"/>
      <c r="PBQ38" s="316"/>
      <c r="PBR38" s="316"/>
      <c r="PBS38" s="316"/>
      <c r="PBT38" s="316"/>
      <c r="PBU38" s="316"/>
      <c r="PBV38" s="316"/>
      <c r="PBW38" s="316"/>
      <c r="PBX38" s="316"/>
      <c r="PBY38" s="316"/>
      <c r="PBZ38" s="316"/>
      <c r="PCA38" s="316"/>
      <c r="PCB38" s="316"/>
      <c r="PCC38" s="316"/>
      <c r="PCD38" s="316"/>
      <c r="PCE38" s="316"/>
      <c r="PCF38" s="316"/>
      <c r="PCG38" s="316"/>
      <c r="PCH38" s="316"/>
      <c r="PCI38" s="316"/>
      <c r="PCJ38" s="316"/>
      <c r="PCK38" s="316"/>
      <c r="PCL38" s="316"/>
      <c r="PCM38" s="316"/>
      <c r="PCN38" s="316"/>
      <c r="PCO38" s="316"/>
      <c r="PCP38" s="316"/>
      <c r="PCQ38" s="316"/>
      <c r="PCR38" s="316"/>
      <c r="PCS38" s="316"/>
      <c r="PCT38" s="316"/>
      <c r="PCU38" s="316"/>
      <c r="PCV38" s="316"/>
      <c r="PCW38" s="316"/>
      <c r="PCX38" s="316"/>
      <c r="PCY38" s="316"/>
      <c r="PCZ38" s="316"/>
      <c r="PDA38" s="316"/>
      <c r="PDB38" s="316"/>
      <c r="PDC38" s="316"/>
      <c r="PDD38" s="316"/>
      <c r="PDE38" s="316"/>
      <c r="PDF38" s="316"/>
      <c r="PDG38" s="316"/>
      <c r="PDH38" s="316"/>
      <c r="PDI38" s="316"/>
      <c r="PDJ38" s="316"/>
      <c r="PDK38" s="316"/>
      <c r="PDL38" s="316"/>
      <c r="PDM38" s="316"/>
      <c r="PDN38" s="316"/>
      <c r="PDO38" s="316"/>
      <c r="PDP38" s="316"/>
      <c r="PDQ38" s="316"/>
      <c r="PDR38" s="316"/>
      <c r="PDS38" s="316"/>
      <c r="PDT38" s="316"/>
      <c r="PDU38" s="316"/>
      <c r="PDV38" s="316"/>
      <c r="PDW38" s="316"/>
      <c r="PDX38" s="316"/>
      <c r="PDY38" s="316"/>
      <c r="PDZ38" s="316"/>
      <c r="PEA38" s="316"/>
      <c r="PEB38" s="316"/>
      <c r="PEC38" s="316"/>
      <c r="PED38" s="316"/>
      <c r="PEE38" s="316"/>
      <c r="PEF38" s="316"/>
      <c r="PEG38" s="316"/>
      <c r="PEH38" s="316"/>
      <c r="PEI38" s="316"/>
      <c r="PEJ38" s="316"/>
      <c r="PEK38" s="316"/>
      <c r="PEL38" s="316"/>
      <c r="PEM38" s="316"/>
      <c r="PEN38" s="316"/>
      <c r="PEO38" s="316"/>
      <c r="PEP38" s="316"/>
      <c r="PEQ38" s="316"/>
      <c r="PER38" s="316"/>
      <c r="PES38" s="316"/>
      <c r="PET38" s="316"/>
      <c r="PEU38" s="316"/>
      <c r="PEV38" s="316"/>
      <c r="PEW38" s="316"/>
      <c r="PEX38" s="316"/>
      <c r="PEY38" s="316"/>
      <c r="PEZ38" s="316"/>
      <c r="PFA38" s="316"/>
      <c r="PFB38" s="316"/>
      <c r="PFC38" s="316"/>
      <c r="PFD38" s="316"/>
      <c r="PFE38" s="316"/>
      <c r="PFF38" s="316"/>
      <c r="PFG38" s="316"/>
      <c r="PFH38" s="316"/>
      <c r="PFI38" s="316"/>
      <c r="PFJ38" s="316"/>
      <c r="PFK38" s="316"/>
      <c r="PFL38" s="316"/>
      <c r="PFM38" s="316"/>
      <c r="PFN38" s="316"/>
      <c r="PFO38" s="316"/>
      <c r="PFP38" s="316"/>
      <c r="PFQ38" s="316"/>
      <c r="PFR38" s="316"/>
      <c r="PFS38" s="316"/>
      <c r="PFT38" s="316"/>
      <c r="PFU38" s="316"/>
      <c r="PFV38" s="316"/>
      <c r="PFW38" s="316"/>
      <c r="PFX38" s="316"/>
      <c r="PFY38" s="316"/>
      <c r="PFZ38" s="316"/>
      <c r="PGA38" s="316"/>
      <c r="PGB38" s="316"/>
      <c r="PGC38" s="316"/>
      <c r="PGD38" s="316"/>
      <c r="PGE38" s="316"/>
      <c r="PGF38" s="316"/>
      <c r="PGG38" s="316"/>
      <c r="PGH38" s="316"/>
      <c r="PGI38" s="316"/>
      <c r="PGJ38" s="316"/>
      <c r="PGK38" s="316"/>
      <c r="PGL38" s="316"/>
      <c r="PGM38" s="316"/>
      <c r="PGN38" s="316"/>
      <c r="PGO38" s="316"/>
      <c r="PGP38" s="316"/>
      <c r="PGQ38" s="316"/>
      <c r="PGR38" s="316"/>
      <c r="PGS38" s="316"/>
      <c r="PGT38" s="316"/>
      <c r="PGU38" s="316"/>
      <c r="PGV38" s="316"/>
      <c r="PGW38" s="316"/>
      <c r="PGX38" s="316"/>
      <c r="PGY38" s="316"/>
      <c r="PGZ38" s="316"/>
      <c r="PHA38" s="316"/>
      <c r="PHB38" s="316"/>
      <c r="PHC38" s="316"/>
      <c r="PHD38" s="316"/>
      <c r="PHE38" s="316"/>
      <c r="PHF38" s="316"/>
      <c r="PHG38" s="316"/>
      <c r="PHH38" s="316"/>
      <c r="PHI38" s="316"/>
      <c r="PHJ38" s="316"/>
      <c r="PHK38" s="316"/>
      <c r="PHL38" s="316"/>
      <c r="PHM38" s="316"/>
      <c r="PHN38" s="316"/>
      <c r="PHO38" s="316"/>
      <c r="PHP38" s="316"/>
      <c r="PHQ38" s="316"/>
      <c r="PHR38" s="316"/>
      <c r="PHS38" s="316"/>
      <c r="PHT38" s="316"/>
      <c r="PHU38" s="316"/>
      <c r="PHV38" s="316"/>
      <c r="PHW38" s="316"/>
      <c r="PHX38" s="316"/>
      <c r="PHY38" s="316"/>
      <c r="PHZ38" s="316"/>
      <c r="PIA38" s="316"/>
      <c r="PIB38" s="316"/>
      <c r="PIC38" s="316"/>
      <c r="PID38" s="316"/>
      <c r="PIE38" s="316"/>
      <c r="PIF38" s="316"/>
      <c r="PIG38" s="316"/>
      <c r="PIH38" s="316"/>
      <c r="PII38" s="316"/>
      <c r="PIJ38" s="316"/>
      <c r="PIK38" s="316"/>
      <c r="PIL38" s="316"/>
      <c r="PIM38" s="316"/>
      <c r="PIN38" s="316"/>
      <c r="PIO38" s="316"/>
      <c r="PIP38" s="316"/>
      <c r="PIQ38" s="316"/>
      <c r="PIR38" s="316"/>
      <c r="PIS38" s="316"/>
      <c r="PIT38" s="316"/>
      <c r="PIU38" s="316"/>
      <c r="PIV38" s="316"/>
      <c r="PIW38" s="316"/>
      <c r="PIX38" s="316"/>
      <c r="PIY38" s="316"/>
      <c r="PIZ38" s="316"/>
      <c r="PJA38" s="316"/>
      <c r="PJB38" s="316"/>
      <c r="PJC38" s="316"/>
      <c r="PJD38" s="316"/>
      <c r="PJE38" s="316"/>
      <c r="PJF38" s="316"/>
      <c r="PJG38" s="316"/>
      <c r="PJH38" s="316"/>
      <c r="PJI38" s="316"/>
      <c r="PJJ38" s="316"/>
      <c r="PJK38" s="316"/>
      <c r="PJL38" s="316"/>
      <c r="PJM38" s="316"/>
      <c r="PJN38" s="316"/>
      <c r="PJO38" s="316"/>
      <c r="PJP38" s="316"/>
      <c r="PJQ38" s="316"/>
      <c r="PJR38" s="316"/>
      <c r="PJS38" s="316"/>
      <c r="PJT38" s="316"/>
      <c r="PJU38" s="316"/>
      <c r="PJV38" s="316"/>
      <c r="PJW38" s="316"/>
      <c r="PJX38" s="316"/>
      <c r="PJY38" s="316"/>
      <c r="PJZ38" s="316"/>
      <c r="PKA38" s="316"/>
      <c r="PKB38" s="316"/>
      <c r="PKC38" s="316"/>
      <c r="PKD38" s="316"/>
      <c r="PKE38" s="316"/>
      <c r="PKF38" s="316"/>
      <c r="PKG38" s="316"/>
      <c r="PKH38" s="316"/>
      <c r="PKI38" s="316"/>
      <c r="PKJ38" s="316"/>
      <c r="PKK38" s="316"/>
      <c r="PKL38" s="316"/>
      <c r="PKM38" s="316"/>
      <c r="PKN38" s="316"/>
      <c r="PKO38" s="316"/>
      <c r="PKP38" s="316"/>
      <c r="PKQ38" s="316"/>
      <c r="PKR38" s="316"/>
      <c r="PKS38" s="316"/>
      <c r="PKT38" s="316"/>
      <c r="PKU38" s="316"/>
      <c r="PKV38" s="316"/>
      <c r="PKW38" s="316"/>
      <c r="PKX38" s="316"/>
      <c r="PKY38" s="316"/>
      <c r="PKZ38" s="316"/>
      <c r="PLA38" s="316"/>
      <c r="PLB38" s="316"/>
      <c r="PLC38" s="316"/>
      <c r="PLD38" s="316"/>
      <c r="PLE38" s="316"/>
      <c r="PLF38" s="316"/>
      <c r="PLG38" s="316"/>
      <c r="PLH38" s="316"/>
      <c r="PLI38" s="316"/>
      <c r="PLJ38" s="316"/>
      <c r="PLK38" s="316"/>
      <c r="PLL38" s="316"/>
      <c r="PLM38" s="316"/>
      <c r="PLN38" s="316"/>
      <c r="PLO38" s="316"/>
      <c r="PLP38" s="316"/>
      <c r="PLQ38" s="316"/>
      <c r="PLR38" s="316"/>
      <c r="PLS38" s="316"/>
      <c r="PLT38" s="316"/>
      <c r="PLU38" s="316"/>
      <c r="PLV38" s="316"/>
      <c r="PLW38" s="316"/>
      <c r="PLX38" s="316"/>
      <c r="PLY38" s="316"/>
      <c r="PLZ38" s="316"/>
      <c r="PMA38" s="316"/>
      <c r="PMB38" s="316"/>
      <c r="PMC38" s="316"/>
      <c r="PMD38" s="316"/>
      <c r="PME38" s="316"/>
      <c r="PMF38" s="316"/>
      <c r="PMG38" s="316"/>
      <c r="PMH38" s="316"/>
      <c r="PMI38" s="316"/>
      <c r="PMJ38" s="316"/>
      <c r="PMK38" s="316"/>
      <c r="PML38" s="316"/>
      <c r="PMM38" s="316"/>
      <c r="PMN38" s="316"/>
      <c r="PMO38" s="316"/>
      <c r="PMP38" s="316"/>
      <c r="PMQ38" s="316"/>
      <c r="PMR38" s="316"/>
      <c r="PMS38" s="316"/>
      <c r="PMT38" s="316"/>
      <c r="PMU38" s="316"/>
      <c r="PMV38" s="316"/>
      <c r="PMW38" s="316"/>
      <c r="PMX38" s="316"/>
      <c r="PMY38" s="316"/>
      <c r="PMZ38" s="316"/>
      <c r="PNA38" s="316"/>
      <c r="PNB38" s="316"/>
      <c r="PNC38" s="316"/>
      <c r="PND38" s="316"/>
      <c r="PNE38" s="316"/>
      <c r="PNF38" s="316"/>
      <c r="PNG38" s="316"/>
      <c r="PNH38" s="316"/>
      <c r="PNI38" s="316"/>
      <c r="PNJ38" s="316"/>
      <c r="PNK38" s="316"/>
      <c r="PNL38" s="316"/>
      <c r="PNM38" s="316"/>
      <c r="PNN38" s="316"/>
      <c r="PNO38" s="316"/>
      <c r="PNP38" s="316"/>
      <c r="PNQ38" s="316"/>
      <c r="PNR38" s="316"/>
      <c r="PNS38" s="316"/>
      <c r="PNT38" s="316"/>
      <c r="PNU38" s="316"/>
      <c r="PNV38" s="316"/>
      <c r="PNW38" s="316"/>
      <c r="PNX38" s="316"/>
      <c r="PNY38" s="316"/>
      <c r="PNZ38" s="316"/>
      <c r="POA38" s="316"/>
      <c r="POB38" s="316"/>
      <c r="POC38" s="316"/>
      <c r="POD38" s="316"/>
      <c r="POE38" s="316"/>
      <c r="POF38" s="316"/>
      <c r="POG38" s="316"/>
      <c r="POH38" s="316"/>
      <c r="POI38" s="316"/>
      <c r="POJ38" s="316"/>
      <c r="POK38" s="316"/>
      <c r="POL38" s="316"/>
      <c r="POM38" s="316"/>
      <c r="PON38" s="316"/>
      <c r="POO38" s="316"/>
      <c r="POP38" s="316"/>
      <c r="POQ38" s="316"/>
      <c r="POR38" s="316"/>
      <c r="POS38" s="316"/>
      <c r="POT38" s="316"/>
      <c r="POU38" s="316"/>
      <c r="POV38" s="316"/>
      <c r="POW38" s="316"/>
      <c r="POX38" s="316"/>
      <c r="POY38" s="316"/>
      <c r="POZ38" s="316"/>
      <c r="PPA38" s="316"/>
      <c r="PPB38" s="316"/>
      <c r="PPC38" s="316"/>
      <c r="PPD38" s="316"/>
      <c r="PPE38" s="316"/>
      <c r="PPF38" s="316"/>
      <c r="PPG38" s="316"/>
      <c r="PPH38" s="316"/>
      <c r="PPI38" s="316"/>
      <c r="PPJ38" s="316"/>
      <c r="PPK38" s="316"/>
      <c r="PPL38" s="316"/>
      <c r="PPM38" s="316"/>
      <c r="PPN38" s="316"/>
      <c r="PPO38" s="316"/>
      <c r="PPP38" s="316"/>
      <c r="PPQ38" s="316"/>
      <c r="PPR38" s="316"/>
      <c r="PPS38" s="316"/>
      <c r="PPT38" s="316"/>
      <c r="PPU38" s="316"/>
      <c r="PPV38" s="316"/>
      <c r="PPW38" s="316"/>
      <c r="PPX38" s="316"/>
      <c r="PPY38" s="316"/>
      <c r="PPZ38" s="316"/>
      <c r="PQA38" s="316"/>
      <c r="PQB38" s="316"/>
      <c r="PQC38" s="316"/>
      <c r="PQD38" s="316"/>
      <c r="PQE38" s="316"/>
      <c r="PQF38" s="316"/>
      <c r="PQG38" s="316"/>
      <c r="PQH38" s="316"/>
      <c r="PQI38" s="316"/>
      <c r="PQJ38" s="316"/>
      <c r="PQK38" s="316"/>
      <c r="PQL38" s="316"/>
      <c r="PQM38" s="316"/>
      <c r="PQN38" s="316"/>
      <c r="PQO38" s="316"/>
      <c r="PQP38" s="316"/>
      <c r="PQQ38" s="316"/>
      <c r="PQR38" s="316"/>
      <c r="PQS38" s="316"/>
      <c r="PQT38" s="316"/>
      <c r="PQU38" s="316"/>
      <c r="PQV38" s="316"/>
      <c r="PQW38" s="316"/>
      <c r="PQX38" s="316"/>
      <c r="PQY38" s="316"/>
      <c r="PQZ38" s="316"/>
      <c r="PRA38" s="316"/>
      <c r="PRB38" s="316"/>
      <c r="PRC38" s="316"/>
      <c r="PRD38" s="316"/>
      <c r="PRE38" s="316"/>
      <c r="PRF38" s="316"/>
      <c r="PRG38" s="316"/>
      <c r="PRH38" s="316"/>
      <c r="PRI38" s="316"/>
      <c r="PRJ38" s="316"/>
      <c r="PRK38" s="316"/>
      <c r="PRL38" s="316"/>
      <c r="PRM38" s="316"/>
      <c r="PRN38" s="316"/>
      <c r="PRO38" s="316"/>
      <c r="PRP38" s="316"/>
      <c r="PRQ38" s="316"/>
      <c r="PRR38" s="316"/>
      <c r="PRS38" s="316"/>
      <c r="PRT38" s="316"/>
      <c r="PRU38" s="316"/>
      <c r="PRV38" s="316"/>
      <c r="PRW38" s="316"/>
      <c r="PRX38" s="316"/>
      <c r="PRY38" s="316"/>
      <c r="PRZ38" s="316"/>
      <c r="PSA38" s="316"/>
      <c r="PSB38" s="316"/>
      <c r="PSC38" s="316"/>
      <c r="PSD38" s="316"/>
      <c r="PSE38" s="316"/>
      <c r="PSF38" s="316"/>
      <c r="PSG38" s="316"/>
      <c r="PSH38" s="316"/>
      <c r="PSI38" s="316"/>
      <c r="PSJ38" s="316"/>
      <c r="PSK38" s="316"/>
      <c r="PSL38" s="316"/>
      <c r="PSM38" s="316"/>
      <c r="PSN38" s="316"/>
      <c r="PSO38" s="316"/>
      <c r="PSP38" s="316"/>
      <c r="PSQ38" s="316"/>
      <c r="PSR38" s="316"/>
      <c r="PSS38" s="316"/>
      <c r="PST38" s="316"/>
      <c r="PSU38" s="316"/>
      <c r="PSV38" s="316"/>
      <c r="PSW38" s="316"/>
      <c r="PSX38" s="316"/>
      <c r="PSY38" s="316"/>
      <c r="PSZ38" s="316"/>
      <c r="PTA38" s="316"/>
      <c r="PTB38" s="316"/>
      <c r="PTC38" s="316"/>
      <c r="PTD38" s="316"/>
      <c r="PTE38" s="316"/>
      <c r="PTF38" s="316"/>
      <c r="PTG38" s="316"/>
      <c r="PTH38" s="316"/>
      <c r="PTI38" s="316"/>
      <c r="PTJ38" s="316"/>
      <c r="PTK38" s="316"/>
      <c r="PTL38" s="316"/>
      <c r="PTM38" s="316"/>
      <c r="PTN38" s="316"/>
      <c r="PTO38" s="316"/>
      <c r="PTP38" s="316"/>
      <c r="PTQ38" s="316"/>
      <c r="PTR38" s="316"/>
      <c r="PTS38" s="316"/>
      <c r="PTT38" s="316"/>
      <c r="PTU38" s="316"/>
      <c r="PTV38" s="316"/>
      <c r="PTW38" s="316"/>
      <c r="PTX38" s="316"/>
      <c r="PTY38" s="316"/>
      <c r="PTZ38" s="316"/>
      <c r="PUA38" s="316"/>
      <c r="PUB38" s="316"/>
      <c r="PUC38" s="316"/>
      <c r="PUD38" s="316"/>
      <c r="PUE38" s="316"/>
      <c r="PUF38" s="316"/>
      <c r="PUG38" s="316"/>
      <c r="PUH38" s="316"/>
      <c r="PUI38" s="316"/>
      <c r="PUJ38" s="316"/>
      <c r="PUK38" s="316"/>
      <c r="PUL38" s="316"/>
      <c r="PUM38" s="316"/>
      <c r="PUN38" s="316"/>
      <c r="PUO38" s="316"/>
      <c r="PUP38" s="316"/>
      <c r="PUQ38" s="316"/>
      <c r="PUR38" s="316"/>
      <c r="PUS38" s="316"/>
      <c r="PUT38" s="316"/>
      <c r="PUU38" s="316"/>
      <c r="PUV38" s="316"/>
      <c r="PUW38" s="316"/>
      <c r="PUX38" s="316"/>
      <c r="PUY38" s="316"/>
      <c r="PUZ38" s="316"/>
      <c r="PVA38" s="316"/>
      <c r="PVB38" s="316"/>
      <c r="PVC38" s="316"/>
      <c r="PVD38" s="316"/>
      <c r="PVE38" s="316"/>
      <c r="PVF38" s="316"/>
      <c r="PVG38" s="316"/>
      <c r="PVH38" s="316"/>
      <c r="PVI38" s="316"/>
      <c r="PVJ38" s="316"/>
      <c r="PVK38" s="316"/>
      <c r="PVL38" s="316"/>
      <c r="PVM38" s="316"/>
      <c r="PVN38" s="316"/>
      <c r="PVO38" s="316"/>
      <c r="PVP38" s="316"/>
      <c r="PVQ38" s="316"/>
      <c r="PVR38" s="316"/>
      <c r="PVS38" s="316"/>
      <c r="PVT38" s="316"/>
      <c r="PVU38" s="316"/>
      <c r="PVV38" s="316"/>
      <c r="PVW38" s="316"/>
      <c r="PVX38" s="316"/>
      <c r="PVY38" s="316"/>
      <c r="PVZ38" s="316"/>
      <c r="PWA38" s="316"/>
      <c r="PWB38" s="316"/>
      <c r="PWC38" s="316"/>
      <c r="PWD38" s="316"/>
      <c r="PWE38" s="316"/>
      <c r="PWF38" s="316"/>
      <c r="PWG38" s="316"/>
      <c r="PWH38" s="316"/>
      <c r="PWI38" s="316"/>
      <c r="PWJ38" s="316"/>
      <c r="PWK38" s="316"/>
      <c r="PWL38" s="316"/>
      <c r="PWM38" s="316"/>
      <c r="PWN38" s="316"/>
      <c r="PWO38" s="316"/>
      <c r="PWP38" s="316"/>
      <c r="PWQ38" s="316"/>
      <c r="PWR38" s="316"/>
      <c r="PWS38" s="316"/>
      <c r="PWT38" s="316"/>
      <c r="PWU38" s="316"/>
      <c r="PWV38" s="316"/>
      <c r="PWW38" s="316"/>
      <c r="PWX38" s="316"/>
      <c r="PWY38" s="316"/>
      <c r="PWZ38" s="316"/>
      <c r="PXA38" s="316"/>
      <c r="PXB38" s="316"/>
      <c r="PXC38" s="316"/>
      <c r="PXD38" s="316"/>
      <c r="PXE38" s="316"/>
      <c r="PXF38" s="316"/>
      <c r="PXG38" s="316"/>
      <c r="PXH38" s="316"/>
      <c r="PXI38" s="316"/>
      <c r="PXJ38" s="316"/>
      <c r="PXK38" s="316"/>
      <c r="PXL38" s="316"/>
      <c r="PXM38" s="316"/>
      <c r="PXN38" s="316"/>
      <c r="PXO38" s="316"/>
      <c r="PXP38" s="316"/>
      <c r="PXQ38" s="316"/>
      <c r="PXR38" s="316"/>
      <c r="PXS38" s="316"/>
      <c r="PXT38" s="316"/>
      <c r="PXU38" s="316"/>
      <c r="PXV38" s="316"/>
      <c r="PXW38" s="316"/>
      <c r="PXX38" s="316"/>
      <c r="PXY38" s="316"/>
      <c r="PXZ38" s="316"/>
      <c r="PYA38" s="316"/>
      <c r="PYB38" s="316"/>
      <c r="PYC38" s="316"/>
      <c r="PYD38" s="316"/>
      <c r="PYE38" s="316"/>
      <c r="PYF38" s="316"/>
      <c r="PYG38" s="316"/>
      <c r="PYH38" s="316"/>
      <c r="PYI38" s="316"/>
      <c r="PYJ38" s="316"/>
      <c r="PYK38" s="316"/>
      <c r="PYL38" s="316"/>
      <c r="PYM38" s="316"/>
      <c r="PYN38" s="316"/>
      <c r="PYO38" s="316"/>
      <c r="PYP38" s="316"/>
      <c r="PYQ38" s="316"/>
      <c r="PYR38" s="316"/>
      <c r="PYS38" s="316"/>
      <c r="PYT38" s="316"/>
      <c r="PYU38" s="316"/>
      <c r="PYV38" s="316"/>
      <c r="PYW38" s="316"/>
      <c r="PYX38" s="316"/>
      <c r="PYY38" s="316"/>
      <c r="PYZ38" s="316"/>
      <c r="PZA38" s="316"/>
      <c r="PZB38" s="316"/>
      <c r="PZC38" s="316"/>
      <c r="PZD38" s="316"/>
      <c r="PZE38" s="316"/>
      <c r="PZF38" s="316"/>
      <c r="PZG38" s="316"/>
      <c r="PZH38" s="316"/>
      <c r="PZI38" s="316"/>
      <c r="PZJ38" s="316"/>
      <c r="PZK38" s="316"/>
      <c r="PZL38" s="316"/>
      <c r="PZM38" s="316"/>
      <c r="PZN38" s="316"/>
      <c r="PZO38" s="316"/>
      <c r="PZP38" s="316"/>
      <c r="PZQ38" s="316"/>
      <c r="PZR38" s="316"/>
      <c r="PZS38" s="316"/>
      <c r="PZT38" s="316"/>
      <c r="PZU38" s="316"/>
      <c r="PZV38" s="316"/>
      <c r="PZW38" s="316"/>
      <c r="PZX38" s="316"/>
      <c r="PZY38" s="316"/>
      <c r="PZZ38" s="316"/>
      <c r="QAA38" s="316"/>
      <c r="QAB38" s="316"/>
      <c r="QAC38" s="316"/>
      <c r="QAD38" s="316"/>
      <c r="QAE38" s="316"/>
      <c r="QAF38" s="316"/>
      <c r="QAG38" s="316"/>
      <c r="QAH38" s="316"/>
      <c r="QAI38" s="316"/>
      <c r="QAJ38" s="316"/>
      <c r="QAK38" s="316"/>
      <c r="QAL38" s="316"/>
      <c r="QAM38" s="316"/>
      <c r="QAN38" s="316"/>
      <c r="QAO38" s="316"/>
      <c r="QAP38" s="316"/>
      <c r="QAQ38" s="316"/>
      <c r="QAR38" s="316"/>
      <c r="QAS38" s="316"/>
      <c r="QAT38" s="316"/>
      <c r="QAU38" s="316"/>
      <c r="QAV38" s="316"/>
      <c r="QAW38" s="316"/>
      <c r="QAX38" s="316"/>
      <c r="QAY38" s="316"/>
      <c r="QAZ38" s="316"/>
      <c r="QBA38" s="316"/>
      <c r="QBB38" s="316"/>
      <c r="QBC38" s="316"/>
      <c r="QBD38" s="316"/>
      <c r="QBE38" s="316"/>
      <c r="QBF38" s="316"/>
      <c r="QBG38" s="316"/>
      <c r="QBH38" s="316"/>
      <c r="QBI38" s="316"/>
      <c r="QBJ38" s="316"/>
      <c r="QBK38" s="316"/>
      <c r="QBL38" s="316"/>
      <c r="QBM38" s="316"/>
      <c r="QBN38" s="316"/>
      <c r="QBO38" s="316"/>
      <c r="QBP38" s="316"/>
      <c r="QBQ38" s="316"/>
      <c r="QBR38" s="316"/>
      <c r="QBS38" s="316"/>
      <c r="QBT38" s="316"/>
      <c r="QBU38" s="316"/>
      <c r="QBV38" s="316"/>
      <c r="QBW38" s="316"/>
      <c r="QBX38" s="316"/>
      <c r="QBY38" s="316"/>
      <c r="QBZ38" s="316"/>
      <c r="QCA38" s="316"/>
      <c r="QCB38" s="316"/>
      <c r="QCC38" s="316"/>
      <c r="QCD38" s="316"/>
      <c r="QCE38" s="316"/>
      <c r="QCF38" s="316"/>
      <c r="QCG38" s="316"/>
      <c r="QCH38" s="316"/>
      <c r="QCI38" s="316"/>
      <c r="QCJ38" s="316"/>
      <c r="QCK38" s="316"/>
      <c r="QCL38" s="316"/>
      <c r="QCM38" s="316"/>
      <c r="QCN38" s="316"/>
      <c r="QCO38" s="316"/>
      <c r="QCP38" s="316"/>
      <c r="QCQ38" s="316"/>
      <c r="QCR38" s="316"/>
      <c r="QCS38" s="316"/>
      <c r="QCT38" s="316"/>
      <c r="QCU38" s="316"/>
      <c r="QCV38" s="316"/>
      <c r="QCW38" s="316"/>
      <c r="QCX38" s="316"/>
      <c r="QCY38" s="316"/>
      <c r="QCZ38" s="316"/>
      <c r="QDA38" s="316"/>
      <c r="QDB38" s="316"/>
      <c r="QDC38" s="316"/>
      <c r="QDD38" s="316"/>
      <c r="QDE38" s="316"/>
      <c r="QDF38" s="316"/>
      <c r="QDG38" s="316"/>
      <c r="QDH38" s="316"/>
      <c r="QDI38" s="316"/>
      <c r="QDJ38" s="316"/>
      <c r="QDK38" s="316"/>
      <c r="QDL38" s="316"/>
      <c r="QDM38" s="316"/>
      <c r="QDN38" s="316"/>
      <c r="QDO38" s="316"/>
      <c r="QDP38" s="316"/>
      <c r="QDQ38" s="316"/>
      <c r="QDR38" s="316"/>
      <c r="QDS38" s="316"/>
      <c r="QDT38" s="316"/>
      <c r="QDU38" s="316"/>
      <c r="QDV38" s="316"/>
      <c r="QDW38" s="316"/>
      <c r="QDX38" s="316"/>
      <c r="QDY38" s="316"/>
      <c r="QDZ38" s="316"/>
      <c r="QEA38" s="316"/>
      <c r="QEB38" s="316"/>
      <c r="QEC38" s="316"/>
      <c r="QED38" s="316"/>
      <c r="QEE38" s="316"/>
      <c r="QEF38" s="316"/>
      <c r="QEG38" s="316"/>
      <c r="QEH38" s="316"/>
      <c r="QEI38" s="316"/>
      <c r="QEJ38" s="316"/>
      <c r="QEK38" s="316"/>
      <c r="QEL38" s="316"/>
      <c r="QEM38" s="316"/>
      <c r="QEN38" s="316"/>
      <c r="QEO38" s="316"/>
      <c r="QEP38" s="316"/>
      <c r="QEQ38" s="316"/>
      <c r="QER38" s="316"/>
      <c r="QES38" s="316"/>
      <c r="QET38" s="316"/>
      <c r="QEU38" s="316"/>
      <c r="QEV38" s="316"/>
      <c r="QEW38" s="316"/>
      <c r="QEX38" s="316"/>
      <c r="QEY38" s="316"/>
      <c r="QEZ38" s="316"/>
      <c r="QFA38" s="316"/>
      <c r="QFB38" s="316"/>
      <c r="QFC38" s="316"/>
      <c r="QFD38" s="316"/>
      <c r="QFE38" s="316"/>
      <c r="QFF38" s="316"/>
      <c r="QFG38" s="316"/>
      <c r="QFH38" s="316"/>
      <c r="QFI38" s="316"/>
      <c r="QFJ38" s="316"/>
      <c r="QFK38" s="316"/>
      <c r="QFL38" s="316"/>
      <c r="QFM38" s="316"/>
      <c r="QFN38" s="316"/>
      <c r="QFO38" s="316"/>
      <c r="QFP38" s="316"/>
      <c r="QFQ38" s="316"/>
      <c r="QFR38" s="316"/>
      <c r="QFS38" s="316"/>
      <c r="QFT38" s="316"/>
      <c r="QFU38" s="316"/>
      <c r="QFV38" s="316"/>
      <c r="QFW38" s="316"/>
      <c r="QFX38" s="316"/>
      <c r="QFY38" s="316"/>
      <c r="QFZ38" s="316"/>
      <c r="QGA38" s="316"/>
      <c r="QGB38" s="316"/>
      <c r="QGC38" s="316"/>
      <c r="QGD38" s="316"/>
      <c r="QGE38" s="316"/>
      <c r="QGF38" s="316"/>
      <c r="QGG38" s="316"/>
      <c r="QGH38" s="316"/>
      <c r="QGI38" s="316"/>
      <c r="QGJ38" s="316"/>
      <c r="QGK38" s="316"/>
      <c r="QGL38" s="316"/>
      <c r="QGM38" s="316"/>
      <c r="QGN38" s="316"/>
      <c r="QGO38" s="316"/>
      <c r="QGP38" s="316"/>
      <c r="QGQ38" s="316"/>
      <c r="QGR38" s="316"/>
      <c r="QGS38" s="316"/>
      <c r="QGT38" s="316"/>
      <c r="QGU38" s="316"/>
      <c r="QGV38" s="316"/>
      <c r="QGW38" s="316"/>
      <c r="QGX38" s="316"/>
      <c r="QGY38" s="316"/>
      <c r="QGZ38" s="316"/>
      <c r="QHA38" s="316"/>
      <c r="QHB38" s="316"/>
      <c r="QHC38" s="316"/>
      <c r="QHD38" s="316"/>
      <c r="QHE38" s="316"/>
      <c r="QHF38" s="316"/>
      <c r="QHG38" s="316"/>
      <c r="QHH38" s="316"/>
      <c r="QHI38" s="316"/>
      <c r="QHJ38" s="316"/>
      <c r="QHK38" s="316"/>
      <c r="QHL38" s="316"/>
      <c r="QHM38" s="316"/>
      <c r="QHN38" s="316"/>
      <c r="QHO38" s="316"/>
      <c r="QHP38" s="316"/>
      <c r="QHQ38" s="316"/>
      <c r="QHR38" s="316"/>
      <c r="QHS38" s="316"/>
      <c r="QHT38" s="316"/>
      <c r="QHU38" s="316"/>
      <c r="QHV38" s="316"/>
      <c r="QHW38" s="316"/>
      <c r="QHX38" s="316"/>
      <c r="QHY38" s="316"/>
      <c r="QHZ38" s="316"/>
      <c r="QIA38" s="316"/>
      <c r="QIB38" s="316"/>
      <c r="QIC38" s="316"/>
      <c r="QID38" s="316"/>
      <c r="QIE38" s="316"/>
      <c r="QIF38" s="316"/>
      <c r="QIG38" s="316"/>
      <c r="QIH38" s="316"/>
      <c r="QII38" s="316"/>
      <c r="QIJ38" s="316"/>
      <c r="QIK38" s="316"/>
      <c r="QIL38" s="316"/>
      <c r="QIM38" s="316"/>
      <c r="QIN38" s="316"/>
      <c r="QIO38" s="316"/>
      <c r="QIP38" s="316"/>
      <c r="QIQ38" s="316"/>
      <c r="QIR38" s="316"/>
      <c r="QIS38" s="316"/>
      <c r="QIT38" s="316"/>
      <c r="QIU38" s="316"/>
      <c r="QIV38" s="316"/>
      <c r="QIW38" s="316"/>
      <c r="QIX38" s="316"/>
      <c r="QIY38" s="316"/>
      <c r="QIZ38" s="316"/>
      <c r="QJA38" s="316"/>
      <c r="QJB38" s="316"/>
      <c r="QJC38" s="316"/>
      <c r="QJD38" s="316"/>
      <c r="QJE38" s="316"/>
      <c r="QJF38" s="316"/>
      <c r="QJG38" s="316"/>
      <c r="QJH38" s="316"/>
      <c r="QJI38" s="316"/>
      <c r="QJJ38" s="316"/>
      <c r="QJK38" s="316"/>
      <c r="QJL38" s="316"/>
      <c r="QJM38" s="316"/>
      <c r="QJN38" s="316"/>
      <c r="QJO38" s="316"/>
      <c r="QJP38" s="316"/>
      <c r="QJQ38" s="316"/>
      <c r="QJR38" s="316"/>
      <c r="QJS38" s="316"/>
      <c r="QJT38" s="316"/>
      <c r="QJU38" s="316"/>
      <c r="QJV38" s="316"/>
      <c r="QJW38" s="316"/>
      <c r="QJX38" s="316"/>
      <c r="QJY38" s="316"/>
      <c r="QJZ38" s="316"/>
      <c r="QKA38" s="316"/>
      <c r="QKB38" s="316"/>
      <c r="QKC38" s="316"/>
      <c r="QKD38" s="316"/>
      <c r="QKE38" s="316"/>
      <c r="QKF38" s="316"/>
      <c r="QKG38" s="316"/>
      <c r="QKH38" s="316"/>
      <c r="QKI38" s="316"/>
      <c r="QKJ38" s="316"/>
      <c r="QKK38" s="316"/>
      <c r="QKL38" s="316"/>
      <c r="QKM38" s="316"/>
      <c r="QKN38" s="316"/>
      <c r="QKO38" s="316"/>
      <c r="QKP38" s="316"/>
      <c r="QKQ38" s="316"/>
      <c r="QKR38" s="316"/>
      <c r="QKS38" s="316"/>
      <c r="QKT38" s="316"/>
      <c r="QKU38" s="316"/>
      <c r="QKV38" s="316"/>
      <c r="QKW38" s="316"/>
      <c r="QKX38" s="316"/>
      <c r="QKY38" s="316"/>
      <c r="QKZ38" s="316"/>
      <c r="QLA38" s="316"/>
      <c r="QLB38" s="316"/>
      <c r="QLC38" s="316"/>
      <c r="QLD38" s="316"/>
      <c r="QLE38" s="316"/>
      <c r="QLF38" s="316"/>
      <c r="QLG38" s="316"/>
      <c r="QLH38" s="316"/>
      <c r="QLI38" s="316"/>
      <c r="QLJ38" s="316"/>
      <c r="QLK38" s="316"/>
      <c r="QLL38" s="316"/>
      <c r="QLM38" s="316"/>
      <c r="QLN38" s="316"/>
      <c r="QLO38" s="316"/>
      <c r="QLP38" s="316"/>
      <c r="QLQ38" s="316"/>
      <c r="QLR38" s="316"/>
      <c r="QLS38" s="316"/>
      <c r="QLT38" s="316"/>
      <c r="QLU38" s="316"/>
      <c r="QLV38" s="316"/>
      <c r="QLW38" s="316"/>
      <c r="QLX38" s="316"/>
      <c r="QLY38" s="316"/>
      <c r="QLZ38" s="316"/>
      <c r="QMA38" s="316"/>
      <c r="QMB38" s="316"/>
      <c r="QMC38" s="316"/>
      <c r="QMD38" s="316"/>
      <c r="QME38" s="316"/>
      <c r="QMF38" s="316"/>
      <c r="QMG38" s="316"/>
      <c r="QMH38" s="316"/>
      <c r="QMI38" s="316"/>
      <c r="QMJ38" s="316"/>
      <c r="QMK38" s="316"/>
      <c r="QML38" s="316"/>
      <c r="QMM38" s="316"/>
      <c r="QMN38" s="316"/>
      <c r="QMO38" s="316"/>
      <c r="QMP38" s="316"/>
      <c r="QMQ38" s="316"/>
      <c r="QMR38" s="316"/>
      <c r="QMS38" s="316"/>
      <c r="QMT38" s="316"/>
      <c r="QMU38" s="316"/>
      <c r="QMV38" s="316"/>
      <c r="QMW38" s="316"/>
      <c r="QMX38" s="316"/>
      <c r="QMY38" s="316"/>
      <c r="QMZ38" s="316"/>
      <c r="QNA38" s="316"/>
      <c r="QNB38" s="316"/>
      <c r="QNC38" s="316"/>
      <c r="QND38" s="316"/>
      <c r="QNE38" s="316"/>
      <c r="QNF38" s="316"/>
      <c r="QNG38" s="316"/>
      <c r="QNH38" s="316"/>
      <c r="QNI38" s="316"/>
      <c r="QNJ38" s="316"/>
      <c r="QNK38" s="316"/>
      <c r="QNL38" s="316"/>
      <c r="QNM38" s="316"/>
      <c r="QNN38" s="316"/>
      <c r="QNO38" s="316"/>
      <c r="QNP38" s="316"/>
      <c r="QNQ38" s="316"/>
      <c r="QNR38" s="316"/>
      <c r="QNS38" s="316"/>
      <c r="QNT38" s="316"/>
      <c r="QNU38" s="316"/>
      <c r="QNV38" s="316"/>
      <c r="QNW38" s="316"/>
      <c r="QNX38" s="316"/>
      <c r="QNY38" s="316"/>
      <c r="QNZ38" s="316"/>
      <c r="QOA38" s="316"/>
      <c r="QOB38" s="316"/>
      <c r="QOC38" s="316"/>
      <c r="QOD38" s="316"/>
      <c r="QOE38" s="316"/>
      <c r="QOF38" s="316"/>
      <c r="QOG38" s="316"/>
      <c r="QOH38" s="316"/>
      <c r="QOI38" s="316"/>
      <c r="QOJ38" s="316"/>
      <c r="QOK38" s="316"/>
      <c r="QOL38" s="316"/>
      <c r="QOM38" s="316"/>
      <c r="QON38" s="316"/>
      <c r="QOO38" s="316"/>
      <c r="QOP38" s="316"/>
      <c r="QOQ38" s="316"/>
      <c r="QOR38" s="316"/>
      <c r="QOS38" s="316"/>
      <c r="QOT38" s="316"/>
      <c r="QOU38" s="316"/>
      <c r="QOV38" s="316"/>
      <c r="QOW38" s="316"/>
      <c r="QOX38" s="316"/>
      <c r="QOY38" s="316"/>
      <c r="QOZ38" s="316"/>
      <c r="QPA38" s="316"/>
      <c r="QPB38" s="316"/>
      <c r="QPC38" s="316"/>
      <c r="QPD38" s="316"/>
      <c r="QPE38" s="316"/>
      <c r="QPF38" s="316"/>
      <c r="QPG38" s="316"/>
      <c r="QPH38" s="316"/>
      <c r="QPI38" s="316"/>
      <c r="QPJ38" s="316"/>
      <c r="QPK38" s="316"/>
      <c r="QPL38" s="316"/>
      <c r="QPM38" s="316"/>
      <c r="QPN38" s="316"/>
      <c r="QPO38" s="316"/>
      <c r="QPP38" s="316"/>
      <c r="QPQ38" s="316"/>
      <c r="QPR38" s="316"/>
      <c r="QPS38" s="316"/>
      <c r="QPT38" s="316"/>
      <c r="QPU38" s="316"/>
      <c r="QPV38" s="316"/>
      <c r="QPW38" s="316"/>
      <c r="QPX38" s="316"/>
      <c r="QPY38" s="316"/>
      <c r="QPZ38" s="316"/>
      <c r="QQA38" s="316"/>
      <c r="QQB38" s="316"/>
      <c r="QQC38" s="316"/>
      <c r="QQD38" s="316"/>
      <c r="QQE38" s="316"/>
      <c r="QQF38" s="316"/>
      <c r="QQG38" s="316"/>
      <c r="QQH38" s="316"/>
      <c r="QQI38" s="316"/>
      <c r="QQJ38" s="316"/>
      <c r="QQK38" s="316"/>
      <c r="QQL38" s="316"/>
      <c r="QQM38" s="316"/>
      <c r="QQN38" s="316"/>
      <c r="QQO38" s="316"/>
      <c r="QQP38" s="316"/>
      <c r="QQQ38" s="316"/>
      <c r="QQR38" s="316"/>
      <c r="QQS38" s="316"/>
      <c r="QQT38" s="316"/>
      <c r="QQU38" s="316"/>
      <c r="QQV38" s="316"/>
      <c r="QQW38" s="316"/>
      <c r="QQX38" s="316"/>
      <c r="QQY38" s="316"/>
      <c r="QQZ38" s="316"/>
      <c r="QRA38" s="316"/>
      <c r="QRB38" s="316"/>
      <c r="QRC38" s="316"/>
      <c r="QRD38" s="316"/>
      <c r="QRE38" s="316"/>
      <c r="QRF38" s="316"/>
      <c r="QRG38" s="316"/>
      <c r="QRH38" s="316"/>
      <c r="QRI38" s="316"/>
      <c r="QRJ38" s="316"/>
      <c r="QRK38" s="316"/>
      <c r="QRL38" s="316"/>
      <c r="QRM38" s="316"/>
      <c r="QRN38" s="316"/>
      <c r="QRO38" s="316"/>
      <c r="QRP38" s="316"/>
      <c r="QRQ38" s="316"/>
      <c r="QRR38" s="316"/>
      <c r="QRS38" s="316"/>
      <c r="QRT38" s="316"/>
      <c r="QRU38" s="316"/>
      <c r="QRV38" s="316"/>
      <c r="QRW38" s="316"/>
      <c r="QRX38" s="316"/>
      <c r="QRY38" s="316"/>
      <c r="QRZ38" s="316"/>
      <c r="QSA38" s="316"/>
      <c r="QSB38" s="316"/>
      <c r="QSC38" s="316"/>
      <c r="QSD38" s="316"/>
      <c r="QSE38" s="316"/>
      <c r="QSF38" s="316"/>
      <c r="QSG38" s="316"/>
      <c r="QSH38" s="316"/>
      <c r="QSI38" s="316"/>
      <c r="QSJ38" s="316"/>
      <c r="QSK38" s="316"/>
      <c r="QSL38" s="316"/>
      <c r="QSM38" s="316"/>
      <c r="QSN38" s="316"/>
      <c r="QSO38" s="316"/>
      <c r="QSP38" s="316"/>
      <c r="QSQ38" s="316"/>
      <c r="QSR38" s="316"/>
      <c r="QSS38" s="316"/>
      <c r="QST38" s="316"/>
      <c r="QSU38" s="316"/>
      <c r="QSV38" s="316"/>
      <c r="QSW38" s="316"/>
      <c r="QSX38" s="316"/>
      <c r="QSY38" s="316"/>
      <c r="QSZ38" s="316"/>
      <c r="QTA38" s="316"/>
      <c r="QTB38" s="316"/>
      <c r="QTC38" s="316"/>
      <c r="QTD38" s="316"/>
      <c r="QTE38" s="316"/>
      <c r="QTF38" s="316"/>
      <c r="QTG38" s="316"/>
      <c r="QTH38" s="316"/>
      <c r="QTI38" s="316"/>
      <c r="QTJ38" s="316"/>
      <c r="QTK38" s="316"/>
      <c r="QTL38" s="316"/>
      <c r="QTM38" s="316"/>
      <c r="QTN38" s="316"/>
      <c r="QTO38" s="316"/>
      <c r="QTP38" s="316"/>
      <c r="QTQ38" s="316"/>
      <c r="QTR38" s="316"/>
      <c r="QTS38" s="316"/>
      <c r="QTT38" s="316"/>
      <c r="QTU38" s="316"/>
      <c r="QTV38" s="316"/>
      <c r="QTW38" s="316"/>
      <c r="QTX38" s="316"/>
      <c r="QTY38" s="316"/>
      <c r="QTZ38" s="316"/>
      <c r="QUA38" s="316"/>
      <c r="QUB38" s="316"/>
      <c r="QUC38" s="316"/>
      <c r="QUD38" s="316"/>
      <c r="QUE38" s="316"/>
      <c r="QUF38" s="316"/>
      <c r="QUG38" s="316"/>
      <c r="QUH38" s="316"/>
      <c r="QUI38" s="316"/>
      <c r="QUJ38" s="316"/>
      <c r="QUK38" s="316"/>
      <c r="QUL38" s="316"/>
      <c r="QUM38" s="316"/>
      <c r="QUN38" s="316"/>
      <c r="QUO38" s="316"/>
      <c r="QUP38" s="316"/>
      <c r="QUQ38" s="316"/>
      <c r="QUR38" s="316"/>
      <c r="QUS38" s="316"/>
      <c r="QUT38" s="316"/>
      <c r="QUU38" s="316"/>
      <c r="QUV38" s="316"/>
      <c r="QUW38" s="316"/>
      <c r="QUX38" s="316"/>
      <c r="QUY38" s="316"/>
      <c r="QUZ38" s="316"/>
      <c r="QVA38" s="316"/>
      <c r="QVB38" s="316"/>
      <c r="QVC38" s="316"/>
      <c r="QVD38" s="316"/>
      <c r="QVE38" s="316"/>
      <c r="QVF38" s="316"/>
      <c r="QVG38" s="316"/>
      <c r="QVH38" s="316"/>
      <c r="QVI38" s="316"/>
      <c r="QVJ38" s="316"/>
      <c r="QVK38" s="316"/>
      <c r="QVL38" s="316"/>
      <c r="QVM38" s="316"/>
      <c r="QVN38" s="316"/>
      <c r="QVO38" s="316"/>
      <c r="QVP38" s="316"/>
      <c r="QVQ38" s="316"/>
      <c r="QVR38" s="316"/>
      <c r="QVS38" s="316"/>
      <c r="QVT38" s="316"/>
      <c r="QVU38" s="316"/>
      <c r="QVV38" s="316"/>
      <c r="QVW38" s="316"/>
      <c r="QVX38" s="316"/>
      <c r="QVY38" s="316"/>
      <c r="QVZ38" s="316"/>
      <c r="QWA38" s="316"/>
      <c r="QWB38" s="316"/>
      <c r="QWC38" s="316"/>
      <c r="QWD38" s="316"/>
      <c r="QWE38" s="316"/>
      <c r="QWF38" s="316"/>
      <c r="QWG38" s="316"/>
      <c r="QWH38" s="316"/>
      <c r="QWI38" s="316"/>
      <c r="QWJ38" s="316"/>
      <c r="QWK38" s="316"/>
      <c r="QWL38" s="316"/>
      <c r="QWM38" s="316"/>
      <c r="QWN38" s="316"/>
      <c r="QWO38" s="316"/>
      <c r="QWP38" s="316"/>
      <c r="QWQ38" s="316"/>
      <c r="QWR38" s="316"/>
      <c r="QWS38" s="316"/>
      <c r="QWT38" s="316"/>
      <c r="QWU38" s="316"/>
      <c r="QWV38" s="316"/>
      <c r="QWW38" s="316"/>
      <c r="QWX38" s="316"/>
      <c r="QWY38" s="316"/>
      <c r="QWZ38" s="316"/>
      <c r="QXA38" s="316"/>
      <c r="QXB38" s="316"/>
      <c r="QXC38" s="316"/>
      <c r="QXD38" s="316"/>
      <c r="QXE38" s="316"/>
      <c r="QXF38" s="316"/>
      <c r="QXG38" s="316"/>
      <c r="QXH38" s="316"/>
      <c r="QXI38" s="316"/>
      <c r="QXJ38" s="316"/>
      <c r="QXK38" s="316"/>
      <c r="QXL38" s="316"/>
      <c r="QXM38" s="316"/>
      <c r="QXN38" s="316"/>
      <c r="QXO38" s="316"/>
      <c r="QXP38" s="316"/>
      <c r="QXQ38" s="316"/>
      <c r="QXR38" s="316"/>
      <c r="QXS38" s="316"/>
      <c r="QXT38" s="316"/>
      <c r="QXU38" s="316"/>
      <c r="QXV38" s="316"/>
      <c r="QXW38" s="316"/>
      <c r="QXX38" s="316"/>
      <c r="QXY38" s="316"/>
      <c r="QXZ38" s="316"/>
      <c r="QYA38" s="316"/>
      <c r="QYB38" s="316"/>
      <c r="QYC38" s="316"/>
      <c r="QYD38" s="316"/>
      <c r="QYE38" s="316"/>
      <c r="QYF38" s="316"/>
      <c r="QYG38" s="316"/>
      <c r="QYH38" s="316"/>
      <c r="QYI38" s="316"/>
      <c r="QYJ38" s="316"/>
      <c r="QYK38" s="316"/>
      <c r="QYL38" s="316"/>
      <c r="QYM38" s="316"/>
      <c r="QYN38" s="316"/>
      <c r="QYO38" s="316"/>
      <c r="QYP38" s="316"/>
      <c r="QYQ38" s="316"/>
      <c r="QYR38" s="316"/>
      <c r="QYS38" s="316"/>
      <c r="QYT38" s="316"/>
      <c r="QYU38" s="316"/>
      <c r="QYV38" s="316"/>
      <c r="QYW38" s="316"/>
      <c r="QYX38" s="316"/>
      <c r="QYY38" s="316"/>
      <c r="QYZ38" s="316"/>
      <c r="QZA38" s="316"/>
      <c r="QZB38" s="316"/>
      <c r="QZC38" s="316"/>
      <c r="QZD38" s="316"/>
      <c r="QZE38" s="316"/>
      <c r="QZF38" s="316"/>
      <c r="QZG38" s="316"/>
      <c r="QZH38" s="316"/>
      <c r="QZI38" s="316"/>
      <c r="QZJ38" s="316"/>
      <c r="QZK38" s="316"/>
      <c r="QZL38" s="316"/>
      <c r="QZM38" s="316"/>
      <c r="QZN38" s="316"/>
      <c r="QZO38" s="316"/>
      <c r="QZP38" s="316"/>
      <c r="QZQ38" s="316"/>
      <c r="QZR38" s="316"/>
      <c r="QZS38" s="316"/>
      <c r="QZT38" s="316"/>
      <c r="QZU38" s="316"/>
      <c r="QZV38" s="316"/>
      <c r="QZW38" s="316"/>
      <c r="QZX38" s="316"/>
      <c r="QZY38" s="316"/>
      <c r="QZZ38" s="316"/>
      <c r="RAA38" s="316"/>
      <c r="RAB38" s="316"/>
      <c r="RAC38" s="316"/>
      <c r="RAD38" s="316"/>
      <c r="RAE38" s="316"/>
      <c r="RAF38" s="316"/>
      <c r="RAG38" s="316"/>
      <c r="RAH38" s="316"/>
      <c r="RAI38" s="316"/>
      <c r="RAJ38" s="316"/>
      <c r="RAK38" s="316"/>
      <c r="RAL38" s="316"/>
      <c r="RAM38" s="316"/>
      <c r="RAN38" s="316"/>
      <c r="RAO38" s="316"/>
      <c r="RAP38" s="316"/>
      <c r="RAQ38" s="316"/>
      <c r="RAR38" s="316"/>
      <c r="RAS38" s="316"/>
      <c r="RAT38" s="316"/>
      <c r="RAU38" s="316"/>
      <c r="RAV38" s="316"/>
      <c r="RAW38" s="316"/>
      <c r="RAX38" s="316"/>
      <c r="RAY38" s="316"/>
      <c r="RAZ38" s="316"/>
      <c r="RBA38" s="316"/>
      <c r="RBB38" s="316"/>
      <c r="RBC38" s="316"/>
      <c r="RBD38" s="316"/>
      <c r="RBE38" s="316"/>
      <c r="RBF38" s="316"/>
      <c r="RBG38" s="316"/>
      <c r="RBH38" s="316"/>
      <c r="RBI38" s="316"/>
      <c r="RBJ38" s="316"/>
      <c r="RBK38" s="316"/>
      <c r="RBL38" s="316"/>
      <c r="RBM38" s="316"/>
      <c r="RBN38" s="316"/>
      <c r="RBO38" s="316"/>
      <c r="RBP38" s="316"/>
      <c r="RBQ38" s="316"/>
      <c r="RBR38" s="316"/>
      <c r="RBS38" s="316"/>
      <c r="RBT38" s="316"/>
      <c r="RBU38" s="316"/>
      <c r="RBV38" s="316"/>
      <c r="RBW38" s="316"/>
      <c r="RBX38" s="316"/>
      <c r="RBY38" s="316"/>
      <c r="RBZ38" s="316"/>
      <c r="RCA38" s="316"/>
      <c r="RCB38" s="316"/>
      <c r="RCC38" s="316"/>
      <c r="RCD38" s="316"/>
      <c r="RCE38" s="316"/>
      <c r="RCF38" s="316"/>
      <c r="RCG38" s="316"/>
      <c r="RCH38" s="316"/>
      <c r="RCI38" s="316"/>
      <c r="RCJ38" s="316"/>
      <c r="RCK38" s="316"/>
      <c r="RCL38" s="316"/>
      <c r="RCM38" s="316"/>
      <c r="RCN38" s="316"/>
      <c r="RCO38" s="316"/>
      <c r="RCP38" s="316"/>
      <c r="RCQ38" s="316"/>
      <c r="RCR38" s="316"/>
      <c r="RCS38" s="316"/>
      <c r="RCT38" s="316"/>
      <c r="RCU38" s="316"/>
      <c r="RCV38" s="316"/>
      <c r="RCW38" s="316"/>
      <c r="RCX38" s="316"/>
      <c r="RCY38" s="316"/>
      <c r="RCZ38" s="316"/>
      <c r="RDA38" s="316"/>
      <c r="RDB38" s="316"/>
      <c r="RDC38" s="316"/>
      <c r="RDD38" s="316"/>
      <c r="RDE38" s="316"/>
      <c r="RDF38" s="316"/>
      <c r="RDG38" s="316"/>
      <c r="RDH38" s="316"/>
      <c r="RDI38" s="316"/>
      <c r="RDJ38" s="316"/>
      <c r="RDK38" s="316"/>
      <c r="RDL38" s="316"/>
      <c r="RDM38" s="316"/>
      <c r="RDN38" s="316"/>
      <c r="RDO38" s="316"/>
      <c r="RDP38" s="316"/>
      <c r="RDQ38" s="316"/>
      <c r="RDR38" s="316"/>
      <c r="RDS38" s="316"/>
      <c r="RDT38" s="316"/>
      <c r="RDU38" s="316"/>
      <c r="RDV38" s="316"/>
      <c r="RDW38" s="316"/>
      <c r="RDX38" s="316"/>
      <c r="RDY38" s="316"/>
      <c r="RDZ38" s="316"/>
      <c r="REA38" s="316"/>
      <c r="REB38" s="316"/>
      <c r="REC38" s="316"/>
      <c r="RED38" s="316"/>
      <c r="REE38" s="316"/>
      <c r="REF38" s="316"/>
      <c r="REG38" s="316"/>
      <c r="REH38" s="316"/>
      <c r="REI38" s="316"/>
      <c r="REJ38" s="316"/>
      <c r="REK38" s="316"/>
      <c r="REL38" s="316"/>
      <c r="REM38" s="316"/>
      <c r="REN38" s="316"/>
      <c r="REO38" s="316"/>
      <c r="REP38" s="316"/>
      <c r="REQ38" s="316"/>
      <c r="RER38" s="316"/>
      <c r="RES38" s="316"/>
      <c r="RET38" s="316"/>
      <c r="REU38" s="316"/>
      <c r="REV38" s="316"/>
      <c r="REW38" s="316"/>
      <c r="REX38" s="316"/>
      <c r="REY38" s="316"/>
      <c r="REZ38" s="316"/>
      <c r="RFA38" s="316"/>
      <c r="RFB38" s="316"/>
      <c r="RFC38" s="316"/>
      <c r="RFD38" s="316"/>
      <c r="RFE38" s="316"/>
      <c r="RFF38" s="316"/>
      <c r="RFG38" s="316"/>
      <c r="RFH38" s="316"/>
      <c r="RFI38" s="316"/>
      <c r="RFJ38" s="316"/>
      <c r="RFK38" s="316"/>
      <c r="RFL38" s="316"/>
      <c r="RFM38" s="316"/>
      <c r="RFN38" s="316"/>
      <c r="RFO38" s="316"/>
      <c r="RFP38" s="316"/>
      <c r="RFQ38" s="316"/>
      <c r="RFR38" s="316"/>
      <c r="RFS38" s="316"/>
      <c r="RFT38" s="316"/>
      <c r="RFU38" s="316"/>
      <c r="RFV38" s="316"/>
      <c r="RFW38" s="316"/>
      <c r="RFX38" s="316"/>
      <c r="RFY38" s="316"/>
      <c r="RFZ38" s="316"/>
      <c r="RGA38" s="316"/>
      <c r="RGB38" s="316"/>
      <c r="RGC38" s="316"/>
      <c r="RGD38" s="316"/>
      <c r="RGE38" s="316"/>
      <c r="RGF38" s="316"/>
      <c r="RGG38" s="316"/>
      <c r="RGH38" s="316"/>
      <c r="RGI38" s="316"/>
      <c r="RGJ38" s="316"/>
      <c r="RGK38" s="316"/>
      <c r="RGL38" s="316"/>
      <c r="RGM38" s="316"/>
      <c r="RGN38" s="316"/>
      <c r="RGO38" s="316"/>
      <c r="RGP38" s="316"/>
      <c r="RGQ38" s="316"/>
      <c r="RGR38" s="316"/>
      <c r="RGS38" s="316"/>
      <c r="RGT38" s="316"/>
      <c r="RGU38" s="316"/>
      <c r="RGV38" s="316"/>
      <c r="RGW38" s="316"/>
      <c r="RGX38" s="316"/>
      <c r="RGY38" s="316"/>
      <c r="RGZ38" s="316"/>
      <c r="RHA38" s="316"/>
      <c r="RHB38" s="316"/>
      <c r="RHC38" s="316"/>
      <c r="RHD38" s="316"/>
      <c r="RHE38" s="316"/>
      <c r="RHF38" s="316"/>
      <c r="RHG38" s="316"/>
      <c r="RHH38" s="316"/>
      <c r="RHI38" s="316"/>
      <c r="RHJ38" s="316"/>
      <c r="RHK38" s="316"/>
      <c r="RHL38" s="316"/>
      <c r="RHM38" s="316"/>
      <c r="RHN38" s="316"/>
      <c r="RHO38" s="316"/>
      <c r="RHP38" s="316"/>
      <c r="RHQ38" s="316"/>
      <c r="RHR38" s="316"/>
      <c r="RHS38" s="316"/>
      <c r="RHT38" s="316"/>
      <c r="RHU38" s="316"/>
      <c r="RHV38" s="316"/>
      <c r="RHW38" s="316"/>
      <c r="RHX38" s="316"/>
      <c r="RHY38" s="316"/>
      <c r="RHZ38" s="316"/>
      <c r="RIA38" s="316"/>
      <c r="RIB38" s="316"/>
      <c r="RIC38" s="316"/>
      <c r="RID38" s="316"/>
      <c r="RIE38" s="316"/>
      <c r="RIF38" s="316"/>
      <c r="RIG38" s="316"/>
      <c r="RIH38" s="316"/>
      <c r="RII38" s="316"/>
      <c r="RIJ38" s="316"/>
      <c r="RIK38" s="316"/>
      <c r="RIL38" s="316"/>
      <c r="RIM38" s="316"/>
      <c r="RIN38" s="316"/>
      <c r="RIO38" s="316"/>
      <c r="RIP38" s="316"/>
      <c r="RIQ38" s="316"/>
      <c r="RIR38" s="316"/>
      <c r="RIS38" s="316"/>
      <c r="RIT38" s="316"/>
      <c r="RIU38" s="316"/>
      <c r="RIV38" s="316"/>
      <c r="RIW38" s="316"/>
      <c r="RIX38" s="316"/>
      <c r="RIY38" s="316"/>
      <c r="RIZ38" s="316"/>
      <c r="RJA38" s="316"/>
      <c r="RJB38" s="316"/>
      <c r="RJC38" s="316"/>
      <c r="RJD38" s="316"/>
      <c r="RJE38" s="316"/>
      <c r="RJF38" s="316"/>
      <c r="RJG38" s="316"/>
      <c r="RJH38" s="316"/>
      <c r="RJI38" s="316"/>
      <c r="RJJ38" s="316"/>
      <c r="RJK38" s="316"/>
      <c r="RJL38" s="316"/>
      <c r="RJM38" s="316"/>
      <c r="RJN38" s="316"/>
      <c r="RJO38" s="316"/>
      <c r="RJP38" s="316"/>
      <c r="RJQ38" s="316"/>
      <c r="RJR38" s="316"/>
      <c r="RJS38" s="316"/>
      <c r="RJT38" s="316"/>
      <c r="RJU38" s="316"/>
      <c r="RJV38" s="316"/>
      <c r="RJW38" s="316"/>
      <c r="RJX38" s="316"/>
      <c r="RJY38" s="316"/>
      <c r="RJZ38" s="316"/>
      <c r="RKA38" s="316"/>
      <c r="RKB38" s="316"/>
      <c r="RKC38" s="316"/>
      <c r="RKD38" s="316"/>
      <c r="RKE38" s="316"/>
      <c r="RKF38" s="316"/>
      <c r="RKG38" s="316"/>
      <c r="RKH38" s="316"/>
      <c r="RKI38" s="316"/>
      <c r="RKJ38" s="316"/>
      <c r="RKK38" s="316"/>
      <c r="RKL38" s="316"/>
      <c r="RKM38" s="316"/>
      <c r="RKN38" s="316"/>
      <c r="RKO38" s="316"/>
      <c r="RKP38" s="316"/>
      <c r="RKQ38" s="316"/>
      <c r="RKR38" s="316"/>
      <c r="RKS38" s="316"/>
      <c r="RKT38" s="316"/>
      <c r="RKU38" s="316"/>
      <c r="RKV38" s="316"/>
      <c r="RKW38" s="316"/>
      <c r="RKX38" s="316"/>
      <c r="RKY38" s="316"/>
      <c r="RKZ38" s="316"/>
      <c r="RLA38" s="316"/>
      <c r="RLB38" s="316"/>
      <c r="RLC38" s="316"/>
      <c r="RLD38" s="316"/>
      <c r="RLE38" s="316"/>
      <c r="RLF38" s="316"/>
      <c r="RLG38" s="316"/>
      <c r="RLH38" s="316"/>
      <c r="RLI38" s="316"/>
      <c r="RLJ38" s="316"/>
      <c r="RLK38" s="316"/>
      <c r="RLL38" s="316"/>
      <c r="RLM38" s="316"/>
      <c r="RLN38" s="316"/>
      <c r="RLO38" s="316"/>
      <c r="RLP38" s="316"/>
      <c r="RLQ38" s="316"/>
      <c r="RLR38" s="316"/>
      <c r="RLS38" s="316"/>
      <c r="RLT38" s="316"/>
      <c r="RLU38" s="316"/>
      <c r="RLV38" s="316"/>
      <c r="RLW38" s="316"/>
      <c r="RLX38" s="316"/>
      <c r="RLY38" s="316"/>
      <c r="RLZ38" s="316"/>
      <c r="RMA38" s="316"/>
      <c r="RMB38" s="316"/>
      <c r="RMC38" s="316"/>
      <c r="RMD38" s="316"/>
      <c r="RME38" s="316"/>
      <c r="RMF38" s="316"/>
      <c r="RMG38" s="316"/>
      <c r="RMH38" s="316"/>
      <c r="RMI38" s="316"/>
      <c r="RMJ38" s="316"/>
      <c r="RMK38" s="316"/>
      <c r="RML38" s="316"/>
      <c r="RMM38" s="316"/>
      <c r="RMN38" s="316"/>
      <c r="RMO38" s="316"/>
      <c r="RMP38" s="316"/>
      <c r="RMQ38" s="316"/>
      <c r="RMR38" s="316"/>
      <c r="RMS38" s="316"/>
      <c r="RMT38" s="316"/>
      <c r="RMU38" s="316"/>
      <c r="RMV38" s="316"/>
      <c r="RMW38" s="316"/>
      <c r="RMX38" s="316"/>
      <c r="RMY38" s="316"/>
      <c r="RMZ38" s="316"/>
      <c r="RNA38" s="316"/>
      <c r="RNB38" s="316"/>
      <c r="RNC38" s="316"/>
      <c r="RND38" s="316"/>
      <c r="RNE38" s="316"/>
      <c r="RNF38" s="316"/>
      <c r="RNG38" s="316"/>
      <c r="RNH38" s="316"/>
      <c r="RNI38" s="316"/>
      <c r="RNJ38" s="316"/>
      <c r="RNK38" s="316"/>
      <c r="RNL38" s="316"/>
      <c r="RNM38" s="316"/>
      <c r="RNN38" s="316"/>
      <c r="RNO38" s="316"/>
      <c r="RNP38" s="316"/>
      <c r="RNQ38" s="316"/>
      <c r="RNR38" s="316"/>
      <c r="RNS38" s="316"/>
      <c r="RNT38" s="316"/>
      <c r="RNU38" s="316"/>
      <c r="RNV38" s="316"/>
      <c r="RNW38" s="316"/>
      <c r="RNX38" s="316"/>
      <c r="RNY38" s="316"/>
      <c r="RNZ38" s="316"/>
      <c r="ROA38" s="316"/>
      <c r="ROB38" s="316"/>
      <c r="ROC38" s="316"/>
      <c r="ROD38" s="316"/>
      <c r="ROE38" s="316"/>
      <c r="ROF38" s="316"/>
      <c r="ROG38" s="316"/>
      <c r="ROH38" s="316"/>
      <c r="ROI38" s="316"/>
      <c r="ROJ38" s="316"/>
      <c r="ROK38" s="316"/>
      <c r="ROL38" s="316"/>
      <c r="ROM38" s="316"/>
      <c r="RON38" s="316"/>
      <c r="ROO38" s="316"/>
      <c r="ROP38" s="316"/>
      <c r="ROQ38" s="316"/>
      <c r="ROR38" s="316"/>
      <c r="ROS38" s="316"/>
      <c r="ROT38" s="316"/>
      <c r="ROU38" s="316"/>
      <c r="ROV38" s="316"/>
      <c r="ROW38" s="316"/>
      <c r="ROX38" s="316"/>
      <c r="ROY38" s="316"/>
      <c r="ROZ38" s="316"/>
      <c r="RPA38" s="316"/>
      <c r="RPB38" s="316"/>
      <c r="RPC38" s="316"/>
      <c r="RPD38" s="316"/>
      <c r="RPE38" s="316"/>
      <c r="RPF38" s="316"/>
      <c r="RPG38" s="316"/>
      <c r="RPH38" s="316"/>
      <c r="RPI38" s="316"/>
      <c r="RPJ38" s="316"/>
      <c r="RPK38" s="316"/>
      <c r="RPL38" s="316"/>
      <c r="RPM38" s="316"/>
      <c r="RPN38" s="316"/>
      <c r="RPO38" s="316"/>
      <c r="RPP38" s="316"/>
      <c r="RPQ38" s="316"/>
      <c r="RPR38" s="316"/>
      <c r="RPS38" s="316"/>
      <c r="RPT38" s="316"/>
      <c r="RPU38" s="316"/>
      <c r="RPV38" s="316"/>
      <c r="RPW38" s="316"/>
      <c r="RPX38" s="316"/>
      <c r="RPY38" s="316"/>
      <c r="RPZ38" s="316"/>
      <c r="RQA38" s="316"/>
      <c r="RQB38" s="316"/>
      <c r="RQC38" s="316"/>
      <c r="RQD38" s="316"/>
      <c r="RQE38" s="316"/>
      <c r="RQF38" s="316"/>
      <c r="RQG38" s="316"/>
      <c r="RQH38" s="316"/>
      <c r="RQI38" s="316"/>
      <c r="RQJ38" s="316"/>
      <c r="RQK38" s="316"/>
      <c r="RQL38" s="316"/>
      <c r="RQM38" s="316"/>
      <c r="RQN38" s="316"/>
      <c r="RQO38" s="316"/>
      <c r="RQP38" s="316"/>
      <c r="RQQ38" s="316"/>
      <c r="RQR38" s="316"/>
      <c r="RQS38" s="316"/>
      <c r="RQT38" s="316"/>
      <c r="RQU38" s="316"/>
      <c r="RQV38" s="316"/>
      <c r="RQW38" s="316"/>
      <c r="RQX38" s="316"/>
      <c r="RQY38" s="316"/>
      <c r="RQZ38" s="316"/>
      <c r="RRA38" s="316"/>
      <c r="RRB38" s="316"/>
      <c r="RRC38" s="316"/>
      <c r="RRD38" s="316"/>
      <c r="RRE38" s="316"/>
      <c r="RRF38" s="316"/>
      <c r="RRG38" s="316"/>
      <c r="RRH38" s="316"/>
      <c r="RRI38" s="316"/>
      <c r="RRJ38" s="316"/>
      <c r="RRK38" s="316"/>
      <c r="RRL38" s="316"/>
      <c r="RRM38" s="316"/>
      <c r="RRN38" s="316"/>
      <c r="RRO38" s="316"/>
      <c r="RRP38" s="316"/>
      <c r="RRQ38" s="316"/>
      <c r="RRR38" s="316"/>
      <c r="RRS38" s="316"/>
      <c r="RRT38" s="316"/>
      <c r="RRU38" s="316"/>
      <c r="RRV38" s="316"/>
      <c r="RRW38" s="316"/>
      <c r="RRX38" s="316"/>
      <c r="RRY38" s="316"/>
      <c r="RRZ38" s="316"/>
      <c r="RSA38" s="316"/>
      <c r="RSB38" s="316"/>
      <c r="RSC38" s="316"/>
      <c r="RSD38" s="316"/>
      <c r="RSE38" s="316"/>
      <c r="RSF38" s="316"/>
      <c r="RSG38" s="316"/>
      <c r="RSH38" s="316"/>
      <c r="RSI38" s="316"/>
      <c r="RSJ38" s="316"/>
      <c r="RSK38" s="316"/>
      <c r="RSL38" s="316"/>
      <c r="RSM38" s="316"/>
      <c r="RSN38" s="316"/>
      <c r="RSO38" s="316"/>
      <c r="RSP38" s="316"/>
      <c r="RSQ38" s="316"/>
      <c r="RSR38" s="316"/>
      <c r="RSS38" s="316"/>
      <c r="RST38" s="316"/>
      <c r="RSU38" s="316"/>
      <c r="RSV38" s="316"/>
      <c r="RSW38" s="316"/>
      <c r="RSX38" s="316"/>
      <c r="RSY38" s="316"/>
      <c r="RSZ38" s="316"/>
      <c r="RTA38" s="316"/>
      <c r="RTB38" s="316"/>
      <c r="RTC38" s="316"/>
      <c r="RTD38" s="316"/>
      <c r="RTE38" s="316"/>
      <c r="RTF38" s="316"/>
      <c r="RTG38" s="316"/>
      <c r="RTH38" s="316"/>
      <c r="RTI38" s="316"/>
      <c r="RTJ38" s="316"/>
      <c r="RTK38" s="316"/>
      <c r="RTL38" s="316"/>
      <c r="RTM38" s="316"/>
      <c r="RTN38" s="316"/>
      <c r="RTO38" s="316"/>
      <c r="RTP38" s="316"/>
      <c r="RTQ38" s="316"/>
      <c r="RTR38" s="316"/>
      <c r="RTS38" s="316"/>
      <c r="RTT38" s="316"/>
      <c r="RTU38" s="316"/>
      <c r="RTV38" s="316"/>
      <c r="RTW38" s="316"/>
      <c r="RTX38" s="316"/>
      <c r="RTY38" s="316"/>
      <c r="RTZ38" s="316"/>
      <c r="RUA38" s="316"/>
      <c r="RUB38" s="316"/>
      <c r="RUC38" s="316"/>
      <c r="RUD38" s="316"/>
      <c r="RUE38" s="316"/>
      <c r="RUF38" s="316"/>
      <c r="RUG38" s="316"/>
      <c r="RUH38" s="316"/>
      <c r="RUI38" s="316"/>
      <c r="RUJ38" s="316"/>
      <c r="RUK38" s="316"/>
      <c r="RUL38" s="316"/>
      <c r="RUM38" s="316"/>
      <c r="RUN38" s="316"/>
      <c r="RUO38" s="316"/>
      <c r="RUP38" s="316"/>
      <c r="RUQ38" s="316"/>
      <c r="RUR38" s="316"/>
      <c r="RUS38" s="316"/>
      <c r="RUT38" s="316"/>
      <c r="RUU38" s="316"/>
      <c r="RUV38" s="316"/>
      <c r="RUW38" s="316"/>
      <c r="RUX38" s="316"/>
      <c r="RUY38" s="316"/>
      <c r="RUZ38" s="316"/>
      <c r="RVA38" s="316"/>
      <c r="RVB38" s="316"/>
      <c r="RVC38" s="316"/>
      <c r="RVD38" s="316"/>
      <c r="RVE38" s="316"/>
      <c r="RVF38" s="316"/>
      <c r="RVG38" s="316"/>
      <c r="RVH38" s="316"/>
      <c r="RVI38" s="316"/>
      <c r="RVJ38" s="316"/>
      <c r="RVK38" s="316"/>
      <c r="RVL38" s="316"/>
      <c r="RVM38" s="316"/>
      <c r="RVN38" s="316"/>
      <c r="RVO38" s="316"/>
      <c r="RVP38" s="316"/>
      <c r="RVQ38" s="316"/>
      <c r="RVR38" s="316"/>
      <c r="RVS38" s="316"/>
      <c r="RVT38" s="316"/>
      <c r="RVU38" s="316"/>
      <c r="RVV38" s="316"/>
      <c r="RVW38" s="316"/>
      <c r="RVX38" s="316"/>
      <c r="RVY38" s="316"/>
      <c r="RVZ38" s="316"/>
      <c r="RWA38" s="316"/>
      <c r="RWB38" s="316"/>
      <c r="RWC38" s="316"/>
      <c r="RWD38" s="316"/>
      <c r="RWE38" s="316"/>
      <c r="RWF38" s="316"/>
      <c r="RWG38" s="316"/>
      <c r="RWH38" s="316"/>
      <c r="RWI38" s="316"/>
      <c r="RWJ38" s="316"/>
      <c r="RWK38" s="316"/>
      <c r="RWL38" s="316"/>
      <c r="RWM38" s="316"/>
      <c r="RWN38" s="316"/>
      <c r="RWO38" s="316"/>
      <c r="RWP38" s="316"/>
      <c r="RWQ38" s="316"/>
      <c r="RWR38" s="316"/>
      <c r="RWS38" s="316"/>
      <c r="RWT38" s="316"/>
      <c r="RWU38" s="316"/>
      <c r="RWV38" s="316"/>
      <c r="RWW38" s="316"/>
      <c r="RWX38" s="316"/>
      <c r="RWY38" s="316"/>
      <c r="RWZ38" s="316"/>
      <c r="RXA38" s="316"/>
      <c r="RXB38" s="316"/>
      <c r="RXC38" s="316"/>
      <c r="RXD38" s="316"/>
      <c r="RXE38" s="316"/>
      <c r="RXF38" s="316"/>
      <c r="RXG38" s="316"/>
      <c r="RXH38" s="316"/>
      <c r="RXI38" s="316"/>
      <c r="RXJ38" s="316"/>
      <c r="RXK38" s="316"/>
      <c r="RXL38" s="316"/>
      <c r="RXM38" s="316"/>
      <c r="RXN38" s="316"/>
      <c r="RXO38" s="316"/>
      <c r="RXP38" s="316"/>
      <c r="RXQ38" s="316"/>
      <c r="RXR38" s="316"/>
      <c r="RXS38" s="316"/>
      <c r="RXT38" s="316"/>
      <c r="RXU38" s="316"/>
      <c r="RXV38" s="316"/>
      <c r="RXW38" s="316"/>
      <c r="RXX38" s="316"/>
      <c r="RXY38" s="316"/>
      <c r="RXZ38" s="316"/>
      <c r="RYA38" s="316"/>
      <c r="RYB38" s="316"/>
      <c r="RYC38" s="316"/>
      <c r="RYD38" s="316"/>
      <c r="RYE38" s="316"/>
      <c r="RYF38" s="316"/>
      <c r="RYG38" s="316"/>
      <c r="RYH38" s="316"/>
      <c r="RYI38" s="316"/>
      <c r="RYJ38" s="316"/>
      <c r="RYK38" s="316"/>
      <c r="RYL38" s="316"/>
      <c r="RYM38" s="316"/>
      <c r="RYN38" s="316"/>
      <c r="RYO38" s="316"/>
      <c r="RYP38" s="316"/>
      <c r="RYQ38" s="316"/>
      <c r="RYR38" s="316"/>
      <c r="RYS38" s="316"/>
      <c r="RYT38" s="316"/>
      <c r="RYU38" s="316"/>
      <c r="RYV38" s="316"/>
      <c r="RYW38" s="316"/>
      <c r="RYX38" s="316"/>
      <c r="RYY38" s="316"/>
      <c r="RYZ38" s="316"/>
      <c r="RZA38" s="316"/>
      <c r="RZB38" s="316"/>
      <c r="RZC38" s="316"/>
      <c r="RZD38" s="316"/>
      <c r="RZE38" s="316"/>
      <c r="RZF38" s="316"/>
      <c r="RZG38" s="316"/>
      <c r="RZH38" s="316"/>
      <c r="RZI38" s="316"/>
      <c r="RZJ38" s="316"/>
      <c r="RZK38" s="316"/>
      <c r="RZL38" s="316"/>
      <c r="RZM38" s="316"/>
      <c r="RZN38" s="316"/>
      <c r="RZO38" s="316"/>
      <c r="RZP38" s="316"/>
      <c r="RZQ38" s="316"/>
      <c r="RZR38" s="316"/>
      <c r="RZS38" s="316"/>
      <c r="RZT38" s="316"/>
      <c r="RZU38" s="316"/>
      <c r="RZV38" s="316"/>
      <c r="RZW38" s="316"/>
      <c r="RZX38" s="316"/>
      <c r="RZY38" s="316"/>
      <c r="RZZ38" s="316"/>
      <c r="SAA38" s="316"/>
      <c r="SAB38" s="316"/>
      <c r="SAC38" s="316"/>
      <c r="SAD38" s="316"/>
      <c r="SAE38" s="316"/>
      <c r="SAF38" s="316"/>
      <c r="SAG38" s="316"/>
      <c r="SAH38" s="316"/>
      <c r="SAI38" s="316"/>
      <c r="SAJ38" s="316"/>
      <c r="SAK38" s="316"/>
      <c r="SAL38" s="316"/>
      <c r="SAM38" s="316"/>
      <c r="SAN38" s="316"/>
      <c r="SAO38" s="316"/>
      <c r="SAP38" s="316"/>
      <c r="SAQ38" s="316"/>
      <c r="SAR38" s="316"/>
      <c r="SAS38" s="316"/>
      <c r="SAT38" s="316"/>
      <c r="SAU38" s="316"/>
      <c r="SAV38" s="316"/>
      <c r="SAW38" s="316"/>
      <c r="SAX38" s="316"/>
      <c r="SAY38" s="316"/>
      <c r="SAZ38" s="316"/>
      <c r="SBA38" s="316"/>
      <c r="SBB38" s="316"/>
      <c r="SBC38" s="316"/>
      <c r="SBD38" s="316"/>
      <c r="SBE38" s="316"/>
      <c r="SBF38" s="316"/>
      <c r="SBG38" s="316"/>
      <c r="SBH38" s="316"/>
      <c r="SBI38" s="316"/>
      <c r="SBJ38" s="316"/>
      <c r="SBK38" s="316"/>
      <c r="SBL38" s="316"/>
      <c r="SBM38" s="316"/>
      <c r="SBN38" s="316"/>
      <c r="SBO38" s="316"/>
      <c r="SBP38" s="316"/>
      <c r="SBQ38" s="316"/>
      <c r="SBR38" s="316"/>
      <c r="SBS38" s="316"/>
      <c r="SBT38" s="316"/>
      <c r="SBU38" s="316"/>
      <c r="SBV38" s="316"/>
      <c r="SBW38" s="316"/>
      <c r="SBX38" s="316"/>
      <c r="SBY38" s="316"/>
      <c r="SBZ38" s="316"/>
      <c r="SCA38" s="316"/>
      <c r="SCB38" s="316"/>
      <c r="SCC38" s="316"/>
      <c r="SCD38" s="316"/>
      <c r="SCE38" s="316"/>
      <c r="SCF38" s="316"/>
      <c r="SCG38" s="316"/>
      <c r="SCH38" s="316"/>
      <c r="SCI38" s="316"/>
      <c r="SCJ38" s="316"/>
      <c r="SCK38" s="316"/>
      <c r="SCL38" s="316"/>
      <c r="SCM38" s="316"/>
      <c r="SCN38" s="316"/>
      <c r="SCO38" s="316"/>
      <c r="SCP38" s="316"/>
      <c r="SCQ38" s="316"/>
      <c r="SCR38" s="316"/>
      <c r="SCS38" s="316"/>
      <c r="SCT38" s="316"/>
      <c r="SCU38" s="316"/>
      <c r="SCV38" s="316"/>
      <c r="SCW38" s="316"/>
      <c r="SCX38" s="316"/>
      <c r="SCY38" s="316"/>
      <c r="SCZ38" s="316"/>
      <c r="SDA38" s="316"/>
      <c r="SDB38" s="316"/>
      <c r="SDC38" s="316"/>
      <c r="SDD38" s="316"/>
      <c r="SDE38" s="316"/>
      <c r="SDF38" s="316"/>
      <c r="SDG38" s="316"/>
      <c r="SDH38" s="316"/>
      <c r="SDI38" s="316"/>
      <c r="SDJ38" s="316"/>
      <c r="SDK38" s="316"/>
      <c r="SDL38" s="316"/>
      <c r="SDM38" s="316"/>
      <c r="SDN38" s="316"/>
      <c r="SDO38" s="316"/>
      <c r="SDP38" s="316"/>
      <c r="SDQ38" s="316"/>
      <c r="SDR38" s="316"/>
      <c r="SDS38" s="316"/>
      <c r="SDT38" s="316"/>
      <c r="SDU38" s="316"/>
      <c r="SDV38" s="316"/>
      <c r="SDW38" s="316"/>
      <c r="SDX38" s="316"/>
      <c r="SDY38" s="316"/>
      <c r="SDZ38" s="316"/>
      <c r="SEA38" s="316"/>
      <c r="SEB38" s="316"/>
      <c r="SEC38" s="316"/>
      <c r="SED38" s="316"/>
      <c r="SEE38" s="316"/>
      <c r="SEF38" s="316"/>
      <c r="SEG38" s="316"/>
      <c r="SEH38" s="316"/>
      <c r="SEI38" s="316"/>
      <c r="SEJ38" s="316"/>
      <c r="SEK38" s="316"/>
      <c r="SEL38" s="316"/>
      <c r="SEM38" s="316"/>
      <c r="SEN38" s="316"/>
      <c r="SEO38" s="316"/>
      <c r="SEP38" s="316"/>
      <c r="SEQ38" s="316"/>
      <c r="SER38" s="316"/>
      <c r="SES38" s="316"/>
      <c r="SET38" s="316"/>
      <c r="SEU38" s="316"/>
      <c r="SEV38" s="316"/>
      <c r="SEW38" s="316"/>
      <c r="SEX38" s="316"/>
      <c r="SEY38" s="316"/>
      <c r="SEZ38" s="316"/>
      <c r="SFA38" s="316"/>
      <c r="SFB38" s="316"/>
      <c r="SFC38" s="316"/>
      <c r="SFD38" s="316"/>
      <c r="SFE38" s="316"/>
      <c r="SFF38" s="316"/>
      <c r="SFG38" s="316"/>
      <c r="SFH38" s="316"/>
      <c r="SFI38" s="316"/>
      <c r="SFJ38" s="316"/>
      <c r="SFK38" s="316"/>
      <c r="SFL38" s="316"/>
      <c r="SFM38" s="316"/>
      <c r="SFN38" s="316"/>
      <c r="SFO38" s="316"/>
      <c r="SFP38" s="316"/>
      <c r="SFQ38" s="316"/>
      <c r="SFR38" s="316"/>
      <c r="SFS38" s="316"/>
      <c r="SFT38" s="316"/>
      <c r="SFU38" s="316"/>
      <c r="SFV38" s="316"/>
      <c r="SFW38" s="316"/>
      <c r="SFX38" s="316"/>
      <c r="SFY38" s="316"/>
      <c r="SFZ38" s="316"/>
      <c r="SGA38" s="316"/>
      <c r="SGB38" s="316"/>
      <c r="SGC38" s="316"/>
      <c r="SGD38" s="316"/>
      <c r="SGE38" s="316"/>
      <c r="SGF38" s="316"/>
      <c r="SGG38" s="316"/>
      <c r="SGH38" s="316"/>
      <c r="SGI38" s="316"/>
      <c r="SGJ38" s="316"/>
      <c r="SGK38" s="316"/>
      <c r="SGL38" s="316"/>
      <c r="SGM38" s="316"/>
      <c r="SGN38" s="316"/>
      <c r="SGO38" s="316"/>
      <c r="SGP38" s="316"/>
      <c r="SGQ38" s="316"/>
      <c r="SGR38" s="316"/>
      <c r="SGS38" s="316"/>
      <c r="SGT38" s="316"/>
      <c r="SGU38" s="316"/>
      <c r="SGV38" s="316"/>
      <c r="SGW38" s="316"/>
      <c r="SGX38" s="316"/>
      <c r="SGY38" s="316"/>
      <c r="SGZ38" s="316"/>
      <c r="SHA38" s="316"/>
      <c r="SHB38" s="316"/>
      <c r="SHC38" s="316"/>
      <c r="SHD38" s="316"/>
      <c r="SHE38" s="316"/>
      <c r="SHF38" s="316"/>
      <c r="SHG38" s="316"/>
      <c r="SHH38" s="316"/>
      <c r="SHI38" s="316"/>
      <c r="SHJ38" s="316"/>
      <c r="SHK38" s="316"/>
      <c r="SHL38" s="316"/>
      <c r="SHM38" s="316"/>
      <c r="SHN38" s="316"/>
      <c r="SHO38" s="316"/>
      <c r="SHP38" s="316"/>
      <c r="SHQ38" s="316"/>
      <c r="SHR38" s="316"/>
      <c r="SHS38" s="316"/>
      <c r="SHT38" s="316"/>
      <c r="SHU38" s="316"/>
      <c r="SHV38" s="316"/>
      <c r="SHW38" s="316"/>
      <c r="SHX38" s="316"/>
      <c r="SHY38" s="316"/>
      <c r="SHZ38" s="316"/>
      <c r="SIA38" s="316"/>
      <c r="SIB38" s="316"/>
      <c r="SIC38" s="316"/>
      <c r="SID38" s="316"/>
      <c r="SIE38" s="316"/>
      <c r="SIF38" s="316"/>
      <c r="SIG38" s="316"/>
      <c r="SIH38" s="316"/>
      <c r="SII38" s="316"/>
      <c r="SIJ38" s="316"/>
      <c r="SIK38" s="316"/>
      <c r="SIL38" s="316"/>
      <c r="SIM38" s="316"/>
      <c r="SIN38" s="316"/>
      <c r="SIO38" s="316"/>
      <c r="SIP38" s="316"/>
      <c r="SIQ38" s="316"/>
      <c r="SIR38" s="316"/>
      <c r="SIS38" s="316"/>
      <c r="SIT38" s="316"/>
      <c r="SIU38" s="316"/>
      <c r="SIV38" s="316"/>
      <c r="SIW38" s="316"/>
      <c r="SIX38" s="316"/>
      <c r="SIY38" s="316"/>
      <c r="SIZ38" s="316"/>
      <c r="SJA38" s="316"/>
      <c r="SJB38" s="316"/>
      <c r="SJC38" s="316"/>
      <c r="SJD38" s="316"/>
      <c r="SJE38" s="316"/>
      <c r="SJF38" s="316"/>
      <c r="SJG38" s="316"/>
      <c r="SJH38" s="316"/>
      <c r="SJI38" s="316"/>
      <c r="SJJ38" s="316"/>
      <c r="SJK38" s="316"/>
      <c r="SJL38" s="316"/>
      <c r="SJM38" s="316"/>
      <c r="SJN38" s="316"/>
      <c r="SJO38" s="316"/>
      <c r="SJP38" s="316"/>
      <c r="SJQ38" s="316"/>
      <c r="SJR38" s="316"/>
      <c r="SJS38" s="316"/>
      <c r="SJT38" s="316"/>
      <c r="SJU38" s="316"/>
      <c r="SJV38" s="316"/>
      <c r="SJW38" s="316"/>
      <c r="SJX38" s="316"/>
      <c r="SJY38" s="316"/>
      <c r="SJZ38" s="316"/>
      <c r="SKA38" s="316"/>
      <c r="SKB38" s="316"/>
      <c r="SKC38" s="316"/>
      <c r="SKD38" s="316"/>
      <c r="SKE38" s="316"/>
      <c r="SKF38" s="316"/>
      <c r="SKG38" s="316"/>
      <c r="SKH38" s="316"/>
      <c r="SKI38" s="316"/>
      <c r="SKJ38" s="316"/>
      <c r="SKK38" s="316"/>
      <c r="SKL38" s="316"/>
      <c r="SKM38" s="316"/>
      <c r="SKN38" s="316"/>
      <c r="SKO38" s="316"/>
      <c r="SKP38" s="316"/>
      <c r="SKQ38" s="316"/>
      <c r="SKR38" s="316"/>
      <c r="SKS38" s="316"/>
      <c r="SKT38" s="316"/>
      <c r="SKU38" s="316"/>
      <c r="SKV38" s="316"/>
      <c r="SKW38" s="316"/>
      <c r="SKX38" s="316"/>
      <c r="SKY38" s="316"/>
      <c r="SKZ38" s="316"/>
      <c r="SLA38" s="316"/>
      <c r="SLB38" s="316"/>
      <c r="SLC38" s="316"/>
      <c r="SLD38" s="316"/>
      <c r="SLE38" s="316"/>
      <c r="SLF38" s="316"/>
      <c r="SLG38" s="316"/>
      <c r="SLH38" s="316"/>
      <c r="SLI38" s="316"/>
      <c r="SLJ38" s="316"/>
      <c r="SLK38" s="316"/>
      <c r="SLL38" s="316"/>
      <c r="SLM38" s="316"/>
      <c r="SLN38" s="316"/>
      <c r="SLO38" s="316"/>
      <c r="SLP38" s="316"/>
      <c r="SLQ38" s="316"/>
      <c r="SLR38" s="316"/>
      <c r="SLS38" s="316"/>
      <c r="SLT38" s="316"/>
      <c r="SLU38" s="316"/>
      <c r="SLV38" s="316"/>
      <c r="SLW38" s="316"/>
      <c r="SLX38" s="316"/>
      <c r="SLY38" s="316"/>
      <c r="SLZ38" s="316"/>
      <c r="SMA38" s="316"/>
      <c r="SMB38" s="316"/>
      <c r="SMC38" s="316"/>
      <c r="SMD38" s="316"/>
      <c r="SME38" s="316"/>
      <c r="SMF38" s="316"/>
      <c r="SMG38" s="316"/>
      <c r="SMH38" s="316"/>
      <c r="SMI38" s="316"/>
      <c r="SMJ38" s="316"/>
      <c r="SMK38" s="316"/>
      <c r="SML38" s="316"/>
      <c r="SMM38" s="316"/>
      <c r="SMN38" s="316"/>
      <c r="SMO38" s="316"/>
      <c r="SMP38" s="316"/>
      <c r="SMQ38" s="316"/>
      <c r="SMR38" s="316"/>
      <c r="SMS38" s="316"/>
      <c r="SMT38" s="316"/>
      <c r="SMU38" s="316"/>
      <c r="SMV38" s="316"/>
      <c r="SMW38" s="316"/>
      <c r="SMX38" s="316"/>
      <c r="SMY38" s="316"/>
      <c r="SMZ38" s="316"/>
      <c r="SNA38" s="316"/>
      <c r="SNB38" s="316"/>
      <c r="SNC38" s="316"/>
      <c r="SND38" s="316"/>
      <c r="SNE38" s="316"/>
      <c r="SNF38" s="316"/>
      <c r="SNG38" s="316"/>
      <c r="SNH38" s="316"/>
      <c r="SNI38" s="316"/>
      <c r="SNJ38" s="316"/>
      <c r="SNK38" s="316"/>
      <c r="SNL38" s="316"/>
      <c r="SNM38" s="316"/>
      <c r="SNN38" s="316"/>
      <c r="SNO38" s="316"/>
      <c r="SNP38" s="316"/>
      <c r="SNQ38" s="316"/>
      <c r="SNR38" s="316"/>
      <c r="SNS38" s="316"/>
      <c r="SNT38" s="316"/>
      <c r="SNU38" s="316"/>
      <c r="SNV38" s="316"/>
      <c r="SNW38" s="316"/>
      <c r="SNX38" s="316"/>
      <c r="SNY38" s="316"/>
      <c r="SNZ38" s="316"/>
      <c r="SOA38" s="316"/>
      <c r="SOB38" s="316"/>
      <c r="SOC38" s="316"/>
      <c r="SOD38" s="316"/>
      <c r="SOE38" s="316"/>
      <c r="SOF38" s="316"/>
      <c r="SOG38" s="316"/>
      <c r="SOH38" s="316"/>
      <c r="SOI38" s="316"/>
      <c r="SOJ38" s="316"/>
      <c r="SOK38" s="316"/>
      <c r="SOL38" s="316"/>
      <c r="SOM38" s="316"/>
      <c r="SON38" s="316"/>
      <c r="SOO38" s="316"/>
      <c r="SOP38" s="316"/>
      <c r="SOQ38" s="316"/>
      <c r="SOR38" s="316"/>
      <c r="SOS38" s="316"/>
      <c r="SOT38" s="316"/>
      <c r="SOU38" s="316"/>
      <c r="SOV38" s="316"/>
      <c r="SOW38" s="316"/>
      <c r="SOX38" s="316"/>
      <c r="SOY38" s="316"/>
      <c r="SOZ38" s="316"/>
      <c r="SPA38" s="316"/>
      <c r="SPB38" s="316"/>
      <c r="SPC38" s="316"/>
      <c r="SPD38" s="316"/>
      <c r="SPE38" s="316"/>
      <c r="SPF38" s="316"/>
      <c r="SPG38" s="316"/>
      <c r="SPH38" s="316"/>
      <c r="SPI38" s="316"/>
      <c r="SPJ38" s="316"/>
      <c r="SPK38" s="316"/>
      <c r="SPL38" s="316"/>
      <c r="SPM38" s="316"/>
      <c r="SPN38" s="316"/>
      <c r="SPO38" s="316"/>
      <c r="SPP38" s="316"/>
      <c r="SPQ38" s="316"/>
      <c r="SPR38" s="316"/>
      <c r="SPS38" s="316"/>
      <c r="SPT38" s="316"/>
      <c r="SPU38" s="316"/>
      <c r="SPV38" s="316"/>
      <c r="SPW38" s="316"/>
      <c r="SPX38" s="316"/>
      <c r="SPY38" s="316"/>
      <c r="SPZ38" s="316"/>
      <c r="SQA38" s="316"/>
      <c r="SQB38" s="316"/>
      <c r="SQC38" s="316"/>
      <c r="SQD38" s="316"/>
      <c r="SQE38" s="316"/>
      <c r="SQF38" s="316"/>
      <c r="SQG38" s="316"/>
      <c r="SQH38" s="316"/>
      <c r="SQI38" s="316"/>
      <c r="SQJ38" s="316"/>
      <c r="SQK38" s="316"/>
      <c r="SQL38" s="316"/>
      <c r="SQM38" s="316"/>
      <c r="SQN38" s="316"/>
      <c r="SQO38" s="316"/>
      <c r="SQP38" s="316"/>
      <c r="SQQ38" s="316"/>
      <c r="SQR38" s="316"/>
      <c r="SQS38" s="316"/>
      <c r="SQT38" s="316"/>
      <c r="SQU38" s="316"/>
      <c r="SQV38" s="316"/>
      <c r="SQW38" s="316"/>
      <c r="SQX38" s="316"/>
      <c r="SQY38" s="316"/>
      <c r="SQZ38" s="316"/>
      <c r="SRA38" s="316"/>
      <c r="SRB38" s="316"/>
      <c r="SRC38" s="316"/>
      <c r="SRD38" s="316"/>
      <c r="SRE38" s="316"/>
      <c r="SRF38" s="316"/>
      <c r="SRG38" s="316"/>
      <c r="SRH38" s="316"/>
      <c r="SRI38" s="316"/>
      <c r="SRJ38" s="316"/>
      <c r="SRK38" s="316"/>
      <c r="SRL38" s="316"/>
      <c r="SRM38" s="316"/>
      <c r="SRN38" s="316"/>
      <c r="SRO38" s="316"/>
      <c r="SRP38" s="316"/>
      <c r="SRQ38" s="316"/>
      <c r="SRR38" s="316"/>
      <c r="SRS38" s="316"/>
      <c r="SRT38" s="316"/>
      <c r="SRU38" s="316"/>
      <c r="SRV38" s="316"/>
      <c r="SRW38" s="316"/>
      <c r="SRX38" s="316"/>
      <c r="SRY38" s="316"/>
      <c r="SRZ38" s="316"/>
      <c r="SSA38" s="316"/>
      <c r="SSB38" s="316"/>
      <c r="SSC38" s="316"/>
      <c r="SSD38" s="316"/>
      <c r="SSE38" s="316"/>
      <c r="SSF38" s="316"/>
      <c r="SSG38" s="316"/>
      <c r="SSH38" s="316"/>
      <c r="SSI38" s="316"/>
      <c r="SSJ38" s="316"/>
      <c r="SSK38" s="316"/>
      <c r="SSL38" s="316"/>
      <c r="SSM38" s="316"/>
      <c r="SSN38" s="316"/>
      <c r="SSO38" s="316"/>
      <c r="SSP38" s="316"/>
      <c r="SSQ38" s="316"/>
      <c r="SSR38" s="316"/>
      <c r="SSS38" s="316"/>
      <c r="SST38" s="316"/>
      <c r="SSU38" s="316"/>
      <c r="SSV38" s="316"/>
      <c r="SSW38" s="316"/>
      <c r="SSX38" s="316"/>
      <c r="SSY38" s="316"/>
      <c r="SSZ38" s="316"/>
      <c r="STA38" s="316"/>
      <c r="STB38" s="316"/>
      <c r="STC38" s="316"/>
      <c r="STD38" s="316"/>
      <c r="STE38" s="316"/>
      <c r="STF38" s="316"/>
      <c r="STG38" s="316"/>
      <c r="STH38" s="316"/>
      <c r="STI38" s="316"/>
      <c r="STJ38" s="316"/>
      <c r="STK38" s="316"/>
      <c r="STL38" s="316"/>
      <c r="STM38" s="316"/>
      <c r="STN38" s="316"/>
      <c r="STO38" s="316"/>
      <c r="STP38" s="316"/>
      <c r="STQ38" s="316"/>
      <c r="STR38" s="316"/>
      <c r="STS38" s="316"/>
      <c r="STT38" s="316"/>
      <c r="STU38" s="316"/>
      <c r="STV38" s="316"/>
      <c r="STW38" s="316"/>
      <c r="STX38" s="316"/>
      <c r="STY38" s="316"/>
      <c r="STZ38" s="316"/>
      <c r="SUA38" s="316"/>
      <c r="SUB38" s="316"/>
      <c r="SUC38" s="316"/>
      <c r="SUD38" s="316"/>
      <c r="SUE38" s="316"/>
      <c r="SUF38" s="316"/>
      <c r="SUG38" s="316"/>
      <c r="SUH38" s="316"/>
      <c r="SUI38" s="316"/>
      <c r="SUJ38" s="316"/>
      <c r="SUK38" s="316"/>
      <c r="SUL38" s="316"/>
      <c r="SUM38" s="316"/>
      <c r="SUN38" s="316"/>
      <c r="SUO38" s="316"/>
      <c r="SUP38" s="316"/>
      <c r="SUQ38" s="316"/>
      <c r="SUR38" s="316"/>
      <c r="SUS38" s="316"/>
      <c r="SUT38" s="316"/>
      <c r="SUU38" s="316"/>
      <c r="SUV38" s="316"/>
      <c r="SUW38" s="316"/>
      <c r="SUX38" s="316"/>
      <c r="SUY38" s="316"/>
      <c r="SUZ38" s="316"/>
      <c r="SVA38" s="316"/>
      <c r="SVB38" s="316"/>
      <c r="SVC38" s="316"/>
      <c r="SVD38" s="316"/>
      <c r="SVE38" s="316"/>
      <c r="SVF38" s="316"/>
      <c r="SVG38" s="316"/>
      <c r="SVH38" s="316"/>
      <c r="SVI38" s="316"/>
      <c r="SVJ38" s="316"/>
      <c r="SVK38" s="316"/>
      <c r="SVL38" s="316"/>
      <c r="SVM38" s="316"/>
      <c r="SVN38" s="316"/>
      <c r="SVO38" s="316"/>
      <c r="SVP38" s="316"/>
      <c r="SVQ38" s="316"/>
      <c r="SVR38" s="316"/>
      <c r="SVS38" s="316"/>
      <c r="SVT38" s="316"/>
      <c r="SVU38" s="316"/>
      <c r="SVV38" s="316"/>
      <c r="SVW38" s="316"/>
      <c r="SVX38" s="316"/>
      <c r="SVY38" s="316"/>
      <c r="SVZ38" s="316"/>
      <c r="SWA38" s="316"/>
      <c r="SWB38" s="316"/>
      <c r="SWC38" s="316"/>
      <c r="SWD38" s="316"/>
      <c r="SWE38" s="316"/>
      <c r="SWF38" s="316"/>
      <c r="SWG38" s="316"/>
      <c r="SWH38" s="316"/>
      <c r="SWI38" s="316"/>
      <c r="SWJ38" s="316"/>
      <c r="SWK38" s="316"/>
      <c r="SWL38" s="316"/>
      <c r="SWM38" s="316"/>
      <c r="SWN38" s="316"/>
      <c r="SWO38" s="316"/>
      <c r="SWP38" s="316"/>
      <c r="SWQ38" s="316"/>
      <c r="SWR38" s="316"/>
      <c r="SWS38" s="316"/>
      <c r="SWT38" s="316"/>
      <c r="SWU38" s="316"/>
      <c r="SWV38" s="316"/>
      <c r="SWW38" s="316"/>
      <c r="SWX38" s="316"/>
      <c r="SWY38" s="316"/>
      <c r="SWZ38" s="316"/>
      <c r="SXA38" s="316"/>
      <c r="SXB38" s="316"/>
      <c r="SXC38" s="316"/>
      <c r="SXD38" s="316"/>
      <c r="SXE38" s="316"/>
      <c r="SXF38" s="316"/>
      <c r="SXG38" s="316"/>
      <c r="SXH38" s="316"/>
      <c r="SXI38" s="316"/>
      <c r="SXJ38" s="316"/>
      <c r="SXK38" s="316"/>
      <c r="SXL38" s="316"/>
      <c r="SXM38" s="316"/>
      <c r="SXN38" s="316"/>
      <c r="SXO38" s="316"/>
      <c r="SXP38" s="316"/>
      <c r="SXQ38" s="316"/>
      <c r="SXR38" s="316"/>
      <c r="SXS38" s="316"/>
      <c r="SXT38" s="316"/>
      <c r="SXU38" s="316"/>
      <c r="SXV38" s="316"/>
      <c r="SXW38" s="316"/>
      <c r="SXX38" s="316"/>
      <c r="SXY38" s="316"/>
      <c r="SXZ38" s="316"/>
      <c r="SYA38" s="316"/>
      <c r="SYB38" s="316"/>
      <c r="SYC38" s="316"/>
      <c r="SYD38" s="316"/>
      <c r="SYE38" s="316"/>
      <c r="SYF38" s="316"/>
      <c r="SYG38" s="316"/>
      <c r="SYH38" s="316"/>
      <c r="SYI38" s="316"/>
      <c r="SYJ38" s="316"/>
      <c r="SYK38" s="316"/>
      <c r="SYL38" s="316"/>
      <c r="SYM38" s="316"/>
      <c r="SYN38" s="316"/>
      <c r="SYO38" s="316"/>
      <c r="SYP38" s="316"/>
      <c r="SYQ38" s="316"/>
      <c r="SYR38" s="316"/>
      <c r="SYS38" s="316"/>
      <c r="SYT38" s="316"/>
      <c r="SYU38" s="316"/>
      <c r="SYV38" s="316"/>
      <c r="SYW38" s="316"/>
      <c r="SYX38" s="316"/>
      <c r="SYY38" s="316"/>
      <c r="SYZ38" s="316"/>
      <c r="SZA38" s="316"/>
      <c r="SZB38" s="316"/>
      <c r="SZC38" s="316"/>
      <c r="SZD38" s="316"/>
      <c r="SZE38" s="316"/>
      <c r="SZF38" s="316"/>
      <c r="SZG38" s="316"/>
      <c r="SZH38" s="316"/>
      <c r="SZI38" s="316"/>
      <c r="SZJ38" s="316"/>
      <c r="SZK38" s="316"/>
      <c r="SZL38" s="316"/>
      <c r="SZM38" s="316"/>
      <c r="SZN38" s="316"/>
      <c r="SZO38" s="316"/>
      <c r="SZP38" s="316"/>
      <c r="SZQ38" s="316"/>
      <c r="SZR38" s="316"/>
      <c r="SZS38" s="316"/>
      <c r="SZT38" s="316"/>
      <c r="SZU38" s="316"/>
      <c r="SZV38" s="316"/>
      <c r="SZW38" s="316"/>
      <c r="SZX38" s="316"/>
      <c r="SZY38" s="316"/>
      <c r="SZZ38" s="316"/>
      <c r="TAA38" s="316"/>
      <c r="TAB38" s="316"/>
      <c r="TAC38" s="316"/>
      <c r="TAD38" s="316"/>
      <c r="TAE38" s="316"/>
      <c r="TAF38" s="316"/>
      <c r="TAG38" s="316"/>
      <c r="TAH38" s="316"/>
      <c r="TAI38" s="316"/>
      <c r="TAJ38" s="316"/>
      <c r="TAK38" s="316"/>
      <c r="TAL38" s="316"/>
      <c r="TAM38" s="316"/>
      <c r="TAN38" s="316"/>
      <c r="TAO38" s="316"/>
      <c r="TAP38" s="316"/>
      <c r="TAQ38" s="316"/>
      <c r="TAR38" s="316"/>
      <c r="TAS38" s="316"/>
      <c r="TAT38" s="316"/>
      <c r="TAU38" s="316"/>
      <c r="TAV38" s="316"/>
      <c r="TAW38" s="316"/>
      <c r="TAX38" s="316"/>
      <c r="TAY38" s="316"/>
      <c r="TAZ38" s="316"/>
      <c r="TBA38" s="316"/>
      <c r="TBB38" s="316"/>
      <c r="TBC38" s="316"/>
      <c r="TBD38" s="316"/>
      <c r="TBE38" s="316"/>
      <c r="TBF38" s="316"/>
      <c r="TBG38" s="316"/>
      <c r="TBH38" s="316"/>
      <c r="TBI38" s="316"/>
      <c r="TBJ38" s="316"/>
      <c r="TBK38" s="316"/>
      <c r="TBL38" s="316"/>
      <c r="TBM38" s="316"/>
      <c r="TBN38" s="316"/>
      <c r="TBO38" s="316"/>
      <c r="TBP38" s="316"/>
      <c r="TBQ38" s="316"/>
      <c r="TBR38" s="316"/>
      <c r="TBS38" s="316"/>
      <c r="TBT38" s="316"/>
      <c r="TBU38" s="316"/>
      <c r="TBV38" s="316"/>
      <c r="TBW38" s="316"/>
      <c r="TBX38" s="316"/>
      <c r="TBY38" s="316"/>
      <c r="TBZ38" s="316"/>
      <c r="TCA38" s="316"/>
      <c r="TCB38" s="316"/>
      <c r="TCC38" s="316"/>
      <c r="TCD38" s="316"/>
      <c r="TCE38" s="316"/>
      <c r="TCF38" s="316"/>
      <c r="TCG38" s="316"/>
      <c r="TCH38" s="316"/>
      <c r="TCI38" s="316"/>
      <c r="TCJ38" s="316"/>
      <c r="TCK38" s="316"/>
      <c r="TCL38" s="316"/>
      <c r="TCM38" s="316"/>
      <c r="TCN38" s="316"/>
      <c r="TCO38" s="316"/>
      <c r="TCP38" s="316"/>
      <c r="TCQ38" s="316"/>
      <c r="TCR38" s="316"/>
      <c r="TCS38" s="316"/>
      <c r="TCT38" s="316"/>
      <c r="TCU38" s="316"/>
      <c r="TCV38" s="316"/>
      <c r="TCW38" s="316"/>
      <c r="TCX38" s="316"/>
      <c r="TCY38" s="316"/>
      <c r="TCZ38" s="316"/>
      <c r="TDA38" s="316"/>
      <c r="TDB38" s="316"/>
      <c r="TDC38" s="316"/>
      <c r="TDD38" s="316"/>
      <c r="TDE38" s="316"/>
      <c r="TDF38" s="316"/>
      <c r="TDG38" s="316"/>
      <c r="TDH38" s="316"/>
      <c r="TDI38" s="316"/>
      <c r="TDJ38" s="316"/>
      <c r="TDK38" s="316"/>
      <c r="TDL38" s="316"/>
      <c r="TDM38" s="316"/>
      <c r="TDN38" s="316"/>
      <c r="TDO38" s="316"/>
      <c r="TDP38" s="316"/>
      <c r="TDQ38" s="316"/>
      <c r="TDR38" s="316"/>
      <c r="TDS38" s="316"/>
      <c r="TDT38" s="316"/>
      <c r="TDU38" s="316"/>
      <c r="TDV38" s="316"/>
      <c r="TDW38" s="316"/>
      <c r="TDX38" s="316"/>
      <c r="TDY38" s="316"/>
      <c r="TDZ38" s="316"/>
      <c r="TEA38" s="316"/>
      <c r="TEB38" s="316"/>
      <c r="TEC38" s="316"/>
      <c r="TED38" s="316"/>
      <c r="TEE38" s="316"/>
      <c r="TEF38" s="316"/>
      <c r="TEG38" s="316"/>
      <c r="TEH38" s="316"/>
      <c r="TEI38" s="316"/>
      <c r="TEJ38" s="316"/>
      <c r="TEK38" s="316"/>
      <c r="TEL38" s="316"/>
      <c r="TEM38" s="316"/>
      <c r="TEN38" s="316"/>
      <c r="TEO38" s="316"/>
      <c r="TEP38" s="316"/>
      <c r="TEQ38" s="316"/>
      <c r="TER38" s="316"/>
      <c r="TES38" s="316"/>
      <c r="TET38" s="316"/>
      <c r="TEU38" s="316"/>
      <c r="TEV38" s="316"/>
      <c r="TEW38" s="316"/>
      <c r="TEX38" s="316"/>
      <c r="TEY38" s="316"/>
      <c r="TEZ38" s="316"/>
      <c r="TFA38" s="316"/>
      <c r="TFB38" s="316"/>
      <c r="TFC38" s="316"/>
      <c r="TFD38" s="316"/>
      <c r="TFE38" s="316"/>
      <c r="TFF38" s="316"/>
      <c r="TFG38" s="316"/>
      <c r="TFH38" s="316"/>
      <c r="TFI38" s="316"/>
      <c r="TFJ38" s="316"/>
      <c r="TFK38" s="316"/>
      <c r="TFL38" s="316"/>
      <c r="TFM38" s="316"/>
      <c r="TFN38" s="316"/>
      <c r="TFO38" s="316"/>
      <c r="TFP38" s="316"/>
      <c r="TFQ38" s="316"/>
      <c r="TFR38" s="316"/>
      <c r="TFS38" s="316"/>
      <c r="TFT38" s="316"/>
      <c r="TFU38" s="316"/>
      <c r="TFV38" s="316"/>
      <c r="TFW38" s="316"/>
      <c r="TFX38" s="316"/>
      <c r="TFY38" s="316"/>
      <c r="TFZ38" s="316"/>
      <c r="TGA38" s="316"/>
      <c r="TGB38" s="316"/>
      <c r="TGC38" s="316"/>
      <c r="TGD38" s="316"/>
      <c r="TGE38" s="316"/>
      <c r="TGF38" s="316"/>
      <c r="TGG38" s="316"/>
      <c r="TGH38" s="316"/>
      <c r="TGI38" s="316"/>
      <c r="TGJ38" s="316"/>
      <c r="TGK38" s="316"/>
      <c r="TGL38" s="316"/>
      <c r="TGM38" s="316"/>
      <c r="TGN38" s="316"/>
      <c r="TGO38" s="316"/>
      <c r="TGP38" s="316"/>
      <c r="TGQ38" s="316"/>
      <c r="TGR38" s="316"/>
      <c r="TGS38" s="316"/>
      <c r="TGT38" s="316"/>
      <c r="TGU38" s="316"/>
      <c r="TGV38" s="316"/>
      <c r="TGW38" s="316"/>
      <c r="TGX38" s="316"/>
      <c r="TGY38" s="316"/>
      <c r="TGZ38" s="316"/>
      <c r="THA38" s="316"/>
      <c r="THB38" s="316"/>
      <c r="THC38" s="316"/>
      <c r="THD38" s="316"/>
      <c r="THE38" s="316"/>
      <c r="THF38" s="316"/>
      <c r="THG38" s="316"/>
      <c r="THH38" s="316"/>
      <c r="THI38" s="316"/>
      <c r="THJ38" s="316"/>
      <c r="THK38" s="316"/>
      <c r="THL38" s="316"/>
      <c r="THM38" s="316"/>
      <c r="THN38" s="316"/>
      <c r="THO38" s="316"/>
      <c r="THP38" s="316"/>
      <c r="THQ38" s="316"/>
      <c r="THR38" s="316"/>
      <c r="THS38" s="316"/>
      <c r="THT38" s="316"/>
      <c r="THU38" s="316"/>
      <c r="THV38" s="316"/>
      <c r="THW38" s="316"/>
      <c r="THX38" s="316"/>
      <c r="THY38" s="316"/>
      <c r="THZ38" s="316"/>
      <c r="TIA38" s="316"/>
      <c r="TIB38" s="316"/>
      <c r="TIC38" s="316"/>
      <c r="TID38" s="316"/>
      <c r="TIE38" s="316"/>
      <c r="TIF38" s="316"/>
      <c r="TIG38" s="316"/>
      <c r="TIH38" s="316"/>
      <c r="TII38" s="316"/>
      <c r="TIJ38" s="316"/>
      <c r="TIK38" s="316"/>
      <c r="TIL38" s="316"/>
      <c r="TIM38" s="316"/>
      <c r="TIN38" s="316"/>
      <c r="TIO38" s="316"/>
      <c r="TIP38" s="316"/>
      <c r="TIQ38" s="316"/>
      <c r="TIR38" s="316"/>
      <c r="TIS38" s="316"/>
      <c r="TIT38" s="316"/>
      <c r="TIU38" s="316"/>
      <c r="TIV38" s="316"/>
      <c r="TIW38" s="316"/>
      <c r="TIX38" s="316"/>
      <c r="TIY38" s="316"/>
      <c r="TIZ38" s="316"/>
      <c r="TJA38" s="316"/>
      <c r="TJB38" s="316"/>
      <c r="TJC38" s="316"/>
      <c r="TJD38" s="316"/>
      <c r="TJE38" s="316"/>
      <c r="TJF38" s="316"/>
      <c r="TJG38" s="316"/>
      <c r="TJH38" s="316"/>
      <c r="TJI38" s="316"/>
      <c r="TJJ38" s="316"/>
      <c r="TJK38" s="316"/>
      <c r="TJL38" s="316"/>
      <c r="TJM38" s="316"/>
      <c r="TJN38" s="316"/>
      <c r="TJO38" s="316"/>
      <c r="TJP38" s="316"/>
      <c r="TJQ38" s="316"/>
      <c r="TJR38" s="316"/>
      <c r="TJS38" s="316"/>
      <c r="TJT38" s="316"/>
      <c r="TJU38" s="316"/>
      <c r="TJV38" s="316"/>
      <c r="TJW38" s="316"/>
      <c r="TJX38" s="316"/>
      <c r="TJY38" s="316"/>
      <c r="TJZ38" s="316"/>
      <c r="TKA38" s="316"/>
      <c r="TKB38" s="316"/>
      <c r="TKC38" s="316"/>
      <c r="TKD38" s="316"/>
      <c r="TKE38" s="316"/>
      <c r="TKF38" s="316"/>
      <c r="TKG38" s="316"/>
      <c r="TKH38" s="316"/>
      <c r="TKI38" s="316"/>
      <c r="TKJ38" s="316"/>
      <c r="TKK38" s="316"/>
      <c r="TKL38" s="316"/>
      <c r="TKM38" s="316"/>
      <c r="TKN38" s="316"/>
      <c r="TKO38" s="316"/>
      <c r="TKP38" s="316"/>
      <c r="TKQ38" s="316"/>
      <c r="TKR38" s="316"/>
      <c r="TKS38" s="316"/>
      <c r="TKT38" s="316"/>
      <c r="TKU38" s="316"/>
      <c r="TKV38" s="316"/>
      <c r="TKW38" s="316"/>
      <c r="TKX38" s="316"/>
      <c r="TKY38" s="316"/>
      <c r="TKZ38" s="316"/>
      <c r="TLA38" s="316"/>
      <c r="TLB38" s="316"/>
      <c r="TLC38" s="316"/>
      <c r="TLD38" s="316"/>
      <c r="TLE38" s="316"/>
      <c r="TLF38" s="316"/>
      <c r="TLG38" s="316"/>
      <c r="TLH38" s="316"/>
      <c r="TLI38" s="316"/>
      <c r="TLJ38" s="316"/>
      <c r="TLK38" s="316"/>
      <c r="TLL38" s="316"/>
      <c r="TLM38" s="316"/>
      <c r="TLN38" s="316"/>
      <c r="TLO38" s="316"/>
      <c r="TLP38" s="316"/>
      <c r="TLQ38" s="316"/>
      <c r="TLR38" s="316"/>
      <c r="TLS38" s="316"/>
      <c r="TLT38" s="316"/>
      <c r="TLU38" s="316"/>
      <c r="TLV38" s="316"/>
      <c r="TLW38" s="316"/>
      <c r="TLX38" s="316"/>
      <c r="TLY38" s="316"/>
      <c r="TLZ38" s="316"/>
      <c r="TMA38" s="316"/>
      <c r="TMB38" s="316"/>
      <c r="TMC38" s="316"/>
      <c r="TMD38" s="316"/>
      <c r="TME38" s="316"/>
      <c r="TMF38" s="316"/>
      <c r="TMG38" s="316"/>
      <c r="TMH38" s="316"/>
      <c r="TMI38" s="316"/>
      <c r="TMJ38" s="316"/>
      <c r="TMK38" s="316"/>
      <c r="TML38" s="316"/>
      <c r="TMM38" s="316"/>
      <c r="TMN38" s="316"/>
      <c r="TMO38" s="316"/>
      <c r="TMP38" s="316"/>
      <c r="TMQ38" s="316"/>
      <c r="TMR38" s="316"/>
      <c r="TMS38" s="316"/>
      <c r="TMT38" s="316"/>
      <c r="TMU38" s="316"/>
      <c r="TMV38" s="316"/>
      <c r="TMW38" s="316"/>
      <c r="TMX38" s="316"/>
      <c r="TMY38" s="316"/>
      <c r="TMZ38" s="316"/>
      <c r="TNA38" s="316"/>
      <c r="TNB38" s="316"/>
      <c r="TNC38" s="316"/>
      <c r="TND38" s="316"/>
      <c r="TNE38" s="316"/>
      <c r="TNF38" s="316"/>
      <c r="TNG38" s="316"/>
      <c r="TNH38" s="316"/>
      <c r="TNI38" s="316"/>
      <c r="TNJ38" s="316"/>
      <c r="TNK38" s="316"/>
      <c r="TNL38" s="316"/>
      <c r="TNM38" s="316"/>
      <c r="TNN38" s="316"/>
      <c r="TNO38" s="316"/>
      <c r="TNP38" s="316"/>
      <c r="TNQ38" s="316"/>
      <c r="TNR38" s="316"/>
      <c r="TNS38" s="316"/>
      <c r="TNT38" s="316"/>
      <c r="TNU38" s="316"/>
      <c r="TNV38" s="316"/>
      <c r="TNW38" s="316"/>
      <c r="TNX38" s="316"/>
      <c r="TNY38" s="316"/>
      <c r="TNZ38" s="316"/>
      <c r="TOA38" s="316"/>
      <c r="TOB38" s="316"/>
      <c r="TOC38" s="316"/>
      <c r="TOD38" s="316"/>
      <c r="TOE38" s="316"/>
      <c r="TOF38" s="316"/>
      <c r="TOG38" s="316"/>
      <c r="TOH38" s="316"/>
      <c r="TOI38" s="316"/>
      <c r="TOJ38" s="316"/>
      <c r="TOK38" s="316"/>
      <c r="TOL38" s="316"/>
      <c r="TOM38" s="316"/>
      <c r="TON38" s="316"/>
      <c r="TOO38" s="316"/>
      <c r="TOP38" s="316"/>
      <c r="TOQ38" s="316"/>
      <c r="TOR38" s="316"/>
      <c r="TOS38" s="316"/>
      <c r="TOT38" s="316"/>
      <c r="TOU38" s="316"/>
      <c r="TOV38" s="316"/>
      <c r="TOW38" s="316"/>
      <c r="TOX38" s="316"/>
      <c r="TOY38" s="316"/>
      <c r="TOZ38" s="316"/>
      <c r="TPA38" s="316"/>
      <c r="TPB38" s="316"/>
      <c r="TPC38" s="316"/>
      <c r="TPD38" s="316"/>
      <c r="TPE38" s="316"/>
      <c r="TPF38" s="316"/>
      <c r="TPG38" s="316"/>
      <c r="TPH38" s="316"/>
      <c r="TPI38" s="316"/>
      <c r="TPJ38" s="316"/>
      <c r="TPK38" s="316"/>
      <c r="TPL38" s="316"/>
      <c r="TPM38" s="316"/>
      <c r="TPN38" s="316"/>
      <c r="TPO38" s="316"/>
      <c r="TPP38" s="316"/>
      <c r="TPQ38" s="316"/>
      <c r="TPR38" s="316"/>
      <c r="TPS38" s="316"/>
      <c r="TPT38" s="316"/>
      <c r="TPU38" s="316"/>
      <c r="TPV38" s="316"/>
      <c r="TPW38" s="316"/>
      <c r="TPX38" s="316"/>
      <c r="TPY38" s="316"/>
      <c r="TPZ38" s="316"/>
      <c r="TQA38" s="316"/>
      <c r="TQB38" s="316"/>
      <c r="TQC38" s="316"/>
      <c r="TQD38" s="316"/>
      <c r="TQE38" s="316"/>
      <c r="TQF38" s="316"/>
      <c r="TQG38" s="316"/>
      <c r="TQH38" s="316"/>
      <c r="TQI38" s="316"/>
      <c r="TQJ38" s="316"/>
      <c r="TQK38" s="316"/>
      <c r="TQL38" s="316"/>
      <c r="TQM38" s="316"/>
      <c r="TQN38" s="316"/>
      <c r="TQO38" s="316"/>
      <c r="TQP38" s="316"/>
      <c r="TQQ38" s="316"/>
      <c r="TQR38" s="316"/>
      <c r="TQS38" s="316"/>
      <c r="TQT38" s="316"/>
      <c r="TQU38" s="316"/>
      <c r="TQV38" s="316"/>
      <c r="TQW38" s="316"/>
      <c r="TQX38" s="316"/>
      <c r="TQY38" s="316"/>
      <c r="TQZ38" s="316"/>
      <c r="TRA38" s="316"/>
      <c r="TRB38" s="316"/>
      <c r="TRC38" s="316"/>
      <c r="TRD38" s="316"/>
      <c r="TRE38" s="316"/>
      <c r="TRF38" s="316"/>
      <c r="TRG38" s="316"/>
      <c r="TRH38" s="316"/>
      <c r="TRI38" s="316"/>
      <c r="TRJ38" s="316"/>
      <c r="TRK38" s="316"/>
      <c r="TRL38" s="316"/>
      <c r="TRM38" s="316"/>
      <c r="TRN38" s="316"/>
      <c r="TRO38" s="316"/>
      <c r="TRP38" s="316"/>
      <c r="TRQ38" s="316"/>
      <c r="TRR38" s="316"/>
      <c r="TRS38" s="316"/>
      <c r="TRT38" s="316"/>
      <c r="TRU38" s="316"/>
      <c r="TRV38" s="316"/>
      <c r="TRW38" s="316"/>
      <c r="TRX38" s="316"/>
      <c r="TRY38" s="316"/>
      <c r="TRZ38" s="316"/>
      <c r="TSA38" s="316"/>
      <c r="TSB38" s="316"/>
      <c r="TSC38" s="316"/>
      <c r="TSD38" s="316"/>
      <c r="TSE38" s="316"/>
      <c r="TSF38" s="316"/>
      <c r="TSG38" s="316"/>
      <c r="TSH38" s="316"/>
      <c r="TSI38" s="316"/>
      <c r="TSJ38" s="316"/>
      <c r="TSK38" s="316"/>
      <c r="TSL38" s="316"/>
      <c r="TSM38" s="316"/>
      <c r="TSN38" s="316"/>
      <c r="TSO38" s="316"/>
      <c r="TSP38" s="316"/>
      <c r="TSQ38" s="316"/>
      <c r="TSR38" s="316"/>
      <c r="TSS38" s="316"/>
      <c r="TST38" s="316"/>
      <c r="TSU38" s="316"/>
      <c r="TSV38" s="316"/>
      <c r="TSW38" s="316"/>
      <c r="TSX38" s="316"/>
      <c r="TSY38" s="316"/>
      <c r="TSZ38" s="316"/>
      <c r="TTA38" s="316"/>
      <c r="TTB38" s="316"/>
      <c r="TTC38" s="316"/>
      <c r="TTD38" s="316"/>
      <c r="TTE38" s="316"/>
      <c r="TTF38" s="316"/>
      <c r="TTG38" s="316"/>
      <c r="TTH38" s="316"/>
      <c r="TTI38" s="316"/>
      <c r="TTJ38" s="316"/>
      <c r="TTK38" s="316"/>
      <c r="TTL38" s="316"/>
      <c r="TTM38" s="316"/>
      <c r="TTN38" s="316"/>
      <c r="TTO38" s="316"/>
      <c r="TTP38" s="316"/>
      <c r="TTQ38" s="316"/>
      <c r="TTR38" s="316"/>
      <c r="TTS38" s="316"/>
      <c r="TTT38" s="316"/>
      <c r="TTU38" s="316"/>
      <c r="TTV38" s="316"/>
      <c r="TTW38" s="316"/>
      <c r="TTX38" s="316"/>
      <c r="TTY38" s="316"/>
      <c r="TTZ38" s="316"/>
      <c r="TUA38" s="316"/>
      <c r="TUB38" s="316"/>
      <c r="TUC38" s="316"/>
      <c r="TUD38" s="316"/>
      <c r="TUE38" s="316"/>
      <c r="TUF38" s="316"/>
      <c r="TUG38" s="316"/>
      <c r="TUH38" s="316"/>
      <c r="TUI38" s="316"/>
      <c r="TUJ38" s="316"/>
      <c r="TUK38" s="316"/>
      <c r="TUL38" s="316"/>
      <c r="TUM38" s="316"/>
      <c r="TUN38" s="316"/>
      <c r="TUO38" s="316"/>
      <c r="TUP38" s="316"/>
      <c r="TUQ38" s="316"/>
      <c r="TUR38" s="316"/>
      <c r="TUS38" s="316"/>
      <c r="TUT38" s="316"/>
      <c r="TUU38" s="316"/>
      <c r="TUV38" s="316"/>
      <c r="TUW38" s="316"/>
      <c r="TUX38" s="316"/>
      <c r="TUY38" s="316"/>
      <c r="TUZ38" s="316"/>
      <c r="TVA38" s="316"/>
      <c r="TVB38" s="316"/>
      <c r="TVC38" s="316"/>
      <c r="TVD38" s="316"/>
      <c r="TVE38" s="316"/>
      <c r="TVF38" s="316"/>
      <c r="TVG38" s="316"/>
      <c r="TVH38" s="316"/>
      <c r="TVI38" s="316"/>
      <c r="TVJ38" s="316"/>
      <c r="TVK38" s="316"/>
      <c r="TVL38" s="316"/>
      <c r="TVM38" s="316"/>
      <c r="TVN38" s="316"/>
      <c r="TVO38" s="316"/>
      <c r="TVP38" s="316"/>
      <c r="TVQ38" s="316"/>
      <c r="TVR38" s="316"/>
      <c r="TVS38" s="316"/>
      <c r="TVT38" s="316"/>
      <c r="TVU38" s="316"/>
      <c r="TVV38" s="316"/>
      <c r="TVW38" s="316"/>
      <c r="TVX38" s="316"/>
      <c r="TVY38" s="316"/>
      <c r="TVZ38" s="316"/>
      <c r="TWA38" s="316"/>
      <c r="TWB38" s="316"/>
      <c r="TWC38" s="316"/>
      <c r="TWD38" s="316"/>
      <c r="TWE38" s="316"/>
      <c r="TWF38" s="316"/>
      <c r="TWG38" s="316"/>
      <c r="TWH38" s="316"/>
      <c r="TWI38" s="316"/>
      <c r="TWJ38" s="316"/>
      <c r="TWK38" s="316"/>
      <c r="TWL38" s="316"/>
      <c r="TWM38" s="316"/>
      <c r="TWN38" s="316"/>
      <c r="TWO38" s="316"/>
      <c r="TWP38" s="316"/>
      <c r="TWQ38" s="316"/>
      <c r="TWR38" s="316"/>
      <c r="TWS38" s="316"/>
      <c r="TWT38" s="316"/>
      <c r="TWU38" s="316"/>
      <c r="TWV38" s="316"/>
      <c r="TWW38" s="316"/>
      <c r="TWX38" s="316"/>
      <c r="TWY38" s="316"/>
      <c r="TWZ38" s="316"/>
      <c r="TXA38" s="316"/>
      <c r="TXB38" s="316"/>
      <c r="TXC38" s="316"/>
      <c r="TXD38" s="316"/>
      <c r="TXE38" s="316"/>
      <c r="TXF38" s="316"/>
      <c r="TXG38" s="316"/>
      <c r="TXH38" s="316"/>
      <c r="TXI38" s="316"/>
      <c r="TXJ38" s="316"/>
      <c r="TXK38" s="316"/>
      <c r="TXL38" s="316"/>
      <c r="TXM38" s="316"/>
      <c r="TXN38" s="316"/>
      <c r="TXO38" s="316"/>
      <c r="TXP38" s="316"/>
      <c r="TXQ38" s="316"/>
      <c r="TXR38" s="316"/>
      <c r="TXS38" s="316"/>
      <c r="TXT38" s="316"/>
      <c r="TXU38" s="316"/>
      <c r="TXV38" s="316"/>
      <c r="TXW38" s="316"/>
      <c r="TXX38" s="316"/>
      <c r="TXY38" s="316"/>
      <c r="TXZ38" s="316"/>
      <c r="TYA38" s="316"/>
      <c r="TYB38" s="316"/>
      <c r="TYC38" s="316"/>
      <c r="TYD38" s="316"/>
      <c r="TYE38" s="316"/>
      <c r="TYF38" s="316"/>
      <c r="TYG38" s="316"/>
      <c r="TYH38" s="316"/>
      <c r="TYI38" s="316"/>
      <c r="TYJ38" s="316"/>
      <c r="TYK38" s="316"/>
      <c r="TYL38" s="316"/>
      <c r="TYM38" s="316"/>
      <c r="TYN38" s="316"/>
      <c r="TYO38" s="316"/>
      <c r="TYP38" s="316"/>
      <c r="TYQ38" s="316"/>
      <c r="TYR38" s="316"/>
      <c r="TYS38" s="316"/>
      <c r="TYT38" s="316"/>
      <c r="TYU38" s="316"/>
      <c r="TYV38" s="316"/>
      <c r="TYW38" s="316"/>
      <c r="TYX38" s="316"/>
      <c r="TYY38" s="316"/>
      <c r="TYZ38" s="316"/>
      <c r="TZA38" s="316"/>
      <c r="TZB38" s="316"/>
      <c r="TZC38" s="316"/>
      <c r="TZD38" s="316"/>
      <c r="TZE38" s="316"/>
      <c r="TZF38" s="316"/>
      <c r="TZG38" s="316"/>
      <c r="TZH38" s="316"/>
      <c r="TZI38" s="316"/>
      <c r="TZJ38" s="316"/>
      <c r="TZK38" s="316"/>
      <c r="TZL38" s="316"/>
      <c r="TZM38" s="316"/>
      <c r="TZN38" s="316"/>
      <c r="TZO38" s="316"/>
      <c r="TZP38" s="316"/>
      <c r="TZQ38" s="316"/>
      <c r="TZR38" s="316"/>
      <c r="TZS38" s="316"/>
      <c r="TZT38" s="316"/>
      <c r="TZU38" s="316"/>
      <c r="TZV38" s="316"/>
      <c r="TZW38" s="316"/>
      <c r="TZX38" s="316"/>
      <c r="TZY38" s="316"/>
      <c r="TZZ38" s="316"/>
      <c r="UAA38" s="316"/>
      <c r="UAB38" s="316"/>
      <c r="UAC38" s="316"/>
      <c r="UAD38" s="316"/>
      <c r="UAE38" s="316"/>
      <c r="UAF38" s="316"/>
      <c r="UAG38" s="316"/>
      <c r="UAH38" s="316"/>
      <c r="UAI38" s="316"/>
      <c r="UAJ38" s="316"/>
      <c r="UAK38" s="316"/>
      <c r="UAL38" s="316"/>
      <c r="UAM38" s="316"/>
      <c r="UAN38" s="316"/>
      <c r="UAO38" s="316"/>
      <c r="UAP38" s="316"/>
      <c r="UAQ38" s="316"/>
      <c r="UAR38" s="316"/>
      <c r="UAS38" s="316"/>
      <c r="UAT38" s="316"/>
      <c r="UAU38" s="316"/>
      <c r="UAV38" s="316"/>
      <c r="UAW38" s="316"/>
      <c r="UAX38" s="316"/>
      <c r="UAY38" s="316"/>
      <c r="UAZ38" s="316"/>
      <c r="UBA38" s="316"/>
      <c r="UBB38" s="316"/>
      <c r="UBC38" s="316"/>
      <c r="UBD38" s="316"/>
      <c r="UBE38" s="316"/>
      <c r="UBF38" s="316"/>
      <c r="UBG38" s="316"/>
      <c r="UBH38" s="316"/>
      <c r="UBI38" s="316"/>
      <c r="UBJ38" s="316"/>
      <c r="UBK38" s="316"/>
      <c r="UBL38" s="316"/>
      <c r="UBM38" s="316"/>
      <c r="UBN38" s="316"/>
      <c r="UBO38" s="316"/>
      <c r="UBP38" s="316"/>
      <c r="UBQ38" s="316"/>
      <c r="UBR38" s="316"/>
      <c r="UBS38" s="316"/>
      <c r="UBT38" s="316"/>
      <c r="UBU38" s="316"/>
      <c r="UBV38" s="316"/>
      <c r="UBW38" s="316"/>
      <c r="UBX38" s="316"/>
      <c r="UBY38" s="316"/>
      <c r="UBZ38" s="316"/>
      <c r="UCA38" s="316"/>
      <c r="UCB38" s="316"/>
      <c r="UCC38" s="316"/>
      <c r="UCD38" s="316"/>
      <c r="UCE38" s="316"/>
      <c r="UCF38" s="316"/>
      <c r="UCG38" s="316"/>
      <c r="UCH38" s="316"/>
      <c r="UCI38" s="316"/>
      <c r="UCJ38" s="316"/>
      <c r="UCK38" s="316"/>
      <c r="UCL38" s="316"/>
      <c r="UCM38" s="316"/>
      <c r="UCN38" s="316"/>
      <c r="UCO38" s="316"/>
      <c r="UCP38" s="316"/>
      <c r="UCQ38" s="316"/>
      <c r="UCR38" s="316"/>
      <c r="UCS38" s="316"/>
      <c r="UCT38" s="316"/>
      <c r="UCU38" s="316"/>
      <c r="UCV38" s="316"/>
      <c r="UCW38" s="316"/>
      <c r="UCX38" s="316"/>
      <c r="UCY38" s="316"/>
      <c r="UCZ38" s="316"/>
      <c r="UDA38" s="316"/>
      <c r="UDB38" s="316"/>
      <c r="UDC38" s="316"/>
      <c r="UDD38" s="316"/>
      <c r="UDE38" s="316"/>
      <c r="UDF38" s="316"/>
      <c r="UDG38" s="316"/>
      <c r="UDH38" s="316"/>
      <c r="UDI38" s="316"/>
      <c r="UDJ38" s="316"/>
      <c r="UDK38" s="316"/>
      <c r="UDL38" s="316"/>
      <c r="UDM38" s="316"/>
      <c r="UDN38" s="316"/>
      <c r="UDO38" s="316"/>
      <c r="UDP38" s="316"/>
      <c r="UDQ38" s="316"/>
      <c r="UDR38" s="316"/>
      <c r="UDS38" s="316"/>
      <c r="UDT38" s="316"/>
      <c r="UDU38" s="316"/>
      <c r="UDV38" s="316"/>
      <c r="UDW38" s="316"/>
      <c r="UDX38" s="316"/>
      <c r="UDY38" s="316"/>
      <c r="UDZ38" s="316"/>
      <c r="UEA38" s="316"/>
      <c r="UEB38" s="316"/>
      <c r="UEC38" s="316"/>
      <c r="UED38" s="316"/>
      <c r="UEE38" s="316"/>
      <c r="UEF38" s="316"/>
      <c r="UEG38" s="316"/>
      <c r="UEH38" s="316"/>
      <c r="UEI38" s="316"/>
      <c r="UEJ38" s="316"/>
      <c r="UEK38" s="316"/>
      <c r="UEL38" s="316"/>
      <c r="UEM38" s="316"/>
      <c r="UEN38" s="316"/>
      <c r="UEO38" s="316"/>
      <c r="UEP38" s="316"/>
      <c r="UEQ38" s="316"/>
      <c r="UER38" s="316"/>
      <c r="UES38" s="316"/>
      <c r="UET38" s="316"/>
      <c r="UEU38" s="316"/>
      <c r="UEV38" s="316"/>
      <c r="UEW38" s="316"/>
      <c r="UEX38" s="316"/>
      <c r="UEY38" s="316"/>
      <c r="UEZ38" s="316"/>
      <c r="UFA38" s="316"/>
      <c r="UFB38" s="316"/>
      <c r="UFC38" s="316"/>
      <c r="UFD38" s="316"/>
      <c r="UFE38" s="316"/>
      <c r="UFF38" s="316"/>
      <c r="UFG38" s="316"/>
      <c r="UFH38" s="316"/>
      <c r="UFI38" s="316"/>
      <c r="UFJ38" s="316"/>
      <c r="UFK38" s="316"/>
      <c r="UFL38" s="316"/>
      <c r="UFM38" s="316"/>
      <c r="UFN38" s="316"/>
      <c r="UFO38" s="316"/>
      <c r="UFP38" s="316"/>
      <c r="UFQ38" s="316"/>
      <c r="UFR38" s="316"/>
      <c r="UFS38" s="316"/>
      <c r="UFT38" s="316"/>
      <c r="UFU38" s="316"/>
      <c r="UFV38" s="316"/>
      <c r="UFW38" s="316"/>
      <c r="UFX38" s="316"/>
      <c r="UFY38" s="316"/>
      <c r="UFZ38" s="316"/>
      <c r="UGA38" s="316"/>
      <c r="UGB38" s="316"/>
      <c r="UGC38" s="316"/>
      <c r="UGD38" s="316"/>
      <c r="UGE38" s="316"/>
      <c r="UGF38" s="316"/>
      <c r="UGG38" s="316"/>
      <c r="UGH38" s="316"/>
      <c r="UGI38" s="316"/>
      <c r="UGJ38" s="316"/>
      <c r="UGK38" s="316"/>
      <c r="UGL38" s="316"/>
      <c r="UGM38" s="316"/>
      <c r="UGN38" s="316"/>
      <c r="UGO38" s="316"/>
      <c r="UGP38" s="316"/>
      <c r="UGQ38" s="316"/>
      <c r="UGR38" s="316"/>
      <c r="UGS38" s="316"/>
      <c r="UGT38" s="316"/>
      <c r="UGU38" s="316"/>
      <c r="UGV38" s="316"/>
      <c r="UGW38" s="316"/>
      <c r="UGX38" s="316"/>
      <c r="UGY38" s="316"/>
      <c r="UGZ38" s="316"/>
      <c r="UHA38" s="316"/>
      <c r="UHB38" s="316"/>
      <c r="UHC38" s="316"/>
      <c r="UHD38" s="316"/>
      <c r="UHE38" s="316"/>
      <c r="UHF38" s="316"/>
      <c r="UHG38" s="316"/>
      <c r="UHH38" s="316"/>
      <c r="UHI38" s="316"/>
      <c r="UHJ38" s="316"/>
      <c r="UHK38" s="316"/>
      <c r="UHL38" s="316"/>
      <c r="UHM38" s="316"/>
      <c r="UHN38" s="316"/>
      <c r="UHO38" s="316"/>
      <c r="UHP38" s="316"/>
      <c r="UHQ38" s="316"/>
      <c r="UHR38" s="316"/>
      <c r="UHS38" s="316"/>
      <c r="UHT38" s="316"/>
      <c r="UHU38" s="316"/>
      <c r="UHV38" s="316"/>
      <c r="UHW38" s="316"/>
      <c r="UHX38" s="316"/>
      <c r="UHY38" s="316"/>
      <c r="UHZ38" s="316"/>
      <c r="UIA38" s="316"/>
      <c r="UIB38" s="316"/>
      <c r="UIC38" s="316"/>
      <c r="UID38" s="316"/>
      <c r="UIE38" s="316"/>
      <c r="UIF38" s="316"/>
      <c r="UIG38" s="316"/>
      <c r="UIH38" s="316"/>
      <c r="UII38" s="316"/>
      <c r="UIJ38" s="316"/>
      <c r="UIK38" s="316"/>
      <c r="UIL38" s="316"/>
      <c r="UIM38" s="316"/>
      <c r="UIN38" s="316"/>
      <c r="UIO38" s="316"/>
      <c r="UIP38" s="316"/>
      <c r="UIQ38" s="316"/>
      <c r="UIR38" s="316"/>
      <c r="UIS38" s="316"/>
      <c r="UIT38" s="316"/>
      <c r="UIU38" s="316"/>
      <c r="UIV38" s="316"/>
      <c r="UIW38" s="316"/>
      <c r="UIX38" s="316"/>
      <c r="UIY38" s="316"/>
      <c r="UIZ38" s="316"/>
      <c r="UJA38" s="316"/>
      <c r="UJB38" s="316"/>
      <c r="UJC38" s="316"/>
      <c r="UJD38" s="316"/>
      <c r="UJE38" s="316"/>
      <c r="UJF38" s="316"/>
      <c r="UJG38" s="316"/>
      <c r="UJH38" s="316"/>
      <c r="UJI38" s="316"/>
      <c r="UJJ38" s="316"/>
      <c r="UJK38" s="316"/>
      <c r="UJL38" s="316"/>
      <c r="UJM38" s="316"/>
      <c r="UJN38" s="316"/>
      <c r="UJO38" s="316"/>
      <c r="UJP38" s="316"/>
      <c r="UJQ38" s="316"/>
      <c r="UJR38" s="316"/>
      <c r="UJS38" s="316"/>
      <c r="UJT38" s="316"/>
      <c r="UJU38" s="316"/>
      <c r="UJV38" s="316"/>
      <c r="UJW38" s="316"/>
      <c r="UJX38" s="316"/>
      <c r="UJY38" s="316"/>
      <c r="UJZ38" s="316"/>
      <c r="UKA38" s="316"/>
      <c r="UKB38" s="316"/>
      <c r="UKC38" s="316"/>
      <c r="UKD38" s="316"/>
      <c r="UKE38" s="316"/>
      <c r="UKF38" s="316"/>
      <c r="UKG38" s="316"/>
      <c r="UKH38" s="316"/>
      <c r="UKI38" s="316"/>
      <c r="UKJ38" s="316"/>
      <c r="UKK38" s="316"/>
      <c r="UKL38" s="316"/>
      <c r="UKM38" s="316"/>
      <c r="UKN38" s="316"/>
      <c r="UKO38" s="316"/>
      <c r="UKP38" s="316"/>
      <c r="UKQ38" s="316"/>
      <c r="UKR38" s="316"/>
      <c r="UKS38" s="316"/>
      <c r="UKT38" s="316"/>
      <c r="UKU38" s="316"/>
      <c r="UKV38" s="316"/>
      <c r="UKW38" s="316"/>
      <c r="UKX38" s="316"/>
      <c r="UKY38" s="316"/>
      <c r="UKZ38" s="316"/>
      <c r="ULA38" s="316"/>
      <c r="ULB38" s="316"/>
      <c r="ULC38" s="316"/>
      <c r="ULD38" s="316"/>
      <c r="ULE38" s="316"/>
      <c r="ULF38" s="316"/>
      <c r="ULG38" s="316"/>
      <c r="ULH38" s="316"/>
      <c r="ULI38" s="316"/>
      <c r="ULJ38" s="316"/>
      <c r="ULK38" s="316"/>
      <c r="ULL38" s="316"/>
      <c r="ULM38" s="316"/>
      <c r="ULN38" s="316"/>
      <c r="ULO38" s="316"/>
      <c r="ULP38" s="316"/>
      <c r="ULQ38" s="316"/>
      <c r="ULR38" s="316"/>
      <c r="ULS38" s="316"/>
      <c r="ULT38" s="316"/>
      <c r="ULU38" s="316"/>
      <c r="ULV38" s="316"/>
      <c r="ULW38" s="316"/>
      <c r="ULX38" s="316"/>
      <c r="ULY38" s="316"/>
      <c r="ULZ38" s="316"/>
      <c r="UMA38" s="316"/>
      <c r="UMB38" s="316"/>
      <c r="UMC38" s="316"/>
      <c r="UMD38" s="316"/>
      <c r="UME38" s="316"/>
      <c r="UMF38" s="316"/>
      <c r="UMG38" s="316"/>
      <c r="UMH38" s="316"/>
      <c r="UMI38" s="316"/>
      <c r="UMJ38" s="316"/>
      <c r="UMK38" s="316"/>
      <c r="UML38" s="316"/>
      <c r="UMM38" s="316"/>
      <c r="UMN38" s="316"/>
      <c r="UMO38" s="316"/>
      <c r="UMP38" s="316"/>
      <c r="UMQ38" s="316"/>
      <c r="UMR38" s="316"/>
      <c r="UMS38" s="316"/>
      <c r="UMT38" s="316"/>
      <c r="UMU38" s="316"/>
      <c r="UMV38" s="316"/>
      <c r="UMW38" s="316"/>
      <c r="UMX38" s="316"/>
      <c r="UMY38" s="316"/>
      <c r="UMZ38" s="316"/>
      <c r="UNA38" s="316"/>
      <c r="UNB38" s="316"/>
      <c r="UNC38" s="316"/>
      <c r="UND38" s="316"/>
      <c r="UNE38" s="316"/>
      <c r="UNF38" s="316"/>
      <c r="UNG38" s="316"/>
      <c r="UNH38" s="316"/>
      <c r="UNI38" s="316"/>
      <c r="UNJ38" s="316"/>
      <c r="UNK38" s="316"/>
      <c r="UNL38" s="316"/>
      <c r="UNM38" s="316"/>
      <c r="UNN38" s="316"/>
      <c r="UNO38" s="316"/>
      <c r="UNP38" s="316"/>
      <c r="UNQ38" s="316"/>
      <c r="UNR38" s="316"/>
      <c r="UNS38" s="316"/>
      <c r="UNT38" s="316"/>
      <c r="UNU38" s="316"/>
      <c r="UNV38" s="316"/>
      <c r="UNW38" s="316"/>
      <c r="UNX38" s="316"/>
      <c r="UNY38" s="316"/>
      <c r="UNZ38" s="316"/>
      <c r="UOA38" s="316"/>
      <c r="UOB38" s="316"/>
      <c r="UOC38" s="316"/>
      <c r="UOD38" s="316"/>
      <c r="UOE38" s="316"/>
      <c r="UOF38" s="316"/>
      <c r="UOG38" s="316"/>
      <c r="UOH38" s="316"/>
      <c r="UOI38" s="316"/>
      <c r="UOJ38" s="316"/>
      <c r="UOK38" s="316"/>
      <c r="UOL38" s="316"/>
      <c r="UOM38" s="316"/>
      <c r="UON38" s="316"/>
      <c r="UOO38" s="316"/>
      <c r="UOP38" s="316"/>
      <c r="UOQ38" s="316"/>
      <c r="UOR38" s="316"/>
      <c r="UOS38" s="316"/>
      <c r="UOT38" s="316"/>
      <c r="UOU38" s="316"/>
      <c r="UOV38" s="316"/>
      <c r="UOW38" s="316"/>
      <c r="UOX38" s="316"/>
      <c r="UOY38" s="316"/>
      <c r="UOZ38" s="316"/>
      <c r="UPA38" s="316"/>
      <c r="UPB38" s="316"/>
      <c r="UPC38" s="316"/>
      <c r="UPD38" s="316"/>
      <c r="UPE38" s="316"/>
      <c r="UPF38" s="316"/>
      <c r="UPG38" s="316"/>
      <c r="UPH38" s="316"/>
      <c r="UPI38" s="316"/>
      <c r="UPJ38" s="316"/>
      <c r="UPK38" s="316"/>
      <c r="UPL38" s="316"/>
      <c r="UPM38" s="316"/>
      <c r="UPN38" s="316"/>
      <c r="UPO38" s="316"/>
      <c r="UPP38" s="316"/>
      <c r="UPQ38" s="316"/>
      <c r="UPR38" s="316"/>
      <c r="UPS38" s="316"/>
      <c r="UPT38" s="316"/>
      <c r="UPU38" s="316"/>
      <c r="UPV38" s="316"/>
      <c r="UPW38" s="316"/>
      <c r="UPX38" s="316"/>
      <c r="UPY38" s="316"/>
      <c r="UPZ38" s="316"/>
      <c r="UQA38" s="316"/>
      <c r="UQB38" s="316"/>
      <c r="UQC38" s="316"/>
      <c r="UQD38" s="316"/>
      <c r="UQE38" s="316"/>
      <c r="UQF38" s="316"/>
      <c r="UQG38" s="316"/>
      <c r="UQH38" s="316"/>
      <c r="UQI38" s="316"/>
      <c r="UQJ38" s="316"/>
      <c r="UQK38" s="316"/>
      <c r="UQL38" s="316"/>
      <c r="UQM38" s="316"/>
      <c r="UQN38" s="316"/>
      <c r="UQO38" s="316"/>
      <c r="UQP38" s="316"/>
      <c r="UQQ38" s="316"/>
      <c r="UQR38" s="316"/>
      <c r="UQS38" s="316"/>
      <c r="UQT38" s="316"/>
      <c r="UQU38" s="316"/>
      <c r="UQV38" s="316"/>
      <c r="UQW38" s="316"/>
      <c r="UQX38" s="316"/>
      <c r="UQY38" s="316"/>
      <c r="UQZ38" s="316"/>
      <c r="URA38" s="316"/>
      <c r="URB38" s="316"/>
      <c r="URC38" s="316"/>
      <c r="URD38" s="316"/>
      <c r="URE38" s="316"/>
      <c r="URF38" s="316"/>
      <c r="URG38" s="316"/>
      <c r="URH38" s="316"/>
      <c r="URI38" s="316"/>
      <c r="URJ38" s="316"/>
      <c r="URK38" s="316"/>
      <c r="URL38" s="316"/>
      <c r="URM38" s="316"/>
      <c r="URN38" s="316"/>
      <c r="URO38" s="316"/>
      <c r="URP38" s="316"/>
      <c r="URQ38" s="316"/>
      <c r="URR38" s="316"/>
      <c r="URS38" s="316"/>
      <c r="URT38" s="316"/>
      <c r="URU38" s="316"/>
      <c r="URV38" s="316"/>
      <c r="URW38" s="316"/>
      <c r="URX38" s="316"/>
      <c r="URY38" s="316"/>
      <c r="URZ38" s="316"/>
      <c r="USA38" s="316"/>
      <c r="USB38" s="316"/>
      <c r="USC38" s="316"/>
      <c r="USD38" s="316"/>
      <c r="USE38" s="316"/>
      <c r="USF38" s="316"/>
      <c r="USG38" s="316"/>
      <c r="USH38" s="316"/>
      <c r="USI38" s="316"/>
      <c r="USJ38" s="316"/>
      <c r="USK38" s="316"/>
      <c r="USL38" s="316"/>
      <c r="USM38" s="316"/>
      <c r="USN38" s="316"/>
      <c r="USO38" s="316"/>
      <c r="USP38" s="316"/>
      <c r="USQ38" s="316"/>
      <c r="USR38" s="316"/>
      <c r="USS38" s="316"/>
      <c r="UST38" s="316"/>
      <c r="USU38" s="316"/>
      <c r="USV38" s="316"/>
      <c r="USW38" s="316"/>
      <c r="USX38" s="316"/>
      <c r="USY38" s="316"/>
      <c r="USZ38" s="316"/>
      <c r="UTA38" s="316"/>
      <c r="UTB38" s="316"/>
      <c r="UTC38" s="316"/>
      <c r="UTD38" s="316"/>
      <c r="UTE38" s="316"/>
      <c r="UTF38" s="316"/>
      <c r="UTG38" s="316"/>
      <c r="UTH38" s="316"/>
      <c r="UTI38" s="316"/>
      <c r="UTJ38" s="316"/>
      <c r="UTK38" s="316"/>
      <c r="UTL38" s="316"/>
      <c r="UTM38" s="316"/>
      <c r="UTN38" s="316"/>
      <c r="UTO38" s="316"/>
      <c r="UTP38" s="316"/>
      <c r="UTQ38" s="316"/>
      <c r="UTR38" s="316"/>
      <c r="UTS38" s="316"/>
      <c r="UTT38" s="316"/>
      <c r="UTU38" s="316"/>
      <c r="UTV38" s="316"/>
      <c r="UTW38" s="316"/>
      <c r="UTX38" s="316"/>
      <c r="UTY38" s="316"/>
      <c r="UTZ38" s="316"/>
      <c r="UUA38" s="316"/>
      <c r="UUB38" s="316"/>
      <c r="UUC38" s="316"/>
      <c r="UUD38" s="316"/>
      <c r="UUE38" s="316"/>
      <c r="UUF38" s="316"/>
      <c r="UUG38" s="316"/>
      <c r="UUH38" s="316"/>
      <c r="UUI38" s="316"/>
      <c r="UUJ38" s="316"/>
      <c r="UUK38" s="316"/>
      <c r="UUL38" s="316"/>
      <c r="UUM38" s="316"/>
      <c r="UUN38" s="316"/>
      <c r="UUO38" s="316"/>
      <c r="UUP38" s="316"/>
      <c r="UUQ38" s="316"/>
      <c r="UUR38" s="316"/>
      <c r="UUS38" s="316"/>
      <c r="UUT38" s="316"/>
      <c r="UUU38" s="316"/>
      <c r="UUV38" s="316"/>
      <c r="UUW38" s="316"/>
      <c r="UUX38" s="316"/>
      <c r="UUY38" s="316"/>
      <c r="UUZ38" s="316"/>
      <c r="UVA38" s="316"/>
      <c r="UVB38" s="316"/>
      <c r="UVC38" s="316"/>
      <c r="UVD38" s="316"/>
      <c r="UVE38" s="316"/>
      <c r="UVF38" s="316"/>
      <c r="UVG38" s="316"/>
      <c r="UVH38" s="316"/>
      <c r="UVI38" s="316"/>
      <c r="UVJ38" s="316"/>
      <c r="UVK38" s="316"/>
      <c r="UVL38" s="316"/>
      <c r="UVM38" s="316"/>
      <c r="UVN38" s="316"/>
      <c r="UVO38" s="316"/>
      <c r="UVP38" s="316"/>
      <c r="UVQ38" s="316"/>
      <c r="UVR38" s="316"/>
      <c r="UVS38" s="316"/>
      <c r="UVT38" s="316"/>
      <c r="UVU38" s="316"/>
      <c r="UVV38" s="316"/>
      <c r="UVW38" s="316"/>
      <c r="UVX38" s="316"/>
      <c r="UVY38" s="316"/>
      <c r="UVZ38" s="316"/>
      <c r="UWA38" s="316"/>
      <c r="UWB38" s="316"/>
      <c r="UWC38" s="316"/>
      <c r="UWD38" s="316"/>
      <c r="UWE38" s="316"/>
      <c r="UWF38" s="316"/>
      <c r="UWG38" s="316"/>
      <c r="UWH38" s="316"/>
      <c r="UWI38" s="316"/>
      <c r="UWJ38" s="316"/>
      <c r="UWK38" s="316"/>
      <c r="UWL38" s="316"/>
      <c r="UWM38" s="316"/>
      <c r="UWN38" s="316"/>
      <c r="UWO38" s="316"/>
      <c r="UWP38" s="316"/>
      <c r="UWQ38" s="316"/>
      <c r="UWR38" s="316"/>
      <c r="UWS38" s="316"/>
      <c r="UWT38" s="316"/>
      <c r="UWU38" s="316"/>
      <c r="UWV38" s="316"/>
      <c r="UWW38" s="316"/>
      <c r="UWX38" s="316"/>
      <c r="UWY38" s="316"/>
      <c r="UWZ38" s="316"/>
      <c r="UXA38" s="316"/>
      <c r="UXB38" s="316"/>
      <c r="UXC38" s="316"/>
      <c r="UXD38" s="316"/>
      <c r="UXE38" s="316"/>
      <c r="UXF38" s="316"/>
      <c r="UXG38" s="316"/>
      <c r="UXH38" s="316"/>
      <c r="UXI38" s="316"/>
      <c r="UXJ38" s="316"/>
      <c r="UXK38" s="316"/>
      <c r="UXL38" s="316"/>
      <c r="UXM38" s="316"/>
      <c r="UXN38" s="316"/>
      <c r="UXO38" s="316"/>
      <c r="UXP38" s="316"/>
      <c r="UXQ38" s="316"/>
      <c r="UXR38" s="316"/>
      <c r="UXS38" s="316"/>
      <c r="UXT38" s="316"/>
      <c r="UXU38" s="316"/>
      <c r="UXV38" s="316"/>
      <c r="UXW38" s="316"/>
      <c r="UXX38" s="316"/>
      <c r="UXY38" s="316"/>
      <c r="UXZ38" s="316"/>
      <c r="UYA38" s="316"/>
      <c r="UYB38" s="316"/>
      <c r="UYC38" s="316"/>
      <c r="UYD38" s="316"/>
      <c r="UYE38" s="316"/>
      <c r="UYF38" s="316"/>
      <c r="UYG38" s="316"/>
      <c r="UYH38" s="316"/>
      <c r="UYI38" s="316"/>
      <c r="UYJ38" s="316"/>
      <c r="UYK38" s="316"/>
      <c r="UYL38" s="316"/>
      <c r="UYM38" s="316"/>
      <c r="UYN38" s="316"/>
      <c r="UYO38" s="316"/>
      <c r="UYP38" s="316"/>
      <c r="UYQ38" s="316"/>
      <c r="UYR38" s="316"/>
      <c r="UYS38" s="316"/>
      <c r="UYT38" s="316"/>
      <c r="UYU38" s="316"/>
      <c r="UYV38" s="316"/>
      <c r="UYW38" s="316"/>
      <c r="UYX38" s="316"/>
      <c r="UYY38" s="316"/>
      <c r="UYZ38" s="316"/>
      <c r="UZA38" s="316"/>
      <c r="UZB38" s="316"/>
      <c r="UZC38" s="316"/>
      <c r="UZD38" s="316"/>
      <c r="UZE38" s="316"/>
      <c r="UZF38" s="316"/>
      <c r="UZG38" s="316"/>
      <c r="UZH38" s="316"/>
      <c r="UZI38" s="316"/>
      <c r="UZJ38" s="316"/>
      <c r="UZK38" s="316"/>
      <c r="UZL38" s="316"/>
      <c r="UZM38" s="316"/>
      <c r="UZN38" s="316"/>
      <c r="UZO38" s="316"/>
      <c r="UZP38" s="316"/>
      <c r="UZQ38" s="316"/>
      <c r="UZR38" s="316"/>
      <c r="UZS38" s="316"/>
      <c r="UZT38" s="316"/>
      <c r="UZU38" s="316"/>
      <c r="UZV38" s="316"/>
      <c r="UZW38" s="316"/>
      <c r="UZX38" s="316"/>
      <c r="UZY38" s="316"/>
      <c r="UZZ38" s="316"/>
      <c r="VAA38" s="316"/>
      <c r="VAB38" s="316"/>
      <c r="VAC38" s="316"/>
      <c r="VAD38" s="316"/>
      <c r="VAE38" s="316"/>
      <c r="VAF38" s="316"/>
      <c r="VAG38" s="316"/>
      <c r="VAH38" s="316"/>
      <c r="VAI38" s="316"/>
      <c r="VAJ38" s="316"/>
      <c r="VAK38" s="316"/>
      <c r="VAL38" s="316"/>
      <c r="VAM38" s="316"/>
      <c r="VAN38" s="316"/>
      <c r="VAO38" s="316"/>
      <c r="VAP38" s="316"/>
      <c r="VAQ38" s="316"/>
      <c r="VAR38" s="316"/>
      <c r="VAS38" s="316"/>
      <c r="VAT38" s="316"/>
      <c r="VAU38" s="316"/>
      <c r="VAV38" s="316"/>
      <c r="VAW38" s="316"/>
      <c r="VAX38" s="316"/>
      <c r="VAY38" s="316"/>
      <c r="VAZ38" s="316"/>
      <c r="VBA38" s="316"/>
      <c r="VBB38" s="316"/>
      <c r="VBC38" s="316"/>
      <c r="VBD38" s="316"/>
      <c r="VBE38" s="316"/>
      <c r="VBF38" s="316"/>
      <c r="VBG38" s="316"/>
      <c r="VBH38" s="316"/>
      <c r="VBI38" s="316"/>
      <c r="VBJ38" s="316"/>
      <c r="VBK38" s="316"/>
      <c r="VBL38" s="316"/>
      <c r="VBM38" s="316"/>
      <c r="VBN38" s="316"/>
      <c r="VBO38" s="316"/>
      <c r="VBP38" s="316"/>
      <c r="VBQ38" s="316"/>
      <c r="VBR38" s="316"/>
      <c r="VBS38" s="316"/>
      <c r="VBT38" s="316"/>
      <c r="VBU38" s="316"/>
      <c r="VBV38" s="316"/>
      <c r="VBW38" s="316"/>
      <c r="VBX38" s="316"/>
      <c r="VBY38" s="316"/>
      <c r="VBZ38" s="316"/>
      <c r="VCA38" s="316"/>
      <c r="VCB38" s="316"/>
      <c r="VCC38" s="316"/>
      <c r="VCD38" s="316"/>
      <c r="VCE38" s="316"/>
      <c r="VCF38" s="316"/>
      <c r="VCG38" s="316"/>
      <c r="VCH38" s="316"/>
      <c r="VCI38" s="316"/>
      <c r="VCJ38" s="316"/>
      <c r="VCK38" s="316"/>
      <c r="VCL38" s="316"/>
      <c r="VCM38" s="316"/>
      <c r="VCN38" s="316"/>
      <c r="VCO38" s="316"/>
      <c r="VCP38" s="316"/>
      <c r="VCQ38" s="316"/>
      <c r="VCR38" s="316"/>
      <c r="VCS38" s="316"/>
      <c r="VCT38" s="316"/>
      <c r="VCU38" s="316"/>
      <c r="VCV38" s="316"/>
      <c r="VCW38" s="316"/>
      <c r="VCX38" s="316"/>
      <c r="VCY38" s="316"/>
      <c r="VCZ38" s="316"/>
      <c r="VDA38" s="316"/>
      <c r="VDB38" s="316"/>
      <c r="VDC38" s="316"/>
      <c r="VDD38" s="316"/>
      <c r="VDE38" s="316"/>
      <c r="VDF38" s="316"/>
      <c r="VDG38" s="316"/>
      <c r="VDH38" s="316"/>
      <c r="VDI38" s="316"/>
      <c r="VDJ38" s="316"/>
      <c r="VDK38" s="316"/>
      <c r="VDL38" s="316"/>
      <c r="VDM38" s="316"/>
      <c r="VDN38" s="316"/>
      <c r="VDO38" s="316"/>
      <c r="VDP38" s="316"/>
      <c r="VDQ38" s="316"/>
      <c r="VDR38" s="316"/>
      <c r="VDS38" s="316"/>
      <c r="VDT38" s="316"/>
      <c r="VDU38" s="316"/>
      <c r="VDV38" s="316"/>
      <c r="VDW38" s="316"/>
      <c r="VDX38" s="316"/>
      <c r="VDY38" s="316"/>
      <c r="VDZ38" s="316"/>
      <c r="VEA38" s="316"/>
      <c r="VEB38" s="316"/>
      <c r="VEC38" s="316"/>
      <c r="VED38" s="316"/>
      <c r="VEE38" s="316"/>
      <c r="VEF38" s="316"/>
      <c r="VEG38" s="316"/>
      <c r="VEH38" s="316"/>
      <c r="VEI38" s="316"/>
      <c r="VEJ38" s="316"/>
      <c r="VEK38" s="316"/>
      <c r="VEL38" s="316"/>
      <c r="VEM38" s="316"/>
      <c r="VEN38" s="316"/>
      <c r="VEO38" s="316"/>
      <c r="VEP38" s="316"/>
      <c r="VEQ38" s="316"/>
      <c r="VER38" s="316"/>
      <c r="VES38" s="316"/>
      <c r="VET38" s="316"/>
      <c r="VEU38" s="316"/>
      <c r="VEV38" s="316"/>
      <c r="VEW38" s="316"/>
      <c r="VEX38" s="316"/>
      <c r="VEY38" s="316"/>
      <c r="VEZ38" s="316"/>
      <c r="VFA38" s="316"/>
      <c r="VFB38" s="316"/>
      <c r="VFC38" s="316"/>
      <c r="VFD38" s="316"/>
      <c r="VFE38" s="316"/>
      <c r="VFF38" s="316"/>
      <c r="VFG38" s="316"/>
      <c r="VFH38" s="316"/>
      <c r="VFI38" s="316"/>
      <c r="VFJ38" s="316"/>
      <c r="VFK38" s="316"/>
      <c r="VFL38" s="316"/>
      <c r="VFM38" s="316"/>
      <c r="VFN38" s="316"/>
      <c r="VFO38" s="316"/>
      <c r="VFP38" s="316"/>
      <c r="VFQ38" s="316"/>
      <c r="VFR38" s="316"/>
      <c r="VFS38" s="316"/>
      <c r="VFT38" s="316"/>
      <c r="VFU38" s="316"/>
      <c r="VFV38" s="316"/>
      <c r="VFW38" s="316"/>
      <c r="VFX38" s="316"/>
      <c r="VFY38" s="316"/>
      <c r="VFZ38" s="316"/>
      <c r="VGA38" s="316"/>
      <c r="VGB38" s="316"/>
      <c r="VGC38" s="316"/>
      <c r="VGD38" s="316"/>
      <c r="VGE38" s="316"/>
      <c r="VGF38" s="316"/>
      <c r="VGG38" s="316"/>
      <c r="VGH38" s="316"/>
      <c r="VGI38" s="316"/>
      <c r="VGJ38" s="316"/>
      <c r="VGK38" s="316"/>
      <c r="VGL38" s="316"/>
      <c r="VGM38" s="316"/>
      <c r="VGN38" s="316"/>
      <c r="VGO38" s="316"/>
      <c r="VGP38" s="316"/>
      <c r="VGQ38" s="316"/>
      <c r="VGR38" s="316"/>
      <c r="VGS38" s="316"/>
      <c r="VGT38" s="316"/>
      <c r="VGU38" s="316"/>
      <c r="VGV38" s="316"/>
      <c r="VGW38" s="316"/>
      <c r="VGX38" s="316"/>
      <c r="VGY38" s="316"/>
      <c r="VGZ38" s="316"/>
      <c r="VHA38" s="316"/>
      <c r="VHB38" s="316"/>
      <c r="VHC38" s="316"/>
      <c r="VHD38" s="316"/>
      <c r="VHE38" s="316"/>
      <c r="VHF38" s="316"/>
      <c r="VHG38" s="316"/>
      <c r="VHH38" s="316"/>
      <c r="VHI38" s="316"/>
      <c r="VHJ38" s="316"/>
      <c r="VHK38" s="316"/>
      <c r="VHL38" s="316"/>
      <c r="VHM38" s="316"/>
      <c r="VHN38" s="316"/>
      <c r="VHO38" s="316"/>
      <c r="VHP38" s="316"/>
      <c r="VHQ38" s="316"/>
      <c r="VHR38" s="316"/>
      <c r="VHS38" s="316"/>
      <c r="VHT38" s="316"/>
      <c r="VHU38" s="316"/>
      <c r="VHV38" s="316"/>
      <c r="VHW38" s="316"/>
      <c r="VHX38" s="316"/>
      <c r="VHY38" s="316"/>
      <c r="VHZ38" s="316"/>
      <c r="VIA38" s="316"/>
      <c r="VIB38" s="316"/>
      <c r="VIC38" s="316"/>
      <c r="VID38" s="316"/>
      <c r="VIE38" s="316"/>
      <c r="VIF38" s="316"/>
      <c r="VIG38" s="316"/>
      <c r="VIH38" s="316"/>
      <c r="VII38" s="316"/>
      <c r="VIJ38" s="316"/>
      <c r="VIK38" s="316"/>
      <c r="VIL38" s="316"/>
      <c r="VIM38" s="316"/>
      <c r="VIN38" s="316"/>
      <c r="VIO38" s="316"/>
      <c r="VIP38" s="316"/>
      <c r="VIQ38" s="316"/>
      <c r="VIR38" s="316"/>
      <c r="VIS38" s="316"/>
      <c r="VIT38" s="316"/>
      <c r="VIU38" s="316"/>
      <c r="VIV38" s="316"/>
      <c r="VIW38" s="316"/>
      <c r="VIX38" s="316"/>
      <c r="VIY38" s="316"/>
      <c r="VIZ38" s="316"/>
      <c r="VJA38" s="316"/>
      <c r="VJB38" s="316"/>
      <c r="VJC38" s="316"/>
      <c r="VJD38" s="316"/>
      <c r="VJE38" s="316"/>
      <c r="VJF38" s="316"/>
      <c r="VJG38" s="316"/>
      <c r="VJH38" s="316"/>
      <c r="VJI38" s="316"/>
      <c r="VJJ38" s="316"/>
      <c r="VJK38" s="316"/>
      <c r="VJL38" s="316"/>
      <c r="VJM38" s="316"/>
      <c r="VJN38" s="316"/>
      <c r="VJO38" s="316"/>
      <c r="VJP38" s="316"/>
      <c r="VJQ38" s="316"/>
      <c r="VJR38" s="316"/>
      <c r="VJS38" s="316"/>
      <c r="VJT38" s="316"/>
      <c r="VJU38" s="316"/>
      <c r="VJV38" s="316"/>
      <c r="VJW38" s="316"/>
      <c r="VJX38" s="316"/>
      <c r="VJY38" s="316"/>
      <c r="VJZ38" s="316"/>
      <c r="VKA38" s="316"/>
      <c r="VKB38" s="316"/>
      <c r="VKC38" s="316"/>
      <c r="VKD38" s="316"/>
      <c r="VKE38" s="316"/>
      <c r="VKF38" s="316"/>
      <c r="VKG38" s="316"/>
      <c r="VKH38" s="316"/>
      <c r="VKI38" s="316"/>
      <c r="VKJ38" s="316"/>
      <c r="VKK38" s="316"/>
      <c r="VKL38" s="316"/>
      <c r="VKM38" s="316"/>
      <c r="VKN38" s="316"/>
      <c r="VKO38" s="316"/>
      <c r="VKP38" s="316"/>
      <c r="VKQ38" s="316"/>
      <c r="VKR38" s="316"/>
      <c r="VKS38" s="316"/>
      <c r="VKT38" s="316"/>
      <c r="VKU38" s="316"/>
      <c r="VKV38" s="316"/>
      <c r="VKW38" s="316"/>
      <c r="VKX38" s="316"/>
      <c r="VKY38" s="316"/>
      <c r="VKZ38" s="316"/>
      <c r="VLA38" s="316"/>
      <c r="VLB38" s="316"/>
      <c r="VLC38" s="316"/>
      <c r="VLD38" s="316"/>
      <c r="VLE38" s="316"/>
      <c r="VLF38" s="316"/>
      <c r="VLG38" s="316"/>
      <c r="VLH38" s="316"/>
      <c r="VLI38" s="316"/>
      <c r="VLJ38" s="316"/>
      <c r="VLK38" s="316"/>
      <c r="VLL38" s="316"/>
      <c r="VLM38" s="316"/>
      <c r="VLN38" s="316"/>
      <c r="VLO38" s="316"/>
      <c r="VLP38" s="316"/>
      <c r="VLQ38" s="316"/>
      <c r="VLR38" s="316"/>
      <c r="VLS38" s="316"/>
      <c r="VLT38" s="316"/>
      <c r="VLU38" s="316"/>
      <c r="VLV38" s="316"/>
      <c r="VLW38" s="316"/>
      <c r="VLX38" s="316"/>
      <c r="VLY38" s="316"/>
      <c r="VLZ38" s="316"/>
      <c r="VMA38" s="316"/>
      <c r="VMB38" s="316"/>
      <c r="VMC38" s="316"/>
      <c r="VMD38" s="316"/>
      <c r="VME38" s="316"/>
      <c r="VMF38" s="316"/>
      <c r="VMG38" s="316"/>
      <c r="VMH38" s="316"/>
      <c r="VMI38" s="316"/>
      <c r="VMJ38" s="316"/>
      <c r="VMK38" s="316"/>
      <c r="VML38" s="316"/>
      <c r="VMM38" s="316"/>
      <c r="VMN38" s="316"/>
      <c r="VMO38" s="316"/>
      <c r="VMP38" s="316"/>
      <c r="VMQ38" s="316"/>
      <c r="VMR38" s="316"/>
      <c r="VMS38" s="316"/>
      <c r="VMT38" s="316"/>
      <c r="VMU38" s="316"/>
      <c r="VMV38" s="316"/>
      <c r="VMW38" s="316"/>
      <c r="VMX38" s="316"/>
      <c r="VMY38" s="316"/>
      <c r="VMZ38" s="316"/>
      <c r="VNA38" s="316"/>
      <c r="VNB38" s="316"/>
      <c r="VNC38" s="316"/>
      <c r="VND38" s="316"/>
      <c r="VNE38" s="316"/>
      <c r="VNF38" s="316"/>
      <c r="VNG38" s="316"/>
      <c r="VNH38" s="316"/>
      <c r="VNI38" s="316"/>
      <c r="VNJ38" s="316"/>
      <c r="VNK38" s="316"/>
      <c r="VNL38" s="316"/>
      <c r="VNM38" s="316"/>
      <c r="VNN38" s="316"/>
      <c r="VNO38" s="316"/>
      <c r="VNP38" s="316"/>
      <c r="VNQ38" s="316"/>
      <c r="VNR38" s="316"/>
      <c r="VNS38" s="316"/>
      <c r="VNT38" s="316"/>
      <c r="VNU38" s="316"/>
      <c r="VNV38" s="316"/>
      <c r="VNW38" s="316"/>
      <c r="VNX38" s="316"/>
      <c r="VNY38" s="316"/>
      <c r="VNZ38" s="316"/>
      <c r="VOA38" s="316"/>
      <c r="VOB38" s="316"/>
      <c r="VOC38" s="316"/>
      <c r="VOD38" s="316"/>
      <c r="VOE38" s="316"/>
      <c r="VOF38" s="316"/>
      <c r="VOG38" s="316"/>
      <c r="VOH38" s="316"/>
      <c r="VOI38" s="316"/>
      <c r="VOJ38" s="316"/>
      <c r="VOK38" s="316"/>
      <c r="VOL38" s="316"/>
      <c r="VOM38" s="316"/>
      <c r="VON38" s="316"/>
      <c r="VOO38" s="316"/>
      <c r="VOP38" s="316"/>
      <c r="VOQ38" s="316"/>
      <c r="VOR38" s="316"/>
      <c r="VOS38" s="316"/>
      <c r="VOT38" s="316"/>
      <c r="VOU38" s="316"/>
      <c r="VOV38" s="316"/>
      <c r="VOW38" s="316"/>
      <c r="VOX38" s="316"/>
      <c r="VOY38" s="316"/>
      <c r="VOZ38" s="316"/>
      <c r="VPA38" s="316"/>
      <c r="VPB38" s="316"/>
      <c r="VPC38" s="316"/>
      <c r="VPD38" s="316"/>
      <c r="VPE38" s="316"/>
      <c r="VPF38" s="316"/>
      <c r="VPG38" s="316"/>
      <c r="VPH38" s="316"/>
      <c r="VPI38" s="316"/>
      <c r="VPJ38" s="316"/>
      <c r="VPK38" s="316"/>
      <c r="VPL38" s="316"/>
      <c r="VPM38" s="316"/>
      <c r="VPN38" s="316"/>
      <c r="VPO38" s="316"/>
      <c r="VPP38" s="316"/>
      <c r="VPQ38" s="316"/>
      <c r="VPR38" s="316"/>
      <c r="VPS38" s="316"/>
      <c r="VPT38" s="316"/>
      <c r="VPU38" s="316"/>
      <c r="VPV38" s="316"/>
      <c r="VPW38" s="316"/>
      <c r="VPX38" s="316"/>
      <c r="VPY38" s="316"/>
      <c r="VPZ38" s="316"/>
      <c r="VQA38" s="316"/>
      <c r="VQB38" s="316"/>
      <c r="VQC38" s="316"/>
      <c r="VQD38" s="316"/>
      <c r="VQE38" s="316"/>
      <c r="VQF38" s="316"/>
      <c r="VQG38" s="316"/>
      <c r="VQH38" s="316"/>
      <c r="VQI38" s="316"/>
      <c r="VQJ38" s="316"/>
      <c r="VQK38" s="316"/>
      <c r="VQL38" s="316"/>
      <c r="VQM38" s="316"/>
      <c r="VQN38" s="316"/>
      <c r="VQO38" s="316"/>
      <c r="VQP38" s="316"/>
      <c r="VQQ38" s="316"/>
      <c r="VQR38" s="316"/>
      <c r="VQS38" s="316"/>
      <c r="VQT38" s="316"/>
      <c r="VQU38" s="316"/>
      <c r="VQV38" s="316"/>
      <c r="VQW38" s="316"/>
      <c r="VQX38" s="316"/>
      <c r="VQY38" s="316"/>
      <c r="VQZ38" s="316"/>
      <c r="VRA38" s="316"/>
      <c r="VRB38" s="316"/>
      <c r="VRC38" s="316"/>
      <c r="VRD38" s="316"/>
      <c r="VRE38" s="316"/>
      <c r="VRF38" s="316"/>
      <c r="VRG38" s="316"/>
      <c r="VRH38" s="316"/>
      <c r="VRI38" s="316"/>
      <c r="VRJ38" s="316"/>
      <c r="VRK38" s="316"/>
      <c r="VRL38" s="316"/>
      <c r="VRM38" s="316"/>
      <c r="VRN38" s="316"/>
      <c r="VRO38" s="316"/>
      <c r="VRP38" s="316"/>
      <c r="VRQ38" s="316"/>
      <c r="VRR38" s="316"/>
      <c r="VRS38" s="316"/>
      <c r="VRT38" s="316"/>
      <c r="VRU38" s="316"/>
      <c r="VRV38" s="316"/>
      <c r="VRW38" s="316"/>
      <c r="VRX38" s="316"/>
      <c r="VRY38" s="316"/>
      <c r="VRZ38" s="316"/>
      <c r="VSA38" s="316"/>
      <c r="VSB38" s="316"/>
      <c r="VSC38" s="316"/>
      <c r="VSD38" s="316"/>
      <c r="VSE38" s="316"/>
      <c r="VSF38" s="316"/>
      <c r="VSG38" s="316"/>
      <c r="VSH38" s="316"/>
      <c r="VSI38" s="316"/>
      <c r="VSJ38" s="316"/>
      <c r="VSK38" s="316"/>
      <c r="VSL38" s="316"/>
      <c r="VSM38" s="316"/>
      <c r="VSN38" s="316"/>
      <c r="VSO38" s="316"/>
      <c r="VSP38" s="316"/>
      <c r="VSQ38" s="316"/>
      <c r="VSR38" s="316"/>
      <c r="VSS38" s="316"/>
      <c r="VST38" s="316"/>
      <c r="VSU38" s="316"/>
      <c r="VSV38" s="316"/>
      <c r="VSW38" s="316"/>
      <c r="VSX38" s="316"/>
      <c r="VSY38" s="316"/>
      <c r="VSZ38" s="316"/>
      <c r="VTA38" s="316"/>
      <c r="VTB38" s="316"/>
      <c r="VTC38" s="316"/>
      <c r="VTD38" s="316"/>
      <c r="VTE38" s="316"/>
      <c r="VTF38" s="316"/>
      <c r="VTG38" s="316"/>
      <c r="VTH38" s="316"/>
      <c r="VTI38" s="316"/>
      <c r="VTJ38" s="316"/>
      <c r="VTK38" s="316"/>
      <c r="VTL38" s="316"/>
      <c r="VTM38" s="316"/>
      <c r="VTN38" s="316"/>
      <c r="VTO38" s="316"/>
      <c r="VTP38" s="316"/>
      <c r="VTQ38" s="316"/>
      <c r="VTR38" s="316"/>
      <c r="VTS38" s="316"/>
      <c r="VTT38" s="316"/>
      <c r="VTU38" s="316"/>
      <c r="VTV38" s="316"/>
      <c r="VTW38" s="316"/>
      <c r="VTX38" s="316"/>
      <c r="VTY38" s="316"/>
      <c r="VTZ38" s="316"/>
      <c r="VUA38" s="316"/>
      <c r="VUB38" s="316"/>
      <c r="VUC38" s="316"/>
      <c r="VUD38" s="316"/>
      <c r="VUE38" s="316"/>
      <c r="VUF38" s="316"/>
      <c r="VUG38" s="316"/>
      <c r="VUH38" s="316"/>
      <c r="VUI38" s="316"/>
      <c r="VUJ38" s="316"/>
      <c r="VUK38" s="316"/>
      <c r="VUL38" s="316"/>
      <c r="VUM38" s="316"/>
      <c r="VUN38" s="316"/>
      <c r="VUO38" s="316"/>
      <c r="VUP38" s="316"/>
      <c r="VUQ38" s="316"/>
      <c r="VUR38" s="316"/>
      <c r="VUS38" s="316"/>
      <c r="VUT38" s="316"/>
      <c r="VUU38" s="316"/>
      <c r="VUV38" s="316"/>
      <c r="VUW38" s="316"/>
      <c r="VUX38" s="316"/>
      <c r="VUY38" s="316"/>
      <c r="VUZ38" s="316"/>
      <c r="VVA38" s="316"/>
      <c r="VVB38" s="316"/>
      <c r="VVC38" s="316"/>
      <c r="VVD38" s="316"/>
      <c r="VVE38" s="316"/>
      <c r="VVF38" s="316"/>
      <c r="VVG38" s="316"/>
      <c r="VVH38" s="316"/>
      <c r="VVI38" s="316"/>
      <c r="VVJ38" s="316"/>
      <c r="VVK38" s="316"/>
      <c r="VVL38" s="316"/>
      <c r="VVM38" s="316"/>
      <c r="VVN38" s="316"/>
      <c r="VVO38" s="316"/>
      <c r="VVP38" s="316"/>
      <c r="VVQ38" s="316"/>
      <c r="VVR38" s="316"/>
      <c r="VVS38" s="316"/>
      <c r="VVT38" s="316"/>
      <c r="VVU38" s="316"/>
      <c r="VVV38" s="316"/>
      <c r="VVW38" s="316"/>
      <c r="VVX38" s="316"/>
      <c r="VVY38" s="316"/>
      <c r="VVZ38" s="316"/>
      <c r="VWA38" s="316"/>
      <c r="VWB38" s="316"/>
      <c r="VWC38" s="316"/>
      <c r="VWD38" s="316"/>
      <c r="VWE38" s="316"/>
      <c r="VWF38" s="316"/>
      <c r="VWG38" s="316"/>
      <c r="VWH38" s="316"/>
      <c r="VWI38" s="316"/>
      <c r="VWJ38" s="316"/>
      <c r="VWK38" s="316"/>
      <c r="VWL38" s="316"/>
      <c r="VWM38" s="316"/>
      <c r="VWN38" s="316"/>
      <c r="VWO38" s="316"/>
      <c r="VWP38" s="316"/>
      <c r="VWQ38" s="316"/>
      <c r="VWR38" s="316"/>
      <c r="VWS38" s="316"/>
      <c r="VWT38" s="316"/>
      <c r="VWU38" s="316"/>
      <c r="VWV38" s="316"/>
      <c r="VWW38" s="316"/>
      <c r="VWX38" s="316"/>
      <c r="VWY38" s="316"/>
      <c r="VWZ38" s="316"/>
      <c r="VXA38" s="316"/>
      <c r="VXB38" s="316"/>
      <c r="VXC38" s="316"/>
      <c r="VXD38" s="316"/>
      <c r="VXE38" s="316"/>
      <c r="VXF38" s="316"/>
      <c r="VXG38" s="316"/>
      <c r="VXH38" s="316"/>
      <c r="VXI38" s="316"/>
      <c r="VXJ38" s="316"/>
      <c r="VXK38" s="316"/>
      <c r="VXL38" s="316"/>
      <c r="VXM38" s="316"/>
      <c r="VXN38" s="316"/>
      <c r="VXO38" s="316"/>
      <c r="VXP38" s="316"/>
      <c r="VXQ38" s="316"/>
      <c r="VXR38" s="316"/>
      <c r="VXS38" s="316"/>
      <c r="VXT38" s="316"/>
      <c r="VXU38" s="316"/>
      <c r="VXV38" s="316"/>
      <c r="VXW38" s="316"/>
      <c r="VXX38" s="316"/>
      <c r="VXY38" s="316"/>
      <c r="VXZ38" s="316"/>
      <c r="VYA38" s="316"/>
      <c r="VYB38" s="316"/>
      <c r="VYC38" s="316"/>
      <c r="VYD38" s="316"/>
      <c r="VYE38" s="316"/>
      <c r="VYF38" s="316"/>
      <c r="VYG38" s="316"/>
      <c r="VYH38" s="316"/>
      <c r="VYI38" s="316"/>
      <c r="VYJ38" s="316"/>
      <c r="VYK38" s="316"/>
      <c r="VYL38" s="316"/>
      <c r="VYM38" s="316"/>
      <c r="VYN38" s="316"/>
      <c r="VYO38" s="316"/>
      <c r="VYP38" s="316"/>
      <c r="VYQ38" s="316"/>
      <c r="VYR38" s="316"/>
      <c r="VYS38" s="316"/>
      <c r="VYT38" s="316"/>
      <c r="VYU38" s="316"/>
      <c r="VYV38" s="316"/>
      <c r="VYW38" s="316"/>
      <c r="VYX38" s="316"/>
      <c r="VYY38" s="316"/>
      <c r="VYZ38" s="316"/>
      <c r="VZA38" s="316"/>
      <c r="VZB38" s="316"/>
      <c r="VZC38" s="316"/>
      <c r="VZD38" s="316"/>
      <c r="VZE38" s="316"/>
      <c r="VZF38" s="316"/>
      <c r="VZG38" s="316"/>
      <c r="VZH38" s="316"/>
      <c r="VZI38" s="316"/>
      <c r="VZJ38" s="316"/>
      <c r="VZK38" s="316"/>
      <c r="VZL38" s="316"/>
      <c r="VZM38" s="316"/>
      <c r="VZN38" s="316"/>
      <c r="VZO38" s="316"/>
      <c r="VZP38" s="316"/>
      <c r="VZQ38" s="316"/>
      <c r="VZR38" s="316"/>
      <c r="VZS38" s="316"/>
      <c r="VZT38" s="316"/>
      <c r="VZU38" s="316"/>
      <c r="VZV38" s="316"/>
      <c r="VZW38" s="316"/>
      <c r="VZX38" s="316"/>
      <c r="VZY38" s="316"/>
      <c r="VZZ38" s="316"/>
      <c r="WAA38" s="316"/>
      <c r="WAB38" s="316"/>
      <c r="WAC38" s="316"/>
      <c r="WAD38" s="316"/>
      <c r="WAE38" s="316"/>
      <c r="WAF38" s="316"/>
      <c r="WAG38" s="316"/>
      <c r="WAH38" s="316"/>
      <c r="WAI38" s="316"/>
      <c r="WAJ38" s="316"/>
      <c r="WAK38" s="316"/>
      <c r="WAL38" s="316"/>
      <c r="WAM38" s="316"/>
      <c r="WAN38" s="316"/>
      <c r="WAO38" s="316"/>
      <c r="WAP38" s="316"/>
      <c r="WAQ38" s="316"/>
      <c r="WAR38" s="316"/>
      <c r="WAS38" s="316"/>
      <c r="WAT38" s="316"/>
      <c r="WAU38" s="316"/>
      <c r="WAV38" s="316"/>
      <c r="WAW38" s="316"/>
      <c r="WAX38" s="316"/>
      <c r="WAY38" s="316"/>
      <c r="WAZ38" s="316"/>
      <c r="WBA38" s="316"/>
      <c r="WBB38" s="316"/>
      <c r="WBC38" s="316"/>
      <c r="WBD38" s="316"/>
      <c r="WBE38" s="316"/>
      <c r="WBF38" s="316"/>
      <c r="WBG38" s="316"/>
      <c r="WBH38" s="316"/>
      <c r="WBI38" s="316"/>
      <c r="WBJ38" s="316"/>
      <c r="WBK38" s="316"/>
      <c r="WBL38" s="316"/>
      <c r="WBM38" s="316"/>
      <c r="WBN38" s="316"/>
      <c r="WBO38" s="316"/>
      <c r="WBP38" s="316"/>
      <c r="WBQ38" s="316"/>
      <c r="WBR38" s="316"/>
      <c r="WBS38" s="316"/>
      <c r="WBT38" s="316"/>
      <c r="WBU38" s="316"/>
      <c r="WBV38" s="316"/>
      <c r="WBW38" s="316"/>
      <c r="WBX38" s="316"/>
      <c r="WBY38" s="316"/>
      <c r="WBZ38" s="316"/>
      <c r="WCA38" s="316"/>
      <c r="WCB38" s="316"/>
      <c r="WCC38" s="316"/>
      <c r="WCD38" s="316"/>
      <c r="WCE38" s="316"/>
      <c r="WCF38" s="316"/>
      <c r="WCG38" s="316"/>
      <c r="WCH38" s="316"/>
      <c r="WCI38" s="316"/>
      <c r="WCJ38" s="316"/>
      <c r="WCK38" s="316"/>
      <c r="WCL38" s="316"/>
      <c r="WCM38" s="316"/>
      <c r="WCN38" s="316"/>
      <c r="WCO38" s="316"/>
      <c r="WCP38" s="316"/>
      <c r="WCQ38" s="316"/>
      <c r="WCR38" s="316"/>
      <c r="WCS38" s="316"/>
      <c r="WCT38" s="316"/>
      <c r="WCU38" s="316"/>
      <c r="WCV38" s="316"/>
      <c r="WCW38" s="316"/>
      <c r="WCX38" s="316"/>
      <c r="WCY38" s="316"/>
      <c r="WCZ38" s="316"/>
      <c r="WDA38" s="316"/>
      <c r="WDB38" s="316"/>
      <c r="WDC38" s="316"/>
      <c r="WDD38" s="316"/>
      <c r="WDE38" s="316"/>
      <c r="WDF38" s="316"/>
      <c r="WDG38" s="316"/>
      <c r="WDH38" s="316"/>
      <c r="WDI38" s="316"/>
      <c r="WDJ38" s="316"/>
      <c r="WDK38" s="316"/>
      <c r="WDL38" s="316"/>
      <c r="WDM38" s="316"/>
      <c r="WDN38" s="316"/>
      <c r="WDO38" s="316"/>
      <c r="WDP38" s="316"/>
      <c r="WDQ38" s="316"/>
      <c r="WDR38" s="316"/>
      <c r="WDS38" s="316"/>
      <c r="WDT38" s="316"/>
      <c r="WDU38" s="316"/>
      <c r="WDV38" s="316"/>
      <c r="WDW38" s="316"/>
      <c r="WDX38" s="316"/>
      <c r="WDY38" s="316"/>
      <c r="WDZ38" s="316"/>
      <c r="WEA38" s="316"/>
      <c r="WEB38" s="316"/>
      <c r="WEC38" s="316"/>
      <c r="WED38" s="316"/>
      <c r="WEE38" s="316"/>
      <c r="WEF38" s="316"/>
      <c r="WEG38" s="316"/>
      <c r="WEH38" s="316"/>
      <c r="WEI38" s="316"/>
      <c r="WEJ38" s="316"/>
      <c r="WEK38" s="316"/>
      <c r="WEL38" s="316"/>
      <c r="WEM38" s="316"/>
      <c r="WEN38" s="316"/>
      <c r="WEO38" s="316"/>
      <c r="WEP38" s="316"/>
      <c r="WEQ38" s="316"/>
      <c r="WER38" s="316"/>
      <c r="WES38" s="316"/>
      <c r="WET38" s="316"/>
      <c r="WEU38" s="316"/>
      <c r="WEV38" s="316"/>
      <c r="WEW38" s="316"/>
      <c r="WEX38" s="316"/>
      <c r="WEY38" s="316"/>
      <c r="WEZ38" s="316"/>
      <c r="WFA38" s="316"/>
      <c r="WFB38" s="316"/>
      <c r="WFC38" s="316"/>
      <c r="WFD38" s="316"/>
      <c r="WFE38" s="316"/>
      <c r="WFF38" s="316"/>
      <c r="WFG38" s="316"/>
      <c r="WFH38" s="316"/>
      <c r="WFI38" s="316"/>
      <c r="WFJ38" s="316"/>
      <c r="WFK38" s="316"/>
      <c r="WFL38" s="316"/>
      <c r="WFM38" s="316"/>
      <c r="WFN38" s="316"/>
      <c r="WFO38" s="316"/>
      <c r="WFP38" s="316"/>
      <c r="WFQ38" s="316"/>
      <c r="WFR38" s="316"/>
      <c r="WFS38" s="316"/>
      <c r="WFT38" s="316"/>
      <c r="WFU38" s="316"/>
      <c r="WFV38" s="316"/>
      <c r="WFW38" s="316"/>
      <c r="WFX38" s="316"/>
      <c r="WFY38" s="316"/>
      <c r="WFZ38" s="316"/>
      <c r="WGA38" s="316"/>
      <c r="WGB38" s="316"/>
      <c r="WGC38" s="316"/>
      <c r="WGD38" s="316"/>
      <c r="WGE38" s="316"/>
      <c r="WGF38" s="316"/>
      <c r="WGG38" s="316"/>
      <c r="WGH38" s="316"/>
      <c r="WGI38" s="316"/>
      <c r="WGJ38" s="316"/>
      <c r="WGK38" s="316"/>
      <c r="WGL38" s="316"/>
      <c r="WGM38" s="316"/>
      <c r="WGN38" s="316"/>
      <c r="WGO38" s="316"/>
      <c r="WGP38" s="316"/>
      <c r="WGQ38" s="316"/>
      <c r="WGR38" s="316"/>
      <c r="WGS38" s="316"/>
      <c r="WGT38" s="316"/>
      <c r="WGU38" s="316"/>
      <c r="WGV38" s="316"/>
      <c r="WGW38" s="316"/>
      <c r="WGX38" s="316"/>
      <c r="WGY38" s="316"/>
      <c r="WGZ38" s="316"/>
      <c r="WHA38" s="316"/>
      <c r="WHB38" s="316"/>
      <c r="WHC38" s="316"/>
      <c r="WHD38" s="316"/>
      <c r="WHE38" s="316"/>
      <c r="WHF38" s="316"/>
      <c r="WHG38" s="316"/>
      <c r="WHH38" s="316"/>
      <c r="WHI38" s="316"/>
      <c r="WHJ38" s="316"/>
      <c r="WHK38" s="316"/>
      <c r="WHL38" s="316"/>
      <c r="WHM38" s="316"/>
      <c r="WHN38" s="316"/>
      <c r="WHO38" s="316"/>
      <c r="WHP38" s="316"/>
      <c r="WHQ38" s="316"/>
      <c r="WHR38" s="316"/>
      <c r="WHS38" s="316"/>
      <c r="WHT38" s="316"/>
      <c r="WHU38" s="316"/>
      <c r="WHV38" s="316"/>
      <c r="WHW38" s="316"/>
      <c r="WHX38" s="316"/>
      <c r="WHY38" s="316"/>
      <c r="WHZ38" s="316"/>
      <c r="WIA38" s="316"/>
      <c r="WIB38" s="316"/>
      <c r="WIC38" s="316"/>
      <c r="WID38" s="316"/>
      <c r="WIE38" s="316"/>
      <c r="WIF38" s="316"/>
      <c r="WIG38" s="316"/>
      <c r="WIH38" s="316"/>
      <c r="WII38" s="316"/>
      <c r="WIJ38" s="316"/>
      <c r="WIK38" s="316"/>
      <c r="WIL38" s="316"/>
      <c r="WIM38" s="316"/>
      <c r="WIN38" s="316"/>
      <c r="WIO38" s="316"/>
      <c r="WIP38" s="316"/>
      <c r="WIQ38" s="316"/>
      <c r="WIR38" s="316"/>
      <c r="WIS38" s="316"/>
      <c r="WIT38" s="316"/>
      <c r="WIU38" s="316"/>
      <c r="WIV38" s="316"/>
      <c r="WIW38" s="316"/>
      <c r="WIX38" s="316"/>
      <c r="WIY38" s="316"/>
      <c r="WIZ38" s="316"/>
      <c r="WJA38" s="316"/>
      <c r="WJB38" s="316"/>
      <c r="WJC38" s="316"/>
      <c r="WJD38" s="316"/>
      <c r="WJE38" s="316"/>
      <c r="WJF38" s="316"/>
      <c r="WJG38" s="316"/>
      <c r="WJH38" s="316"/>
      <c r="WJI38" s="316"/>
      <c r="WJJ38" s="316"/>
      <c r="WJK38" s="316"/>
      <c r="WJL38" s="316"/>
      <c r="WJM38" s="316"/>
      <c r="WJN38" s="316"/>
      <c r="WJO38" s="316"/>
      <c r="WJP38" s="316"/>
      <c r="WJQ38" s="316"/>
      <c r="WJR38" s="316"/>
      <c r="WJS38" s="316"/>
      <c r="WJT38" s="316"/>
      <c r="WJU38" s="316"/>
      <c r="WJV38" s="316"/>
      <c r="WJW38" s="316"/>
      <c r="WJX38" s="316"/>
      <c r="WJY38" s="316"/>
      <c r="WJZ38" s="316"/>
      <c r="WKA38" s="316"/>
      <c r="WKB38" s="316"/>
      <c r="WKC38" s="316"/>
      <c r="WKD38" s="316"/>
      <c r="WKE38" s="316"/>
      <c r="WKF38" s="316"/>
      <c r="WKG38" s="316"/>
      <c r="WKH38" s="316"/>
      <c r="WKI38" s="316"/>
      <c r="WKJ38" s="316"/>
      <c r="WKK38" s="316"/>
      <c r="WKL38" s="316"/>
      <c r="WKM38" s="316"/>
      <c r="WKN38" s="316"/>
      <c r="WKO38" s="316"/>
      <c r="WKP38" s="316"/>
      <c r="WKQ38" s="316"/>
      <c r="WKR38" s="316"/>
      <c r="WKS38" s="316"/>
      <c r="WKT38" s="316"/>
      <c r="WKU38" s="316"/>
      <c r="WKV38" s="316"/>
      <c r="WKW38" s="316"/>
      <c r="WKX38" s="316"/>
      <c r="WKY38" s="316"/>
      <c r="WKZ38" s="316"/>
      <c r="WLA38" s="316"/>
      <c r="WLB38" s="316"/>
      <c r="WLC38" s="316"/>
      <c r="WLD38" s="316"/>
      <c r="WLE38" s="316"/>
      <c r="WLF38" s="316"/>
      <c r="WLG38" s="316"/>
      <c r="WLH38" s="316"/>
      <c r="WLI38" s="316"/>
      <c r="WLJ38" s="316"/>
      <c r="WLK38" s="316"/>
      <c r="WLL38" s="316"/>
      <c r="WLM38" s="316"/>
      <c r="WLN38" s="316"/>
      <c r="WLO38" s="316"/>
      <c r="WLP38" s="316"/>
      <c r="WLQ38" s="316"/>
      <c r="WLR38" s="316"/>
      <c r="WLS38" s="316"/>
      <c r="WLT38" s="316"/>
      <c r="WLU38" s="316"/>
      <c r="WLV38" s="316"/>
      <c r="WLW38" s="316"/>
      <c r="WLX38" s="316"/>
      <c r="WLY38" s="316"/>
      <c r="WLZ38" s="316"/>
      <c r="WMA38" s="316"/>
      <c r="WMB38" s="316"/>
      <c r="WMC38" s="316"/>
      <c r="WMD38" s="316"/>
      <c r="WME38" s="316"/>
      <c r="WMF38" s="316"/>
      <c r="WMG38" s="316"/>
      <c r="WMH38" s="316"/>
      <c r="WMI38" s="316"/>
      <c r="WMJ38" s="316"/>
      <c r="WMK38" s="316"/>
      <c r="WML38" s="316"/>
      <c r="WMM38" s="316"/>
      <c r="WMN38" s="316"/>
      <c r="WMO38" s="316"/>
      <c r="WMP38" s="316"/>
      <c r="WMQ38" s="316"/>
      <c r="WMR38" s="316"/>
      <c r="WMS38" s="316"/>
      <c r="WMT38" s="316"/>
      <c r="WMU38" s="316"/>
      <c r="WMV38" s="316"/>
      <c r="WMW38" s="316"/>
      <c r="WMX38" s="316"/>
      <c r="WMY38" s="316"/>
      <c r="WMZ38" s="316"/>
      <c r="WNA38" s="316"/>
      <c r="WNB38" s="316"/>
      <c r="WNC38" s="316"/>
      <c r="WND38" s="316"/>
      <c r="WNE38" s="316"/>
      <c r="WNF38" s="316"/>
      <c r="WNG38" s="316"/>
      <c r="WNH38" s="316"/>
      <c r="WNI38" s="316"/>
      <c r="WNJ38" s="316"/>
      <c r="WNK38" s="316"/>
      <c r="WNL38" s="316"/>
      <c r="WNM38" s="316"/>
      <c r="WNN38" s="316"/>
      <c r="WNO38" s="316"/>
      <c r="WNP38" s="316"/>
      <c r="WNQ38" s="316"/>
      <c r="WNR38" s="316"/>
      <c r="WNS38" s="316"/>
      <c r="WNT38" s="316"/>
      <c r="WNU38" s="316"/>
      <c r="WNV38" s="316"/>
      <c r="WNW38" s="316"/>
      <c r="WNX38" s="316"/>
      <c r="WNY38" s="316"/>
      <c r="WNZ38" s="316"/>
      <c r="WOA38" s="316"/>
      <c r="WOB38" s="316"/>
      <c r="WOC38" s="316"/>
      <c r="WOD38" s="316"/>
      <c r="WOE38" s="316"/>
      <c r="WOF38" s="316"/>
      <c r="WOG38" s="316"/>
      <c r="WOH38" s="316"/>
      <c r="WOI38" s="316"/>
      <c r="WOJ38" s="316"/>
      <c r="WOK38" s="316"/>
      <c r="WOL38" s="316"/>
      <c r="WOM38" s="316"/>
      <c r="WON38" s="316"/>
      <c r="WOO38" s="316"/>
      <c r="WOP38" s="316"/>
      <c r="WOQ38" s="316"/>
      <c r="WOR38" s="316"/>
      <c r="WOS38" s="316"/>
      <c r="WOT38" s="316"/>
      <c r="WOU38" s="316"/>
      <c r="WOV38" s="316"/>
      <c r="WOW38" s="316"/>
      <c r="WOX38" s="316"/>
      <c r="WOY38" s="316"/>
      <c r="WOZ38" s="316"/>
      <c r="WPA38" s="316"/>
      <c r="WPB38" s="316"/>
      <c r="WPC38" s="316"/>
      <c r="WPD38" s="316"/>
      <c r="WPE38" s="316"/>
      <c r="WPF38" s="316"/>
      <c r="WPG38" s="316"/>
      <c r="WPH38" s="316"/>
      <c r="WPI38" s="316"/>
      <c r="WPJ38" s="316"/>
      <c r="WPK38" s="316"/>
      <c r="WPL38" s="316"/>
      <c r="WPM38" s="316"/>
      <c r="WPN38" s="316"/>
      <c r="WPO38" s="316"/>
      <c r="WPP38" s="316"/>
      <c r="WPQ38" s="316"/>
      <c r="WPR38" s="316"/>
      <c r="WPS38" s="316"/>
      <c r="WPT38" s="316"/>
      <c r="WPU38" s="316"/>
      <c r="WPV38" s="316"/>
      <c r="WPW38" s="316"/>
      <c r="WPX38" s="316"/>
      <c r="WPY38" s="316"/>
      <c r="WPZ38" s="316"/>
      <c r="WQA38" s="316"/>
      <c r="WQB38" s="316"/>
      <c r="WQC38" s="316"/>
      <c r="WQD38" s="316"/>
      <c r="WQE38" s="316"/>
      <c r="WQF38" s="316"/>
      <c r="WQG38" s="316"/>
      <c r="WQH38" s="316"/>
      <c r="WQI38" s="316"/>
      <c r="WQJ38" s="316"/>
      <c r="WQK38" s="316"/>
      <c r="WQL38" s="316"/>
      <c r="WQM38" s="316"/>
      <c r="WQN38" s="316"/>
      <c r="WQO38" s="316"/>
      <c r="WQP38" s="316"/>
      <c r="WQQ38" s="316"/>
      <c r="WQR38" s="316"/>
      <c r="WQS38" s="316"/>
      <c r="WQT38" s="316"/>
      <c r="WQU38" s="316"/>
      <c r="WQV38" s="316"/>
      <c r="WQW38" s="316"/>
      <c r="WQX38" s="316"/>
      <c r="WQY38" s="316"/>
      <c r="WQZ38" s="316"/>
      <c r="WRA38" s="316"/>
      <c r="WRB38" s="316"/>
      <c r="WRC38" s="316"/>
      <c r="WRD38" s="316"/>
      <c r="WRE38" s="316"/>
      <c r="WRF38" s="316"/>
      <c r="WRG38" s="316"/>
      <c r="WRH38" s="316"/>
      <c r="WRI38" s="316"/>
      <c r="WRJ38" s="316"/>
      <c r="WRK38" s="316"/>
      <c r="WRL38" s="316"/>
      <c r="WRM38" s="316"/>
      <c r="WRN38" s="316"/>
      <c r="WRO38" s="316"/>
      <c r="WRP38" s="316"/>
      <c r="WRQ38" s="316"/>
      <c r="WRR38" s="316"/>
      <c r="WRS38" s="316"/>
      <c r="WRT38" s="316"/>
      <c r="WRU38" s="316"/>
      <c r="WRV38" s="316"/>
      <c r="WRW38" s="316"/>
      <c r="WRX38" s="316"/>
      <c r="WRY38" s="316"/>
      <c r="WRZ38" s="316"/>
      <c r="WSA38" s="316"/>
      <c r="WSB38" s="316"/>
      <c r="WSC38" s="316"/>
      <c r="WSD38" s="316"/>
      <c r="WSE38" s="316"/>
      <c r="WSF38" s="316"/>
      <c r="WSG38" s="316"/>
      <c r="WSH38" s="316"/>
      <c r="WSI38" s="316"/>
      <c r="WSJ38" s="316"/>
      <c r="WSK38" s="316"/>
      <c r="WSL38" s="316"/>
      <c r="WSM38" s="316"/>
      <c r="WSN38" s="316"/>
      <c r="WSO38" s="316"/>
      <c r="WSP38" s="316"/>
      <c r="WSQ38" s="316"/>
      <c r="WSR38" s="316"/>
      <c r="WSS38" s="316"/>
      <c r="WST38" s="316"/>
      <c r="WSU38" s="316"/>
      <c r="WSV38" s="316"/>
      <c r="WSW38" s="316"/>
      <c r="WSX38" s="316"/>
      <c r="WSY38" s="316"/>
      <c r="WSZ38" s="316"/>
      <c r="WTA38" s="316"/>
      <c r="WTB38" s="316"/>
      <c r="WTC38" s="316"/>
      <c r="WTD38" s="316"/>
      <c r="WTE38" s="316"/>
      <c r="WTF38" s="316"/>
      <c r="WTG38" s="316"/>
      <c r="WTH38" s="316"/>
      <c r="WTI38" s="316"/>
      <c r="WTJ38" s="316"/>
      <c r="WTK38" s="316"/>
      <c r="WTL38" s="316"/>
      <c r="WTM38" s="316"/>
      <c r="WTN38" s="316"/>
      <c r="WTO38" s="316"/>
      <c r="WTP38" s="316"/>
      <c r="WTQ38" s="316"/>
      <c r="WTR38" s="316"/>
      <c r="WTS38" s="316"/>
      <c r="WTT38" s="316"/>
      <c r="WTU38" s="316"/>
      <c r="WTV38" s="316"/>
      <c r="WTW38" s="316"/>
      <c r="WTX38" s="316"/>
      <c r="WTY38" s="316"/>
      <c r="WTZ38" s="316"/>
      <c r="WUA38" s="316"/>
      <c r="WUB38" s="316"/>
      <c r="WUC38" s="316"/>
      <c r="WUD38" s="316"/>
      <c r="WUE38" s="316"/>
      <c r="WUF38" s="316"/>
      <c r="WUG38" s="316"/>
      <c r="WUH38" s="316"/>
      <c r="WUI38" s="316"/>
      <c r="WUJ38" s="316"/>
      <c r="WUK38" s="316"/>
      <c r="WUL38" s="316"/>
      <c r="WUM38" s="316"/>
      <c r="WUN38" s="316"/>
      <c r="WUO38" s="316"/>
      <c r="WUP38" s="316"/>
      <c r="WUQ38" s="316"/>
      <c r="WUR38" s="316"/>
      <c r="WUS38" s="316"/>
      <c r="WUT38" s="316"/>
      <c r="WUU38" s="316"/>
      <c r="WUV38" s="316"/>
      <c r="WUW38" s="316"/>
      <c r="WUX38" s="316"/>
      <c r="WUY38" s="316"/>
      <c r="WUZ38" s="316"/>
      <c r="WVA38" s="316"/>
      <c r="WVB38" s="316"/>
      <c r="WVC38" s="316"/>
      <c r="WVD38" s="316"/>
      <c r="WVE38" s="316"/>
      <c r="WVF38" s="316"/>
      <c r="WVG38" s="316"/>
      <c r="WVH38" s="316"/>
      <c r="WVI38" s="316"/>
      <c r="WVJ38" s="316"/>
      <c r="WVK38" s="316"/>
      <c r="WVL38" s="316"/>
      <c r="WVM38" s="316"/>
      <c r="WVN38" s="316"/>
      <c r="WVO38" s="316"/>
      <c r="WVP38" s="316"/>
      <c r="WVQ38" s="316"/>
      <c r="WVR38" s="316"/>
      <c r="WVS38" s="316"/>
      <c r="WVT38" s="316"/>
      <c r="WVU38" s="316"/>
      <c r="WVV38" s="316"/>
      <c r="WVW38" s="316"/>
      <c r="WVX38" s="316"/>
      <c r="WVY38" s="316"/>
      <c r="WVZ38" s="316"/>
      <c r="WWA38" s="316"/>
      <c r="WWB38" s="316"/>
      <c r="WWC38" s="316"/>
      <c r="WWD38" s="316"/>
      <c r="WWE38" s="316"/>
      <c r="WWF38" s="316"/>
      <c r="WWG38" s="316"/>
      <c r="WWH38" s="316"/>
      <c r="WWI38" s="316"/>
      <c r="WWJ38" s="316"/>
      <c r="WWK38" s="316"/>
      <c r="WWL38" s="316"/>
      <c r="WWM38" s="316"/>
      <c r="WWN38" s="316"/>
      <c r="WWO38" s="316"/>
      <c r="WWP38" s="316"/>
      <c r="WWQ38" s="316"/>
      <c r="WWR38" s="316"/>
      <c r="WWS38" s="316"/>
      <c r="WWT38" s="316"/>
      <c r="WWU38" s="316"/>
      <c r="WWV38" s="316"/>
      <c r="WWW38" s="316"/>
      <c r="WWX38" s="316"/>
      <c r="WWY38" s="316"/>
      <c r="WWZ38" s="316"/>
      <c r="WXA38" s="316"/>
      <c r="WXB38" s="316"/>
      <c r="WXC38" s="316"/>
      <c r="WXD38" s="316"/>
      <c r="WXE38" s="316"/>
      <c r="WXF38" s="316"/>
      <c r="WXG38" s="316"/>
      <c r="WXH38" s="316"/>
      <c r="WXI38" s="316"/>
      <c r="WXJ38" s="316"/>
      <c r="WXK38" s="316"/>
      <c r="WXL38" s="316"/>
      <c r="WXM38" s="316"/>
      <c r="WXN38" s="316"/>
      <c r="WXO38" s="316"/>
      <c r="WXP38" s="316"/>
      <c r="WXQ38" s="316"/>
      <c r="WXR38" s="316"/>
      <c r="WXS38" s="316"/>
      <c r="WXT38" s="316"/>
      <c r="WXU38" s="316"/>
      <c r="WXV38" s="316"/>
      <c r="WXW38" s="316"/>
      <c r="WXX38" s="316"/>
      <c r="WXY38" s="316"/>
      <c r="WXZ38" s="316"/>
      <c r="WYA38" s="316"/>
      <c r="WYB38" s="316"/>
      <c r="WYC38" s="316"/>
      <c r="WYD38" s="316"/>
      <c r="WYE38" s="316"/>
      <c r="WYF38" s="316"/>
      <c r="WYG38" s="316"/>
      <c r="WYH38" s="316"/>
      <c r="WYI38" s="316"/>
      <c r="WYJ38" s="316"/>
      <c r="WYK38" s="316"/>
      <c r="WYL38" s="316"/>
      <c r="WYM38" s="316"/>
      <c r="WYN38" s="316"/>
      <c r="WYO38" s="316"/>
      <c r="WYP38" s="316"/>
      <c r="WYQ38" s="316"/>
      <c r="WYR38" s="316"/>
      <c r="WYS38" s="316"/>
      <c r="WYT38" s="316"/>
      <c r="WYU38" s="316"/>
      <c r="WYV38" s="316"/>
      <c r="WYW38" s="316"/>
      <c r="WYX38" s="316"/>
      <c r="WYY38" s="316"/>
      <c r="WYZ38" s="316"/>
      <c r="WZA38" s="316"/>
      <c r="WZB38" s="316"/>
      <c r="WZC38" s="316"/>
      <c r="WZD38" s="316"/>
      <c r="WZE38" s="316"/>
      <c r="WZF38" s="316"/>
      <c r="WZG38" s="316"/>
      <c r="WZH38" s="316"/>
      <c r="WZI38" s="316"/>
      <c r="WZJ38" s="316"/>
      <c r="WZK38" s="316"/>
      <c r="WZL38" s="316"/>
      <c r="WZM38" s="316"/>
      <c r="WZN38" s="316"/>
      <c r="WZO38" s="316"/>
      <c r="WZP38" s="316"/>
      <c r="WZQ38" s="316"/>
      <c r="WZR38" s="316"/>
      <c r="WZS38" s="316"/>
      <c r="WZT38" s="316"/>
      <c r="WZU38" s="316"/>
      <c r="WZV38" s="316"/>
      <c r="WZW38" s="316"/>
      <c r="WZX38" s="316"/>
      <c r="WZY38" s="316"/>
      <c r="WZZ38" s="316"/>
      <c r="XAA38" s="316"/>
      <c r="XAB38" s="316"/>
      <c r="XAC38" s="316"/>
      <c r="XAD38" s="316"/>
      <c r="XAE38" s="316"/>
      <c r="XAF38" s="316"/>
      <c r="XAG38" s="316"/>
      <c r="XAH38" s="316"/>
      <c r="XAI38" s="316"/>
      <c r="XAJ38" s="316"/>
      <c r="XAK38" s="316"/>
      <c r="XAL38" s="316"/>
      <c r="XAM38" s="316"/>
      <c r="XAN38" s="316"/>
      <c r="XAO38" s="316"/>
      <c r="XAP38" s="316"/>
      <c r="XAQ38" s="316"/>
      <c r="XAR38" s="316"/>
      <c r="XAS38" s="316"/>
      <c r="XAT38" s="316"/>
      <c r="XAU38" s="316"/>
      <c r="XAV38" s="316"/>
      <c r="XAW38" s="316"/>
      <c r="XAX38" s="316"/>
      <c r="XAY38" s="316"/>
      <c r="XAZ38" s="316"/>
      <c r="XBA38" s="316"/>
      <c r="XBB38" s="316"/>
      <c r="XBC38" s="316"/>
      <c r="XBD38" s="316"/>
      <c r="XBE38" s="316"/>
      <c r="XBF38" s="316"/>
      <c r="XBG38" s="316"/>
      <c r="XBH38" s="316"/>
      <c r="XBI38" s="316"/>
      <c r="XBJ38" s="316"/>
      <c r="XBK38" s="316"/>
      <c r="XBL38" s="316"/>
      <c r="XBM38" s="316"/>
      <c r="XBN38" s="316"/>
      <c r="XBO38" s="316"/>
      <c r="XBP38" s="316"/>
      <c r="XBQ38" s="316"/>
      <c r="XBR38" s="316"/>
      <c r="XBS38" s="316"/>
      <c r="XBT38" s="316"/>
      <c r="XBU38" s="316"/>
      <c r="XBV38" s="316"/>
      <c r="XBW38" s="316"/>
      <c r="XBX38" s="316"/>
      <c r="XBY38" s="316"/>
      <c r="XBZ38" s="316"/>
      <c r="XCA38" s="316"/>
      <c r="XCB38" s="316"/>
      <c r="XCC38" s="316"/>
      <c r="XCD38" s="316"/>
      <c r="XCE38" s="316"/>
      <c r="XCF38" s="316"/>
      <c r="XCG38" s="316"/>
      <c r="XCH38" s="316"/>
      <c r="XCI38" s="316"/>
      <c r="XCJ38" s="316"/>
      <c r="XCK38" s="316"/>
      <c r="XCL38" s="316"/>
      <c r="XCM38" s="316"/>
      <c r="XCN38" s="316"/>
      <c r="XCO38" s="316"/>
      <c r="XCP38" s="316"/>
      <c r="XCQ38" s="316"/>
      <c r="XCR38" s="316"/>
      <c r="XCS38" s="316"/>
      <c r="XCT38" s="316"/>
      <c r="XCU38" s="316"/>
      <c r="XCV38" s="316"/>
      <c r="XCW38" s="316"/>
      <c r="XCX38" s="316"/>
      <c r="XCY38" s="316"/>
      <c r="XCZ38" s="316"/>
      <c r="XDA38" s="316"/>
      <c r="XDB38" s="316"/>
      <c r="XDC38" s="316"/>
      <c r="XDD38" s="316"/>
      <c r="XDE38" s="316"/>
      <c r="XDF38" s="316"/>
      <c r="XDG38" s="316"/>
      <c r="XDH38" s="316"/>
      <c r="XDI38" s="316"/>
      <c r="XDJ38" s="316"/>
      <c r="XDK38" s="316"/>
      <c r="XDL38" s="316"/>
      <c r="XDM38" s="316"/>
      <c r="XDN38" s="316"/>
      <c r="XDO38" s="316"/>
      <c r="XDP38" s="316"/>
      <c r="XDQ38" s="316"/>
      <c r="XDR38" s="316"/>
      <c r="XDS38" s="316"/>
      <c r="XDT38" s="316"/>
      <c r="XDU38" s="316"/>
      <c r="XDV38" s="316"/>
      <c r="XDW38" s="316"/>
      <c r="XDX38" s="316"/>
      <c r="XDY38" s="316"/>
      <c r="XDZ38" s="316"/>
      <c r="XEA38" s="316"/>
      <c r="XEB38" s="316"/>
      <c r="XEC38" s="316"/>
      <c r="XED38" s="316"/>
      <c r="XEE38" s="316"/>
      <c r="XEF38" s="316"/>
      <c r="XEG38" s="316"/>
    </row>
    <row r="39" spans="1:16361" ht="18" customHeight="1">
      <c r="A39" s="402"/>
      <c r="B39" s="402"/>
      <c r="C39" s="408" t="s">
        <v>963</v>
      </c>
      <c r="D39" s="408"/>
      <c r="E39" s="408"/>
      <c r="F39" s="426" t="s">
        <v>960</v>
      </c>
      <c r="G39" s="412">
        <v>1</v>
      </c>
      <c r="H39" s="415">
        <f>I38*0.1</f>
        <v>43148.198000000004</v>
      </c>
      <c r="I39" s="418">
        <f>G39*H39</f>
        <v>43148.198000000004</v>
      </c>
      <c r="J39" s="434"/>
    </row>
    <row r="40" spans="1:16361" ht="18" customHeight="1">
      <c r="A40" s="402"/>
      <c r="B40" s="402"/>
      <c r="C40" s="408" t="s">
        <v>964</v>
      </c>
      <c r="D40" s="408"/>
      <c r="E40" s="408"/>
      <c r="F40" s="427"/>
      <c r="G40" s="413"/>
      <c r="H40" s="416"/>
      <c r="I40" s="419"/>
      <c r="J40" s="434"/>
    </row>
    <row r="41" spans="1:16361" ht="18" customHeight="1">
      <c r="A41" s="402"/>
      <c r="B41" s="402"/>
      <c r="C41" s="408" t="s">
        <v>965</v>
      </c>
      <c r="D41" s="408"/>
      <c r="E41" s="408"/>
      <c r="F41" s="428"/>
      <c r="G41" s="414"/>
      <c r="H41" s="417"/>
      <c r="I41" s="420"/>
      <c r="J41" s="434"/>
    </row>
    <row r="42" spans="1:16361" ht="18" customHeight="1">
      <c r="A42" s="402"/>
      <c r="B42" s="402"/>
      <c r="C42" s="403" t="s">
        <v>973</v>
      </c>
      <c r="D42" s="403"/>
      <c r="E42" s="403"/>
      <c r="F42" s="317"/>
      <c r="G42" s="315"/>
      <c r="H42" s="315"/>
      <c r="I42" s="333">
        <f>SUM(I39:I41)</f>
        <v>43148.198000000004</v>
      </c>
      <c r="J42" s="434"/>
    </row>
    <row r="43" spans="1:16361" ht="18" customHeight="1">
      <c r="A43" s="317"/>
      <c r="B43" s="317"/>
      <c r="C43" s="403" t="s">
        <v>974</v>
      </c>
      <c r="D43" s="403"/>
      <c r="E43" s="403"/>
      <c r="F43" s="330"/>
      <c r="G43" s="315"/>
      <c r="H43" s="315"/>
      <c r="I43" s="333">
        <f>I38+I42</f>
        <v>474630.17799999996</v>
      </c>
      <c r="J43" s="434"/>
    </row>
    <row r="44" spans="1:16361" ht="18" customHeight="1">
      <c r="A44" s="402">
        <v>4</v>
      </c>
      <c r="B44" s="424" t="s">
        <v>1004</v>
      </c>
      <c r="C44" s="402" t="s">
        <v>1005</v>
      </c>
      <c r="D44" s="402" t="s">
        <v>1006</v>
      </c>
      <c r="E44" s="402"/>
      <c r="F44" s="330" t="s">
        <v>959</v>
      </c>
      <c r="G44" s="319">
        <v>93.6</v>
      </c>
      <c r="H44" s="319">
        <v>280</v>
      </c>
      <c r="I44" s="331">
        <f>G44*H44</f>
        <v>26208</v>
      </c>
      <c r="J44" s="401">
        <f>ROUND(I54*0.8,0)</f>
        <v>83561</v>
      </c>
    </row>
    <row r="45" spans="1:16361" ht="18" customHeight="1">
      <c r="A45" s="402"/>
      <c r="B45" s="424"/>
      <c r="C45" s="402"/>
      <c r="D45" s="402" t="s">
        <v>1007</v>
      </c>
      <c r="E45" s="402"/>
      <c r="F45" s="330" t="s">
        <v>959</v>
      </c>
      <c r="G45" s="319">
        <v>141.19999999999999</v>
      </c>
      <c r="H45" s="319">
        <v>280</v>
      </c>
      <c r="I45" s="331">
        <f>G45*H45</f>
        <v>39536</v>
      </c>
      <c r="J45" s="434"/>
    </row>
    <row r="46" spans="1:16361" ht="18" customHeight="1">
      <c r="A46" s="402"/>
      <c r="B46" s="424"/>
      <c r="C46" s="402"/>
      <c r="D46" s="402" t="s">
        <v>1008</v>
      </c>
      <c r="E46" s="402"/>
      <c r="F46" s="330" t="s">
        <v>959</v>
      </c>
      <c r="G46" s="318" t="e">
        <f>#REF!</f>
        <v>#REF!</v>
      </c>
      <c r="H46" s="319" t="e">
        <f t="shared" ref="H46:H48" si="2">I46/G46</f>
        <v>#REF!</v>
      </c>
      <c r="I46" s="331">
        <v>11740</v>
      </c>
      <c r="J46" s="434"/>
    </row>
    <row r="47" spans="1:16361" ht="18" customHeight="1">
      <c r="A47" s="402"/>
      <c r="B47" s="424"/>
      <c r="C47" s="402"/>
      <c r="D47" s="402" t="s">
        <v>1009</v>
      </c>
      <c r="E47" s="402"/>
      <c r="F47" s="330" t="s">
        <v>962</v>
      </c>
      <c r="G47" s="318">
        <v>30</v>
      </c>
      <c r="H47" s="319">
        <f t="shared" si="2"/>
        <v>249.07000000000002</v>
      </c>
      <c r="I47" s="331">
        <v>7472.1</v>
      </c>
      <c r="J47" s="434"/>
    </row>
    <row r="48" spans="1:16361" ht="18" customHeight="1">
      <c r="A48" s="402"/>
      <c r="B48" s="424"/>
      <c r="C48" s="402"/>
      <c r="D48" s="402" t="s">
        <v>1010</v>
      </c>
      <c r="E48" s="402"/>
      <c r="F48" s="330" t="s">
        <v>960</v>
      </c>
      <c r="G48" s="318">
        <v>1</v>
      </c>
      <c r="H48" s="319">
        <f t="shared" si="2"/>
        <v>10000</v>
      </c>
      <c r="I48" s="331">
        <v>10000</v>
      </c>
      <c r="J48" s="434"/>
    </row>
    <row r="49" spans="1:16361" s="321" customFormat="1" ht="18" customHeight="1">
      <c r="A49" s="403"/>
      <c r="B49" s="425"/>
      <c r="C49" s="403" t="s">
        <v>971</v>
      </c>
      <c r="D49" s="403"/>
      <c r="E49" s="403"/>
      <c r="F49" s="332"/>
      <c r="G49" s="315"/>
      <c r="H49" s="315"/>
      <c r="I49" s="333">
        <f>SUM(I44:I48)</f>
        <v>94956.1</v>
      </c>
      <c r="J49" s="434"/>
      <c r="K49" s="316"/>
      <c r="L49" s="316"/>
      <c r="M49" s="316"/>
      <c r="N49" s="316"/>
      <c r="O49" s="316"/>
      <c r="P49" s="316"/>
      <c r="Q49" s="316"/>
      <c r="R49" s="316"/>
      <c r="S49" s="316"/>
      <c r="T49" s="316"/>
      <c r="U49" s="316"/>
      <c r="V49" s="316"/>
      <c r="W49" s="316"/>
      <c r="X49" s="316"/>
      <c r="Y49" s="316"/>
      <c r="Z49" s="316"/>
      <c r="AA49" s="316"/>
      <c r="AB49" s="316"/>
      <c r="AC49" s="316"/>
      <c r="AD49" s="316"/>
      <c r="AE49" s="316"/>
      <c r="AF49" s="316"/>
      <c r="AG49" s="316"/>
      <c r="AH49" s="316"/>
      <c r="AI49" s="316"/>
      <c r="AJ49" s="316"/>
      <c r="AK49" s="316"/>
      <c r="AL49" s="316"/>
      <c r="AM49" s="316"/>
      <c r="AN49" s="316"/>
      <c r="AO49" s="316"/>
      <c r="AP49" s="316"/>
      <c r="AQ49" s="316"/>
      <c r="AR49" s="316"/>
      <c r="AS49" s="316"/>
      <c r="AT49" s="316"/>
      <c r="AU49" s="316"/>
      <c r="AV49" s="316"/>
      <c r="AW49" s="316"/>
      <c r="AX49" s="316"/>
      <c r="AY49" s="316"/>
      <c r="AZ49" s="316"/>
      <c r="BA49" s="316"/>
      <c r="BB49" s="316"/>
      <c r="BC49" s="316"/>
      <c r="BD49" s="316"/>
      <c r="BE49" s="316"/>
      <c r="BF49" s="316"/>
      <c r="BG49" s="316"/>
      <c r="BH49" s="316"/>
      <c r="BI49" s="316"/>
      <c r="BJ49" s="316"/>
      <c r="BK49" s="316"/>
      <c r="BL49" s="316"/>
      <c r="BM49" s="316"/>
      <c r="BN49" s="316"/>
      <c r="BO49" s="316"/>
      <c r="BP49" s="316"/>
      <c r="BQ49" s="316"/>
      <c r="BR49" s="316"/>
      <c r="BS49" s="316"/>
      <c r="BT49" s="316"/>
      <c r="BU49" s="316"/>
      <c r="BV49" s="316"/>
      <c r="BW49" s="316"/>
      <c r="BX49" s="316"/>
      <c r="BY49" s="316"/>
      <c r="BZ49" s="316"/>
      <c r="CA49" s="316"/>
      <c r="CB49" s="316"/>
      <c r="CC49" s="316"/>
      <c r="CD49" s="316"/>
      <c r="CE49" s="316"/>
      <c r="CF49" s="316"/>
      <c r="CG49" s="316"/>
      <c r="CH49" s="316"/>
      <c r="CI49" s="316"/>
      <c r="CJ49" s="316"/>
      <c r="CK49" s="316"/>
      <c r="CL49" s="316"/>
      <c r="CM49" s="316"/>
      <c r="CN49" s="316"/>
      <c r="CO49" s="316"/>
      <c r="CP49" s="316"/>
      <c r="CQ49" s="316"/>
      <c r="CR49" s="316"/>
      <c r="CS49" s="316"/>
      <c r="CT49" s="316"/>
      <c r="CU49" s="316"/>
      <c r="CV49" s="316"/>
      <c r="CW49" s="316"/>
      <c r="CX49" s="316"/>
      <c r="CY49" s="316"/>
      <c r="CZ49" s="316"/>
      <c r="DA49" s="316"/>
      <c r="DB49" s="316"/>
      <c r="DC49" s="316"/>
      <c r="DD49" s="316"/>
      <c r="DE49" s="316"/>
      <c r="DF49" s="316"/>
      <c r="DG49" s="316"/>
      <c r="DH49" s="316"/>
      <c r="DI49" s="316"/>
      <c r="DJ49" s="316"/>
      <c r="DK49" s="316"/>
      <c r="DL49" s="316"/>
      <c r="DM49" s="316"/>
      <c r="DN49" s="316"/>
      <c r="DO49" s="316"/>
      <c r="DP49" s="316"/>
      <c r="DQ49" s="316"/>
      <c r="DR49" s="316"/>
      <c r="DS49" s="316"/>
      <c r="DT49" s="316"/>
      <c r="DU49" s="316"/>
      <c r="DV49" s="316"/>
      <c r="DW49" s="316"/>
      <c r="DX49" s="316"/>
      <c r="DY49" s="316"/>
      <c r="DZ49" s="316"/>
      <c r="EA49" s="316"/>
      <c r="EB49" s="316"/>
      <c r="EC49" s="316"/>
      <c r="ED49" s="316"/>
      <c r="EE49" s="316"/>
      <c r="EF49" s="316"/>
      <c r="EG49" s="316"/>
      <c r="EH49" s="316"/>
      <c r="EI49" s="316"/>
      <c r="EJ49" s="316"/>
      <c r="EK49" s="316"/>
      <c r="EL49" s="316"/>
      <c r="EM49" s="316"/>
      <c r="EN49" s="316"/>
      <c r="EO49" s="316"/>
      <c r="EP49" s="316"/>
      <c r="EQ49" s="316"/>
      <c r="ER49" s="316"/>
      <c r="ES49" s="316"/>
      <c r="ET49" s="316"/>
      <c r="EU49" s="316"/>
      <c r="EV49" s="316"/>
      <c r="EW49" s="316"/>
      <c r="EX49" s="316"/>
      <c r="EY49" s="316"/>
      <c r="EZ49" s="316"/>
      <c r="FA49" s="316"/>
      <c r="FB49" s="316"/>
      <c r="FC49" s="316"/>
      <c r="FD49" s="316"/>
      <c r="FE49" s="316"/>
      <c r="FF49" s="316"/>
      <c r="FG49" s="316"/>
      <c r="FH49" s="316"/>
      <c r="FI49" s="316"/>
      <c r="FJ49" s="316"/>
      <c r="FK49" s="316"/>
      <c r="FL49" s="316"/>
      <c r="FM49" s="316"/>
      <c r="FN49" s="316"/>
      <c r="FO49" s="316"/>
      <c r="FP49" s="316"/>
      <c r="FQ49" s="316"/>
      <c r="FR49" s="316"/>
      <c r="FS49" s="316"/>
      <c r="FT49" s="316"/>
      <c r="FU49" s="316"/>
      <c r="FV49" s="316"/>
      <c r="FW49" s="316"/>
      <c r="FX49" s="316"/>
      <c r="FY49" s="316"/>
      <c r="FZ49" s="316"/>
      <c r="GA49" s="316"/>
      <c r="GB49" s="316"/>
      <c r="GC49" s="316"/>
      <c r="GD49" s="316"/>
      <c r="GE49" s="316"/>
      <c r="GF49" s="316"/>
      <c r="GG49" s="316"/>
      <c r="GH49" s="316"/>
      <c r="GI49" s="316"/>
      <c r="GJ49" s="316"/>
      <c r="GK49" s="316"/>
      <c r="GL49" s="316"/>
      <c r="GM49" s="316"/>
      <c r="GN49" s="316"/>
      <c r="GO49" s="316"/>
      <c r="GP49" s="316"/>
      <c r="GQ49" s="316"/>
      <c r="GR49" s="316"/>
      <c r="GS49" s="316"/>
      <c r="GT49" s="316"/>
      <c r="GU49" s="316"/>
      <c r="GV49" s="316"/>
      <c r="GW49" s="316"/>
      <c r="GX49" s="316"/>
      <c r="GY49" s="316"/>
      <c r="GZ49" s="316"/>
      <c r="HA49" s="316"/>
      <c r="HB49" s="316"/>
      <c r="HC49" s="316"/>
      <c r="HD49" s="316"/>
      <c r="HE49" s="316"/>
      <c r="HF49" s="316"/>
      <c r="HG49" s="316"/>
      <c r="HH49" s="316"/>
      <c r="HI49" s="316"/>
      <c r="HJ49" s="316"/>
      <c r="HK49" s="316"/>
      <c r="HL49" s="316"/>
      <c r="HM49" s="316"/>
      <c r="HN49" s="316"/>
      <c r="HO49" s="316"/>
      <c r="HP49" s="316"/>
      <c r="HQ49" s="316"/>
      <c r="HR49" s="316"/>
      <c r="HS49" s="316"/>
      <c r="HT49" s="316"/>
      <c r="HU49" s="316"/>
      <c r="HV49" s="316"/>
      <c r="HW49" s="316"/>
      <c r="HX49" s="316"/>
      <c r="HY49" s="316"/>
      <c r="HZ49" s="316"/>
      <c r="IA49" s="316"/>
      <c r="IB49" s="316"/>
      <c r="IC49" s="316"/>
      <c r="ID49" s="316"/>
      <c r="IE49" s="316"/>
      <c r="IF49" s="316"/>
      <c r="IG49" s="316"/>
      <c r="IH49" s="316"/>
      <c r="II49" s="316"/>
      <c r="IJ49" s="316"/>
      <c r="IK49" s="316"/>
      <c r="IL49" s="316"/>
      <c r="IM49" s="316"/>
      <c r="IN49" s="316"/>
      <c r="IO49" s="316"/>
      <c r="IP49" s="316"/>
      <c r="IQ49" s="316"/>
      <c r="IR49" s="316"/>
      <c r="IS49" s="316"/>
      <c r="IT49" s="316"/>
      <c r="IU49" s="316"/>
      <c r="IV49" s="316"/>
      <c r="IW49" s="316"/>
      <c r="IX49" s="316"/>
      <c r="IY49" s="316"/>
      <c r="IZ49" s="316"/>
      <c r="JA49" s="316"/>
      <c r="JB49" s="316"/>
      <c r="JC49" s="316"/>
      <c r="JD49" s="316"/>
      <c r="JE49" s="316"/>
      <c r="JF49" s="316"/>
      <c r="JG49" s="316"/>
      <c r="JH49" s="316"/>
      <c r="JI49" s="316"/>
      <c r="JJ49" s="316"/>
      <c r="JK49" s="316"/>
      <c r="JL49" s="316"/>
      <c r="JM49" s="316"/>
      <c r="JN49" s="316"/>
      <c r="JO49" s="316"/>
      <c r="JP49" s="316"/>
      <c r="JQ49" s="316"/>
      <c r="JR49" s="316"/>
      <c r="JS49" s="316"/>
      <c r="JT49" s="316"/>
      <c r="JU49" s="316"/>
      <c r="JV49" s="316"/>
      <c r="JW49" s="316"/>
      <c r="JX49" s="316"/>
      <c r="JY49" s="316"/>
      <c r="JZ49" s="316"/>
      <c r="KA49" s="316"/>
      <c r="KB49" s="316"/>
      <c r="KC49" s="316"/>
      <c r="KD49" s="316"/>
      <c r="KE49" s="316"/>
      <c r="KF49" s="316"/>
      <c r="KG49" s="316"/>
      <c r="KH49" s="316"/>
      <c r="KI49" s="316"/>
      <c r="KJ49" s="316"/>
      <c r="KK49" s="316"/>
      <c r="KL49" s="316"/>
      <c r="KM49" s="316"/>
      <c r="KN49" s="316"/>
      <c r="KO49" s="316"/>
      <c r="KP49" s="316"/>
      <c r="KQ49" s="316"/>
      <c r="KR49" s="316"/>
      <c r="KS49" s="316"/>
      <c r="KT49" s="316"/>
      <c r="KU49" s="316"/>
      <c r="KV49" s="316"/>
      <c r="KW49" s="316"/>
      <c r="KX49" s="316"/>
      <c r="KY49" s="316"/>
      <c r="KZ49" s="316"/>
      <c r="LA49" s="316"/>
      <c r="LB49" s="316"/>
      <c r="LC49" s="316"/>
      <c r="LD49" s="316"/>
      <c r="LE49" s="316"/>
      <c r="LF49" s="316"/>
      <c r="LG49" s="316"/>
      <c r="LH49" s="316"/>
      <c r="LI49" s="316"/>
      <c r="LJ49" s="316"/>
      <c r="LK49" s="316"/>
      <c r="LL49" s="316"/>
      <c r="LM49" s="316"/>
      <c r="LN49" s="316"/>
      <c r="LO49" s="316"/>
      <c r="LP49" s="316"/>
      <c r="LQ49" s="316"/>
      <c r="LR49" s="316"/>
      <c r="LS49" s="316"/>
      <c r="LT49" s="316"/>
      <c r="LU49" s="316"/>
      <c r="LV49" s="316"/>
      <c r="LW49" s="316"/>
      <c r="LX49" s="316"/>
      <c r="LY49" s="316"/>
      <c r="LZ49" s="316"/>
      <c r="MA49" s="316"/>
      <c r="MB49" s="316"/>
      <c r="MC49" s="316"/>
      <c r="MD49" s="316"/>
      <c r="ME49" s="316"/>
      <c r="MF49" s="316"/>
      <c r="MG49" s="316"/>
      <c r="MH49" s="316"/>
      <c r="MI49" s="316"/>
      <c r="MJ49" s="316"/>
      <c r="MK49" s="316"/>
      <c r="ML49" s="316"/>
      <c r="MM49" s="316"/>
      <c r="MN49" s="316"/>
      <c r="MO49" s="316"/>
      <c r="MP49" s="316"/>
      <c r="MQ49" s="316"/>
      <c r="MR49" s="316"/>
      <c r="MS49" s="316"/>
      <c r="MT49" s="316"/>
      <c r="MU49" s="316"/>
      <c r="MV49" s="316"/>
      <c r="MW49" s="316"/>
      <c r="MX49" s="316"/>
      <c r="MY49" s="316"/>
      <c r="MZ49" s="316"/>
      <c r="NA49" s="316"/>
      <c r="NB49" s="316"/>
      <c r="NC49" s="316"/>
      <c r="ND49" s="316"/>
      <c r="NE49" s="316"/>
      <c r="NF49" s="316"/>
      <c r="NG49" s="316"/>
      <c r="NH49" s="316"/>
      <c r="NI49" s="316"/>
      <c r="NJ49" s="316"/>
      <c r="NK49" s="316"/>
      <c r="NL49" s="316"/>
      <c r="NM49" s="316"/>
      <c r="NN49" s="316"/>
      <c r="NO49" s="316"/>
      <c r="NP49" s="316"/>
      <c r="NQ49" s="316"/>
      <c r="NR49" s="316"/>
      <c r="NS49" s="316"/>
      <c r="NT49" s="316"/>
      <c r="NU49" s="316"/>
      <c r="NV49" s="316"/>
      <c r="NW49" s="316"/>
      <c r="NX49" s="316"/>
      <c r="NY49" s="316"/>
      <c r="NZ49" s="316"/>
      <c r="OA49" s="316"/>
      <c r="OB49" s="316"/>
      <c r="OC49" s="316"/>
      <c r="OD49" s="316"/>
      <c r="OE49" s="316"/>
      <c r="OF49" s="316"/>
      <c r="OG49" s="316"/>
      <c r="OH49" s="316"/>
      <c r="OI49" s="316"/>
      <c r="OJ49" s="316"/>
      <c r="OK49" s="316"/>
      <c r="OL49" s="316"/>
      <c r="OM49" s="316"/>
      <c r="ON49" s="316"/>
      <c r="OO49" s="316"/>
      <c r="OP49" s="316"/>
      <c r="OQ49" s="316"/>
      <c r="OR49" s="316"/>
      <c r="OS49" s="316"/>
      <c r="OT49" s="316"/>
      <c r="OU49" s="316"/>
      <c r="OV49" s="316"/>
      <c r="OW49" s="316"/>
      <c r="OX49" s="316"/>
      <c r="OY49" s="316"/>
      <c r="OZ49" s="316"/>
      <c r="PA49" s="316"/>
      <c r="PB49" s="316"/>
      <c r="PC49" s="316"/>
      <c r="PD49" s="316"/>
      <c r="PE49" s="316"/>
      <c r="PF49" s="316"/>
      <c r="PG49" s="316"/>
      <c r="PH49" s="316"/>
      <c r="PI49" s="316"/>
      <c r="PJ49" s="316"/>
      <c r="PK49" s="316"/>
      <c r="PL49" s="316"/>
      <c r="PM49" s="316"/>
      <c r="PN49" s="316"/>
      <c r="PO49" s="316"/>
      <c r="PP49" s="316"/>
      <c r="PQ49" s="316"/>
      <c r="PR49" s="316"/>
      <c r="PS49" s="316"/>
      <c r="PT49" s="316"/>
      <c r="PU49" s="316"/>
      <c r="PV49" s="316"/>
      <c r="PW49" s="316"/>
      <c r="PX49" s="316"/>
      <c r="PY49" s="316"/>
      <c r="PZ49" s="316"/>
      <c r="QA49" s="316"/>
      <c r="QB49" s="316"/>
      <c r="QC49" s="316"/>
      <c r="QD49" s="316"/>
      <c r="QE49" s="316"/>
      <c r="QF49" s="316"/>
      <c r="QG49" s="316"/>
      <c r="QH49" s="316"/>
      <c r="QI49" s="316"/>
      <c r="QJ49" s="316"/>
      <c r="QK49" s="316"/>
      <c r="QL49" s="316"/>
      <c r="QM49" s="316"/>
      <c r="QN49" s="316"/>
      <c r="QO49" s="316"/>
      <c r="QP49" s="316"/>
      <c r="QQ49" s="316"/>
      <c r="QR49" s="316"/>
      <c r="QS49" s="316"/>
      <c r="QT49" s="316"/>
      <c r="QU49" s="316"/>
      <c r="QV49" s="316"/>
      <c r="QW49" s="316"/>
      <c r="QX49" s="316"/>
      <c r="QY49" s="316"/>
      <c r="QZ49" s="316"/>
      <c r="RA49" s="316"/>
      <c r="RB49" s="316"/>
      <c r="RC49" s="316"/>
      <c r="RD49" s="316"/>
      <c r="RE49" s="316"/>
      <c r="RF49" s="316"/>
      <c r="RG49" s="316"/>
      <c r="RH49" s="316"/>
      <c r="RI49" s="316"/>
      <c r="RJ49" s="316"/>
      <c r="RK49" s="316"/>
      <c r="RL49" s="316"/>
      <c r="RM49" s="316"/>
      <c r="RN49" s="316"/>
      <c r="RO49" s="316"/>
      <c r="RP49" s="316"/>
      <c r="RQ49" s="316"/>
      <c r="RR49" s="316"/>
      <c r="RS49" s="316"/>
      <c r="RT49" s="316"/>
      <c r="RU49" s="316"/>
      <c r="RV49" s="316"/>
      <c r="RW49" s="316"/>
      <c r="RX49" s="316"/>
      <c r="RY49" s="316"/>
      <c r="RZ49" s="316"/>
      <c r="SA49" s="316"/>
      <c r="SB49" s="316"/>
      <c r="SC49" s="316"/>
      <c r="SD49" s="316"/>
      <c r="SE49" s="316"/>
      <c r="SF49" s="316"/>
      <c r="SG49" s="316"/>
      <c r="SH49" s="316"/>
      <c r="SI49" s="316"/>
      <c r="SJ49" s="316"/>
      <c r="SK49" s="316"/>
      <c r="SL49" s="316"/>
      <c r="SM49" s="316"/>
      <c r="SN49" s="316"/>
      <c r="SO49" s="316"/>
      <c r="SP49" s="316"/>
      <c r="SQ49" s="316"/>
      <c r="SR49" s="316"/>
      <c r="SS49" s="316"/>
      <c r="ST49" s="316"/>
      <c r="SU49" s="316"/>
      <c r="SV49" s="316"/>
      <c r="SW49" s="316"/>
      <c r="SX49" s="316"/>
      <c r="SY49" s="316"/>
      <c r="SZ49" s="316"/>
      <c r="TA49" s="316"/>
      <c r="TB49" s="316"/>
      <c r="TC49" s="316"/>
      <c r="TD49" s="316"/>
      <c r="TE49" s="316"/>
      <c r="TF49" s="316"/>
      <c r="TG49" s="316"/>
      <c r="TH49" s="316"/>
      <c r="TI49" s="316"/>
      <c r="TJ49" s="316"/>
      <c r="TK49" s="316"/>
      <c r="TL49" s="316"/>
      <c r="TM49" s="316"/>
      <c r="TN49" s="316"/>
      <c r="TO49" s="316"/>
      <c r="TP49" s="316"/>
      <c r="TQ49" s="316"/>
      <c r="TR49" s="316"/>
      <c r="TS49" s="316"/>
      <c r="TT49" s="316"/>
      <c r="TU49" s="316"/>
      <c r="TV49" s="316"/>
      <c r="TW49" s="316"/>
      <c r="TX49" s="316"/>
      <c r="TY49" s="316"/>
      <c r="TZ49" s="316"/>
      <c r="UA49" s="316"/>
      <c r="UB49" s="316"/>
      <c r="UC49" s="316"/>
      <c r="UD49" s="316"/>
      <c r="UE49" s="316"/>
      <c r="UF49" s="316"/>
      <c r="UG49" s="316"/>
      <c r="UH49" s="316"/>
      <c r="UI49" s="316"/>
      <c r="UJ49" s="316"/>
      <c r="UK49" s="316"/>
      <c r="UL49" s="316"/>
      <c r="UM49" s="316"/>
      <c r="UN49" s="316"/>
      <c r="UO49" s="316"/>
      <c r="UP49" s="316"/>
      <c r="UQ49" s="316"/>
      <c r="UR49" s="316"/>
      <c r="US49" s="316"/>
      <c r="UT49" s="316"/>
      <c r="UU49" s="316"/>
      <c r="UV49" s="316"/>
      <c r="UW49" s="316"/>
      <c r="UX49" s="316"/>
      <c r="UY49" s="316"/>
      <c r="UZ49" s="316"/>
      <c r="VA49" s="316"/>
      <c r="VB49" s="316"/>
      <c r="VC49" s="316"/>
      <c r="VD49" s="316"/>
      <c r="VE49" s="316"/>
      <c r="VF49" s="316"/>
      <c r="VG49" s="316"/>
      <c r="VH49" s="316"/>
      <c r="VI49" s="316"/>
      <c r="VJ49" s="316"/>
      <c r="VK49" s="316"/>
      <c r="VL49" s="316"/>
      <c r="VM49" s="316"/>
      <c r="VN49" s="316"/>
      <c r="VO49" s="316"/>
      <c r="VP49" s="316"/>
      <c r="VQ49" s="316"/>
      <c r="VR49" s="316"/>
      <c r="VS49" s="316"/>
      <c r="VT49" s="316"/>
      <c r="VU49" s="316"/>
      <c r="VV49" s="316"/>
      <c r="VW49" s="316"/>
      <c r="VX49" s="316"/>
      <c r="VY49" s="316"/>
      <c r="VZ49" s="316"/>
      <c r="WA49" s="316"/>
      <c r="WB49" s="316"/>
      <c r="WC49" s="316"/>
      <c r="WD49" s="316"/>
      <c r="WE49" s="316"/>
      <c r="WF49" s="316"/>
      <c r="WG49" s="316"/>
      <c r="WH49" s="316"/>
      <c r="WI49" s="316"/>
      <c r="WJ49" s="316"/>
      <c r="WK49" s="316"/>
      <c r="WL49" s="316"/>
      <c r="WM49" s="316"/>
      <c r="WN49" s="316"/>
      <c r="WO49" s="316"/>
      <c r="WP49" s="316"/>
      <c r="WQ49" s="316"/>
      <c r="WR49" s="316"/>
      <c r="WS49" s="316"/>
      <c r="WT49" s="316"/>
      <c r="WU49" s="316"/>
      <c r="WV49" s="316"/>
      <c r="WW49" s="316"/>
      <c r="WX49" s="316"/>
      <c r="WY49" s="316"/>
      <c r="WZ49" s="316"/>
      <c r="XA49" s="316"/>
      <c r="XB49" s="316"/>
      <c r="XC49" s="316"/>
      <c r="XD49" s="316"/>
      <c r="XE49" s="316"/>
      <c r="XF49" s="316"/>
      <c r="XG49" s="316"/>
      <c r="XH49" s="316"/>
      <c r="XI49" s="316"/>
      <c r="XJ49" s="316"/>
      <c r="XK49" s="316"/>
      <c r="XL49" s="316"/>
      <c r="XM49" s="316"/>
      <c r="XN49" s="316"/>
      <c r="XO49" s="316"/>
      <c r="XP49" s="316"/>
      <c r="XQ49" s="316"/>
      <c r="XR49" s="316"/>
      <c r="XS49" s="316"/>
      <c r="XT49" s="316"/>
      <c r="XU49" s="316"/>
      <c r="XV49" s="316"/>
      <c r="XW49" s="316"/>
      <c r="XX49" s="316"/>
      <c r="XY49" s="316"/>
      <c r="XZ49" s="316"/>
      <c r="YA49" s="316"/>
      <c r="YB49" s="316"/>
      <c r="YC49" s="316"/>
      <c r="YD49" s="316"/>
      <c r="YE49" s="316"/>
      <c r="YF49" s="316"/>
      <c r="YG49" s="316"/>
      <c r="YH49" s="316"/>
      <c r="YI49" s="316"/>
      <c r="YJ49" s="316"/>
      <c r="YK49" s="316"/>
      <c r="YL49" s="316"/>
      <c r="YM49" s="316"/>
      <c r="YN49" s="316"/>
      <c r="YO49" s="316"/>
      <c r="YP49" s="316"/>
      <c r="YQ49" s="316"/>
      <c r="YR49" s="316"/>
      <c r="YS49" s="316"/>
      <c r="YT49" s="316"/>
      <c r="YU49" s="316"/>
      <c r="YV49" s="316"/>
      <c r="YW49" s="316"/>
      <c r="YX49" s="316"/>
      <c r="YY49" s="316"/>
      <c r="YZ49" s="316"/>
      <c r="ZA49" s="316"/>
      <c r="ZB49" s="316"/>
      <c r="ZC49" s="316"/>
      <c r="ZD49" s="316"/>
      <c r="ZE49" s="316"/>
      <c r="ZF49" s="316"/>
      <c r="ZG49" s="316"/>
      <c r="ZH49" s="316"/>
      <c r="ZI49" s="316"/>
      <c r="ZJ49" s="316"/>
      <c r="ZK49" s="316"/>
      <c r="ZL49" s="316"/>
      <c r="ZM49" s="316"/>
      <c r="ZN49" s="316"/>
      <c r="ZO49" s="316"/>
      <c r="ZP49" s="316"/>
      <c r="ZQ49" s="316"/>
      <c r="ZR49" s="316"/>
      <c r="ZS49" s="316"/>
      <c r="ZT49" s="316"/>
      <c r="ZU49" s="316"/>
      <c r="ZV49" s="316"/>
      <c r="ZW49" s="316"/>
      <c r="ZX49" s="316"/>
      <c r="ZY49" s="316"/>
      <c r="ZZ49" s="316"/>
      <c r="AAA49" s="316"/>
      <c r="AAB49" s="316"/>
      <c r="AAC49" s="316"/>
      <c r="AAD49" s="316"/>
      <c r="AAE49" s="316"/>
      <c r="AAF49" s="316"/>
      <c r="AAG49" s="316"/>
      <c r="AAH49" s="316"/>
      <c r="AAI49" s="316"/>
      <c r="AAJ49" s="316"/>
      <c r="AAK49" s="316"/>
      <c r="AAL49" s="316"/>
      <c r="AAM49" s="316"/>
      <c r="AAN49" s="316"/>
      <c r="AAO49" s="316"/>
      <c r="AAP49" s="316"/>
      <c r="AAQ49" s="316"/>
      <c r="AAR49" s="316"/>
      <c r="AAS49" s="316"/>
      <c r="AAT49" s="316"/>
      <c r="AAU49" s="316"/>
      <c r="AAV49" s="316"/>
      <c r="AAW49" s="316"/>
      <c r="AAX49" s="316"/>
      <c r="AAY49" s="316"/>
      <c r="AAZ49" s="316"/>
      <c r="ABA49" s="316"/>
      <c r="ABB49" s="316"/>
      <c r="ABC49" s="316"/>
      <c r="ABD49" s="316"/>
      <c r="ABE49" s="316"/>
      <c r="ABF49" s="316"/>
      <c r="ABG49" s="316"/>
      <c r="ABH49" s="316"/>
      <c r="ABI49" s="316"/>
      <c r="ABJ49" s="316"/>
      <c r="ABK49" s="316"/>
      <c r="ABL49" s="316"/>
      <c r="ABM49" s="316"/>
      <c r="ABN49" s="316"/>
      <c r="ABO49" s="316"/>
      <c r="ABP49" s="316"/>
      <c r="ABQ49" s="316"/>
      <c r="ABR49" s="316"/>
      <c r="ABS49" s="316"/>
      <c r="ABT49" s="316"/>
      <c r="ABU49" s="316"/>
      <c r="ABV49" s="316"/>
      <c r="ABW49" s="316"/>
      <c r="ABX49" s="316"/>
      <c r="ABY49" s="316"/>
      <c r="ABZ49" s="316"/>
      <c r="ACA49" s="316"/>
      <c r="ACB49" s="316"/>
      <c r="ACC49" s="316"/>
      <c r="ACD49" s="316"/>
      <c r="ACE49" s="316"/>
      <c r="ACF49" s="316"/>
      <c r="ACG49" s="316"/>
      <c r="ACH49" s="316"/>
      <c r="ACI49" s="316"/>
      <c r="ACJ49" s="316"/>
      <c r="ACK49" s="316"/>
      <c r="ACL49" s="316"/>
      <c r="ACM49" s="316"/>
      <c r="ACN49" s="316"/>
      <c r="ACO49" s="316"/>
      <c r="ACP49" s="316"/>
      <c r="ACQ49" s="316"/>
      <c r="ACR49" s="316"/>
      <c r="ACS49" s="316"/>
      <c r="ACT49" s="316"/>
      <c r="ACU49" s="316"/>
      <c r="ACV49" s="316"/>
      <c r="ACW49" s="316"/>
      <c r="ACX49" s="316"/>
      <c r="ACY49" s="316"/>
      <c r="ACZ49" s="316"/>
      <c r="ADA49" s="316"/>
      <c r="ADB49" s="316"/>
      <c r="ADC49" s="316"/>
      <c r="ADD49" s="316"/>
      <c r="ADE49" s="316"/>
      <c r="ADF49" s="316"/>
      <c r="ADG49" s="316"/>
      <c r="ADH49" s="316"/>
      <c r="ADI49" s="316"/>
      <c r="ADJ49" s="316"/>
      <c r="ADK49" s="316"/>
      <c r="ADL49" s="316"/>
      <c r="ADM49" s="316"/>
      <c r="ADN49" s="316"/>
      <c r="ADO49" s="316"/>
      <c r="ADP49" s="316"/>
      <c r="ADQ49" s="316"/>
      <c r="ADR49" s="316"/>
      <c r="ADS49" s="316"/>
      <c r="ADT49" s="316"/>
      <c r="ADU49" s="316"/>
      <c r="ADV49" s="316"/>
      <c r="ADW49" s="316"/>
      <c r="ADX49" s="316"/>
      <c r="ADY49" s="316"/>
      <c r="ADZ49" s="316"/>
      <c r="AEA49" s="316"/>
      <c r="AEB49" s="316"/>
      <c r="AEC49" s="316"/>
      <c r="AED49" s="316"/>
      <c r="AEE49" s="316"/>
      <c r="AEF49" s="316"/>
      <c r="AEG49" s="316"/>
      <c r="AEH49" s="316"/>
      <c r="AEI49" s="316"/>
      <c r="AEJ49" s="316"/>
      <c r="AEK49" s="316"/>
      <c r="AEL49" s="316"/>
      <c r="AEM49" s="316"/>
      <c r="AEN49" s="316"/>
      <c r="AEO49" s="316"/>
      <c r="AEP49" s="316"/>
      <c r="AEQ49" s="316"/>
      <c r="AER49" s="316"/>
      <c r="AES49" s="316"/>
      <c r="AET49" s="316"/>
      <c r="AEU49" s="316"/>
      <c r="AEV49" s="316"/>
      <c r="AEW49" s="316"/>
      <c r="AEX49" s="316"/>
      <c r="AEY49" s="316"/>
      <c r="AEZ49" s="316"/>
      <c r="AFA49" s="316"/>
      <c r="AFB49" s="316"/>
      <c r="AFC49" s="316"/>
      <c r="AFD49" s="316"/>
      <c r="AFE49" s="316"/>
      <c r="AFF49" s="316"/>
      <c r="AFG49" s="316"/>
      <c r="AFH49" s="316"/>
      <c r="AFI49" s="316"/>
      <c r="AFJ49" s="316"/>
      <c r="AFK49" s="316"/>
      <c r="AFL49" s="316"/>
      <c r="AFM49" s="316"/>
      <c r="AFN49" s="316"/>
      <c r="AFO49" s="316"/>
      <c r="AFP49" s="316"/>
      <c r="AFQ49" s="316"/>
      <c r="AFR49" s="316"/>
      <c r="AFS49" s="316"/>
      <c r="AFT49" s="316"/>
      <c r="AFU49" s="316"/>
      <c r="AFV49" s="316"/>
      <c r="AFW49" s="316"/>
      <c r="AFX49" s="316"/>
      <c r="AFY49" s="316"/>
      <c r="AFZ49" s="316"/>
      <c r="AGA49" s="316"/>
      <c r="AGB49" s="316"/>
      <c r="AGC49" s="316"/>
      <c r="AGD49" s="316"/>
      <c r="AGE49" s="316"/>
      <c r="AGF49" s="316"/>
      <c r="AGG49" s="316"/>
      <c r="AGH49" s="316"/>
      <c r="AGI49" s="316"/>
      <c r="AGJ49" s="316"/>
      <c r="AGK49" s="316"/>
      <c r="AGL49" s="316"/>
      <c r="AGM49" s="316"/>
      <c r="AGN49" s="316"/>
      <c r="AGO49" s="316"/>
      <c r="AGP49" s="316"/>
      <c r="AGQ49" s="316"/>
      <c r="AGR49" s="316"/>
      <c r="AGS49" s="316"/>
      <c r="AGT49" s="316"/>
      <c r="AGU49" s="316"/>
      <c r="AGV49" s="316"/>
      <c r="AGW49" s="316"/>
      <c r="AGX49" s="316"/>
      <c r="AGY49" s="316"/>
      <c r="AGZ49" s="316"/>
      <c r="AHA49" s="316"/>
      <c r="AHB49" s="316"/>
      <c r="AHC49" s="316"/>
      <c r="AHD49" s="316"/>
      <c r="AHE49" s="316"/>
      <c r="AHF49" s="316"/>
      <c r="AHG49" s="316"/>
      <c r="AHH49" s="316"/>
      <c r="AHI49" s="316"/>
      <c r="AHJ49" s="316"/>
      <c r="AHK49" s="316"/>
      <c r="AHL49" s="316"/>
      <c r="AHM49" s="316"/>
      <c r="AHN49" s="316"/>
      <c r="AHO49" s="316"/>
      <c r="AHP49" s="316"/>
      <c r="AHQ49" s="316"/>
      <c r="AHR49" s="316"/>
      <c r="AHS49" s="316"/>
      <c r="AHT49" s="316"/>
      <c r="AHU49" s="316"/>
      <c r="AHV49" s="316"/>
      <c r="AHW49" s="316"/>
      <c r="AHX49" s="316"/>
      <c r="AHY49" s="316"/>
      <c r="AHZ49" s="316"/>
      <c r="AIA49" s="316"/>
      <c r="AIB49" s="316"/>
      <c r="AIC49" s="316"/>
      <c r="AID49" s="316"/>
      <c r="AIE49" s="316"/>
      <c r="AIF49" s="316"/>
      <c r="AIG49" s="316"/>
      <c r="AIH49" s="316"/>
      <c r="AII49" s="316"/>
      <c r="AIJ49" s="316"/>
      <c r="AIK49" s="316"/>
      <c r="AIL49" s="316"/>
      <c r="AIM49" s="316"/>
      <c r="AIN49" s="316"/>
      <c r="AIO49" s="316"/>
      <c r="AIP49" s="316"/>
      <c r="AIQ49" s="316"/>
      <c r="AIR49" s="316"/>
      <c r="AIS49" s="316"/>
      <c r="AIT49" s="316"/>
      <c r="AIU49" s="316"/>
      <c r="AIV49" s="316"/>
      <c r="AIW49" s="316"/>
      <c r="AIX49" s="316"/>
      <c r="AIY49" s="316"/>
      <c r="AIZ49" s="316"/>
      <c r="AJA49" s="316"/>
      <c r="AJB49" s="316"/>
      <c r="AJC49" s="316"/>
      <c r="AJD49" s="316"/>
      <c r="AJE49" s="316"/>
      <c r="AJF49" s="316"/>
      <c r="AJG49" s="316"/>
      <c r="AJH49" s="316"/>
      <c r="AJI49" s="316"/>
      <c r="AJJ49" s="316"/>
      <c r="AJK49" s="316"/>
      <c r="AJL49" s="316"/>
      <c r="AJM49" s="316"/>
      <c r="AJN49" s="316"/>
      <c r="AJO49" s="316"/>
      <c r="AJP49" s="316"/>
      <c r="AJQ49" s="316"/>
      <c r="AJR49" s="316"/>
      <c r="AJS49" s="316"/>
      <c r="AJT49" s="316"/>
      <c r="AJU49" s="316"/>
      <c r="AJV49" s="316"/>
      <c r="AJW49" s="316"/>
      <c r="AJX49" s="316"/>
      <c r="AJY49" s="316"/>
      <c r="AJZ49" s="316"/>
      <c r="AKA49" s="316"/>
      <c r="AKB49" s="316"/>
      <c r="AKC49" s="316"/>
      <c r="AKD49" s="316"/>
      <c r="AKE49" s="316"/>
      <c r="AKF49" s="316"/>
      <c r="AKG49" s="316"/>
      <c r="AKH49" s="316"/>
      <c r="AKI49" s="316"/>
      <c r="AKJ49" s="316"/>
      <c r="AKK49" s="316"/>
      <c r="AKL49" s="316"/>
      <c r="AKM49" s="316"/>
      <c r="AKN49" s="316"/>
      <c r="AKO49" s="316"/>
      <c r="AKP49" s="316"/>
      <c r="AKQ49" s="316"/>
      <c r="AKR49" s="316"/>
      <c r="AKS49" s="316"/>
      <c r="AKT49" s="316"/>
      <c r="AKU49" s="316"/>
      <c r="AKV49" s="316"/>
      <c r="AKW49" s="316"/>
      <c r="AKX49" s="316"/>
      <c r="AKY49" s="316"/>
      <c r="AKZ49" s="316"/>
      <c r="ALA49" s="316"/>
      <c r="ALB49" s="316"/>
      <c r="ALC49" s="316"/>
      <c r="ALD49" s="316"/>
      <c r="ALE49" s="316"/>
      <c r="ALF49" s="316"/>
      <c r="ALG49" s="316"/>
      <c r="ALH49" s="316"/>
      <c r="ALI49" s="316"/>
      <c r="ALJ49" s="316"/>
      <c r="ALK49" s="316"/>
      <c r="ALL49" s="316"/>
      <c r="ALM49" s="316"/>
      <c r="ALN49" s="316"/>
      <c r="ALO49" s="316"/>
      <c r="ALP49" s="316"/>
      <c r="ALQ49" s="316"/>
      <c r="ALR49" s="316"/>
      <c r="ALS49" s="316"/>
      <c r="ALT49" s="316"/>
      <c r="ALU49" s="316"/>
      <c r="ALV49" s="316"/>
      <c r="ALW49" s="316"/>
      <c r="ALX49" s="316"/>
      <c r="ALY49" s="316"/>
      <c r="ALZ49" s="316"/>
      <c r="AMA49" s="316"/>
      <c r="AMB49" s="316"/>
      <c r="AMC49" s="316"/>
      <c r="AMD49" s="316"/>
      <c r="AME49" s="316"/>
      <c r="AMF49" s="316"/>
      <c r="AMG49" s="316"/>
      <c r="AMH49" s="316"/>
      <c r="AMI49" s="316"/>
      <c r="AMJ49" s="316"/>
      <c r="AMK49" s="316"/>
      <c r="AML49" s="316"/>
      <c r="AMM49" s="316"/>
      <c r="AMN49" s="316"/>
      <c r="AMO49" s="316"/>
      <c r="AMP49" s="316"/>
      <c r="AMQ49" s="316"/>
      <c r="AMR49" s="316"/>
      <c r="AMS49" s="316"/>
      <c r="AMT49" s="316"/>
      <c r="AMU49" s="316"/>
      <c r="AMV49" s="316"/>
      <c r="AMW49" s="316"/>
      <c r="AMX49" s="316"/>
      <c r="AMY49" s="316"/>
      <c r="AMZ49" s="316"/>
      <c r="ANA49" s="316"/>
      <c r="ANB49" s="316"/>
      <c r="ANC49" s="316"/>
      <c r="AND49" s="316"/>
      <c r="ANE49" s="316"/>
      <c r="ANF49" s="316"/>
      <c r="ANG49" s="316"/>
      <c r="ANH49" s="316"/>
      <c r="ANI49" s="316"/>
      <c r="ANJ49" s="316"/>
      <c r="ANK49" s="316"/>
      <c r="ANL49" s="316"/>
      <c r="ANM49" s="316"/>
      <c r="ANN49" s="316"/>
      <c r="ANO49" s="316"/>
      <c r="ANP49" s="316"/>
      <c r="ANQ49" s="316"/>
      <c r="ANR49" s="316"/>
      <c r="ANS49" s="316"/>
      <c r="ANT49" s="316"/>
      <c r="ANU49" s="316"/>
      <c r="ANV49" s="316"/>
      <c r="ANW49" s="316"/>
      <c r="ANX49" s="316"/>
      <c r="ANY49" s="316"/>
      <c r="ANZ49" s="316"/>
      <c r="AOA49" s="316"/>
      <c r="AOB49" s="316"/>
      <c r="AOC49" s="316"/>
      <c r="AOD49" s="316"/>
      <c r="AOE49" s="316"/>
      <c r="AOF49" s="316"/>
      <c r="AOG49" s="316"/>
      <c r="AOH49" s="316"/>
      <c r="AOI49" s="316"/>
      <c r="AOJ49" s="316"/>
      <c r="AOK49" s="316"/>
      <c r="AOL49" s="316"/>
      <c r="AOM49" s="316"/>
      <c r="AON49" s="316"/>
      <c r="AOO49" s="316"/>
      <c r="AOP49" s="316"/>
      <c r="AOQ49" s="316"/>
      <c r="AOR49" s="316"/>
      <c r="AOS49" s="316"/>
      <c r="AOT49" s="316"/>
      <c r="AOU49" s="316"/>
      <c r="AOV49" s="316"/>
      <c r="AOW49" s="316"/>
      <c r="AOX49" s="316"/>
      <c r="AOY49" s="316"/>
      <c r="AOZ49" s="316"/>
      <c r="APA49" s="316"/>
      <c r="APB49" s="316"/>
      <c r="APC49" s="316"/>
      <c r="APD49" s="316"/>
      <c r="APE49" s="316"/>
      <c r="APF49" s="316"/>
      <c r="APG49" s="316"/>
      <c r="APH49" s="316"/>
      <c r="API49" s="316"/>
      <c r="APJ49" s="316"/>
      <c r="APK49" s="316"/>
      <c r="APL49" s="316"/>
      <c r="APM49" s="316"/>
      <c r="APN49" s="316"/>
      <c r="APO49" s="316"/>
      <c r="APP49" s="316"/>
      <c r="APQ49" s="316"/>
      <c r="APR49" s="316"/>
      <c r="APS49" s="316"/>
      <c r="APT49" s="316"/>
      <c r="APU49" s="316"/>
      <c r="APV49" s="316"/>
      <c r="APW49" s="316"/>
      <c r="APX49" s="316"/>
      <c r="APY49" s="316"/>
      <c r="APZ49" s="316"/>
      <c r="AQA49" s="316"/>
      <c r="AQB49" s="316"/>
      <c r="AQC49" s="316"/>
      <c r="AQD49" s="316"/>
      <c r="AQE49" s="316"/>
      <c r="AQF49" s="316"/>
      <c r="AQG49" s="316"/>
      <c r="AQH49" s="316"/>
      <c r="AQI49" s="316"/>
      <c r="AQJ49" s="316"/>
      <c r="AQK49" s="316"/>
      <c r="AQL49" s="316"/>
      <c r="AQM49" s="316"/>
      <c r="AQN49" s="316"/>
      <c r="AQO49" s="316"/>
      <c r="AQP49" s="316"/>
      <c r="AQQ49" s="316"/>
      <c r="AQR49" s="316"/>
      <c r="AQS49" s="316"/>
      <c r="AQT49" s="316"/>
      <c r="AQU49" s="316"/>
      <c r="AQV49" s="316"/>
      <c r="AQW49" s="316"/>
      <c r="AQX49" s="316"/>
      <c r="AQY49" s="316"/>
      <c r="AQZ49" s="316"/>
      <c r="ARA49" s="316"/>
      <c r="ARB49" s="316"/>
      <c r="ARC49" s="316"/>
      <c r="ARD49" s="316"/>
      <c r="ARE49" s="316"/>
      <c r="ARF49" s="316"/>
      <c r="ARG49" s="316"/>
      <c r="ARH49" s="316"/>
      <c r="ARI49" s="316"/>
      <c r="ARJ49" s="316"/>
      <c r="ARK49" s="316"/>
      <c r="ARL49" s="316"/>
      <c r="ARM49" s="316"/>
      <c r="ARN49" s="316"/>
      <c r="ARO49" s="316"/>
      <c r="ARP49" s="316"/>
      <c r="ARQ49" s="316"/>
      <c r="ARR49" s="316"/>
      <c r="ARS49" s="316"/>
      <c r="ART49" s="316"/>
      <c r="ARU49" s="316"/>
      <c r="ARV49" s="316"/>
      <c r="ARW49" s="316"/>
      <c r="ARX49" s="316"/>
      <c r="ARY49" s="316"/>
      <c r="ARZ49" s="316"/>
      <c r="ASA49" s="316"/>
      <c r="ASB49" s="316"/>
      <c r="ASC49" s="316"/>
      <c r="ASD49" s="316"/>
      <c r="ASE49" s="316"/>
      <c r="ASF49" s="316"/>
      <c r="ASG49" s="316"/>
      <c r="ASH49" s="316"/>
      <c r="ASI49" s="316"/>
      <c r="ASJ49" s="316"/>
      <c r="ASK49" s="316"/>
      <c r="ASL49" s="316"/>
      <c r="ASM49" s="316"/>
      <c r="ASN49" s="316"/>
      <c r="ASO49" s="316"/>
      <c r="ASP49" s="316"/>
      <c r="ASQ49" s="316"/>
      <c r="ASR49" s="316"/>
      <c r="ASS49" s="316"/>
      <c r="AST49" s="316"/>
      <c r="ASU49" s="316"/>
      <c r="ASV49" s="316"/>
      <c r="ASW49" s="316"/>
      <c r="ASX49" s="316"/>
      <c r="ASY49" s="316"/>
      <c r="ASZ49" s="316"/>
      <c r="ATA49" s="316"/>
      <c r="ATB49" s="316"/>
      <c r="ATC49" s="316"/>
      <c r="ATD49" s="316"/>
      <c r="ATE49" s="316"/>
      <c r="ATF49" s="316"/>
      <c r="ATG49" s="316"/>
      <c r="ATH49" s="316"/>
      <c r="ATI49" s="316"/>
      <c r="ATJ49" s="316"/>
      <c r="ATK49" s="316"/>
      <c r="ATL49" s="316"/>
      <c r="ATM49" s="316"/>
      <c r="ATN49" s="316"/>
      <c r="ATO49" s="316"/>
      <c r="ATP49" s="316"/>
      <c r="ATQ49" s="316"/>
      <c r="ATR49" s="316"/>
      <c r="ATS49" s="316"/>
      <c r="ATT49" s="316"/>
      <c r="ATU49" s="316"/>
      <c r="ATV49" s="316"/>
      <c r="ATW49" s="316"/>
      <c r="ATX49" s="316"/>
      <c r="ATY49" s="316"/>
      <c r="ATZ49" s="316"/>
      <c r="AUA49" s="316"/>
      <c r="AUB49" s="316"/>
      <c r="AUC49" s="316"/>
      <c r="AUD49" s="316"/>
      <c r="AUE49" s="316"/>
      <c r="AUF49" s="316"/>
      <c r="AUG49" s="316"/>
      <c r="AUH49" s="316"/>
      <c r="AUI49" s="316"/>
      <c r="AUJ49" s="316"/>
      <c r="AUK49" s="316"/>
      <c r="AUL49" s="316"/>
      <c r="AUM49" s="316"/>
      <c r="AUN49" s="316"/>
      <c r="AUO49" s="316"/>
      <c r="AUP49" s="316"/>
      <c r="AUQ49" s="316"/>
      <c r="AUR49" s="316"/>
      <c r="AUS49" s="316"/>
      <c r="AUT49" s="316"/>
      <c r="AUU49" s="316"/>
      <c r="AUV49" s="316"/>
      <c r="AUW49" s="316"/>
      <c r="AUX49" s="316"/>
      <c r="AUY49" s="316"/>
      <c r="AUZ49" s="316"/>
      <c r="AVA49" s="316"/>
      <c r="AVB49" s="316"/>
      <c r="AVC49" s="316"/>
      <c r="AVD49" s="316"/>
      <c r="AVE49" s="316"/>
      <c r="AVF49" s="316"/>
      <c r="AVG49" s="316"/>
      <c r="AVH49" s="316"/>
      <c r="AVI49" s="316"/>
      <c r="AVJ49" s="316"/>
      <c r="AVK49" s="316"/>
      <c r="AVL49" s="316"/>
      <c r="AVM49" s="316"/>
      <c r="AVN49" s="316"/>
      <c r="AVO49" s="316"/>
      <c r="AVP49" s="316"/>
      <c r="AVQ49" s="316"/>
      <c r="AVR49" s="316"/>
      <c r="AVS49" s="316"/>
      <c r="AVT49" s="316"/>
      <c r="AVU49" s="316"/>
      <c r="AVV49" s="316"/>
      <c r="AVW49" s="316"/>
      <c r="AVX49" s="316"/>
      <c r="AVY49" s="316"/>
      <c r="AVZ49" s="316"/>
      <c r="AWA49" s="316"/>
      <c r="AWB49" s="316"/>
      <c r="AWC49" s="316"/>
      <c r="AWD49" s="316"/>
      <c r="AWE49" s="316"/>
      <c r="AWF49" s="316"/>
      <c r="AWG49" s="316"/>
      <c r="AWH49" s="316"/>
      <c r="AWI49" s="316"/>
      <c r="AWJ49" s="316"/>
      <c r="AWK49" s="316"/>
      <c r="AWL49" s="316"/>
      <c r="AWM49" s="316"/>
      <c r="AWN49" s="316"/>
      <c r="AWO49" s="316"/>
      <c r="AWP49" s="316"/>
      <c r="AWQ49" s="316"/>
      <c r="AWR49" s="316"/>
      <c r="AWS49" s="316"/>
      <c r="AWT49" s="316"/>
      <c r="AWU49" s="316"/>
      <c r="AWV49" s="316"/>
      <c r="AWW49" s="316"/>
      <c r="AWX49" s="316"/>
      <c r="AWY49" s="316"/>
      <c r="AWZ49" s="316"/>
      <c r="AXA49" s="316"/>
      <c r="AXB49" s="316"/>
      <c r="AXC49" s="316"/>
      <c r="AXD49" s="316"/>
      <c r="AXE49" s="316"/>
      <c r="AXF49" s="316"/>
      <c r="AXG49" s="316"/>
      <c r="AXH49" s="316"/>
      <c r="AXI49" s="316"/>
      <c r="AXJ49" s="316"/>
      <c r="AXK49" s="316"/>
      <c r="AXL49" s="316"/>
      <c r="AXM49" s="316"/>
      <c r="AXN49" s="316"/>
      <c r="AXO49" s="316"/>
      <c r="AXP49" s="316"/>
      <c r="AXQ49" s="316"/>
      <c r="AXR49" s="316"/>
      <c r="AXS49" s="316"/>
      <c r="AXT49" s="316"/>
      <c r="AXU49" s="316"/>
      <c r="AXV49" s="316"/>
      <c r="AXW49" s="316"/>
      <c r="AXX49" s="316"/>
      <c r="AXY49" s="316"/>
      <c r="AXZ49" s="316"/>
      <c r="AYA49" s="316"/>
      <c r="AYB49" s="316"/>
      <c r="AYC49" s="316"/>
      <c r="AYD49" s="316"/>
      <c r="AYE49" s="316"/>
      <c r="AYF49" s="316"/>
      <c r="AYG49" s="316"/>
      <c r="AYH49" s="316"/>
      <c r="AYI49" s="316"/>
      <c r="AYJ49" s="316"/>
      <c r="AYK49" s="316"/>
      <c r="AYL49" s="316"/>
      <c r="AYM49" s="316"/>
      <c r="AYN49" s="316"/>
      <c r="AYO49" s="316"/>
      <c r="AYP49" s="316"/>
      <c r="AYQ49" s="316"/>
      <c r="AYR49" s="316"/>
      <c r="AYS49" s="316"/>
      <c r="AYT49" s="316"/>
      <c r="AYU49" s="316"/>
      <c r="AYV49" s="316"/>
      <c r="AYW49" s="316"/>
      <c r="AYX49" s="316"/>
      <c r="AYY49" s="316"/>
      <c r="AYZ49" s="316"/>
      <c r="AZA49" s="316"/>
      <c r="AZB49" s="316"/>
      <c r="AZC49" s="316"/>
      <c r="AZD49" s="316"/>
      <c r="AZE49" s="316"/>
      <c r="AZF49" s="316"/>
      <c r="AZG49" s="316"/>
      <c r="AZH49" s="316"/>
      <c r="AZI49" s="316"/>
      <c r="AZJ49" s="316"/>
      <c r="AZK49" s="316"/>
      <c r="AZL49" s="316"/>
      <c r="AZM49" s="316"/>
      <c r="AZN49" s="316"/>
      <c r="AZO49" s="316"/>
      <c r="AZP49" s="316"/>
      <c r="AZQ49" s="316"/>
      <c r="AZR49" s="316"/>
      <c r="AZS49" s="316"/>
      <c r="AZT49" s="316"/>
      <c r="AZU49" s="316"/>
      <c r="AZV49" s="316"/>
      <c r="AZW49" s="316"/>
      <c r="AZX49" s="316"/>
      <c r="AZY49" s="316"/>
      <c r="AZZ49" s="316"/>
      <c r="BAA49" s="316"/>
      <c r="BAB49" s="316"/>
      <c r="BAC49" s="316"/>
      <c r="BAD49" s="316"/>
      <c r="BAE49" s="316"/>
      <c r="BAF49" s="316"/>
      <c r="BAG49" s="316"/>
      <c r="BAH49" s="316"/>
      <c r="BAI49" s="316"/>
      <c r="BAJ49" s="316"/>
      <c r="BAK49" s="316"/>
      <c r="BAL49" s="316"/>
      <c r="BAM49" s="316"/>
      <c r="BAN49" s="316"/>
      <c r="BAO49" s="316"/>
      <c r="BAP49" s="316"/>
      <c r="BAQ49" s="316"/>
      <c r="BAR49" s="316"/>
      <c r="BAS49" s="316"/>
      <c r="BAT49" s="316"/>
      <c r="BAU49" s="316"/>
      <c r="BAV49" s="316"/>
      <c r="BAW49" s="316"/>
      <c r="BAX49" s="316"/>
      <c r="BAY49" s="316"/>
      <c r="BAZ49" s="316"/>
      <c r="BBA49" s="316"/>
      <c r="BBB49" s="316"/>
      <c r="BBC49" s="316"/>
      <c r="BBD49" s="316"/>
      <c r="BBE49" s="316"/>
      <c r="BBF49" s="316"/>
      <c r="BBG49" s="316"/>
      <c r="BBH49" s="316"/>
      <c r="BBI49" s="316"/>
      <c r="BBJ49" s="316"/>
      <c r="BBK49" s="316"/>
      <c r="BBL49" s="316"/>
      <c r="BBM49" s="316"/>
      <c r="BBN49" s="316"/>
      <c r="BBO49" s="316"/>
      <c r="BBP49" s="316"/>
      <c r="BBQ49" s="316"/>
      <c r="BBR49" s="316"/>
      <c r="BBS49" s="316"/>
      <c r="BBT49" s="316"/>
      <c r="BBU49" s="316"/>
      <c r="BBV49" s="316"/>
      <c r="BBW49" s="316"/>
      <c r="BBX49" s="316"/>
      <c r="BBY49" s="316"/>
      <c r="BBZ49" s="316"/>
      <c r="BCA49" s="316"/>
      <c r="BCB49" s="316"/>
      <c r="BCC49" s="316"/>
      <c r="BCD49" s="316"/>
      <c r="BCE49" s="316"/>
      <c r="BCF49" s="316"/>
      <c r="BCG49" s="316"/>
      <c r="BCH49" s="316"/>
      <c r="BCI49" s="316"/>
      <c r="BCJ49" s="316"/>
      <c r="BCK49" s="316"/>
      <c r="BCL49" s="316"/>
      <c r="BCM49" s="316"/>
      <c r="BCN49" s="316"/>
      <c r="BCO49" s="316"/>
      <c r="BCP49" s="316"/>
      <c r="BCQ49" s="316"/>
      <c r="BCR49" s="316"/>
      <c r="BCS49" s="316"/>
      <c r="BCT49" s="316"/>
      <c r="BCU49" s="316"/>
      <c r="BCV49" s="316"/>
      <c r="BCW49" s="316"/>
      <c r="BCX49" s="316"/>
      <c r="BCY49" s="316"/>
      <c r="BCZ49" s="316"/>
      <c r="BDA49" s="316"/>
      <c r="BDB49" s="316"/>
      <c r="BDC49" s="316"/>
      <c r="BDD49" s="316"/>
      <c r="BDE49" s="316"/>
      <c r="BDF49" s="316"/>
      <c r="BDG49" s="316"/>
      <c r="BDH49" s="316"/>
      <c r="BDI49" s="316"/>
      <c r="BDJ49" s="316"/>
      <c r="BDK49" s="316"/>
      <c r="BDL49" s="316"/>
      <c r="BDM49" s="316"/>
      <c r="BDN49" s="316"/>
      <c r="BDO49" s="316"/>
      <c r="BDP49" s="316"/>
      <c r="BDQ49" s="316"/>
      <c r="BDR49" s="316"/>
      <c r="BDS49" s="316"/>
      <c r="BDT49" s="316"/>
      <c r="BDU49" s="316"/>
      <c r="BDV49" s="316"/>
      <c r="BDW49" s="316"/>
      <c r="BDX49" s="316"/>
      <c r="BDY49" s="316"/>
      <c r="BDZ49" s="316"/>
      <c r="BEA49" s="316"/>
      <c r="BEB49" s="316"/>
      <c r="BEC49" s="316"/>
      <c r="BED49" s="316"/>
      <c r="BEE49" s="316"/>
      <c r="BEF49" s="316"/>
      <c r="BEG49" s="316"/>
      <c r="BEH49" s="316"/>
      <c r="BEI49" s="316"/>
      <c r="BEJ49" s="316"/>
      <c r="BEK49" s="316"/>
      <c r="BEL49" s="316"/>
      <c r="BEM49" s="316"/>
      <c r="BEN49" s="316"/>
      <c r="BEO49" s="316"/>
      <c r="BEP49" s="316"/>
      <c r="BEQ49" s="316"/>
      <c r="BER49" s="316"/>
      <c r="BES49" s="316"/>
      <c r="BET49" s="316"/>
      <c r="BEU49" s="316"/>
      <c r="BEV49" s="316"/>
      <c r="BEW49" s="316"/>
      <c r="BEX49" s="316"/>
      <c r="BEY49" s="316"/>
      <c r="BEZ49" s="316"/>
      <c r="BFA49" s="316"/>
      <c r="BFB49" s="316"/>
      <c r="BFC49" s="316"/>
      <c r="BFD49" s="316"/>
      <c r="BFE49" s="316"/>
      <c r="BFF49" s="316"/>
      <c r="BFG49" s="316"/>
      <c r="BFH49" s="316"/>
      <c r="BFI49" s="316"/>
      <c r="BFJ49" s="316"/>
      <c r="BFK49" s="316"/>
      <c r="BFL49" s="316"/>
      <c r="BFM49" s="316"/>
      <c r="BFN49" s="316"/>
      <c r="BFO49" s="316"/>
      <c r="BFP49" s="316"/>
      <c r="BFQ49" s="316"/>
      <c r="BFR49" s="316"/>
      <c r="BFS49" s="316"/>
      <c r="BFT49" s="316"/>
      <c r="BFU49" s="316"/>
      <c r="BFV49" s="316"/>
      <c r="BFW49" s="316"/>
      <c r="BFX49" s="316"/>
      <c r="BFY49" s="316"/>
      <c r="BFZ49" s="316"/>
      <c r="BGA49" s="316"/>
      <c r="BGB49" s="316"/>
      <c r="BGC49" s="316"/>
      <c r="BGD49" s="316"/>
      <c r="BGE49" s="316"/>
      <c r="BGF49" s="316"/>
      <c r="BGG49" s="316"/>
      <c r="BGH49" s="316"/>
      <c r="BGI49" s="316"/>
      <c r="BGJ49" s="316"/>
      <c r="BGK49" s="316"/>
      <c r="BGL49" s="316"/>
      <c r="BGM49" s="316"/>
      <c r="BGN49" s="316"/>
      <c r="BGO49" s="316"/>
      <c r="BGP49" s="316"/>
      <c r="BGQ49" s="316"/>
      <c r="BGR49" s="316"/>
      <c r="BGS49" s="316"/>
      <c r="BGT49" s="316"/>
      <c r="BGU49" s="316"/>
      <c r="BGV49" s="316"/>
      <c r="BGW49" s="316"/>
      <c r="BGX49" s="316"/>
      <c r="BGY49" s="316"/>
      <c r="BGZ49" s="316"/>
      <c r="BHA49" s="316"/>
      <c r="BHB49" s="316"/>
      <c r="BHC49" s="316"/>
      <c r="BHD49" s="316"/>
      <c r="BHE49" s="316"/>
      <c r="BHF49" s="316"/>
      <c r="BHG49" s="316"/>
      <c r="BHH49" s="316"/>
      <c r="BHI49" s="316"/>
      <c r="BHJ49" s="316"/>
      <c r="BHK49" s="316"/>
      <c r="BHL49" s="316"/>
      <c r="BHM49" s="316"/>
      <c r="BHN49" s="316"/>
      <c r="BHO49" s="316"/>
      <c r="BHP49" s="316"/>
      <c r="BHQ49" s="316"/>
      <c r="BHR49" s="316"/>
      <c r="BHS49" s="316"/>
      <c r="BHT49" s="316"/>
      <c r="BHU49" s="316"/>
      <c r="BHV49" s="316"/>
      <c r="BHW49" s="316"/>
      <c r="BHX49" s="316"/>
      <c r="BHY49" s="316"/>
      <c r="BHZ49" s="316"/>
      <c r="BIA49" s="316"/>
      <c r="BIB49" s="316"/>
      <c r="BIC49" s="316"/>
      <c r="BID49" s="316"/>
      <c r="BIE49" s="316"/>
      <c r="BIF49" s="316"/>
      <c r="BIG49" s="316"/>
      <c r="BIH49" s="316"/>
      <c r="BII49" s="316"/>
      <c r="BIJ49" s="316"/>
      <c r="BIK49" s="316"/>
      <c r="BIL49" s="316"/>
      <c r="BIM49" s="316"/>
      <c r="BIN49" s="316"/>
      <c r="BIO49" s="316"/>
      <c r="BIP49" s="316"/>
      <c r="BIQ49" s="316"/>
      <c r="BIR49" s="316"/>
      <c r="BIS49" s="316"/>
      <c r="BIT49" s="316"/>
      <c r="BIU49" s="316"/>
      <c r="BIV49" s="316"/>
      <c r="BIW49" s="316"/>
      <c r="BIX49" s="316"/>
      <c r="BIY49" s="316"/>
      <c r="BIZ49" s="316"/>
      <c r="BJA49" s="316"/>
      <c r="BJB49" s="316"/>
      <c r="BJC49" s="316"/>
      <c r="BJD49" s="316"/>
      <c r="BJE49" s="316"/>
      <c r="BJF49" s="316"/>
      <c r="BJG49" s="316"/>
      <c r="BJH49" s="316"/>
      <c r="BJI49" s="316"/>
      <c r="BJJ49" s="316"/>
      <c r="BJK49" s="316"/>
      <c r="BJL49" s="316"/>
      <c r="BJM49" s="316"/>
      <c r="BJN49" s="316"/>
      <c r="BJO49" s="316"/>
      <c r="BJP49" s="316"/>
      <c r="BJQ49" s="316"/>
      <c r="BJR49" s="316"/>
      <c r="BJS49" s="316"/>
      <c r="BJT49" s="316"/>
      <c r="BJU49" s="316"/>
      <c r="BJV49" s="316"/>
      <c r="BJW49" s="316"/>
      <c r="BJX49" s="316"/>
      <c r="BJY49" s="316"/>
      <c r="BJZ49" s="316"/>
      <c r="BKA49" s="316"/>
      <c r="BKB49" s="316"/>
      <c r="BKC49" s="316"/>
      <c r="BKD49" s="316"/>
      <c r="BKE49" s="316"/>
      <c r="BKF49" s="316"/>
      <c r="BKG49" s="316"/>
      <c r="BKH49" s="316"/>
      <c r="BKI49" s="316"/>
      <c r="BKJ49" s="316"/>
      <c r="BKK49" s="316"/>
      <c r="BKL49" s="316"/>
      <c r="BKM49" s="316"/>
      <c r="BKN49" s="316"/>
      <c r="BKO49" s="316"/>
      <c r="BKP49" s="316"/>
      <c r="BKQ49" s="316"/>
      <c r="BKR49" s="316"/>
      <c r="BKS49" s="316"/>
      <c r="BKT49" s="316"/>
      <c r="BKU49" s="316"/>
      <c r="BKV49" s="316"/>
      <c r="BKW49" s="316"/>
      <c r="BKX49" s="316"/>
      <c r="BKY49" s="316"/>
      <c r="BKZ49" s="316"/>
      <c r="BLA49" s="316"/>
      <c r="BLB49" s="316"/>
      <c r="BLC49" s="316"/>
      <c r="BLD49" s="316"/>
      <c r="BLE49" s="316"/>
      <c r="BLF49" s="316"/>
      <c r="BLG49" s="316"/>
      <c r="BLH49" s="316"/>
      <c r="BLI49" s="316"/>
      <c r="BLJ49" s="316"/>
      <c r="BLK49" s="316"/>
      <c r="BLL49" s="316"/>
      <c r="BLM49" s="316"/>
      <c r="BLN49" s="316"/>
      <c r="BLO49" s="316"/>
      <c r="BLP49" s="316"/>
      <c r="BLQ49" s="316"/>
      <c r="BLR49" s="316"/>
      <c r="BLS49" s="316"/>
      <c r="BLT49" s="316"/>
      <c r="BLU49" s="316"/>
      <c r="BLV49" s="316"/>
      <c r="BLW49" s="316"/>
      <c r="BLX49" s="316"/>
      <c r="BLY49" s="316"/>
      <c r="BLZ49" s="316"/>
      <c r="BMA49" s="316"/>
      <c r="BMB49" s="316"/>
      <c r="BMC49" s="316"/>
      <c r="BMD49" s="316"/>
      <c r="BME49" s="316"/>
      <c r="BMF49" s="316"/>
      <c r="BMG49" s="316"/>
      <c r="BMH49" s="316"/>
      <c r="BMI49" s="316"/>
      <c r="BMJ49" s="316"/>
      <c r="BMK49" s="316"/>
      <c r="BML49" s="316"/>
      <c r="BMM49" s="316"/>
      <c r="BMN49" s="316"/>
      <c r="BMO49" s="316"/>
      <c r="BMP49" s="316"/>
      <c r="BMQ49" s="316"/>
      <c r="BMR49" s="316"/>
      <c r="BMS49" s="316"/>
      <c r="BMT49" s="316"/>
      <c r="BMU49" s="316"/>
      <c r="BMV49" s="316"/>
      <c r="BMW49" s="316"/>
      <c r="BMX49" s="316"/>
      <c r="BMY49" s="316"/>
      <c r="BMZ49" s="316"/>
      <c r="BNA49" s="316"/>
      <c r="BNB49" s="316"/>
      <c r="BNC49" s="316"/>
      <c r="BND49" s="316"/>
      <c r="BNE49" s="316"/>
      <c r="BNF49" s="316"/>
      <c r="BNG49" s="316"/>
      <c r="BNH49" s="316"/>
      <c r="BNI49" s="316"/>
      <c r="BNJ49" s="316"/>
      <c r="BNK49" s="316"/>
      <c r="BNL49" s="316"/>
      <c r="BNM49" s="316"/>
      <c r="BNN49" s="316"/>
      <c r="BNO49" s="316"/>
      <c r="BNP49" s="316"/>
      <c r="BNQ49" s="316"/>
      <c r="BNR49" s="316"/>
      <c r="BNS49" s="316"/>
      <c r="BNT49" s="316"/>
      <c r="BNU49" s="316"/>
      <c r="BNV49" s="316"/>
      <c r="BNW49" s="316"/>
      <c r="BNX49" s="316"/>
      <c r="BNY49" s="316"/>
      <c r="BNZ49" s="316"/>
      <c r="BOA49" s="316"/>
      <c r="BOB49" s="316"/>
      <c r="BOC49" s="316"/>
      <c r="BOD49" s="316"/>
      <c r="BOE49" s="316"/>
      <c r="BOF49" s="316"/>
      <c r="BOG49" s="316"/>
      <c r="BOH49" s="316"/>
      <c r="BOI49" s="316"/>
      <c r="BOJ49" s="316"/>
      <c r="BOK49" s="316"/>
      <c r="BOL49" s="316"/>
      <c r="BOM49" s="316"/>
      <c r="BON49" s="316"/>
      <c r="BOO49" s="316"/>
      <c r="BOP49" s="316"/>
      <c r="BOQ49" s="316"/>
      <c r="BOR49" s="316"/>
      <c r="BOS49" s="316"/>
      <c r="BOT49" s="316"/>
      <c r="BOU49" s="316"/>
      <c r="BOV49" s="316"/>
      <c r="BOW49" s="316"/>
      <c r="BOX49" s="316"/>
      <c r="BOY49" s="316"/>
      <c r="BOZ49" s="316"/>
      <c r="BPA49" s="316"/>
      <c r="BPB49" s="316"/>
      <c r="BPC49" s="316"/>
      <c r="BPD49" s="316"/>
      <c r="BPE49" s="316"/>
      <c r="BPF49" s="316"/>
      <c r="BPG49" s="316"/>
      <c r="BPH49" s="316"/>
      <c r="BPI49" s="316"/>
      <c r="BPJ49" s="316"/>
      <c r="BPK49" s="316"/>
      <c r="BPL49" s="316"/>
      <c r="BPM49" s="316"/>
      <c r="BPN49" s="316"/>
      <c r="BPO49" s="316"/>
      <c r="BPP49" s="316"/>
      <c r="BPQ49" s="316"/>
      <c r="BPR49" s="316"/>
      <c r="BPS49" s="316"/>
      <c r="BPT49" s="316"/>
      <c r="BPU49" s="316"/>
      <c r="BPV49" s="316"/>
      <c r="BPW49" s="316"/>
      <c r="BPX49" s="316"/>
      <c r="BPY49" s="316"/>
      <c r="BPZ49" s="316"/>
      <c r="BQA49" s="316"/>
      <c r="BQB49" s="316"/>
      <c r="BQC49" s="316"/>
      <c r="BQD49" s="316"/>
      <c r="BQE49" s="316"/>
      <c r="BQF49" s="316"/>
      <c r="BQG49" s="316"/>
      <c r="BQH49" s="316"/>
      <c r="BQI49" s="316"/>
      <c r="BQJ49" s="316"/>
      <c r="BQK49" s="316"/>
      <c r="BQL49" s="316"/>
      <c r="BQM49" s="316"/>
      <c r="BQN49" s="316"/>
      <c r="BQO49" s="316"/>
      <c r="BQP49" s="316"/>
      <c r="BQQ49" s="316"/>
      <c r="BQR49" s="316"/>
      <c r="BQS49" s="316"/>
      <c r="BQT49" s="316"/>
      <c r="BQU49" s="316"/>
      <c r="BQV49" s="316"/>
      <c r="BQW49" s="316"/>
      <c r="BQX49" s="316"/>
      <c r="BQY49" s="316"/>
      <c r="BQZ49" s="316"/>
      <c r="BRA49" s="316"/>
      <c r="BRB49" s="316"/>
      <c r="BRC49" s="316"/>
      <c r="BRD49" s="316"/>
      <c r="BRE49" s="316"/>
      <c r="BRF49" s="316"/>
      <c r="BRG49" s="316"/>
      <c r="BRH49" s="316"/>
      <c r="BRI49" s="316"/>
      <c r="BRJ49" s="316"/>
      <c r="BRK49" s="316"/>
      <c r="BRL49" s="316"/>
      <c r="BRM49" s="316"/>
      <c r="BRN49" s="316"/>
      <c r="BRO49" s="316"/>
      <c r="BRP49" s="316"/>
      <c r="BRQ49" s="316"/>
      <c r="BRR49" s="316"/>
      <c r="BRS49" s="316"/>
      <c r="BRT49" s="316"/>
      <c r="BRU49" s="316"/>
      <c r="BRV49" s="316"/>
      <c r="BRW49" s="316"/>
      <c r="BRX49" s="316"/>
      <c r="BRY49" s="316"/>
      <c r="BRZ49" s="316"/>
      <c r="BSA49" s="316"/>
      <c r="BSB49" s="316"/>
      <c r="BSC49" s="316"/>
      <c r="BSD49" s="316"/>
      <c r="BSE49" s="316"/>
      <c r="BSF49" s="316"/>
      <c r="BSG49" s="316"/>
      <c r="BSH49" s="316"/>
      <c r="BSI49" s="316"/>
      <c r="BSJ49" s="316"/>
      <c r="BSK49" s="316"/>
      <c r="BSL49" s="316"/>
      <c r="BSM49" s="316"/>
      <c r="BSN49" s="316"/>
      <c r="BSO49" s="316"/>
      <c r="BSP49" s="316"/>
      <c r="BSQ49" s="316"/>
      <c r="BSR49" s="316"/>
      <c r="BSS49" s="316"/>
      <c r="BST49" s="316"/>
      <c r="BSU49" s="316"/>
      <c r="BSV49" s="316"/>
      <c r="BSW49" s="316"/>
      <c r="BSX49" s="316"/>
      <c r="BSY49" s="316"/>
      <c r="BSZ49" s="316"/>
      <c r="BTA49" s="316"/>
      <c r="BTB49" s="316"/>
      <c r="BTC49" s="316"/>
      <c r="BTD49" s="316"/>
      <c r="BTE49" s="316"/>
      <c r="BTF49" s="316"/>
      <c r="BTG49" s="316"/>
      <c r="BTH49" s="316"/>
      <c r="BTI49" s="316"/>
      <c r="BTJ49" s="316"/>
      <c r="BTK49" s="316"/>
      <c r="BTL49" s="316"/>
      <c r="BTM49" s="316"/>
      <c r="BTN49" s="316"/>
      <c r="BTO49" s="316"/>
      <c r="BTP49" s="316"/>
      <c r="BTQ49" s="316"/>
      <c r="BTR49" s="316"/>
      <c r="BTS49" s="316"/>
      <c r="BTT49" s="316"/>
      <c r="BTU49" s="316"/>
      <c r="BTV49" s="316"/>
      <c r="BTW49" s="316"/>
      <c r="BTX49" s="316"/>
      <c r="BTY49" s="316"/>
      <c r="BTZ49" s="316"/>
      <c r="BUA49" s="316"/>
      <c r="BUB49" s="316"/>
      <c r="BUC49" s="316"/>
      <c r="BUD49" s="316"/>
      <c r="BUE49" s="316"/>
      <c r="BUF49" s="316"/>
      <c r="BUG49" s="316"/>
      <c r="BUH49" s="316"/>
      <c r="BUI49" s="316"/>
      <c r="BUJ49" s="316"/>
      <c r="BUK49" s="316"/>
      <c r="BUL49" s="316"/>
      <c r="BUM49" s="316"/>
      <c r="BUN49" s="316"/>
      <c r="BUO49" s="316"/>
      <c r="BUP49" s="316"/>
      <c r="BUQ49" s="316"/>
      <c r="BUR49" s="316"/>
      <c r="BUS49" s="316"/>
      <c r="BUT49" s="316"/>
      <c r="BUU49" s="316"/>
      <c r="BUV49" s="316"/>
      <c r="BUW49" s="316"/>
      <c r="BUX49" s="316"/>
      <c r="BUY49" s="316"/>
      <c r="BUZ49" s="316"/>
      <c r="BVA49" s="316"/>
      <c r="BVB49" s="316"/>
      <c r="BVC49" s="316"/>
      <c r="BVD49" s="316"/>
      <c r="BVE49" s="316"/>
      <c r="BVF49" s="316"/>
      <c r="BVG49" s="316"/>
      <c r="BVH49" s="316"/>
      <c r="BVI49" s="316"/>
      <c r="BVJ49" s="316"/>
      <c r="BVK49" s="316"/>
      <c r="BVL49" s="316"/>
      <c r="BVM49" s="316"/>
      <c r="BVN49" s="316"/>
      <c r="BVO49" s="316"/>
      <c r="BVP49" s="316"/>
      <c r="BVQ49" s="316"/>
      <c r="BVR49" s="316"/>
      <c r="BVS49" s="316"/>
      <c r="BVT49" s="316"/>
      <c r="BVU49" s="316"/>
      <c r="BVV49" s="316"/>
      <c r="BVW49" s="316"/>
      <c r="BVX49" s="316"/>
      <c r="BVY49" s="316"/>
      <c r="BVZ49" s="316"/>
      <c r="BWA49" s="316"/>
      <c r="BWB49" s="316"/>
      <c r="BWC49" s="316"/>
      <c r="BWD49" s="316"/>
      <c r="BWE49" s="316"/>
      <c r="BWF49" s="316"/>
      <c r="BWG49" s="316"/>
      <c r="BWH49" s="316"/>
      <c r="BWI49" s="316"/>
      <c r="BWJ49" s="316"/>
      <c r="BWK49" s="316"/>
      <c r="BWL49" s="316"/>
      <c r="BWM49" s="316"/>
      <c r="BWN49" s="316"/>
      <c r="BWO49" s="316"/>
      <c r="BWP49" s="316"/>
      <c r="BWQ49" s="316"/>
      <c r="BWR49" s="316"/>
      <c r="BWS49" s="316"/>
      <c r="BWT49" s="316"/>
      <c r="BWU49" s="316"/>
      <c r="BWV49" s="316"/>
      <c r="BWW49" s="316"/>
      <c r="BWX49" s="316"/>
      <c r="BWY49" s="316"/>
      <c r="BWZ49" s="316"/>
      <c r="BXA49" s="316"/>
      <c r="BXB49" s="316"/>
      <c r="BXC49" s="316"/>
      <c r="BXD49" s="316"/>
      <c r="BXE49" s="316"/>
      <c r="BXF49" s="316"/>
      <c r="BXG49" s="316"/>
      <c r="BXH49" s="316"/>
      <c r="BXI49" s="316"/>
      <c r="BXJ49" s="316"/>
      <c r="BXK49" s="316"/>
      <c r="BXL49" s="316"/>
      <c r="BXM49" s="316"/>
      <c r="BXN49" s="316"/>
      <c r="BXO49" s="316"/>
      <c r="BXP49" s="316"/>
      <c r="BXQ49" s="316"/>
      <c r="BXR49" s="316"/>
      <c r="BXS49" s="316"/>
      <c r="BXT49" s="316"/>
      <c r="BXU49" s="316"/>
      <c r="BXV49" s="316"/>
      <c r="BXW49" s="316"/>
      <c r="BXX49" s="316"/>
      <c r="BXY49" s="316"/>
      <c r="BXZ49" s="316"/>
      <c r="BYA49" s="316"/>
      <c r="BYB49" s="316"/>
      <c r="BYC49" s="316"/>
      <c r="BYD49" s="316"/>
      <c r="BYE49" s="316"/>
      <c r="BYF49" s="316"/>
      <c r="BYG49" s="316"/>
      <c r="BYH49" s="316"/>
      <c r="BYI49" s="316"/>
      <c r="BYJ49" s="316"/>
      <c r="BYK49" s="316"/>
      <c r="BYL49" s="316"/>
      <c r="BYM49" s="316"/>
      <c r="BYN49" s="316"/>
      <c r="BYO49" s="316"/>
      <c r="BYP49" s="316"/>
      <c r="BYQ49" s="316"/>
      <c r="BYR49" s="316"/>
      <c r="BYS49" s="316"/>
      <c r="BYT49" s="316"/>
      <c r="BYU49" s="316"/>
      <c r="BYV49" s="316"/>
      <c r="BYW49" s="316"/>
      <c r="BYX49" s="316"/>
      <c r="BYY49" s="316"/>
      <c r="BYZ49" s="316"/>
      <c r="BZA49" s="316"/>
      <c r="BZB49" s="316"/>
      <c r="BZC49" s="316"/>
      <c r="BZD49" s="316"/>
      <c r="BZE49" s="316"/>
      <c r="BZF49" s="316"/>
      <c r="BZG49" s="316"/>
      <c r="BZH49" s="316"/>
      <c r="BZI49" s="316"/>
      <c r="BZJ49" s="316"/>
      <c r="BZK49" s="316"/>
      <c r="BZL49" s="316"/>
      <c r="BZM49" s="316"/>
      <c r="BZN49" s="316"/>
      <c r="BZO49" s="316"/>
      <c r="BZP49" s="316"/>
      <c r="BZQ49" s="316"/>
      <c r="BZR49" s="316"/>
      <c r="BZS49" s="316"/>
      <c r="BZT49" s="316"/>
      <c r="BZU49" s="316"/>
      <c r="BZV49" s="316"/>
      <c r="BZW49" s="316"/>
      <c r="BZX49" s="316"/>
      <c r="BZY49" s="316"/>
      <c r="BZZ49" s="316"/>
      <c r="CAA49" s="316"/>
      <c r="CAB49" s="316"/>
      <c r="CAC49" s="316"/>
      <c r="CAD49" s="316"/>
      <c r="CAE49" s="316"/>
      <c r="CAF49" s="316"/>
      <c r="CAG49" s="316"/>
      <c r="CAH49" s="316"/>
      <c r="CAI49" s="316"/>
      <c r="CAJ49" s="316"/>
      <c r="CAK49" s="316"/>
      <c r="CAL49" s="316"/>
      <c r="CAM49" s="316"/>
      <c r="CAN49" s="316"/>
      <c r="CAO49" s="316"/>
      <c r="CAP49" s="316"/>
      <c r="CAQ49" s="316"/>
      <c r="CAR49" s="316"/>
      <c r="CAS49" s="316"/>
      <c r="CAT49" s="316"/>
      <c r="CAU49" s="316"/>
      <c r="CAV49" s="316"/>
      <c r="CAW49" s="316"/>
      <c r="CAX49" s="316"/>
      <c r="CAY49" s="316"/>
      <c r="CAZ49" s="316"/>
      <c r="CBA49" s="316"/>
      <c r="CBB49" s="316"/>
      <c r="CBC49" s="316"/>
      <c r="CBD49" s="316"/>
      <c r="CBE49" s="316"/>
      <c r="CBF49" s="316"/>
      <c r="CBG49" s="316"/>
      <c r="CBH49" s="316"/>
      <c r="CBI49" s="316"/>
      <c r="CBJ49" s="316"/>
      <c r="CBK49" s="316"/>
      <c r="CBL49" s="316"/>
      <c r="CBM49" s="316"/>
      <c r="CBN49" s="316"/>
      <c r="CBO49" s="316"/>
      <c r="CBP49" s="316"/>
      <c r="CBQ49" s="316"/>
      <c r="CBR49" s="316"/>
      <c r="CBS49" s="316"/>
      <c r="CBT49" s="316"/>
      <c r="CBU49" s="316"/>
      <c r="CBV49" s="316"/>
      <c r="CBW49" s="316"/>
      <c r="CBX49" s="316"/>
      <c r="CBY49" s="316"/>
      <c r="CBZ49" s="316"/>
      <c r="CCA49" s="316"/>
      <c r="CCB49" s="316"/>
      <c r="CCC49" s="316"/>
      <c r="CCD49" s="316"/>
      <c r="CCE49" s="316"/>
      <c r="CCF49" s="316"/>
      <c r="CCG49" s="316"/>
      <c r="CCH49" s="316"/>
      <c r="CCI49" s="316"/>
      <c r="CCJ49" s="316"/>
      <c r="CCK49" s="316"/>
      <c r="CCL49" s="316"/>
      <c r="CCM49" s="316"/>
      <c r="CCN49" s="316"/>
      <c r="CCO49" s="316"/>
      <c r="CCP49" s="316"/>
      <c r="CCQ49" s="316"/>
      <c r="CCR49" s="316"/>
      <c r="CCS49" s="316"/>
      <c r="CCT49" s="316"/>
      <c r="CCU49" s="316"/>
      <c r="CCV49" s="316"/>
      <c r="CCW49" s="316"/>
      <c r="CCX49" s="316"/>
      <c r="CCY49" s="316"/>
      <c r="CCZ49" s="316"/>
      <c r="CDA49" s="316"/>
      <c r="CDB49" s="316"/>
      <c r="CDC49" s="316"/>
      <c r="CDD49" s="316"/>
      <c r="CDE49" s="316"/>
      <c r="CDF49" s="316"/>
      <c r="CDG49" s="316"/>
      <c r="CDH49" s="316"/>
      <c r="CDI49" s="316"/>
      <c r="CDJ49" s="316"/>
      <c r="CDK49" s="316"/>
      <c r="CDL49" s="316"/>
      <c r="CDM49" s="316"/>
      <c r="CDN49" s="316"/>
      <c r="CDO49" s="316"/>
      <c r="CDP49" s="316"/>
      <c r="CDQ49" s="316"/>
      <c r="CDR49" s="316"/>
      <c r="CDS49" s="316"/>
      <c r="CDT49" s="316"/>
      <c r="CDU49" s="316"/>
      <c r="CDV49" s="316"/>
      <c r="CDW49" s="316"/>
      <c r="CDX49" s="316"/>
      <c r="CDY49" s="316"/>
      <c r="CDZ49" s="316"/>
      <c r="CEA49" s="316"/>
      <c r="CEB49" s="316"/>
      <c r="CEC49" s="316"/>
      <c r="CED49" s="316"/>
      <c r="CEE49" s="316"/>
      <c r="CEF49" s="316"/>
      <c r="CEG49" s="316"/>
      <c r="CEH49" s="316"/>
      <c r="CEI49" s="316"/>
      <c r="CEJ49" s="316"/>
      <c r="CEK49" s="316"/>
      <c r="CEL49" s="316"/>
      <c r="CEM49" s="316"/>
      <c r="CEN49" s="316"/>
      <c r="CEO49" s="316"/>
      <c r="CEP49" s="316"/>
      <c r="CEQ49" s="316"/>
      <c r="CER49" s="316"/>
      <c r="CES49" s="316"/>
      <c r="CET49" s="316"/>
      <c r="CEU49" s="316"/>
      <c r="CEV49" s="316"/>
      <c r="CEW49" s="316"/>
      <c r="CEX49" s="316"/>
      <c r="CEY49" s="316"/>
      <c r="CEZ49" s="316"/>
      <c r="CFA49" s="316"/>
      <c r="CFB49" s="316"/>
      <c r="CFC49" s="316"/>
      <c r="CFD49" s="316"/>
      <c r="CFE49" s="316"/>
      <c r="CFF49" s="316"/>
      <c r="CFG49" s="316"/>
      <c r="CFH49" s="316"/>
      <c r="CFI49" s="316"/>
      <c r="CFJ49" s="316"/>
      <c r="CFK49" s="316"/>
      <c r="CFL49" s="316"/>
      <c r="CFM49" s="316"/>
      <c r="CFN49" s="316"/>
      <c r="CFO49" s="316"/>
      <c r="CFP49" s="316"/>
      <c r="CFQ49" s="316"/>
      <c r="CFR49" s="316"/>
      <c r="CFS49" s="316"/>
      <c r="CFT49" s="316"/>
      <c r="CFU49" s="316"/>
      <c r="CFV49" s="316"/>
      <c r="CFW49" s="316"/>
      <c r="CFX49" s="316"/>
      <c r="CFY49" s="316"/>
      <c r="CFZ49" s="316"/>
      <c r="CGA49" s="316"/>
      <c r="CGB49" s="316"/>
      <c r="CGC49" s="316"/>
      <c r="CGD49" s="316"/>
      <c r="CGE49" s="316"/>
      <c r="CGF49" s="316"/>
      <c r="CGG49" s="316"/>
      <c r="CGH49" s="316"/>
      <c r="CGI49" s="316"/>
      <c r="CGJ49" s="316"/>
      <c r="CGK49" s="316"/>
      <c r="CGL49" s="316"/>
      <c r="CGM49" s="316"/>
      <c r="CGN49" s="316"/>
      <c r="CGO49" s="316"/>
      <c r="CGP49" s="316"/>
      <c r="CGQ49" s="316"/>
      <c r="CGR49" s="316"/>
      <c r="CGS49" s="316"/>
      <c r="CGT49" s="316"/>
      <c r="CGU49" s="316"/>
      <c r="CGV49" s="316"/>
      <c r="CGW49" s="316"/>
      <c r="CGX49" s="316"/>
      <c r="CGY49" s="316"/>
      <c r="CGZ49" s="316"/>
      <c r="CHA49" s="316"/>
      <c r="CHB49" s="316"/>
      <c r="CHC49" s="316"/>
      <c r="CHD49" s="316"/>
      <c r="CHE49" s="316"/>
      <c r="CHF49" s="316"/>
      <c r="CHG49" s="316"/>
      <c r="CHH49" s="316"/>
      <c r="CHI49" s="316"/>
      <c r="CHJ49" s="316"/>
      <c r="CHK49" s="316"/>
      <c r="CHL49" s="316"/>
      <c r="CHM49" s="316"/>
      <c r="CHN49" s="316"/>
      <c r="CHO49" s="316"/>
      <c r="CHP49" s="316"/>
      <c r="CHQ49" s="316"/>
      <c r="CHR49" s="316"/>
      <c r="CHS49" s="316"/>
      <c r="CHT49" s="316"/>
      <c r="CHU49" s="316"/>
      <c r="CHV49" s="316"/>
      <c r="CHW49" s="316"/>
      <c r="CHX49" s="316"/>
      <c r="CHY49" s="316"/>
      <c r="CHZ49" s="316"/>
      <c r="CIA49" s="316"/>
      <c r="CIB49" s="316"/>
      <c r="CIC49" s="316"/>
      <c r="CID49" s="316"/>
      <c r="CIE49" s="316"/>
      <c r="CIF49" s="316"/>
      <c r="CIG49" s="316"/>
      <c r="CIH49" s="316"/>
      <c r="CII49" s="316"/>
      <c r="CIJ49" s="316"/>
      <c r="CIK49" s="316"/>
      <c r="CIL49" s="316"/>
      <c r="CIM49" s="316"/>
      <c r="CIN49" s="316"/>
      <c r="CIO49" s="316"/>
      <c r="CIP49" s="316"/>
      <c r="CIQ49" s="316"/>
      <c r="CIR49" s="316"/>
      <c r="CIS49" s="316"/>
      <c r="CIT49" s="316"/>
      <c r="CIU49" s="316"/>
      <c r="CIV49" s="316"/>
      <c r="CIW49" s="316"/>
      <c r="CIX49" s="316"/>
      <c r="CIY49" s="316"/>
      <c r="CIZ49" s="316"/>
      <c r="CJA49" s="316"/>
      <c r="CJB49" s="316"/>
      <c r="CJC49" s="316"/>
      <c r="CJD49" s="316"/>
      <c r="CJE49" s="316"/>
      <c r="CJF49" s="316"/>
      <c r="CJG49" s="316"/>
      <c r="CJH49" s="316"/>
      <c r="CJI49" s="316"/>
      <c r="CJJ49" s="316"/>
      <c r="CJK49" s="316"/>
      <c r="CJL49" s="316"/>
      <c r="CJM49" s="316"/>
      <c r="CJN49" s="316"/>
      <c r="CJO49" s="316"/>
      <c r="CJP49" s="316"/>
      <c r="CJQ49" s="316"/>
      <c r="CJR49" s="316"/>
      <c r="CJS49" s="316"/>
      <c r="CJT49" s="316"/>
      <c r="CJU49" s="316"/>
      <c r="CJV49" s="316"/>
      <c r="CJW49" s="316"/>
      <c r="CJX49" s="316"/>
      <c r="CJY49" s="316"/>
      <c r="CJZ49" s="316"/>
      <c r="CKA49" s="316"/>
      <c r="CKB49" s="316"/>
      <c r="CKC49" s="316"/>
      <c r="CKD49" s="316"/>
      <c r="CKE49" s="316"/>
      <c r="CKF49" s="316"/>
      <c r="CKG49" s="316"/>
      <c r="CKH49" s="316"/>
      <c r="CKI49" s="316"/>
      <c r="CKJ49" s="316"/>
      <c r="CKK49" s="316"/>
      <c r="CKL49" s="316"/>
      <c r="CKM49" s="316"/>
      <c r="CKN49" s="316"/>
      <c r="CKO49" s="316"/>
      <c r="CKP49" s="316"/>
      <c r="CKQ49" s="316"/>
      <c r="CKR49" s="316"/>
      <c r="CKS49" s="316"/>
      <c r="CKT49" s="316"/>
      <c r="CKU49" s="316"/>
      <c r="CKV49" s="316"/>
      <c r="CKW49" s="316"/>
      <c r="CKX49" s="316"/>
      <c r="CKY49" s="316"/>
      <c r="CKZ49" s="316"/>
      <c r="CLA49" s="316"/>
      <c r="CLB49" s="316"/>
      <c r="CLC49" s="316"/>
      <c r="CLD49" s="316"/>
      <c r="CLE49" s="316"/>
      <c r="CLF49" s="316"/>
      <c r="CLG49" s="316"/>
      <c r="CLH49" s="316"/>
      <c r="CLI49" s="316"/>
      <c r="CLJ49" s="316"/>
      <c r="CLK49" s="316"/>
      <c r="CLL49" s="316"/>
      <c r="CLM49" s="316"/>
      <c r="CLN49" s="316"/>
      <c r="CLO49" s="316"/>
      <c r="CLP49" s="316"/>
      <c r="CLQ49" s="316"/>
      <c r="CLR49" s="316"/>
      <c r="CLS49" s="316"/>
      <c r="CLT49" s="316"/>
      <c r="CLU49" s="316"/>
      <c r="CLV49" s="316"/>
      <c r="CLW49" s="316"/>
      <c r="CLX49" s="316"/>
      <c r="CLY49" s="316"/>
      <c r="CLZ49" s="316"/>
      <c r="CMA49" s="316"/>
      <c r="CMB49" s="316"/>
      <c r="CMC49" s="316"/>
      <c r="CMD49" s="316"/>
      <c r="CME49" s="316"/>
      <c r="CMF49" s="316"/>
      <c r="CMG49" s="316"/>
      <c r="CMH49" s="316"/>
      <c r="CMI49" s="316"/>
      <c r="CMJ49" s="316"/>
      <c r="CMK49" s="316"/>
      <c r="CML49" s="316"/>
      <c r="CMM49" s="316"/>
      <c r="CMN49" s="316"/>
      <c r="CMO49" s="316"/>
      <c r="CMP49" s="316"/>
      <c r="CMQ49" s="316"/>
      <c r="CMR49" s="316"/>
      <c r="CMS49" s="316"/>
      <c r="CMT49" s="316"/>
      <c r="CMU49" s="316"/>
      <c r="CMV49" s="316"/>
      <c r="CMW49" s="316"/>
      <c r="CMX49" s="316"/>
      <c r="CMY49" s="316"/>
      <c r="CMZ49" s="316"/>
      <c r="CNA49" s="316"/>
      <c r="CNB49" s="316"/>
      <c r="CNC49" s="316"/>
      <c r="CND49" s="316"/>
      <c r="CNE49" s="316"/>
      <c r="CNF49" s="316"/>
      <c r="CNG49" s="316"/>
      <c r="CNH49" s="316"/>
      <c r="CNI49" s="316"/>
      <c r="CNJ49" s="316"/>
      <c r="CNK49" s="316"/>
      <c r="CNL49" s="316"/>
      <c r="CNM49" s="316"/>
      <c r="CNN49" s="316"/>
      <c r="CNO49" s="316"/>
      <c r="CNP49" s="316"/>
      <c r="CNQ49" s="316"/>
      <c r="CNR49" s="316"/>
      <c r="CNS49" s="316"/>
      <c r="CNT49" s="316"/>
      <c r="CNU49" s="316"/>
      <c r="CNV49" s="316"/>
      <c r="CNW49" s="316"/>
      <c r="CNX49" s="316"/>
      <c r="CNY49" s="316"/>
      <c r="CNZ49" s="316"/>
      <c r="COA49" s="316"/>
      <c r="COB49" s="316"/>
      <c r="COC49" s="316"/>
      <c r="COD49" s="316"/>
      <c r="COE49" s="316"/>
      <c r="COF49" s="316"/>
      <c r="COG49" s="316"/>
      <c r="COH49" s="316"/>
      <c r="COI49" s="316"/>
      <c r="COJ49" s="316"/>
      <c r="COK49" s="316"/>
      <c r="COL49" s="316"/>
      <c r="COM49" s="316"/>
      <c r="CON49" s="316"/>
      <c r="COO49" s="316"/>
      <c r="COP49" s="316"/>
      <c r="COQ49" s="316"/>
      <c r="COR49" s="316"/>
      <c r="COS49" s="316"/>
      <c r="COT49" s="316"/>
      <c r="COU49" s="316"/>
      <c r="COV49" s="316"/>
      <c r="COW49" s="316"/>
      <c r="COX49" s="316"/>
      <c r="COY49" s="316"/>
      <c r="COZ49" s="316"/>
      <c r="CPA49" s="316"/>
      <c r="CPB49" s="316"/>
      <c r="CPC49" s="316"/>
      <c r="CPD49" s="316"/>
      <c r="CPE49" s="316"/>
      <c r="CPF49" s="316"/>
      <c r="CPG49" s="316"/>
      <c r="CPH49" s="316"/>
      <c r="CPI49" s="316"/>
      <c r="CPJ49" s="316"/>
      <c r="CPK49" s="316"/>
      <c r="CPL49" s="316"/>
      <c r="CPM49" s="316"/>
      <c r="CPN49" s="316"/>
      <c r="CPO49" s="316"/>
      <c r="CPP49" s="316"/>
      <c r="CPQ49" s="316"/>
      <c r="CPR49" s="316"/>
      <c r="CPS49" s="316"/>
      <c r="CPT49" s="316"/>
      <c r="CPU49" s="316"/>
      <c r="CPV49" s="316"/>
      <c r="CPW49" s="316"/>
      <c r="CPX49" s="316"/>
      <c r="CPY49" s="316"/>
      <c r="CPZ49" s="316"/>
      <c r="CQA49" s="316"/>
      <c r="CQB49" s="316"/>
      <c r="CQC49" s="316"/>
      <c r="CQD49" s="316"/>
      <c r="CQE49" s="316"/>
      <c r="CQF49" s="316"/>
      <c r="CQG49" s="316"/>
      <c r="CQH49" s="316"/>
      <c r="CQI49" s="316"/>
      <c r="CQJ49" s="316"/>
      <c r="CQK49" s="316"/>
      <c r="CQL49" s="316"/>
      <c r="CQM49" s="316"/>
      <c r="CQN49" s="316"/>
      <c r="CQO49" s="316"/>
      <c r="CQP49" s="316"/>
      <c r="CQQ49" s="316"/>
      <c r="CQR49" s="316"/>
      <c r="CQS49" s="316"/>
      <c r="CQT49" s="316"/>
      <c r="CQU49" s="316"/>
      <c r="CQV49" s="316"/>
      <c r="CQW49" s="316"/>
      <c r="CQX49" s="316"/>
      <c r="CQY49" s="316"/>
      <c r="CQZ49" s="316"/>
      <c r="CRA49" s="316"/>
      <c r="CRB49" s="316"/>
      <c r="CRC49" s="316"/>
      <c r="CRD49" s="316"/>
      <c r="CRE49" s="316"/>
      <c r="CRF49" s="316"/>
      <c r="CRG49" s="316"/>
      <c r="CRH49" s="316"/>
      <c r="CRI49" s="316"/>
      <c r="CRJ49" s="316"/>
      <c r="CRK49" s="316"/>
      <c r="CRL49" s="316"/>
      <c r="CRM49" s="316"/>
      <c r="CRN49" s="316"/>
      <c r="CRO49" s="316"/>
      <c r="CRP49" s="316"/>
      <c r="CRQ49" s="316"/>
      <c r="CRR49" s="316"/>
      <c r="CRS49" s="316"/>
      <c r="CRT49" s="316"/>
      <c r="CRU49" s="316"/>
      <c r="CRV49" s="316"/>
      <c r="CRW49" s="316"/>
      <c r="CRX49" s="316"/>
      <c r="CRY49" s="316"/>
      <c r="CRZ49" s="316"/>
      <c r="CSA49" s="316"/>
      <c r="CSB49" s="316"/>
      <c r="CSC49" s="316"/>
      <c r="CSD49" s="316"/>
      <c r="CSE49" s="316"/>
      <c r="CSF49" s="316"/>
      <c r="CSG49" s="316"/>
      <c r="CSH49" s="316"/>
      <c r="CSI49" s="316"/>
      <c r="CSJ49" s="316"/>
      <c r="CSK49" s="316"/>
      <c r="CSL49" s="316"/>
      <c r="CSM49" s="316"/>
      <c r="CSN49" s="316"/>
      <c r="CSO49" s="316"/>
      <c r="CSP49" s="316"/>
      <c r="CSQ49" s="316"/>
      <c r="CSR49" s="316"/>
      <c r="CSS49" s="316"/>
      <c r="CST49" s="316"/>
      <c r="CSU49" s="316"/>
      <c r="CSV49" s="316"/>
      <c r="CSW49" s="316"/>
      <c r="CSX49" s="316"/>
      <c r="CSY49" s="316"/>
      <c r="CSZ49" s="316"/>
      <c r="CTA49" s="316"/>
      <c r="CTB49" s="316"/>
      <c r="CTC49" s="316"/>
      <c r="CTD49" s="316"/>
      <c r="CTE49" s="316"/>
      <c r="CTF49" s="316"/>
      <c r="CTG49" s="316"/>
      <c r="CTH49" s="316"/>
      <c r="CTI49" s="316"/>
      <c r="CTJ49" s="316"/>
      <c r="CTK49" s="316"/>
      <c r="CTL49" s="316"/>
      <c r="CTM49" s="316"/>
      <c r="CTN49" s="316"/>
      <c r="CTO49" s="316"/>
      <c r="CTP49" s="316"/>
      <c r="CTQ49" s="316"/>
      <c r="CTR49" s="316"/>
      <c r="CTS49" s="316"/>
      <c r="CTT49" s="316"/>
      <c r="CTU49" s="316"/>
      <c r="CTV49" s="316"/>
      <c r="CTW49" s="316"/>
      <c r="CTX49" s="316"/>
      <c r="CTY49" s="316"/>
      <c r="CTZ49" s="316"/>
      <c r="CUA49" s="316"/>
      <c r="CUB49" s="316"/>
      <c r="CUC49" s="316"/>
      <c r="CUD49" s="316"/>
      <c r="CUE49" s="316"/>
      <c r="CUF49" s="316"/>
      <c r="CUG49" s="316"/>
      <c r="CUH49" s="316"/>
      <c r="CUI49" s="316"/>
      <c r="CUJ49" s="316"/>
      <c r="CUK49" s="316"/>
      <c r="CUL49" s="316"/>
      <c r="CUM49" s="316"/>
      <c r="CUN49" s="316"/>
      <c r="CUO49" s="316"/>
      <c r="CUP49" s="316"/>
      <c r="CUQ49" s="316"/>
      <c r="CUR49" s="316"/>
      <c r="CUS49" s="316"/>
      <c r="CUT49" s="316"/>
      <c r="CUU49" s="316"/>
      <c r="CUV49" s="316"/>
      <c r="CUW49" s="316"/>
      <c r="CUX49" s="316"/>
      <c r="CUY49" s="316"/>
      <c r="CUZ49" s="316"/>
      <c r="CVA49" s="316"/>
      <c r="CVB49" s="316"/>
      <c r="CVC49" s="316"/>
      <c r="CVD49" s="316"/>
      <c r="CVE49" s="316"/>
      <c r="CVF49" s="316"/>
      <c r="CVG49" s="316"/>
      <c r="CVH49" s="316"/>
      <c r="CVI49" s="316"/>
      <c r="CVJ49" s="316"/>
      <c r="CVK49" s="316"/>
      <c r="CVL49" s="316"/>
      <c r="CVM49" s="316"/>
      <c r="CVN49" s="316"/>
      <c r="CVO49" s="316"/>
      <c r="CVP49" s="316"/>
      <c r="CVQ49" s="316"/>
      <c r="CVR49" s="316"/>
      <c r="CVS49" s="316"/>
      <c r="CVT49" s="316"/>
      <c r="CVU49" s="316"/>
      <c r="CVV49" s="316"/>
      <c r="CVW49" s="316"/>
      <c r="CVX49" s="316"/>
      <c r="CVY49" s="316"/>
      <c r="CVZ49" s="316"/>
      <c r="CWA49" s="316"/>
      <c r="CWB49" s="316"/>
      <c r="CWC49" s="316"/>
      <c r="CWD49" s="316"/>
      <c r="CWE49" s="316"/>
      <c r="CWF49" s="316"/>
      <c r="CWG49" s="316"/>
      <c r="CWH49" s="316"/>
      <c r="CWI49" s="316"/>
      <c r="CWJ49" s="316"/>
      <c r="CWK49" s="316"/>
      <c r="CWL49" s="316"/>
      <c r="CWM49" s="316"/>
      <c r="CWN49" s="316"/>
      <c r="CWO49" s="316"/>
      <c r="CWP49" s="316"/>
      <c r="CWQ49" s="316"/>
      <c r="CWR49" s="316"/>
      <c r="CWS49" s="316"/>
      <c r="CWT49" s="316"/>
      <c r="CWU49" s="316"/>
      <c r="CWV49" s="316"/>
      <c r="CWW49" s="316"/>
      <c r="CWX49" s="316"/>
      <c r="CWY49" s="316"/>
      <c r="CWZ49" s="316"/>
      <c r="CXA49" s="316"/>
      <c r="CXB49" s="316"/>
      <c r="CXC49" s="316"/>
      <c r="CXD49" s="316"/>
      <c r="CXE49" s="316"/>
      <c r="CXF49" s="316"/>
      <c r="CXG49" s="316"/>
      <c r="CXH49" s="316"/>
      <c r="CXI49" s="316"/>
      <c r="CXJ49" s="316"/>
      <c r="CXK49" s="316"/>
      <c r="CXL49" s="316"/>
      <c r="CXM49" s="316"/>
      <c r="CXN49" s="316"/>
      <c r="CXO49" s="316"/>
      <c r="CXP49" s="316"/>
      <c r="CXQ49" s="316"/>
      <c r="CXR49" s="316"/>
      <c r="CXS49" s="316"/>
      <c r="CXT49" s="316"/>
      <c r="CXU49" s="316"/>
      <c r="CXV49" s="316"/>
      <c r="CXW49" s="316"/>
      <c r="CXX49" s="316"/>
      <c r="CXY49" s="316"/>
      <c r="CXZ49" s="316"/>
      <c r="CYA49" s="316"/>
      <c r="CYB49" s="316"/>
      <c r="CYC49" s="316"/>
      <c r="CYD49" s="316"/>
      <c r="CYE49" s="316"/>
      <c r="CYF49" s="316"/>
      <c r="CYG49" s="316"/>
      <c r="CYH49" s="316"/>
      <c r="CYI49" s="316"/>
      <c r="CYJ49" s="316"/>
      <c r="CYK49" s="316"/>
      <c r="CYL49" s="316"/>
      <c r="CYM49" s="316"/>
      <c r="CYN49" s="316"/>
      <c r="CYO49" s="316"/>
      <c r="CYP49" s="316"/>
      <c r="CYQ49" s="316"/>
      <c r="CYR49" s="316"/>
      <c r="CYS49" s="316"/>
      <c r="CYT49" s="316"/>
      <c r="CYU49" s="316"/>
      <c r="CYV49" s="316"/>
      <c r="CYW49" s="316"/>
      <c r="CYX49" s="316"/>
      <c r="CYY49" s="316"/>
      <c r="CYZ49" s="316"/>
      <c r="CZA49" s="316"/>
      <c r="CZB49" s="316"/>
      <c r="CZC49" s="316"/>
      <c r="CZD49" s="316"/>
      <c r="CZE49" s="316"/>
      <c r="CZF49" s="316"/>
      <c r="CZG49" s="316"/>
      <c r="CZH49" s="316"/>
      <c r="CZI49" s="316"/>
      <c r="CZJ49" s="316"/>
      <c r="CZK49" s="316"/>
      <c r="CZL49" s="316"/>
      <c r="CZM49" s="316"/>
      <c r="CZN49" s="316"/>
      <c r="CZO49" s="316"/>
      <c r="CZP49" s="316"/>
      <c r="CZQ49" s="316"/>
      <c r="CZR49" s="316"/>
      <c r="CZS49" s="316"/>
      <c r="CZT49" s="316"/>
      <c r="CZU49" s="316"/>
      <c r="CZV49" s="316"/>
      <c r="CZW49" s="316"/>
      <c r="CZX49" s="316"/>
      <c r="CZY49" s="316"/>
      <c r="CZZ49" s="316"/>
      <c r="DAA49" s="316"/>
      <c r="DAB49" s="316"/>
      <c r="DAC49" s="316"/>
      <c r="DAD49" s="316"/>
      <c r="DAE49" s="316"/>
      <c r="DAF49" s="316"/>
      <c r="DAG49" s="316"/>
      <c r="DAH49" s="316"/>
      <c r="DAI49" s="316"/>
      <c r="DAJ49" s="316"/>
      <c r="DAK49" s="316"/>
      <c r="DAL49" s="316"/>
      <c r="DAM49" s="316"/>
      <c r="DAN49" s="316"/>
      <c r="DAO49" s="316"/>
      <c r="DAP49" s="316"/>
      <c r="DAQ49" s="316"/>
      <c r="DAR49" s="316"/>
      <c r="DAS49" s="316"/>
      <c r="DAT49" s="316"/>
      <c r="DAU49" s="316"/>
      <c r="DAV49" s="316"/>
      <c r="DAW49" s="316"/>
      <c r="DAX49" s="316"/>
      <c r="DAY49" s="316"/>
      <c r="DAZ49" s="316"/>
      <c r="DBA49" s="316"/>
      <c r="DBB49" s="316"/>
      <c r="DBC49" s="316"/>
      <c r="DBD49" s="316"/>
      <c r="DBE49" s="316"/>
      <c r="DBF49" s="316"/>
      <c r="DBG49" s="316"/>
      <c r="DBH49" s="316"/>
      <c r="DBI49" s="316"/>
      <c r="DBJ49" s="316"/>
      <c r="DBK49" s="316"/>
      <c r="DBL49" s="316"/>
      <c r="DBM49" s="316"/>
      <c r="DBN49" s="316"/>
      <c r="DBO49" s="316"/>
      <c r="DBP49" s="316"/>
      <c r="DBQ49" s="316"/>
      <c r="DBR49" s="316"/>
      <c r="DBS49" s="316"/>
      <c r="DBT49" s="316"/>
      <c r="DBU49" s="316"/>
      <c r="DBV49" s="316"/>
      <c r="DBW49" s="316"/>
      <c r="DBX49" s="316"/>
      <c r="DBY49" s="316"/>
      <c r="DBZ49" s="316"/>
      <c r="DCA49" s="316"/>
      <c r="DCB49" s="316"/>
      <c r="DCC49" s="316"/>
      <c r="DCD49" s="316"/>
      <c r="DCE49" s="316"/>
      <c r="DCF49" s="316"/>
      <c r="DCG49" s="316"/>
      <c r="DCH49" s="316"/>
      <c r="DCI49" s="316"/>
      <c r="DCJ49" s="316"/>
      <c r="DCK49" s="316"/>
      <c r="DCL49" s="316"/>
      <c r="DCM49" s="316"/>
      <c r="DCN49" s="316"/>
      <c r="DCO49" s="316"/>
      <c r="DCP49" s="316"/>
      <c r="DCQ49" s="316"/>
      <c r="DCR49" s="316"/>
      <c r="DCS49" s="316"/>
      <c r="DCT49" s="316"/>
      <c r="DCU49" s="316"/>
      <c r="DCV49" s="316"/>
      <c r="DCW49" s="316"/>
      <c r="DCX49" s="316"/>
      <c r="DCY49" s="316"/>
      <c r="DCZ49" s="316"/>
      <c r="DDA49" s="316"/>
      <c r="DDB49" s="316"/>
      <c r="DDC49" s="316"/>
      <c r="DDD49" s="316"/>
      <c r="DDE49" s="316"/>
      <c r="DDF49" s="316"/>
      <c r="DDG49" s="316"/>
      <c r="DDH49" s="316"/>
      <c r="DDI49" s="316"/>
      <c r="DDJ49" s="316"/>
      <c r="DDK49" s="316"/>
      <c r="DDL49" s="316"/>
      <c r="DDM49" s="316"/>
      <c r="DDN49" s="316"/>
      <c r="DDO49" s="316"/>
      <c r="DDP49" s="316"/>
      <c r="DDQ49" s="316"/>
      <c r="DDR49" s="316"/>
      <c r="DDS49" s="316"/>
      <c r="DDT49" s="316"/>
      <c r="DDU49" s="316"/>
      <c r="DDV49" s="316"/>
      <c r="DDW49" s="316"/>
      <c r="DDX49" s="316"/>
      <c r="DDY49" s="316"/>
      <c r="DDZ49" s="316"/>
      <c r="DEA49" s="316"/>
      <c r="DEB49" s="316"/>
      <c r="DEC49" s="316"/>
      <c r="DED49" s="316"/>
      <c r="DEE49" s="316"/>
      <c r="DEF49" s="316"/>
      <c r="DEG49" s="316"/>
      <c r="DEH49" s="316"/>
      <c r="DEI49" s="316"/>
      <c r="DEJ49" s="316"/>
      <c r="DEK49" s="316"/>
      <c r="DEL49" s="316"/>
      <c r="DEM49" s="316"/>
      <c r="DEN49" s="316"/>
      <c r="DEO49" s="316"/>
      <c r="DEP49" s="316"/>
      <c r="DEQ49" s="316"/>
      <c r="DER49" s="316"/>
      <c r="DES49" s="316"/>
      <c r="DET49" s="316"/>
      <c r="DEU49" s="316"/>
      <c r="DEV49" s="316"/>
      <c r="DEW49" s="316"/>
      <c r="DEX49" s="316"/>
      <c r="DEY49" s="316"/>
      <c r="DEZ49" s="316"/>
      <c r="DFA49" s="316"/>
      <c r="DFB49" s="316"/>
      <c r="DFC49" s="316"/>
      <c r="DFD49" s="316"/>
      <c r="DFE49" s="316"/>
      <c r="DFF49" s="316"/>
      <c r="DFG49" s="316"/>
      <c r="DFH49" s="316"/>
      <c r="DFI49" s="316"/>
      <c r="DFJ49" s="316"/>
      <c r="DFK49" s="316"/>
      <c r="DFL49" s="316"/>
      <c r="DFM49" s="316"/>
      <c r="DFN49" s="316"/>
      <c r="DFO49" s="316"/>
      <c r="DFP49" s="316"/>
      <c r="DFQ49" s="316"/>
      <c r="DFR49" s="316"/>
      <c r="DFS49" s="316"/>
      <c r="DFT49" s="316"/>
      <c r="DFU49" s="316"/>
      <c r="DFV49" s="316"/>
      <c r="DFW49" s="316"/>
      <c r="DFX49" s="316"/>
      <c r="DFY49" s="316"/>
      <c r="DFZ49" s="316"/>
      <c r="DGA49" s="316"/>
      <c r="DGB49" s="316"/>
      <c r="DGC49" s="316"/>
      <c r="DGD49" s="316"/>
      <c r="DGE49" s="316"/>
      <c r="DGF49" s="316"/>
      <c r="DGG49" s="316"/>
      <c r="DGH49" s="316"/>
      <c r="DGI49" s="316"/>
      <c r="DGJ49" s="316"/>
      <c r="DGK49" s="316"/>
      <c r="DGL49" s="316"/>
      <c r="DGM49" s="316"/>
      <c r="DGN49" s="316"/>
      <c r="DGO49" s="316"/>
      <c r="DGP49" s="316"/>
      <c r="DGQ49" s="316"/>
      <c r="DGR49" s="316"/>
      <c r="DGS49" s="316"/>
      <c r="DGT49" s="316"/>
      <c r="DGU49" s="316"/>
      <c r="DGV49" s="316"/>
      <c r="DGW49" s="316"/>
      <c r="DGX49" s="316"/>
      <c r="DGY49" s="316"/>
      <c r="DGZ49" s="316"/>
      <c r="DHA49" s="316"/>
      <c r="DHB49" s="316"/>
      <c r="DHC49" s="316"/>
      <c r="DHD49" s="316"/>
      <c r="DHE49" s="316"/>
      <c r="DHF49" s="316"/>
      <c r="DHG49" s="316"/>
      <c r="DHH49" s="316"/>
      <c r="DHI49" s="316"/>
      <c r="DHJ49" s="316"/>
      <c r="DHK49" s="316"/>
      <c r="DHL49" s="316"/>
      <c r="DHM49" s="316"/>
      <c r="DHN49" s="316"/>
      <c r="DHO49" s="316"/>
      <c r="DHP49" s="316"/>
      <c r="DHQ49" s="316"/>
      <c r="DHR49" s="316"/>
      <c r="DHS49" s="316"/>
      <c r="DHT49" s="316"/>
      <c r="DHU49" s="316"/>
      <c r="DHV49" s="316"/>
      <c r="DHW49" s="316"/>
      <c r="DHX49" s="316"/>
      <c r="DHY49" s="316"/>
      <c r="DHZ49" s="316"/>
      <c r="DIA49" s="316"/>
      <c r="DIB49" s="316"/>
      <c r="DIC49" s="316"/>
      <c r="DID49" s="316"/>
      <c r="DIE49" s="316"/>
      <c r="DIF49" s="316"/>
      <c r="DIG49" s="316"/>
      <c r="DIH49" s="316"/>
      <c r="DII49" s="316"/>
      <c r="DIJ49" s="316"/>
      <c r="DIK49" s="316"/>
      <c r="DIL49" s="316"/>
      <c r="DIM49" s="316"/>
      <c r="DIN49" s="316"/>
      <c r="DIO49" s="316"/>
      <c r="DIP49" s="316"/>
      <c r="DIQ49" s="316"/>
      <c r="DIR49" s="316"/>
      <c r="DIS49" s="316"/>
      <c r="DIT49" s="316"/>
      <c r="DIU49" s="316"/>
      <c r="DIV49" s="316"/>
      <c r="DIW49" s="316"/>
      <c r="DIX49" s="316"/>
      <c r="DIY49" s="316"/>
      <c r="DIZ49" s="316"/>
      <c r="DJA49" s="316"/>
      <c r="DJB49" s="316"/>
      <c r="DJC49" s="316"/>
      <c r="DJD49" s="316"/>
      <c r="DJE49" s="316"/>
      <c r="DJF49" s="316"/>
      <c r="DJG49" s="316"/>
      <c r="DJH49" s="316"/>
      <c r="DJI49" s="316"/>
      <c r="DJJ49" s="316"/>
      <c r="DJK49" s="316"/>
      <c r="DJL49" s="316"/>
      <c r="DJM49" s="316"/>
      <c r="DJN49" s="316"/>
      <c r="DJO49" s="316"/>
      <c r="DJP49" s="316"/>
      <c r="DJQ49" s="316"/>
      <c r="DJR49" s="316"/>
      <c r="DJS49" s="316"/>
      <c r="DJT49" s="316"/>
      <c r="DJU49" s="316"/>
      <c r="DJV49" s="316"/>
      <c r="DJW49" s="316"/>
      <c r="DJX49" s="316"/>
      <c r="DJY49" s="316"/>
      <c r="DJZ49" s="316"/>
      <c r="DKA49" s="316"/>
      <c r="DKB49" s="316"/>
      <c r="DKC49" s="316"/>
      <c r="DKD49" s="316"/>
      <c r="DKE49" s="316"/>
      <c r="DKF49" s="316"/>
      <c r="DKG49" s="316"/>
      <c r="DKH49" s="316"/>
      <c r="DKI49" s="316"/>
      <c r="DKJ49" s="316"/>
      <c r="DKK49" s="316"/>
      <c r="DKL49" s="316"/>
      <c r="DKM49" s="316"/>
      <c r="DKN49" s="316"/>
      <c r="DKO49" s="316"/>
      <c r="DKP49" s="316"/>
      <c r="DKQ49" s="316"/>
      <c r="DKR49" s="316"/>
      <c r="DKS49" s="316"/>
      <c r="DKT49" s="316"/>
      <c r="DKU49" s="316"/>
      <c r="DKV49" s="316"/>
      <c r="DKW49" s="316"/>
      <c r="DKX49" s="316"/>
      <c r="DKY49" s="316"/>
      <c r="DKZ49" s="316"/>
      <c r="DLA49" s="316"/>
      <c r="DLB49" s="316"/>
      <c r="DLC49" s="316"/>
      <c r="DLD49" s="316"/>
      <c r="DLE49" s="316"/>
      <c r="DLF49" s="316"/>
      <c r="DLG49" s="316"/>
      <c r="DLH49" s="316"/>
      <c r="DLI49" s="316"/>
      <c r="DLJ49" s="316"/>
      <c r="DLK49" s="316"/>
      <c r="DLL49" s="316"/>
      <c r="DLM49" s="316"/>
      <c r="DLN49" s="316"/>
      <c r="DLO49" s="316"/>
      <c r="DLP49" s="316"/>
      <c r="DLQ49" s="316"/>
      <c r="DLR49" s="316"/>
      <c r="DLS49" s="316"/>
      <c r="DLT49" s="316"/>
      <c r="DLU49" s="316"/>
      <c r="DLV49" s="316"/>
      <c r="DLW49" s="316"/>
      <c r="DLX49" s="316"/>
      <c r="DLY49" s="316"/>
      <c r="DLZ49" s="316"/>
      <c r="DMA49" s="316"/>
      <c r="DMB49" s="316"/>
      <c r="DMC49" s="316"/>
      <c r="DMD49" s="316"/>
      <c r="DME49" s="316"/>
      <c r="DMF49" s="316"/>
      <c r="DMG49" s="316"/>
      <c r="DMH49" s="316"/>
      <c r="DMI49" s="316"/>
      <c r="DMJ49" s="316"/>
      <c r="DMK49" s="316"/>
      <c r="DML49" s="316"/>
      <c r="DMM49" s="316"/>
      <c r="DMN49" s="316"/>
      <c r="DMO49" s="316"/>
      <c r="DMP49" s="316"/>
      <c r="DMQ49" s="316"/>
      <c r="DMR49" s="316"/>
      <c r="DMS49" s="316"/>
      <c r="DMT49" s="316"/>
      <c r="DMU49" s="316"/>
      <c r="DMV49" s="316"/>
      <c r="DMW49" s="316"/>
      <c r="DMX49" s="316"/>
      <c r="DMY49" s="316"/>
      <c r="DMZ49" s="316"/>
      <c r="DNA49" s="316"/>
      <c r="DNB49" s="316"/>
      <c r="DNC49" s="316"/>
      <c r="DND49" s="316"/>
      <c r="DNE49" s="316"/>
      <c r="DNF49" s="316"/>
      <c r="DNG49" s="316"/>
      <c r="DNH49" s="316"/>
      <c r="DNI49" s="316"/>
      <c r="DNJ49" s="316"/>
      <c r="DNK49" s="316"/>
      <c r="DNL49" s="316"/>
      <c r="DNM49" s="316"/>
      <c r="DNN49" s="316"/>
      <c r="DNO49" s="316"/>
      <c r="DNP49" s="316"/>
      <c r="DNQ49" s="316"/>
      <c r="DNR49" s="316"/>
      <c r="DNS49" s="316"/>
      <c r="DNT49" s="316"/>
      <c r="DNU49" s="316"/>
      <c r="DNV49" s="316"/>
      <c r="DNW49" s="316"/>
      <c r="DNX49" s="316"/>
      <c r="DNY49" s="316"/>
      <c r="DNZ49" s="316"/>
      <c r="DOA49" s="316"/>
      <c r="DOB49" s="316"/>
      <c r="DOC49" s="316"/>
      <c r="DOD49" s="316"/>
      <c r="DOE49" s="316"/>
      <c r="DOF49" s="316"/>
      <c r="DOG49" s="316"/>
      <c r="DOH49" s="316"/>
      <c r="DOI49" s="316"/>
      <c r="DOJ49" s="316"/>
      <c r="DOK49" s="316"/>
      <c r="DOL49" s="316"/>
      <c r="DOM49" s="316"/>
      <c r="DON49" s="316"/>
      <c r="DOO49" s="316"/>
      <c r="DOP49" s="316"/>
      <c r="DOQ49" s="316"/>
      <c r="DOR49" s="316"/>
      <c r="DOS49" s="316"/>
      <c r="DOT49" s="316"/>
      <c r="DOU49" s="316"/>
      <c r="DOV49" s="316"/>
      <c r="DOW49" s="316"/>
      <c r="DOX49" s="316"/>
      <c r="DOY49" s="316"/>
      <c r="DOZ49" s="316"/>
      <c r="DPA49" s="316"/>
      <c r="DPB49" s="316"/>
      <c r="DPC49" s="316"/>
      <c r="DPD49" s="316"/>
      <c r="DPE49" s="316"/>
      <c r="DPF49" s="316"/>
      <c r="DPG49" s="316"/>
      <c r="DPH49" s="316"/>
      <c r="DPI49" s="316"/>
      <c r="DPJ49" s="316"/>
      <c r="DPK49" s="316"/>
      <c r="DPL49" s="316"/>
      <c r="DPM49" s="316"/>
      <c r="DPN49" s="316"/>
      <c r="DPO49" s="316"/>
      <c r="DPP49" s="316"/>
      <c r="DPQ49" s="316"/>
      <c r="DPR49" s="316"/>
      <c r="DPS49" s="316"/>
      <c r="DPT49" s="316"/>
      <c r="DPU49" s="316"/>
      <c r="DPV49" s="316"/>
      <c r="DPW49" s="316"/>
      <c r="DPX49" s="316"/>
      <c r="DPY49" s="316"/>
      <c r="DPZ49" s="316"/>
      <c r="DQA49" s="316"/>
      <c r="DQB49" s="316"/>
      <c r="DQC49" s="316"/>
      <c r="DQD49" s="316"/>
      <c r="DQE49" s="316"/>
      <c r="DQF49" s="316"/>
      <c r="DQG49" s="316"/>
      <c r="DQH49" s="316"/>
      <c r="DQI49" s="316"/>
      <c r="DQJ49" s="316"/>
      <c r="DQK49" s="316"/>
      <c r="DQL49" s="316"/>
      <c r="DQM49" s="316"/>
      <c r="DQN49" s="316"/>
      <c r="DQO49" s="316"/>
      <c r="DQP49" s="316"/>
      <c r="DQQ49" s="316"/>
      <c r="DQR49" s="316"/>
      <c r="DQS49" s="316"/>
      <c r="DQT49" s="316"/>
      <c r="DQU49" s="316"/>
      <c r="DQV49" s="316"/>
      <c r="DQW49" s="316"/>
      <c r="DQX49" s="316"/>
      <c r="DQY49" s="316"/>
      <c r="DQZ49" s="316"/>
      <c r="DRA49" s="316"/>
      <c r="DRB49" s="316"/>
      <c r="DRC49" s="316"/>
      <c r="DRD49" s="316"/>
      <c r="DRE49" s="316"/>
      <c r="DRF49" s="316"/>
      <c r="DRG49" s="316"/>
      <c r="DRH49" s="316"/>
      <c r="DRI49" s="316"/>
      <c r="DRJ49" s="316"/>
      <c r="DRK49" s="316"/>
      <c r="DRL49" s="316"/>
      <c r="DRM49" s="316"/>
      <c r="DRN49" s="316"/>
      <c r="DRO49" s="316"/>
      <c r="DRP49" s="316"/>
      <c r="DRQ49" s="316"/>
      <c r="DRR49" s="316"/>
      <c r="DRS49" s="316"/>
      <c r="DRT49" s="316"/>
      <c r="DRU49" s="316"/>
      <c r="DRV49" s="316"/>
      <c r="DRW49" s="316"/>
      <c r="DRX49" s="316"/>
      <c r="DRY49" s="316"/>
      <c r="DRZ49" s="316"/>
      <c r="DSA49" s="316"/>
      <c r="DSB49" s="316"/>
      <c r="DSC49" s="316"/>
      <c r="DSD49" s="316"/>
      <c r="DSE49" s="316"/>
      <c r="DSF49" s="316"/>
      <c r="DSG49" s="316"/>
      <c r="DSH49" s="316"/>
      <c r="DSI49" s="316"/>
      <c r="DSJ49" s="316"/>
      <c r="DSK49" s="316"/>
      <c r="DSL49" s="316"/>
      <c r="DSM49" s="316"/>
      <c r="DSN49" s="316"/>
      <c r="DSO49" s="316"/>
      <c r="DSP49" s="316"/>
      <c r="DSQ49" s="316"/>
      <c r="DSR49" s="316"/>
      <c r="DSS49" s="316"/>
      <c r="DST49" s="316"/>
      <c r="DSU49" s="316"/>
      <c r="DSV49" s="316"/>
      <c r="DSW49" s="316"/>
      <c r="DSX49" s="316"/>
      <c r="DSY49" s="316"/>
      <c r="DSZ49" s="316"/>
      <c r="DTA49" s="316"/>
      <c r="DTB49" s="316"/>
      <c r="DTC49" s="316"/>
      <c r="DTD49" s="316"/>
      <c r="DTE49" s="316"/>
      <c r="DTF49" s="316"/>
      <c r="DTG49" s="316"/>
      <c r="DTH49" s="316"/>
      <c r="DTI49" s="316"/>
      <c r="DTJ49" s="316"/>
      <c r="DTK49" s="316"/>
      <c r="DTL49" s="316"/>
      <c r="DTM49" s="316"/>
      <c r="DTN49" s="316"/>
      <c r="DTO49" s="316"/>
      <c r="DTP49" s="316"/>
      <c r="DTQ49" s="316"/>
      <c r="DTR49" s="316"/>
      <c r="DTS49" s="316"/>
      <c r="DTT49" s="316"/>
      <c r="DTU49" s="316"/>
      <c r="DTV49" s="316"/>
      <c r="DTW49" s="316"/>
      <c r="DTX49" s="316"/>
      <c r="DTY49" s="316"/>
      <c r="DTZ49" s="316"/>
      <c r="DUA49" s="316"/>
      <c r="DUB49" s="316"/>
      <c r="DUC49" s="316"/>
      <c r="DUD49" s="316"/>
      <c r="DUE49" s="316"/>
      <c r="DUF49" s="316"/>
      <c r="DUG49" s="316"/>
      <c r="DUH49" s="316"/>
      <c r="DUI49" s="316"/>
      <c r="DUJ49" s="316"/>
      <c r="DUK49" s="316"/>
      <c r="DUL49" s="316"/>
      <c r="DUM49" s="316"/>
      <c r="DUN49" s="316"/>
      <c r="DUO49" s="316"/>
      <c r="DUP49" s="316"/>
      <c r="DUQ49" s="316"/>
      <c r="DUR49" s="316"/>
      <c r="DUS49" s="316"/>
      <c r="DUT49" s="316"/>
      <c r="DUU49" s="316"/>
      <c r="DUV49" s="316"/>
      <c r="DUW49" s="316"/>
      <c r="DUX49" s="316"/>
      <c r="DUY49" s="316"/>
      <c r="DUZ49" s="316"/>
      <c r="DVA49" s="316"/>
      <c r="DVB49" s="316"/>
      <c r="DVC49" s="316"/>
      <c r="DVD49" s="316"/>
      <c r="DVE49" s="316"/>
      <c r="DVF49" s="316"/>
      <c r="DVG49" s="316"/>
      <c r="DVH49" s="316"/>
      <c r="DVI49" s="316"/>
      <c r="DVJ49" s="316"/>
      <c r="DVK49" s="316"/>
      <c r="DVL49" s="316"/>
      <c r="DVM49" s="316"/>
      <c r="DVN49" s="316"/>
      <c r="DVO49" s="316"/>
      <c r="DVP49" s="316"/>
      <c r="DVQ49" s="316"/>
      <c r="DVR49" s="316"/>
      <c r="DVS49" s="316"/>
      <c r="DVT49" s="316"/>
      <c r="DVU49" s="316"/>
      <c r="DVV49" s="316"/>
      <c r="DVW49" s="316"/>
      <c r="DVX49" s="316"/>
      <c r="DVY49" s="316"/>
      <c r="DVZ49" s="316"/>
      <c r="DWA49" s="316"/>
      <c r="DWB49" s="316"/>
      <c r="DWC49" s="316"/>
      <c r="DWD49" s="316"/>
      <c r="DWE49" s="316"/>
      <c r="DWF49" s="316"/>
      <c r="DWG49" s="316"/>
      <c r="DWH49" s="316"/>
      <c r="DWI49" s="316"/>
      <c r="DWJ49" s="316"/>
      <c r="DWK49" s="316"/>
      <c r="DWL49" s="316"/>
      <c r="DWM49" s="316"/>
      <c r="DWN49" s="316"/>
      <c r="DWO49" s="316"/>
      <c r="DWP49" s="316"/>
      <c r="DWQ49" s="316"/>
      <c r="DWR49" s="316"/>
      <c r="DWS49" s="316"/>
      <c r="DWT49" s="316"/>
      <c r="DWU49" s="316"/>
      <c r="DWV49" s="316"/>
      <c r="DWW49" s="316"/>
      <c r="DWX49" s="316"/>
      <c r="DWY49" s="316"/>
      <c r="DWZ49" s="316"/>
      <c r="DXA49" s="316"/>
      <c r="DXB49" s="316"/>
      <c r="DXC49" s="316"/>
      <c r="DXD49" s="316"/>
      <c r="DXE49" s="316"/>
      <c r="DXF49" s="316"/>
      <c r="DXG49" s="316"/>
      <c r="DXH49" s="316"/>
      <c r="DXI49" s="316"/>
      <c r="DXJ49" s="316"/>
      <c r="DXK49" s="316"/>
      <c r="DXL49" s="316"/>
      <c r="DXM49" s="316"/>
      <c r="DXN49" s="316"/>
      <c r="DXO49" s="316"/>
      <c r="DXP49" s="316"/>
      <c r="DXQ49" s="316"/>
      <c r="DXR49" s="316"/>
      <c r="DXS49" s="316"/>
      <c r="DXT49" s="316"/>
      <c r="DXU49" s="316"/>
      <c r="DXV49" s="316"/>
      <c r="DXW49" s="316"/>
      <c r="DXX49" s="316"/>
      <c r="DXY49" s="316"/>
      <c r="DXZ49" s="316"/>
      <c r="DYA49" s="316"/>
      <c r="DYB49" s="316"/>
      <c r="DYC49" s="316"/>
      <c r="DYD49" s="316"/>
      <c r="DYE49" s="316"/>
      <c r="DYF49" s="316"/>
      <c r="DYG49" s="316"/>
      <c r="DYH49" s="316"/>
      <c r="DYI49" s="316"/>
      <c r="DYJ49" s="316"/>
      <c r="DYK49" s="316"/>
      <c r="DYL49" s="316"/>
      <c r="DYM49" s="316"/>
      <c r="DYN49" s="316"/>
      <c r="DYO49" s="316"/>
      <c r="DYP49" s="316"/>
      <c r="DYQ49" s="316"/>
      <c r="DYR49" s="316"/>
      <c r="DYS49" s="316"/>
      <c r="DYT49" s="316"/>
      <c r="DYU49" s="316"/>
      <c r="DYV49" s="316"/>
      <c r="DYW49" s="316"/>
      <c r="DYX49" s="316"/>
      <c r="DYY49" s="316"/>
      <c r="DYZ49" s="316"/>
      <c r="DZA49" s="316"/>
      <c r="DZB49" s="316"/>
      <c r="DZC49" s="316"/>
      <c r="DZD49" s="316"/>
      <c r="DZE49" s="316"/>
      <c r="DZF49" s="316"/>
      <c r="DZG49" s="316"/>
      <c r="DZH49" s="316"/>
      <c r="DZI49" s="316"/>
      <c r="DZJ49" s="316"/>
      <c r="DZK49" s="316"/>
      <c r="DZL49" s="316"/>
      <c r="DZM49" s="316"/>
      <c r="DZN49" s="316"/>
      <c r="DZO49" s="316"/>
      <c r="DZP49" s="316"/>
      <c r="DZQ49" s="316"/>
      <c r="DZR49" s="316"/>
      <c r="DZS49" s="316"/>
      <c r="DZT49" s="316"/>
      <c r="DZU49" s="316"/>
      <c r="DZV49" s="316"/>
      <c r="DZW49" s="316"/>
      <c r="DZX49" s="316"/>
      <c r="DZY49" s="316"/>
      <c r="DZZ49" s="316"/>
      <c r="EAA49" s="316"/>
      <c r="EAB49" s="316"/>
      <c r="EAC49" s="316"/>
      <c r="EAD49" s="316"/>
      <c r="EAE49" s="316"/>
      <c r="EAF49" s="316"/>
      <c r="EAG49" s="316"/>
      <c r="EAH49" s="316"/>
      <c r="EAI49" s="316"/>
      <c r="EAJ49" s="316"/>
      <c r="EAK49" s="316"/>
      <c r="EAL49" s="316"/>
      <c r="EAM49" s="316"/>
      <c r="EAN49" s="316"/>
      <c r="EAO49" s="316"/>
      <c r="EAP49" s="316"/>
      <c r="EAQ49" s="316"/>
      <c r="EAR49" s="316"/>
      <c r="EAS49" s="316"/>
      <c r="EAT49" s="316"/>
      <c r="EAU49" s="316"/>
      <c r="EAV49" s="316"/>
      <c r="EAW49" s="316"/>
      <c r="EAX49" s="316"/>
      <c r="EAY49" s="316"/>
      <c r="EAZ49" s="316"/>
      <c r="EBA49" s="316"/>
      <c r="EBB49" s="316"/>
      <c r="EBC49" s="316"/>
      <c r="EBD49" s="316"/>
      <c r="EBE49" s="316"/>
      <c r="EBF49" s="316"/>
      <c r="EBG49" s="316"/>
      <c r="EBH49" s="316"/>
      <c r="EBI49" s="316"/>
      <c r="EBJ49" s="316"/>
      <c r="EBK49" s="316"/>
      <c r="EBL49" s="316"/>
      <c r="EBM49" s="316"/>
      <c r="EBN49" s="316"/>
      <c r="EBO49" s="316"/>
      <c r="EBP49" s="316"/>
      <c r="EBQ49" s="316"/>
      <c r="EBR49" s="316"/>
      <c r="EBS49" s="316"/>
      <c r="EBT49" s="316"/>
      <c r="EBU49" s="316"/>
      <c r="EBV49" s="316"/>
      <c r="EBW49" s="316"/>
      <c r="EBX49" s="316"/>
      <c r="EBY49" s="316"/>
      <c r="EBZ49" s="316"/>
      <c r="ECA49" s="316"/>
      <c r="ECB49" s="316"/>
      <c r="ECC49" s="316"/>
      <c r="ECD49" s="316"/>
      <c r="ECE49" s="316"/>
      <c r="ECF49" s="316"/>
      <c r="ECG49" s="316"/>
      <c r="ECH49" s="316"/>
      <c r="ECI49" s="316"/>
      <c r="ECJ49" s="316"/>
      <c r="ECK49" s="316"/>
      <c r="ECL49" s="316"/>
      <c r="ECM49" s="316"/>
      <c r="ECN49" s="316"/>
      <c r="ECO49" s="316"/>
      <c r="ECP49" s="316"/>
      <c r="ECQ49" s="316"/>
      <c r="ECR49" s="316"/>
      <c r="ECS49" s="316"/>
      <c r="ECT49" s="316"/>
      <c r="ECU49" s="316"/>
      <c r="ECV49" s="316"/>
      <c r="ECW49" s="316"/>
      <c r="ECX49" s="316"/>
      <c r="ECY49" s="316"/>
      <c r="ECZ49" s="316"/>
      <c r="EDA49" s="316"/>
      <c r="EDB49" s="316"/>
      <c r="EDC49" s="316"/>
      <c r="EDD49" s="316"/>
      <c r="EDE49" s="316"/>
      <c r="EDF49" s="316"/>
      <c r="EDG49" s="316"/>
      <c r="EDH49" s="316"/>
      <c r="EDI49" s="316"/>
      <c r="EDJ49" s="316"/>
      <c r="EDK49" s="316"/>
      <c r="EDL49" s="316"/>
      <c r="EDM49" s="316"/>
      <c r="EDN49" s="316"/>
      <c r="EDO49" s="316"/>
      <c r="EDP49" s="316"/>
      <c r="EDQ49" s="316"/>
      <c r="EDR49" s="316"/>
      <c r="EDS49" s="316"/>
      <c r="EDT49" s="316"/>
      <c r="EDU49" s="316"/>
      <c r="EDV49" s="316"/>
      <c r="EDW49" s="316"/>
      <c r="EDX49" s="316"/>
      <c r="EDY49" s="316"/>
      <c r="EDZ49" s="316"/>
      <c r="EEA49" s="316"/>
      <c r="EEB49" s="316"/>
      <c r="EEC49" s="316"/>
      <c r="EED49" s="316"/>
      <c r="EEE49" s="316"/>
      <c r="EEF49" s="316"/>
      <c r="EEG49" s="316"/>
      <c r="EEH49" s="316"/>
      <c r="EEI49" s="316"/>
      <c r="EEJ49" s="316"/>
      <c r="EEK49" s="316"/>
      <c r="EEL49" s="316"/>
      <c r="EEM49" s="316"/>
      <c r="EEN49" s="316"/>
      <c r="EEO49" s="316"/>
      <c r="EEP49" s="316"/>
      <c r="EEQ49" s="316"/>
      <c r="EER49" s="316"/>
      <c r="EES49" s="316"/>
      <c r="EET49" s="316"/>
      <c r="EEU49" s="316"/>
      <c r="EEV49" s="316"/>
      <c r="EEW49" s="316"/>
      <c r="EEX49" s="316"/>
      <c r="EEY49" s="316"/>
      <c r="EEZ49" s="316"/>
      <c r="EFA49" s="316"/>
      <c r="EFB49" s="316"/>
      <c r="EFC49" s="316"/>
      <c r="EFD49" s="316"/>
      <c r="EFE49" s="316"/>
      <c r="EFF49" s="316"/>
      <c r="EFG49" s="316"/>
      <c r="EFH49" s="316"/>
      <c r="EFI49" s="316"/>
      <c r="EFJ49" s="316"/>
      <c r="EFK49" s="316"/>
      <c r="EFL49" s="316"/>
      <c r="EFM49" s="316"/>
      <c r="EFN49" s="316"/>
      <c r="EFO49" s="316"/>
      <c r="EFP49" s="316"/>
      <c r="EFQ49" s="316"/>
      <c r="EFR49" s="316"/>
      <c r="EFS49" s="316"/>
      <c r="EFT49" s="316"/>
      <c r="EFU49" s="316"/>
      <c r="EFV49" s="316"/>
      <c r="EFW49" s="316"/>
      <c r="EFX49" s="316"/>
      <c r="EFY49" s="316"/>
      <c r="EFZ49" s="316"/>
      <c r="EGA49" s="316"/>
      <c r="EGB49" s="316"/>
      <c r="EGC49" s="316"/>
      <c r="EGD49" s="316"/>
      <c r="EGE49" s="316"/>
      <c r="EGF49" s="316"/>
      <c r="EGG49" s="316"/>
      <c r="EGH49" s="316"/>
      <c r="EGI49" s="316"/>
      <c r="EGJ49" s="316"/>
      <c r="EGK49" s="316"/>
      <c r="EGL49" s="316"/>
      <c r="EGM49" s="316"/>
      <c r="EGN49" s="316"/>
      <c r="EGO49" s="316"/>
      <c r="EGP49" s="316"/>
      <c r="EGQ49" s="316"/>
      <c r="EGR49" s="316"/>
      <c r="EGS49" s="316"/>
      <c r="EGT49" s="316"/>
      <c r="EGU49" s="316"/>
      <c r="EGV49" s="316"/>
      <c r="EGW49" s="316"/>
      <c r="EGX49" s="316"/>
      <c r="EGY49" s="316"/>
      <c r="EGZ49" s="316"/>
      <c r="EHA49" s="316"/>
      <c r="EHB49" s="316"/>
      <c r="EHC49" s="316"/>
      <c r="EHD49" s="316"/>
      <c r="EHE49" s="316"/>
      <c r="EHF49" s="316"/>
      <c r="EHG49" s="316"/>
      <c r="EHH49" s="316"/>
      <c r="EHI49" s="316"/>
      <c r="EHJ49" s="316"/>
      <c r="EHK49" s="316"/>
      <c r="EHL49" s="316"/>
      <c r="EHM49" s="316"/>
      <c r="EHN49" s="316"/>
      <c r="EHO49" s="316"/>
      <c r="EHP49" s="316"/>
      <c r="EHQ49" s="316"/>
      <c r="EHR49" s="316"/>
      <c r="EHS49" s="316"/>
      <c r="EHT49" s="316"/>
      <c r="EHU49" s="316"/>
      <c r="EHV49" s="316"/>
      <c r="EHW49" s="316"/>
      <c r="EHX49" s="316"/>
      <c r="EHY49" s="316"/>
      <c r="EHZ49" s="316"/>
      <c r="EIA49" s="316"/>
      <c r="EIB49" s="316"/>
      <c r="EIC49" s="316"/>
      <c r="EID49" s="316"/>
      <c r="EIE49" s="316"/>
      <c r="EIF49" s="316"/>
      <c r="EIG49" s="316"/>
      <c r="EIH49" s="316"/>
      <c r="EII49" s="316"/>
      <c r="EIJ49" s="316"/>
      <c r="EIK49" s="316"/>
      <c r="EIL49" s="316"/>
      <c r="EIM49" s="316"/>
      <c r="EIN49" s="316"/>
      <c r="EIO49" s="316"/>
      <c r="EIP49" s="316"/>
      <c r="EIQ49" s="316"/>
      <c r="EIR49" s="316"/>
      <c r="EIS49" s="316"/>
      <c r="EIT49" s="316"/>
      <c r="EIU49" s="316"/>
      <c r="EIV49" s="316"/>
      <c r="EIW49" s="316"/>
      <c r="EIX49" s="316"/>
      <c r="EIY49" s="316"/>
      <c r="EIZ49" s="316"/>
      <c r="EJA49" s="316"/>
      <c r="EJB49" s="316"/>
      <c r="EJC49" s="316"/>
      <c r="EJD49" s="316"/>
      <c r="EJE49" s="316"/>
      <c r="EJF49" s="316"/>
      <c r="EJG49" s="316"/>
      <c r="EJH49" s="316"/>
      <c r="EJI49" s="316"/>
      <c r="EJJ49" s="316"/>
      <c r="EJK49" s="316"/>
      <c r="EJL49" s="316"/>
      <c r="EJM49" s="316"/>
      <c r="EJN49" s="316"/>
      <c r="EJO49" s="316"/>
      <c r="EJP49" s="316"/>
      <c r="EJQ49" s="316"/>
      <c r="EJR49" s="316"/>
      <c r="EJS49" s="316"/>
      <c r="EJT49" s="316"/>
      <c r="EJU49" s="316"/>
      <c r="EJV49" s="316"/>
      <c r="EJW49" s="316"/>
      <c r="EJX49" s="316"/>
      <c r="EJY49" s="316"/>
      <c r="EJZ49" s="316"/>
      <c r="EKA49" s="316"/>
      <c r="EKB49" s="316"/>
      <c r="EKC49" s="316"/>
      <c r="EKD49" s="316"/>
      <c r="EKE49" s="316"/>
      <c r="EKF49" s="316"/>
      <c r="EKG49" s="316"/>
      <c r="EKH49" s="316"/>
      <c r="EKI49" s="316"/>
      <c r="EKJ49" s="316"/>
      <c r="EKK49" s="316"/>
      <c r="EKL49" s="316"/>
      <c r="EKM49" s="316"/>
      <c r="EKN49" s="316"/>
      <c r="EKO49" s="316"/>
      <c r="EKP49" s="316"/>
      <c r="EKQ49" s="316"/>
      <c r="EKR49" s="316"/>
      <c r="EKS49" s="316"/>
      <c r="EKT49" s="316"/>
      <c r="EKU49" s="316"/>
      <c r="EKV49" s="316"/>
      <c r="EKW49" s="316"/>
      <c r="EKX49" s="316"/>
      <c r="EKY49" s="316"/>
      <c r="EKZ49" s="316"/>
      <c r="ELA49" s="316"/>
      <c r="ELB49" s="316"/>
      <c r="ELC49" s="316"/>
      <c r="ELD49" s="316"/>
      <c r="ELE49" s="316"/>
      <c r="ELF49" s="316"/>
      <c r="ELG49" s="316"/>
      <c r="ELH49" s="316"/>
      <c r="ELI49" s="316"/>
      <c r="ELJ49" s="316"/>
      <c r="ELK49" s="316"/>
      <c r="ELL49" s="316"/>
      <c r="ELM49" s="316"/>
      <c r="ELN49" s="316"/>
      <c r="ELO49" s="316"/>
      <c r="ELP49" s="316"/>
      <c r="ELQ49" s="316"/>
      <c r="ELR49" s="316"/>
      <c r="ELS49" s="316"/>
      <c r="ELT49" s="316"/>
      <c r="ELU49" s="316"/>
      <c r="ELV49" s="316"/>
      <c r="ELW49" s="316"/>
      <c r="ELX49" s="316"/>
      <c r="ELY49" s="316"/>
      <c r="ELZ49" s="316"/>
      <c r="EMA49" s="316"/>
      <c r="EMB49" s="316"/>
      <c r="EMC49" s="316"/>
      <c r="EMD49" s="316"/>
      <c r="EME49" s="316"/>
      <c r="EMF49" s="316"/>
      <c r="EMG49" s="316"/>
      <c r="EMH49" s="316"/>
      <c r="EMI49" s="316"/>
      <c r="EMJ49" s="316"/>
      <c r="EMK49" s="316"/>
      <c r="EML49" s="316"/>
      <c r="EMM49" s="316"/>
      <c r="EMN49" s="316"/>
      <c r="EMO49" s="316"/>
      <c r="EMP49" s="316"/>
      <c r="EMQ49" s="316"/>
      <c r="EMR49" s="316"/>
      <c r="EMS49" s="316"/>
      <c r="EMT49" s="316"/>
      <c r="EMU49" s="316"/>
      <c r="EMV49" s="316"/>
      <c r="EMW49" s="316"/>
      <c r="EMX49" s="316"/>
      <c r="EMY49" s="316"/>
      <c r="EMZ49" s="316"/>
      <c r="ENA49" s="316"/>
      <c r="ENB49" s="316"/>
      <c r="ENC49" s="316"/>
      <c r="END49" s="316"/>
      <c r="ENE49" s="316"/>
      <c r="ENF49" s="316"/>
      <c r="ENG49" s="316"/>
      <c r="ENH49" s="316"/>
      <c r="ENI49" s="316"/>
      <c r="ENJ49" s="316"/>
      <c r="ENK49" s="316"/>
      <c r="ENL49" s="316"/>
      <c r="ENM49" s="316"/>
      <c r="ENN49" s="316"/>
      <c r="ENO49" s="316"/>
      <c r="ENP49" s="316"/>
      <c r="ENQ49" s="316"/>
      <c r="ENR49" s="316"/>
      <c r="ENS49" s="316"/>
      <c r="ENT49" s="316"/>
      <c r="ENU49" s="316"/>
      <c r="ENV49" s="316"/>
      <c r="ENW49" s="316"/>
      <c r="ENX49" s="316"/>
      <c r="ENY49" s="316"/>
      <c r="ENZ49" s="316"/>
      <c r="EOA49" s="316"/>
      <c r="EOB49" s="316"/>
      <c r="EOC49" s="316"/>
      <c r="EOD49" s="316"/>
      <c r="EOE49" s="316"/>
      <c r="EOF49" s="316"/>
      <c r="EOG49" s="316"/>
      <c r="EOH49" s="316"/>
      <c r="EOI49" s="316"/>
      <c r="EOJ49" s="316"/>
      <c r="EOK49" s="316"/>
      <c r="EOL49" s="316"/>
      <c r="EOM49" s="316"/>
      <c r="EON49" s="316"/>
      <c r="EOO49" s="316"/>
      <c r="EOP49" s="316"/>
      <c r="EOQ49" s="316"/>
      <c r="EOR49" s="316"/>
      <c r="EOS49" s="316"/>
      <c r="EOT49" s="316"/>
      <c r="EOU49" s="316"/>
      <c r="EOV49" s="316"/>
      <c r="EOW49" s="316"/>
      <c r="EOX49" s="316"/>
      <c r="EOY49" s="316"/>
      <c r="EOZ49" s="316"/>
      <c r="EPA49" s="316"/>
      <c r="EPB49" s="316"/>
      <c r="EPC49" s="316"/>
      <c r="EPD49" s="316"/>
      <c r="EPE49" s="316"/>
      <c r="EPF49" s="316"/>
      <c r="EPG49" s="316"/>
      <c r="EPH49" s="316"/>
      <c r="EPI49" s="316"/>
      <c r="EPJ49" s="316"/>
      <c r="EPK49" s="316"/>
      <c r="EPL49" s="316"/>
      <c r="EPM49" s="316"/>
      <c r="EPN49" s="316"/>
      <c r="EPO49" s="316"/>
      <c r="EPP49" s="316"/>
      <c r="EPQ49" s="316"/>
      <c r="EPR49" s="316"/>
      <c r="EPS49" s="316"/>
      <c r="EPT49" s="316"/>
      <c r="EPU49" s="316"/>
      <c r="EPV49" s="316"/>
      <c r="EPW49" s="316"/>
      <c r="EPX49" s="316"/>
      <c r="EPY49" s="316"/>
      <c r="EPZ49" s="316"/>
      <c r="EQA49" s="316"/>
      <c r="EQB49" s="316"/>
      <c r="EQC49" s="316"/>
      <c r="EQD49" s="316"/>
      <c r="EQE49" s="316"/>
      <c r="EQF49" s="316"/>
      <c r="EQG49" s="316"/>
      <c r="EQH49" s="316"/>
      <c r="EQI49" s="316"/>
      <c r="EQJ49" s="316"/>
      <c r="EQK49" s="316"/>
      <c r="EQL49" s="316"/>
      <c r="EQM49" s="316"/>
      <c r="EQN49" s="316"/>
      <c r="EQO49" s="316"/>
      <c r="EQP49" s="316"/>
      <c r="EQQ49" s="316"/>
      <c r="EQR49" s="316"/>
      <c r="EQS49" s="316"/>
      <c r="EQT49" s="316"/>
      <c r="EQU49" s="316"/>
      <c r="EQV49" s="316"/>
      <c r="EQW49" s="316"/>
      <c r="EQX49" s="316"/>
      <c r="EQY49" s="316"/>
      <c r="EQZ49" s="316"/>
      <c r="ERA49" s="316"/>
      <c r="ERB49" s="316"/>
      <c r="ERC49" s="316"/>
      <c r="ERD49" s="316"/>
      <c r="ERE49" s="316"/>
      <c r="ERF49" s="316"/>
      <c r="ERG49" s="316"/>
      <c r="ERH49" s="316"/>
      <c r="ERI49" s="316"/>
      <c r="ERJ49" s="316"/>
      <c r="ERK49" s="316"/>
      <c r="ERL49" s="316"/>
      <c r="ERM49" s="316"/>
      <c r="ERN49" s="316"/>
      <c r="ERO49" s="316"/>
      <c r="ERP49" s="316"/>
      <c r="ERQ49" s="316"/>
      <c r="ERR49" s="316"/>
      <c r="ERS49" s="316"/>
      <c r="ERT49" s="316"/>
      <c r="ERU49" s="316"/>
      <c r="ERV49" s="316"/>
      <c r="ERW49" s="316"/>
      <c r="ERX49" s="316"/>
      <c r="ERY49" s="316"/>
      <c r="ERZ49" s="316"/>
      <c r="ESA49" s="316"/>
      <c r="ESB49" s="316"/>
      <c r="ESC49" s="316"/>
      <c r="ESD49" s="316"/>
      <c r="ESE49" s="316"/>
      <c r="ESF49" s="316"/>
      <c r="ESG49" s="316"/>
      <c r="ESH49" s="316"/>
      <c r="ESI49" s="316"/>
      <c r="ESJ49" s="316"/>
      <c r="ESK49" s="316"/>
      <c r="ESL49" s="316"/>
      <c r="ESM49" s="316"/>
      <c r="ESN49" s="316"/>
      <c r="ESO49" s="316"/>
      <c r="ESP49" s="316"/>
      <c r="ESQ49" s="316"/>
      <c r="ESR49" s="316"/>
      <c r="ESS49" s="316"/>
      <c r="EST49" s="316"/>
      <c r="ESU49" s="316"/>
      <c r="ESV49" s="316"/>
      <c r="ESW49" s="316"/>
      <c r="ESX49" s="316"/>
      <c r="ESY49" s="316"/>
      <c r="ESZ49" s="316"/>
      <c r="ETA49" s="316"/>
      <c r="ETB49" s="316"/>
      <c r="ETC49" s="316"/>
      <c r="ETD49" s="316"/>
      <c r="ETE49" s="316"/>
      <c r="ETF49" s="316"/>
      <c r="ETG49" s="316"/>
      <c r="ETH49" s="316"/>
      <c r="ETI49" s="316"/>
      <c r="ETJ49" s="316"/>
      <c r="ETK49" s="316"/>
      <c r="ETL49" s="316"/>
      <c r="ETM49" s="316"/>
      <c r="ETN49" s="316"/>
      <c r="ETO49" s="316"/>
      <c r="ETP49" s="316"/>
      <c r="ETQ49" s="316"/>
      <c r="ETR49" s="316"/>
      <c r="ETS49" s="316"/>
      <c r="ETT49" s="316"/>
      <c r="ETU49" s="316"/>
      <c r="ETV49" s="316"/>
      <c r="ETW49" s="316"/>
      <c r="ETX49" s="316"/>
      <c r="ETY49" s="316"/>
      <c r="ETZ49" s="316"/>
      <c r="EUA49" s="316"/>
      <c r="EUB49" s="316"/>
      <c r="EUC49" s="316"/>
      <c r="EUD49" s="316"/>
      <c r="EUE49" s="316"/>
      <c r="EUF49" s="316"/>
      <c r="EUG49" s="316"/>
      <c r="EUH49" s="316"/>
      <c r="EUI49" s="316"/>
      <c r="EUJ49" s="316"/>
      <c r="EUK49" s="316"/>
      <c r="EUL49" s="316"/>
      <c r="EUM49" s="316"/>
      <c r="EUN49" s="316"/>
      <c r="EUO49" s="316"/>
      <c r="EUP49" s="316"/>
      <c r="EUQ49" s="316"/>
      <c r="EUR49" s="316"/>
      <c r="EUS49" s="316"/>
      <c r="EUT49" s="316"/>
      <c r="EUU49" s="316"/>
      <c r="EUV49" s="316"/>
      <c r="EUW49" s="316"/>
      <c r="EUX49" s="316"/>
      <c r="EUY49" s="316"/>
      <c r="EUZ49" s="316"/>
      <c r="EVA49" s="316"/>
      <c r="EVB49" s="316"/>
      <c r="EVC49" s="316"/>
      <c r="EVD49" s="316"/>
      <c r="EVE49" s="316"/>
      <c r="EVF49" s="316"/>
      <c r="EVG49" s="316"/>
      <c r="EVH49" s="316"/>
      <c r="EVI49" s="316"/>
      <c r="EVJ49" s="316"/>
      <c r="EVK49" s="316"/>
      <c r="EVL49" s="316"/>
      <c r="EVM49" s="316"/>
      <c r="EVN49" s="316"/>
      <c r="EVO49" s="316"/>
      <c r="EVP49" s="316"/>
      <c r="EVQ49" s="316"/>
      <c r="EVR49" s="316"/>
      <c r="EVS49" s="316"/>
      <c r="EVT49" s="316"/>
      <c r="EVU49" s="316"/>
      <c r="EVV49" s="316"/>
      <c r="EVW49" s="316"/>
      <c r="EVX49" s="316"/>
      <c r="EVY49" s="316"/>
      <c r="EVZ49" s="316"/>
      <c r="EWA49" s="316"/>
      <c r="EWB49" s="316"/>
      <c r="EWC49" s="316"/>
      <c r="EWD49" s="316"/>
      <c r="EWE49" s="316"/>
      <c r="EWF49" s="316"/>
      <c r="EWG49" s="316"/>
      <c r="EWH49" s="316"/>
      <c r="EWI49" s="316"/>
      <c r="EWJ49" s="316"/>
      <c r="EWK49" s="316"/>
      <c r="EWL49" s="316"/>
      <c r="EWM49" s="316"/>
      <c r="EWN49" s="316"/>
      <c r="EWO49" s="316"/>
      <c r="EWP49" s="316"/>
      <c r="EWQ49" s="316"/>
      <c r="EWR49" s="316"/>
      <c r="EWS49" s="316"/>
      <c r="EWT49" s="316"/>
      <c r="EWU49" s="316"/>
      <c r="EWV49" s="316"/>
      <c r="EWW49" s="316"/>
      <c r="EWX49" s="316"/>
      <c r="EWY49" s="316"/>
      <c r="EWZ49" s="316"/>
      <c r="EXA49" s="316"/>
      <c r="EXB49" s="316"/>
      <c r="EXC49" s="316"/>
      <c r="EXD49" s="316"/>
      <c r="EXE49" s="316"/>
      <c r="EXF49" s="316"/>
      <c r="EXG49" s="316"/>
      <c r="EXH49" s="316"/>
      <c r="EXI49" s="316"/>
      <c r="EXJ49" s="316"/>
      <c r="EXK49" s="316"/>
      <c r="EXL49" s="316"/>
      <c r="EXM49" s="316"/>
      <c r="EXN49" s="316"/>
      <c r="EXO49" s="316"/>
      <c r="EXP49" s="316"/>
      <c r="EXQ49" s="316"/>
      <c r="EXR49" s="316"/>
      <c r="EXS49" s="316"/>
      <c r="EXT49" s="316"/>
      <c r="EXU49" s="316"/>
      <c r="EXV49" s="316"/>
      <c r="EXW49" s="316"/>
      <c r="EXX49" s="316"/>
      <c r="EXY49" s="316"/>
      <c r="EXZ49" s="316"/>
      <c r="EYA49" s="316"/>
      <c r="EYB49" s="316"/>
      <c r="EYC49" s="316"/>
      <c r="EYD49" s="316"/>
      <c r="EYE49" s="316"/>
      <c r="EYF49" s="316"/>
      <c r="EYG49" s="316"/>
      <c r="EYH49" s="316"/>
      <c r="EYI49" s="316"/>
      <c r="EYJ49" s="316"/>
      <c r="EYK49" s="316"/>
      <c r="EYL49" s="316"/>
      <c r="EYM49" s="316"/>
      <c r="EYN49" s="316"/>
      <c r="EYO49" s="316"/>
      <c r="EYP49" s="316"/>
      <c r="EYQ49" s="316"/>
      <c r="EYR49" s="316"/>
      <c r="EYS49" s="316"/>
      <c r="EYT49" s="316"/>
      <c r="EYU49" s="316"/>
      <c r="EYV49" s="316"/>
      <c r="EYW49" s="316"/>
      <c r="EYX49" s="316"/>
      <c r="EYY49" s="316"/>
      <c r="EYZ49" s="316"/>
      <c r="EZA49" s="316"/>
      <c r="EZB49" s="316"/>
      <c r="EZC49" s="316"/>
      <c r="EZD49" s="316"/>
      <c r="EZE49" s="316"/>
      <c r="EZF49" s="316"/>
      <c r="EZG49" s="316"/>
      <c r="EZH49" s="316"/>
      <c r="EZI49" s="316"/>
      <c r="EZJ49" s="316"/>
      <c r="EZK49" s="316"/>
      <c r="EZL49" s="316"/>
      <c r="EZM49" s="316"/>
      <c r="EZN49" s="316"/>
      <c r="EZO49" s="316"/>
      <c r="EZP49" s="316"/>
      <c r="EZQ49" s="316"/>
      <c r="EZR49" s="316"/>
      <c r="EZS49" s="316"/>
      <c r="EZT49" s="316"/>
      <c r="EZU49" s="316"/>
      <c r="EZV49" s="316"/>
      <c r="EZW49" s="316"/>
      <c r="EZX49" s="316"/>
      <c r="EZY49" s="316"/>
      <c r="EZZ49" s="316"/>
      <c r="FAA49" s="316"/>
      <c r="FAB49" s="316"/>
      <c r="FAC49" s="316"/>
      <c r="FAD49" s="316"/>
      <c r="FAE49" s="316"/>
      <c r="FAF49" s="316"/>
      <c r="FAG49" s="316"/>
      <c r="FAH49" s="316"/>
      <c r="FAI49" s="316"/>
      <c r="FAJ49" s="316"/>
      <c r="FAK49" s="316"/>
      <c r="FAL49" s="316"/>
      <c r="FAM49" s="316"/>
      <c r="FAN49" s="316"/>
      <c r="FAO49" s="316"/>
      <c r="FAP49" s="316"/>
      <c r="FAQ49" s="316"/>
      <c r="FAR49" s="316"/>
      <c r="FAS49" s="316"/>
      <c r="FAT49" s="316"/>
      <c r="FAU49" s="316"/>
      <c r="FAV49" s="316"/>
      <c r="FAW49" s="316"/>
      <c r="FAX49" s="316"/>
      <c r="FAY49" s="316"/>
      <c r="FAZ49" s="316"/>
      <c r="FBA49" s="316"/>
      <c r="FBB49" s="316"/>
      <c r="FBC49" s="316"/>
      <c r="FBD49" s="316"/>
      <c r="FBE49" s="316"/>
      <c r="FBF49" s="316"/>
      <c r="FBG49" s="316"/>
      <c r="FBH49" s="316"/>
      <c r="FBI49" s="316"/>
      <c r="FBJ49" s="316"/>
      <c r="FBK49" s="316"/>
      <c r="FBL49" s="316"/>
      <c r="FBM49" s="316"/>
      <c r="FBN49" s="316"/>
      <c r="FBO49" s="316"/>
      <c r="FBP49" s="316"/>
      <c r="FBQ49" s="316"/>
      <c r="FBR49" s="316"/>
      <c r="FBS49" s="316"/>
      <c r="FBT49" s="316"/>
      <c r="FBU49" s="316"/>
      <c r="FBV49" s="316"/>
      <c r="FBW49" s="316"/>
      <c r="FBX49" s="316"/>
      <c r="FBY49" s="316"/>
      <c r="FBZ49" s="316"/>
      <c r="FCA49" s="316"/>
      <c r="FCB49" s="316"/>
      <c r="FCC49" s="316"/>
      <c r="FCD49" s="316"/>
      <c r="FCE49" s="316"/>
      <c r="FCF49" s="316"/>
      <c r="FCG49" s="316"/>
      <c r="FCH49" s="316"/>
      <c r="FCI49" s="316"/>
      <c r="FCJ49" s="316"/>
      <c r="FCK49" s="316"/>
      <c r="FCL49" s="316"/>
      <c r="FCM49" s="316"/>
      <c r="FCN49" s="316"/>
      <c r="FCO49" s="316"/>
      <c r="FCP49" s="316"/>
      <c r="FCQ49" s="316"/>
      <c r="FCR49" s="316"/>
      <c r="FCS49" s="316"/>
      <c r="FCT49" s="316"/>
      <c r="FCU49" s="316"/>
      <c r="FCV49" s="316"/>
      <c r="FCW49" s="316"/>
      <c r="FCX49" s="316"/>
      <c r="FCY49" s="316"/>
      <c r="FCZ49" s="316"/>
      <c r="FDA49" s="316"/>
      <c r="FDB49" s="316"/>
      <c r="FDC49" s="316"/>
      <c r="FDD49" s="316"/>
      <c r="FDE49" s="316"/>
      <c r="FDF49" s="316"/>
      <c r="FDG49" s="316"/>
      <c r="FDH49" s="316"/>
      <c r="FDI49" s="316"/>
      <c r="FDJ49" s="316"/>
      <c r="FDK49" s="316"/>
      <c r="FDL49" s="316"/>
      <c r="FDM49" s="316"/>
      <c r="FDN49" s="316"/>
      <c r="FDO49" s="316"/>
      <c r="FDP49" s="316"/>
      <c r="FDQ49" s="316"/>
      <c r="FDR49" s="316"/>
      <c r="FDS49" s="316"/>
      <c r="FDT49" s="316"/>
      <c r="FDU49" s="316"/>
      <c r="FDV49" s="316"/>
      <c r="FDW49" s="316"/>
      <c r="FDX49" s="316"/>
      <c r="FDY49" s="316"/>
      <c r="FDZ49" s="316"/>
      <c r="FEA49" s="316"/>
      <c r="FEB49" s="316"/>
      <c r="FEC49" s="316"/>
      <c r="FED49" s="316"/>
      <c r="FEE49" s="316"/>
      <c r="FEF49" s="316"/>
      <c r="FEG49" s="316"/>
      <c r="FEH49" s="316"/>
      <c r="FEI49" s="316"/>
      <c r="FEJ49" s="316"/>
      <c r="FEK49" s="316"/>
      <c r="FEL49" s="316"/>
      <c r="FEM49" s="316"/>
      <c r="FEN49" s="316"/>
      <c r="FEO49" s="316"/>
      <c r="FEP49" s="316"/>
      <c r="FEQ49" s="316"/>
      <c r="FER49" s="316"/>
      <c r="FES49" s="316"/>
      <c r="FET49" s="316"/>
      <c r="FEU49" s="316"/>
      <c r="FEV49" s="316"/>
      <c r="FEW49" s="316"/>
      <c r="FEX49" s="316"/>
      <c r="FEY49" s="316"/>
      <c r="FEZ49" s="316"/>
      <c r="FFA49" s="316"/>
      <c r="FFB49" s="316"/>
      <c r="FFC49" s="316"/>
      <c r="FFD49" s="316"/>
      <c r="FFE49" s="316"/>
      <c r="FFF49" s="316"/>
      <c r="FFG49" s="316"/>
      <c r="FFH49" s="316"/>
      <c r="FFI49" s="316"/>
      <c r="FFJ49" s="316"/>
      <c r="FFK49" s="316"/>
      <c r="FFL49" s="316"/>
      <c r="FFM49" s="316"/>
      <c r="FFN49" s="316"/>
      <c r="FFO49" s="316"/>
      <c r="FFP49" s="316"/>
      <c r="FFQ49" s="316"/>
      <c r="FFR49" s="316"/>
      <c r="FFS49" s="316"/>
      <c r="FFT49" s="316"/>
      <c r="FFU49" s="316"/>
      <c r="FFV49" s="316"/>
      <c r="FFW49" s="316"/>
      <c r="FFX49" s="316"/>
      <c r="FFY49" s="316"/>
      <c r="FFZ49" s="316"/>
      <c r="FGA49" s="316"/>
      <c r="FGB49" s="316"/>
      <c r="FGC49" s="316"/>
      <c r="FGD49" s="316"/>
      <c r="FGE49" s="316"/>
      <c r="FGF49" s="316"/>
      <c r="FGG49" s="316"/>
      <c r="FGH49" s="316"/>
      <c r="FGI49" s="316"/>
      <c r="FGJ49" s="316"/>
      <c r="FGK49" s="316"/>
      <c r="FGL49" s="316"/>
      <c r="FGM49" s="316"/>
      <c r="FGN49" s="316"/>
      <c r="FGO49" s="316"/>
      <c r="FGP49" s="316"/>
      <c r="FGQ49" s="316"/>
      <c r="FGR49" s="316"/>
      <c r="FGS49" s="316"/>
      <c r="FGT49" s="316"/>
      <c r="FGU49" s="316"/>
      <c r="FGV49" s="316"/>
      <c r="FGW49" s="316"/>
      <c r="FGX49" s="316"/>
      <c r="FGY49" s="316"/>
      <c r="FGZ49" s="316"/>
      <c r="FHA49" s="316"/>
      <c r="FHB49" s="316"/>
      <c r="FHC49" s="316"/>
      <c r="FHD49" s="316"/>
      <c r="FHE49" s="316"/>
      <c r="FHF49" s="316"/>
      <c r="FHG49" s="316"/>
      <c r="FHH49" s="316"/>
      <c r="FHI49" s="316"/>
      <c r="FHJ49" s="316"/>
      <c r="FHK49" s="316"/>
      <c r="FHL49" s="316"/>
      <c r="FHM49" s="316"/>
      <c r="FHN49" s="316"/>
      <c r="FHO49" s="316"/>
      <c r="FHP49" s="316"/>
      <c r="FHQ49" s="316"/>
      <c r="FHR49" s="316"/>
      <c r="FHS49" s="316"/>
      <c r="FHT49" s="316"/>
      <c r="FHU49" s="316"/>
      <c r="FHV49" s="316"/>
      <c r="FHW49" s="316"/>
      <c r="FHX49" s="316"/>
      <c r="FHY49" s="316"/>
      <c r="FHZ49" s="316"/>
      <c r="FIA49" s="316"/>
      <c r="FIB49" s="316"/>
      <c r="FIC49" s="316"/>
      <c r="FID49" s="316"/>
      <c r="FIE49" s="316"/>
      <c r="FIF49" s="316"/>
      <c r="FIG49" s="316"/>
      <c r="FIH49" s="316"/>
      <c r="FII49" s="316"/>
      <c r="FIJ49" s="316"/>
      <c r="FIK49" s="316"/>
      <c r="FIL49" s="316"/>
      <c r="FIM49" s="316"/>
      <c r="FIN49" s="316"/>
      <c r="FIO49" s="316"/>
      <c r="FIP49" s="316"/>
      <c r="FIQ49" s="316"/>
      <c r="FIR49" s="316"/>
      <c r="FIS49" s="316"/>
      <c r="FIT49" s="316"/>
      <c r="FIU49" s="316"/>
      <c r="FIV49" s="316"/>
      <c r="FIW49" s="316"/>
      <c r="FIX49" s="316"/>
      <c r="FIY49" s="316"/>
      <c r="FIZ49" s="316"/>
      <c r="FJA49" s="316"/>
      <c r="FJB49" s="316"/>
      <c r="FJC49" s="316"/>
      <c r="FJD49" s="316"/>
      <c r="FJE49" s="316"/>
      <c r="FJF49" s="316"/>
      <c r="FJG49" s="316"/>
      <c r="FJH49" s="316"/>
      <c r="FJI49" s="316"/>
      <c r="FJJ49" s="316"/>
      <c r="FJK49" s="316"/>
      <c r="FJL49" s="316"/>
      <c r="FJM49" s="316"/>
      <c r="FJN49" s="316"/>
      <c r="FJO49" s="316"/>
      <c r="FJP49" s="316"/>
      <c r="FJQ49" s="316"/>
      <c r="FJR49" s="316"/>
      <c r="FJS49" s="316"/>
      <c r="FJT49" s="316"/>
      <c r="FJU49" s="316"/>
      <c r="FJV49" s="316"/>
      <c r="FJW49" s="316"/>
      <c r="FJX49" s="316"/>
      <c r="FJY49" s="316"/>
      <c r="FJZ49" s="316"/>
      <c r="FKA49" s="316"/>
      <c r="FKB49" s="316"/>
      <c r="FKC49" s="316"/>
      <c r="FKD49" s="316"/>
      <c r="FKE49" s="316"/>
      <c r="FKF49" s="316"/>
      <c r="FKG49" s="316"/>
      <c r="FKH49" s="316"/>
      <c r="FKI49" s="316"/>
      <c r="FKJ49" s="316"/>
      <c r="FKK49" s="316"/>
      <c r="FKL49" s="316"/>
      <c r="FKM49" s="316"/>
      <c r="FKN49" s="316"/>
      <c r="FKO49" s="316"/>
      <c r="FKP49" s="316"/>
      <c r="FKQ49" s="316"/>
      <c r="FKR49" s="316"/>
      <c r="FKS49" s="316"/>
      <c r="FKT49" s="316"/>
      <c r="FKU49" s="316"/>
      <c r="FKV49" s="316"/>
      <c r="FKW49" s="316"/>
      <c r="FKX49" s="316"/>
      <c r="FKY49" s="316"/>
      <c r="FKZ49" s="316"/>
      <c r="FLA49" s="316"/>
      <c r="FLB49" s="316"/>
      <c r="FLC49" s="316"/>
      <c r="FLD49" s="316"/>
      <c r="FLE49" s="316"/>
      <c r="FLF49" s="316"/>
      <c r="FLG49" s="316"/>
      <c r="FLH49" s="316"/>
      <c r="FLI49" s="316"/>
      <c r="FLJ49" s="316"/>
      <c r="FLK49" s="316"/>
      <c r="FLL49" s="316"/>
      <c r="FLM49" s="316"/>
      <c r="FLN49" s="316"/>
      <c r="FLO49" s="316"/>
      <c r="FLP49" s="316"/>
      <c r="FLQ49" s="316"/>
      <c r="FLR49" s="316"/>
      <c r="FLS49" s="316"/>
      <c r="FLT49" s="316"/>
      <c r="FLU49" s="316"/>
      <c r="FLV49" s="316"/>
      <c r="FLW49" s="316"/>
      <c r="FLX49" s="316"/>
      <c r="FLY49" s="316"/>
      <c r="FLZ49" s="316"/>
      <c r="FMA49" s="316"/>
      <c r="FMB49" s="316"/>
      <c r="FMC49" s="316"/>
      <c r="FMD49" s="316"/>
      <c r="FME49" s="316"/>
      <c r="FMF49" s="316"/>
      <c r="FMG49" s="316"/>
      <c r="FMH49" s="316"/>
      <c r="FMI49" s="316"/>
      <c r="FMJ49" s="316"/>
      <c r="FMK49" s="316"/>
      <c r="FML49" s="316"/>
      <c r="FMM49" s="316"/>
      <c r="FMN49" s="316"/>
      <c r="FMO49" s="316"/>
      <c r="FMP49" s="316"/>
      <c r="FMQ49" s="316"/>
      <c r="FMR49" s="316"/>
      <c r="FMS49" s="316"/>
      <c r="FMT49" s="316"/>
      <c r="FMU49" s="316"/>
      <c r="FMV49" s="316"/>
      <c r="FMW49" s="316"/>
      <c r="FMX49" s="316"/>
      <c r="FMY49" s="316"/>
      <c r="FMZ49" s="316"/>
      <c r="FNA49" s="316"/>
      <c r="FNB49" s="316"/>
      <c r="FNC49" s="316"/>
      <c r="FND49" s="316"/>
      <c r="FNE49" s="316"/>
      <c r="FNF49" s="316"/>
      <c r="FNG49" s="316"/>
      <c r="FNH49" s="316"/>
      <c r="FNI49" s="316"/>
      <c r="FNJ49" s="316"/>
      <c r="FNK49" s="316"/>
      <c r="FNL49" s="316"/>
      <c r="FNM49" s="316"/>
      <c r="FNN49" s="316"/>
      <c r="FNO49" s="316"/>
      <c r="FNP49" s="316"/>
      <c r="FNQ49" s="316"/>
      <c r="FNR49" s="316"/>
      <c r="FNS49" s="316"/>
      <c r="FNT49" s="316"/>
      <c r="FNU49" s="316"/>
      <c r="FNV49" s="316"/>
      <c r="FNW49" s="316"/>
      <c r="FNX49" s="316"/>
      <c r="FNY49" s="316"/>
      <c r="FNZ49" s="316"/>
      <c r="FOA49" s="316"/>
      <c r="FOB49" s="316"/>
      <c r="FOC49" s="316"/>
      <c r="FOD49" s="316"/>
      <c r="FOE49" s="316"/>
      <c r="FOF49" s="316"/>
      <c r="FOG49" s="316"/>
      <c r="FOH49" s="316"/>
      <c r="FOI49" s="316"/>
      <c r="FOJ49" s="316"/>
      <c r="FOK49" s="316"/>
      <c r="FOL49" s="316"/>
      <c r="FOM49" s="316"/>
      <c r="FON49" s="316"/>
      <c r="FOO49" s="316"/>
      <c r="FOP49" s="316"/>
      <c r="FOQ49" s="316"/>
      <c r="FOR49" s="316"/>
      <c r="FOS49" s="316"/>
      <c r="FOT49" s="316"/>
      <c r="FOU49" s="316"/>
      <c r="FOV49" s="316"/>
      <c r="FOW49" s="316"/>
      <c r="FOX49" s="316"/>
      <c r="FOY49" s="316"/>
      <c r="FOZ49" s="316"/>
      <c r="FPA49" s="316"/>
      <c r="FPB49" s="316"/>
      <c r="FPC49" s="316"/>
      <c r="FPD49" s="316"/>
      <c r="FPE49" s="316"/>
      <c r="FPF49" s="316"/>
      <c r="FPG49" s="316"/>
      <c r="FPH49" s="316"/>
      <c r="FPI49" s="316"/>
      <c r="FPJ49" s="316"/>
      <c r="FPK49" s="316"/>
      <c r="FPL49" s="316"/>
      <c r="FPM49" s="316"/>
      <c r="FPN49" s="316"/>
      <c r="FPO49" s="316"/>
      <c r="FPP49" s="316"/>
      <c r="FPQ49" s="316"/>
      <c r="FPR49" s="316"/>
      <c r="FPS49" s="316"/>
      <c r="FPT49" s="316"/>
      <c r="FPU49" s="316"/>
      <c r="FPV49" s="316"/>
      <c r="FPW49" s="316"/>
      <c r="FPX49" s="316"/>
      <c r="FPY49" s="316"/>
      <c r="FPZ49" s="316"/>
      <c r="FQA49" s="316"/>
      <c r="FQB49" s="316"/>
      <c r="FQC49" s="316"/>
      <c r="FQD49" s="316"/>
      <c r="FQE49" s="316"/>
      <c r="FQF49" s="316"/>
      <c r="FQG49" s="316"/>
      <c r="FQH49" s="316"/>
      <c r="FQI49" s="316"/>
      <c r="FQJ49" s="316"/>
      <c r="FQK49" s="316"/>
      <c r="FQL49" s="316"/>
      <c r="FQM49" s="316"/>
      <c r="FQN49" s="316"/>
      <c r="FQO49" s="316"/>
      <c r="FQP49" s="316"/>
      <c r="FQQ49" s="316"/>
      <c r="FQR49" s="316"/>
      <c r="FQS49" s="316"/>
      <c r="FQT49" s="316"/>
      <c r="FQU49" s="316"/>
      <c r="FQV49" s="316"/>
      <c r="FQW49" s="316"/>
      <c r="FQX49" s="316"/>
      <c r="FQY49" s="316"/>
      <c r="FQZ49" s="316"/>
      <c r="FRA49" s="316"/>
      <c r="FRB49" s="316"/>
      <c r="FRC49" s="316"/>
      <c r="FRD49" s="316"/>
      <c r="FRE49" s="316"/>
      <c r="FRF49" s="316"/>
      <c r="FRG49" s="316"/>
      <c r="FRH49" s="316"/>
      <c r="FRI49" s="316"/>
      <c r="FRJ49" s="316"/>
      <c r="FRK49" s="316"/>
      <c r="FRL49" s="316"/>
      <c r="FRM49" s="316"/>
      <c r="FRN49" s="316"/>
      <c r="FRO49" s="316"/>
      <c r="FRP49" s="316"/>
      <c r="FRQ49" s="316"/>
      <c r="FRR49" s="316"/>
      <c r="FRS49" s="316"/>
      <c r="FRT49" s="316"/>
      <c r="FRU49" s="316"/>
      <c r="FRV49" s="316"/>
      <c r="FRW49" s="316"/>
      <c r="FRX49" s="316"/>
      <c r="FRY49" s="316"/>
      <c r="FRZ49" s="316"/>
      <c r="FSA49" s="316"/>
      <c r="FSB49" s="316"/>
      <c r="FSC49" s="316"/>
      <c r="FSD49" s="316"/>
      <c r="FSE49" s="316"/>
      <c r="FSF49" s="316"/>
      <c r="FSG49" s="316"/>
      <c r="FSH49" s="316"/>
      <c r="FSI49" s="316"/>
      <c r="FSJ49" s="316"/>
      <c r="FSK49" s="316"/>
      <c r="FSL49" s="316"/>
      <c r="FSM49" s="316"/>
      <c r="FSN49" s="316"/>
      <c r="FSO49" s="316"/>
      <c r="FSP49" s="316"/>
      <c r="FSQ49" s="316"/>
      <c r="FSR49" s="316"/>
      <c r="FSS49" s="316"/>
      <c r="FST49" s="316"/>
      <c r="FSU49" s="316"/>
      <c r="FSV49" s="316"/>
      <c r="FSW49" s="316"/>
      <c r="FSX49" s="316"/>
      <c r="FSY49" s="316"/>
      <c r="FSZ49" s="316"/>
      <c r="FTA49" s="316"/>
      <c r="FTB49" s="316"/>
      <c r="FTC49" s="316"/>
      <c r="FTD49" s="316"/>
      <c r="FTE49" s="316"/>
      <c r="FTF49" s="316"/>
      <c r="FTG49" s="316"/>
      <c r="FTH49" s="316"/>
      <c r="FTI49" s="316"/>
      <c r="FTJ49" s="316"/>
      <c r="FTK49" s="316"/>
      <c r="FTL49" s="316"/>
      <c r="FTM49" s="316"/>
      <c r="FTN49" s="316"/>
      <c r="FTO49" s="316"/>
      <c r="FTP49" s="316"/>
      <c r="FTQ49" s="316"/>
      <c r="FTR49" s="316"/>
      <c r="FTS49" s="316"/>
      <c r="FTT49" s="316"/>
      <c r="FTU49" s="316"/>
      <c r="FTV49" s="316"/>
      <c r="FTW49" s="316"/>
      <c r="FTX49" s="316"/>
      <c r="FTY49" s="316"/>
      <c r="FTZ49" s="316"/>
      <c r="FUA49" s="316"/>
      <c r="FUB49" s="316"/>
      <c r="FUC49" s="316"/>
      <c r="FUD49" s="316"/>
      <c r="FUE49" s="316"/>
      <c r="FUF49" s="316"/>
      <c r="FUG49" s="316"/>
      <c r="FUH49" s="316"/>
      <c r="FUI49" s="316"/>
      <c r="FUJ49" s="316"/>
      <c r="FUK49" s="316"/>
      <c r="FUL49" s="316"/>
      <c r="FUM49" s="316"/>
      <c r="FUN49" s="316"/>
      <c r="FUO49" s="316"/>
      <c r="FUP49" s="316"/>
      <c r="FUQ49" s="316"/>
      <c r="FUR49" s="316"/>
      <c r="FUS49" s="316"/>
      <c r="FUT49" s="316"/>
      <c r="FUU49" s="316"/>
      <c r="FUV49" s="316"/>
      <c r="FUW49" s="316"/>
      <c r="FUX49" s="316"/>
      <c r="FUY49" s="316"/>
      <c r="FUZ49" s="316"/>
      <c r="FVA49" s="316"/>
      <c r="FVB49" s="316"/>
      <c r="FVC49" s="316"/>
      <c r="FVD49" s="316"/>
      <c r="FVE49" s="316"/>
      <c r="FVF49" s="316"/>
      <c r="FVG49" s="316"/>
      <c r="FVH49" s="316"/>
      <c r="FVI49" s="316"/>
      <c r="FVJ49" s="316"/>
      <c r="FVK49" s="316"/>
      <c r="FVL49" s="316"/>
      <c r="FVM49" s="316"/>
      <c r="FVN49" s="316"/>
      <c r="FVO49" s="316"/>
      <c r="FVP49" s="316"/>
      <c r="FVQ49" s="316"/>
      <c r="FVR49" s="316"/>
      <c r="FVS49" s="316"/>
      <c r="FVT49" s="316"/>
      <c r="FVU49" s="316"/>
      <c r="FVV49" s="316"/>
      <c r="FVW49" s="316"/>
      <c r="FVX49" s="316"/>
      <c r="FVY49" s="316"/>
      <c r="FVZ49" s="316"/>
      <c r="FWA49" s="316"/>
      <c r="FWB49" s="316"/>
      <c r="FWC49" s="316"/>
      <c r="FWD49" s="316"/>
      <c r="FWE49" s="316"/>
      <c r="FWF49" s="316"/>
      <c r="FWG49" s="316"/>
      <c r="FWH49" s="316"/>
      <c r="FWI49" s="316"/>
      <c r="FWJ49" s="316"/>
      <c r="FWK49" s="316"/>
      <c r="FWL49" s="316"/>
      <c r="FWM49" s="316"/>
      <c r="FWN49" s="316"/>
      <c r="FWO49" s="316"/>
      <c r="FWP49" s="316"/>
      <c r="FWQ49" s="316"/>
      <c r="FWR49" s="316"/>
      <c r="FWS49" s="316"/>
      <c r="FWT49" s="316"/>
      <c r="FWU49" s="316"/>
      <c r="FWV49" s="316"/>
      <c r="FWW49" s="316"/>
      <c r="FWX49" s="316"/>
      <c r="FWY49" s="316"/>
      <c r="FWZ49" s="316"/>
      <c r="FXA49" s="316"/>
      <c r="FXB49" s="316"/>
      <c r="FXC49" s="316"/>
      <c r="FXD49" s="316"/>
      <c r="FXE49" s="316"/>
      <c r="FXF49" s="316"/>
      <c r="FXG49" s="316"/>
      <c r="FXH49" s="316"/>
      <c r="FXI49" s="316"/>
      <c r="FXJ49" s="316"/>
      <c r="FXK49" s="316"/>
      <c r="FXL49" s="316"/>
      <c r="FXM49" s="316"/>
      <c r="FXN49" s="316"/>
      <c r="FXO49" s="316"/>
      <c r="FXP49" s="316"/>
      <c r="FXQ49" s="316"/>
      <c r="FXR49" s="316"/>
      <c r="FXS49" s="316"/>
      <c r="FXT49" s="316"/>
      <c r="FXU49" s="316"/>
      <c r="FXV49" s="316"/>
      <c r="FXW49" s="316"/>
      <c r="FXX49" s="316"/>
      <c r="FXY49" s="316"/>
      <c r="FXZ49" s="316"/>
      <c r="FYA49" s="316"/>
      <c r="FYB49" s="316"/>
      <c r="FYC49" s="316"/>
      <c r="FYD49" s="316"/>
      <c r="FYE49" s="316"/>
      <c r="FYF49" s="316"/>
      <c r="FYG49" s="316"/>
      <c r="FYH49" s="316"/>
      <c r="FYI49" s="316"/>
      <c r="FYJ49" s="316"/>
      <c r="FYK49" s="316"/>
      <c r="FYL49" s="316"/>
      <c r="FYM49" s="316"/>
      <c r="FYN49" s="316"/>
      <c r="FYO49" s="316"/>
      <c r="FYP49" s="316"/>
      <c r="FYQ49" s="316"/>
      <c r="FYR49" s="316"/>
      <c r="FYS49" s="316"/>
      <c r="FYT49" s="316"/>
      <c r="FYU49" s="316"/>
      <c r="FYV49" s="316"/>
      <c r="FYW49" s="316"/>
      <c r="FYX49" s="316"/>
      <c r="FYY49" s="316"/>
      <c r="FYZ49" s="316"/>
      <c r="FZA49" s="316"/>
      <c r="FZB49" s="316"/>
      <c r="FZC49" s="316"/>
      <c r="FZD49" s="316"/>
      <c r="FZE49" s="316"/>
      <c r="FZF49" s="316"/>
      <c r="FZG49" s="316"/>
      <c r="FZH49" s="316"/>
      <c r="FZI49" s="316"/>
      <c r="FZJ49" s="316"/>
      <c r="FZK49" s="316"/>
      <c r="FZL49" s="316"/>
      <c r="FZM49" s="316"/>
      <c r="FZN49" s="316"/>
      <c r="FZO49" s="316"/>
      <c r="FZP49" s="316"/>
      <c r="FZQ49" s="316"/>
      <c r="FZR49" s="316"/>
      <c r="FZS49" s="316"/>
      <c r="FZT49" s="316"/>
      <c r="FZU49" s="316"/>
      <c r="FZV49" s="316"/>
      <c r="FZW49" s="316"/>
      <c r="FZX49" s="316"/>
      <c r="FZY49" s="316"/>
      <c r="FZZ49" s="316"/>
      <c r="GAA49" s="316"/>
      <c r="GAB49" s="316"/>
      <c r="GAC49" s="316"/>
      <c r="GAD49" s="316"/>
      <c r="GAE49" s="316"/>
      <c r="GAF49" s="316"/>
      <c r="GAG49" s="316"/>
      <c r="GAH49" s="316"/>
      <c r="GAI49" s="316"/>
      <c r="GAJ49" s="316"/>
      <c r="GAK49" s="316"/>
      <c r="GAL49" s="316"/>
      <c r="GAM49" s="316"/>
      <c r="GAN49" s="316"/>
      <c r="GAO49" s="316"/>
      <c r="GAP49" s="316"/>
      <c r="GAQ49" s="316"/>
      <c r="GAR49" s="316"/>
      <c r="GAS49" s="316"/>
      <c r="GAT49" s="316"/>
      <c r="GAU49" s="316"/>
      <c r="GAV49" s="316"/>
      <c r="GAW49" s="316"/>
      <c r="GAX49" s="316"/>
      <c r="GAY49" s="316"/>
      <c r="GAZ49" s="316"/>
      <c r="GBA49" s="316"/>
      <c r="GBB49" s="316"/>
      <c r="GBC49" s="316"/>
      <c r="GBD49" s="316"/>
      <c r="GBE49" s="316"/>
      <c r="GBF49" s="316"/>
      <c r="GBG49" s="316"/>
      <c r="GBH49" s="316"/>
      <c r="GBI49" s="316"/>
      <c r="GBJ49" s="316"/>
      <c r="GBK49" s="316"/>
      <c r="GBL49" s="316"/>
      <c r="GBM49" s="316"/>
      <c r="GBN49" s="316"/>
      <c r="GBO49" s="316"/>
      <c r="GBP49" s="316"/>
      <c r="GBQ49" s="316"/>
      <c r="GBR49" s="316"/>
      <c r="GBS49" s="316"/>
      <c r="GBT49" s="316"/>
      <c r="GBU49" s="316"/>
      <c r="GBV49" s="316"/>
      <c r="GBW49" s="316"/>
      <c r="GBX49" s="316"/>
      <c r="GBY49" s="316"/>
      <c r="GBZ49" s="316"/>
      <c r="GCA49" s="316"/>
      <c r="GCB49" s="316"/>
      <c r="GCC49" s="316"/>
      <c r="GCD49" s="316"/>
      <c r="GCE49" s="316"/>
      <c r="GCF49" s="316"/>
      <c r="GCG49" s="316"/>
      <c r="GCH49" s="316"/>
      <c r="GCI49" s="316"/>
      <c r="GCJ49" s="316"/>
      <c r="GCK49" s="316"/>
      <c r="GCL49" s="316"/>
      <c r="GCM49" s="316"/>
      <c r="GCN49" s="316"/>
      <c r="GCO49" s="316"/>
      <c r="GCP49" s="316"/>
      <c r="GCQ49" s="316"/>
      <c r="GCR49" s="316"/>
      <c r="GCS49" s="316"/>
      <c r="GCT49" s="316"/>
      <c r="GCU49" s="316"/>
      <c r="GCV49" s="316"/>
      <c r="GCW49" s="316"/>
      <c r="GCX49" s="316"/>
      <c r="GCY49" s="316"/>
      <c r="GCZ49" s="316"/>
      <c r="GDA49" s="316"/>
      <c r="GDB49" s="316"/>
      <c r="GDC49" s="316"/>
      <c r="GDD49" s="316"/>
      <c r="GDE49" s="316"/>
      <c r="GDF49" s="316"/>
      <c r="GDG49" s="316"/>
      <c r="GDH49" s="316"/>
      <c r="GDI49" s="316"/>
      <c r="GDJ49" s="316"/>
      <c r="GDK49" s="316"/>
      <c r="GDL49" s="316"/>
      <c r="GDM49" s="316"/>
      <c r="GDN49" s="316"/>
      <c r="GDO49" s="316"/>
      <c r="GDP49" s="316"/>
      <c r="GDQ49" s="316"/>
      <c r="GDR49" s="316"/>
      <c r="GDS49" s="316"/>
      <c r="GDT49" s="316"/>
      <c r="GDU49" s="316"/>
      <c r="GDV49" s="316"/>
      <c r="GDW49" s="316"/>
      <c r="GDX49" s="316"/>
      <c r="GDY49" s="316"/>
      <c r="GDZ49" s="316"/>
      <c r="GEA49" s="316"/>
      <c r="GEB49" s="316"/>
      <c r="GEC49" s="316"/>
      <c r="GED49" s="316"/>
      <c r="GEE49" s="316"/>
      <c r="GEF49" s="316"/>
      <c r="GEG49" s="316"/>
      <c r="GEH49" s="316"/>
      <c r="GEI49" s="316"/>
      <c r="GEJ49" s="316"/>
      <c r="GEK49" s="316"/>
      <c r="GEL49" s="316"/>
      <c r="GEM49" s="316"/>
      <c r="GEN49" s="316"/>
      <c r="GEO49" s="316"/>
      <c r="GEP49" s="316"/>
      <c r="GEQ49" s="316"/>
      <c r="GER49" s="316"/>
      <c r="GES49" s="316"/>
      <c r="GET49" s="316"/>
      <c r="GEU49" s="316"/>
      <c r="GEV49" s="316"/>
      <c r="GEW49" s="316"/>
      <c r="GEX49" s="316"/>
      <c r="GEY49" s="316"/>
      <c r="GEZ49" s="316"/>
      <c r="GFA49" s="316"/>
      <c r="GFB49" s="316"/>
      <c r="GFC49" s="316"/>
      <c r="GFD49" s="316"/>
      <c r="GFE49" s="316"/>
      <c r="GFF49" s="316"/>
      <c r="GFG49" s="316"/>
      <c r="GFH49" s="316"/>
      <c r="GFI49" s="316"/>
      <c r="GFJ49" s="316"/>
      <c r="GFK49" s="316"/>
      <c r="GFL49" s="316"/>
      <c r="GFM49" s="316"/>
      <c r="GFN49" s="316"/>
      <c r="GFO49" s="316"/>
      <c r="GFP49" s="316"/>
      <c r="GFQ49" s="316"/>
      <c r="GFR49" s="316"/>
      <c r="GFS49" s="316"/>
      <c r="GFT49" s="316"/>
      <c r="GFU49" s="316"/>
      <c r="GFV49" s="316"/>
      <c r="GFW49" s="316"/>
      <c r="GFX49" s="316"/>
      <c r="GFY49" s="316"/>
      <c r="GFZ49" s="316"/>
      <c r="GGA49" s="316"/>
      <c r="GGB49" s="316"/>
      <c r="GGC49" s="316"/>
      <c r="GGD49" s="316"/>
      <c r="GGE49" s="316"/>
      <c r="GGF49" s="316"/>
      <c r="GGG49" s="316"/>
      <c r="GGH49" s="316"/>
      <c r="GGI49" s="316"/>
      <c r="GGJ49" s="316"/>
      <c r="GGK49" s="316"/>
      <c r="GGL49" s="316"/>
      <c r="GGM49" s="316"/>
      <c r="GGN49" s="316"/>
      <c r="GGO49" s="316"/>
      <c r="GGP49" s="316"/>
      <c r="GGQ49" s="316"/>
      <c r="GGR49" s="316"/>
      <c r="GGS49" s="316"/>
      <c r="GGT49" s="316"/>
      <c r="GGU49" s="316"/>
      <c r="GGV49" s="316"/>
      <c r="GGW49" s="316"/>
      <c r="GGX49" s="316"/>
      <c r="GGY49" s="316"/>
      <c r="GGZ49" s="316"/>
      <c r="GHA49" s="316"/>
      <c r="GHB49" s="316"/>
      <c r="GHC49" s="316"/>
      <c r="GHD49" s="316"/>
      <c r="GHE49" s="316"/>
      <c r="GHF49" s="316"/>
      <c r="GHG49" s="316"/>
      <c r="GHH49" s="316"/>
      <c r="GHI49" s="316"/>
      <c r="GHJ49" s="316"/>
      <c r="GHK49" s="316"/>
      <c r="GHL49" s="316"/>
      <c r="GHM49" s="316"/>
      <c r="GHN49" s="316"/>
      <c r="GHO49" s="316"/>
      <c r="GHP49" s="316"/>
      <c r="GHQ49" s="316"/>
      <c r="GHR49" s="316"/>
      <c r="GHS49" s="316"/>
      <c r="GHT49" s="316"/>
      <c r="GHU49" s="316"/>
      <c r="GHV49" s="316"/>
      <c r="GHW49" s="316"/>
      <c r="GHX49" s="316"/>
      <c r="GHY49" s="316"/>
      <c r="GHZ49" s="316"/>
      <c r="GIA49" s="316"/>
      <c r="GIB49" s="316"/>
      <c r="GIC49" s="316"/>
      <c r="GID49" s="316"/>
      <c r="GIE49" s="316"/>
      <c r="GIF49" s="316"/>
      <c r="GIG49" s="316"/>
      <c r="GIH49" s="316"/>
      <c r="GII49" s="316"/>
      <c r="GIJ49" s="316"/>
      <c r="GIK49" s="316"/>
      <c r="GIL49" s="316"/>
      <c r="GIM49" s="316"/>
      <c r="GIN49" s="316"/>
      <c r="GIO49" s="316"/>
      <c r="GIP49" s="316"/>
      <c r="GIQ49" s="316"/>
      <c r="GIR49" s="316"/>
      <c r="GIS49" s="316"/>
      <c r="GIT49" s="316"/>
      <c r="GIU49" s="316"/>
      <c r="GIV49" s="316"/>
      <c r="GIW49" s="316"/>
      <c r="GIX49" s="316"/>
      <c r="GIY49" s="316"/>
      <c r="GIZ49" s="316"/>
      <c r="GJA49" s="316"/>
      <c r="GJB49" s="316"/>
      <c r="GJC49" s="316"/>
      <c r="GJD49" s="316"/>
      <c r="GJE49" s="316"/>
      <c r="GJF49" s="316"/>
      <c r="GJG49" s="316"/>
      <c r="GJH49" s="316"/>
      <c r="GJI49" s="316"/>
      <c r="GJJ49" s="316"/>
      <c r="GJK49" s="316"/>
      <c r="GJL49" s="316"/>
      <c r="GJM49" s="316"/>
      <c r="GJN49" s="316"/>
      <c r="GJO49" s="316"/>
      <c r="GJP49" s="316"/>
      <c r="GJQ49" s="316"/>
      <c r="GJR49" s="316"/>
      <c r="GJS49" s="316"/>
      <c r="GJT49" s="316"/>
      <c r="GJU49" s="316"/>
      <c r="GJV49" s="316"/>
      <c r="GJW49" s="316"/>
      <c r="GJX49" s="316"/>
      <c r="GJY49" s="316"/>
      <c r="GJZ49" s="316"/>
      <c r="GKA49" s="316"/>
      <c r="GKB49" s="316"/>
      <c r="GKC49" s="316"/>
      <c r="GKD49" s="316"/>
      <c r="GKE49" s="316"/>
      <c r="GKF49" s="316"/>
      <c r="GKG49" s="316"/>
      <c r="GKH49" s="316"/>
      <c r="GKI49" s="316"/>
      <c r="GKJ49" s="316"/>
      <c r="GKK49" s="316"/>
      <c r="GKL49" s="316"/>
      <c r="GKM49" s="316"/>
      <c r="GKN49" s="316"/>
      <c r="GKO49" s="316"/>
      <c r="GKP49" s="316"/>
      <c r="GKQ49" s="316"/>
      <c r="GKR49" s="316"/>
      <c r="GKS49" s="316"/>
      <c r="GKT49" s="316"/>
      <c r="GKU49" s="316"/>
      <c r="GKV49" s="316"/>
      <c r="GKW49" s="316"/>
      <c r="GKX49" s="316"/>
      <c r="GKY49" s="316"/>
      <c r="GKZ49" s="316"/>
      <c r="GLA49" s="316"/>
      <c r="GLB49" s="316"/>
      <c r="GLC49" s="316"/>
      <c r="GLD49" s="316"/>
      <c r="GLE49" s="316"/>
      <c r="GLF49" s="316"/>
      <c r="GLG49" s="316"/>
      <c r="GLH49" s="316"/>
      <c r="GLI49" s="316"/>
      <c r="GLJ49" s="316"/>
      <c r="GLK49" s="316"/>
      <c r="GLL49" s="316"/>
      <c r="GLM49" s="316"/>
      <c r="GLN49" s="316"/>
      <c r="GLO49" s="316"/>
      <c r="GLP49" s="316"/>
      <c r="GLQ49" s="316"/>
      <c r="GLR49" s="316"/>
      <c r="GLS49" s="316"/>
      <c r="GLT49" s="316"/>
      <c r="GLU49" s="316"/>
      <c r="GLV49" s="316"/>
      <c r="GLW49" s="316"/>
      <c r="GLX49" s="316"/>
      <c r="GLY49" s="316"/>
      <c r="GLZ49" s="316"/>
      <c r="GMA49" s="316"/>
      <c r="GMB49" s="316"/>
      <c r="GMC49" s="316"/>
      <c r="GMD49" s="316"/>
      <c r="GME49" s="316"/>
      <c r="GMF49" s="316"/>
      <c r="GMG49" s="316"/>
      <c r="GMH49" s="316"/>
      <c r="GMI49" s="316"/>
      <c r="GMJ49" s="316"/>
      <c r="GMK49" s="316"/>
      <c r="GML49" s="316"/>
      <c r="GMM49" s="316"/>
      <c r="GMN49" s="316"/>
      <c r="GMO49" s="316"/>
      <c r="GMP49" s="316"/>
      <c r="GMQ49" s="316"/>
      <c r="GMR49" s="316"/>
      <c r="GMS49" s="316"/>
      <c r="GMT49" s="316"/>
      <c r="GMU49" s="316"/>
      <c r="GMV49" s="316"/>
      <c r="GMW49" s="316"/>
      <c r="GMX49" s="316"/>
      <c r="GMY49" s="316"/>
      <c r="GMZ49" s="316"/>
      <c r="GNA49" s="316"/>
      <c r="GNB49" s="316"/>
      <c r="GNC49" s="316"/>
      <c r="GND49" s="316"/>
      <c r="GNE49" s="316"/>
      <c r="GNF49" s="316"/>
      <c r="GNG49" s="316"/>
      <c r="GNH49" s="316"/>
      <c r="GNI49" s="316"/>
      <c r="GNJ49" s="316"/>
      <c r="GNK49" s="316"/>
      <c r="GNL49" s="316"/>
      <c r="GNM49" s="316"/>
      <c r="GNN49" s="316"/>
      <c r="GNO49" s="316"/>
      <c r="GNP49" s="316"/>
      <c r="GNQ49" s="316"/>
      <c r="GNR49" s="316"/>
      <c r="GNS49" s="316"/>
      <c r="GNT49" s="316"/>
      <c r="GNU49" s="316"/>
      <c r="GNV49" s="316"/>
      <c r="GNW49" s="316"/>
      <c r="GNX49" s="316"/>
      <c r="GNY49" s="316"/>
      <c r="GNZ49" s="316"/>
      <c r="GOA49" s="316"/>
      <c r="GOB49" s="316"/>
      <c r="GOC49" s="316"/>
      <c r="GOD49" s="316"/>
      <c r="GOE49" s="316"/>
      <c r="GOF49" s="316"/>
      <c r="GOG49" s="316"/>
      <c r="GOH49" s="316"/>
      <c r="GOI49" s="316"/>
      <c r="GOJ49" s="316"/>
      <c r="GOK49" s="316"/>
      <c r="GOL49" s="316"/>
      <c r="GOM49" s="316"/>
      <c r="GON49" s="316"/>
      <c r="GOO49" s="316"/>
      <c r="GOP49" s="316"/>
      <c r="GOQ49" s="316"/>
      <c r="GOR49" s="316"/>
      <c r="GOS49" s="316"/>
      <c r="GOT49" s="316"/>
      <c r="GOU49" s="316"/>
      <c r="GOV49" s="316"/>
      <c r="GOW49" s="316"/>
      <c r="GOX49" s="316"/>
      <c r="GOY49" s="316"/>
      <c r="GOZ49" s="316"/>
      <c r="GPA49" s="316"/>
      <c r="GPB49" s="316"/>
      <c r="GPC49" s="316"/>
      <c r="GPD49" s="316"/>
      <c r="GPE49" s="316"/>
      <c r="GPF49" s="316"/>
      <c r="GPG49" s="316"/>
      <c r="GPH49" s="316"/>
      <c r="GPI49" s="316"/>
      <c r="GPJ49" s="316"/>
      <c r="GPK49" s="316"/>
      <c r="GPL49" s="316"/>
      <c r="GPM49" s="316"/>
      <c r="GPN49" s="316"/>
      <c r="GPO49" s="316"/>
      <c r="GPP49" s="316"/>
      <c r="GPQ49" s="316"/>
      <c r="GPR49" s="316"/>
      <c r="GPS49" s="316"/>
      <c r="GPT49" s="316"/>
      <c r="GPU49" s="316"/>
      <c r="GPV49" s="316"/>
      <c r="GPW49" s="316"/>
      <c r="GPX49" s="316"/>
      <c r="GPY49" s="316"/>
      <c r="GPZ49" s="316"/>
      <c r="GQA49" s="316"/>
      <c r="GQB49" s="316"/>
      <c r="GQC49" s="316"/>
      <c r="GQD49" s="316"/>
      <c r="GQE49" s="316"/>
      <c r="GQF49" s="316"/>
      <c r="GQG49" s="316"/>
      <c r="GQH49" s="316"/>
      <c r="GQI49" s="316"/>
      <c r="GQJ49" s="316"/>
      <c r="GQK49" s="316"/>
      <c r="GQL49" s="316"/>
      <c r="GQM49" s="316"/>
      <c r="GQN49" s="316"/>
      <c r="GQO49" s="316"/>
      <c r="GQP49" s="316"/>
      <c r="GQQ49" s="316"/>
      <c r="GQR49" s="316"/>
      <c r="GQS49" s="316"/>
      <c r="GQT49" s="316"/>
      <c r="GQU49" s="316"/>
      <c r="GQV49" s="316"/>
      <c r="GQW49" s="316"/>
      <c r="GQX49" s="316"/>
      <c r="GQY49" s="316"/>
      <c r="GQZ49" s="316"/>
      <c r="GRA49" s="316"/>
      <c r="GRB49" s="316"/>
      <c r="GRC49" s="316"/>
      <c r="GRD49" s="316"/>
      <c r="GRE49" s="316"/>
      <c r="GRF49" s="316"/>
      <c r="GRG49" s="316"/>
      <c r="GRH49" s="316"/>
      <c r="GRI49" s="316"/>
      <c r="GRJ49" s="316"/>
      <c r="GRK49" s="316"/>
      <c r="GRL49" s="316"/>
      <c r="GRM49" s="316"/>
      <c r="GRN49" s="316"/>
      <c r="GRO49" s="316"/>
      <c r="GRP49" s="316"/>
      <c r="GRQ49" s="316"/>
      <c r="GRR49" s="316"/>
      <c r="GRS49" s="316"/>
      <c r="GRT49" s="316"/>
      <c r="GRU49" s="316"/>
      <c r="GRV49" s="316"/>
      <c r="GRW49" s="316"/>
      <c r="GRX49" s="316"/>
      <c r="GRY49" s="316"/>
      <c r="GRZ49" s="316"/>
      <c r="GSA49" s="316"/>
      <c r="GSB49" s="316"/>
      <c r="GSC49" s="316"/>
      <c r="GSD49" s="316"/>
      <c r="GSE49" s="316"/>
      <c r="GSF49" s="316"/>
      <c r="GSG49" s="316"/>
      <c r="GSH49" s="316"/>
      <c r="GSI49" s="316"/>
      <c r="GSJ49" s="316"/>
      <c r="GSK49" s="316"/>
      <c r="GSL49" s="316"/>
      <c r="GSM49" s="316"/>
      <c r="GSN49" s="316"/>
      <c r="GSO49" s="316"/>
      <c r="GSP49" s="316"/>
      <c r="GSQ49" s="316"/>
      <c r="GSR49" s="316"/>
      <c r="GSS49" s="316"/>
      <c r="GST49" s="316"/>
      <c r="GSU49" s="316"/>
      <c r="GSV49" s="316"/>
      <c r="GSW49" s="316"/>
      <c r="GSX49" s="316"/>
      <c r="GSY49" s="316"/>
      <c r="GSZ49" s="316"/>
      <c r="GTA49" s="316"/>
      <c r="GTB49" s="316"/>
      <c r="GTC49" s="316"/>
      <c r="GTD49" s="316"/>
      <c r="GTE49" s="316"/>
      <c r="GTF49" s="316"/>
      <c r="GTG49" s="316"/>
      <c r="GTH49" s="316"/>
      <c r="GTI49" s="316"/>
      <c r="GTJ49" s="316"/>
      <c r="GTK49" s="316"/>
      <c r="GTL49" s="316"/>
      <c r="GTM49" s="316"/>
      <c r="GTN49" s="316"/>
      <c r="GTO49" s="316"/>
      <c r="GTP49" s="316"/>
      <c r="GTQ49" s="316"/>
      <c r="GTR49" s="316"/>
      <c r="GTS49" s="316"/>
      <c r="GTT49" s="316"/>
      <c r="GTU49" s="316"/>
      <c r="GTV49" s="316"/>
      <c r="GTW49" s="316"/>
      <c r="GTX49" s="316"/>
      <c r="GTY49" s="316"/>
      <c r="GTZ49" s="316"/>
      <c r="GUA49" s="316"/>
      <c r="GUB49" s="316"/>
      <c r="GUC49" s="316"/>
      <c r="GUD49" s="316"/>
      <c r="GUE49" s="316"/>
      <c r="GUF49" s="316"/>
      <c r="GUG49" s="316"/>
      <c r="GUH49" s="316"/>
      <c r="GUI49" s="316"/>
      <c r="GUJ49" s="316"/>
      <c r="GUK49" s="316"/>
      <c r="GUL49" s="316"/>
      <c r="GUM49" s="316"/>
      <c r="GUN49" s="316"/>
      <c r="GUO49" s="316"/>
      <c r="GUP49" s="316"/>
      <c r="GUQ49" s="316"/>
      <c r="GUR49" s="316"/>
      <c r="GUS49" s="316"/>
      <c r="GUT49" s="316"/>
      <c r="GUU49" s="316"/>
      <c r="GUV49" s="316"/>
      <c r="GUW49" s="316"/>
      <c r="GUX49" s="316"/>
      <c r="GUY49" s="316"/>
      <c r="GUZ49" s="316"/>
      <c r="GVA49" s="316"/>
      <c r="GVB49" s="316"/>
      <c r="GVC49" s="316"/>
      <c r="GVD49" s="316"/>
      <c r="GVE49" s="316"/>
      <c r="GVF49" s="316"/>
      <c r="GVG49" s="316"/>
      <c r="GVH49" s="316"/>
      <c r="GVI49" s="316"/>
      <c r="GVJ49" s="316"/>
      <c r="GVK49" s="316"/>
      <c r="GVL49" s="316"/>
      <c r="GVM49" s="316"/>
      <c r="GVN49" s="316"/>
      <c r="GVO49" s="316"/>
      <c r="GVP49" s="316"/>
      <c r="GVQ49" s="316"/>
      <c r="GVR49" s="316"/>
      <c r="GVS49" s="316"/>
      <c r="GVT49" s="316"/>
      <c r="GVU49" s="316"/>
      <c r="GVV49" s="316"/>
      <c r="GVW49" s="316"/>
      <c r="GVX49" s="316"/>
      <c r="GVY49" s="316"/>
      <c r="GVZ49" s="316"/>
      <c r="GWA49" s="316"/>
      <c r="GWB49" s="316"/>
      <c r="GWC49" s="316"/>
      <c r="GWD49" s="316"/>
      <c r="GWE49" s="316"/>
      <c r="GWF49" s="316"/>
      <c r="GWG49" s="316"/>
      <c r="GWH49" s="316"/>
      <c r="GWI49" s="316"/>
      <c r="GWJ49" s="316"/>
      <c r="GWK49" s="316"/>
      <c r="GWL49" s="316"/>
      <c r="GWM49" s="316"/>
      <c r="GWN49" s="316"/>
      <c r="GWO49" s="316"/>
      <c r="GWP49" s="316"/>
      <c r="GWQ49" s="316"/>
      <c r="GWR49" s="316"/>
      <c r="GWS49" s="316"/>
      <c r="GWT49" s="316"/>
      <c r="GWU49" s="316"/>
      <c r="GWV49" s="316"/>
      <c r="GWW49" s="316"/>
      <c r="GWX49" s="316"/>
      <c r="GWY49" s="316"/>
      <c r="GWZ49" s="316"/>
      <c r="GXA49" s="316"/>
      <c r="GXB49" s="316"/>
      <c r="GXC49" s="316"/>
      <c r="GXD49" s="316"/>
      <c r="GXE49" s="316"/>
      <c r="GXF49" s="316"/>
      <c r="GXG49" s="316"/>
      <c r="GXH49" s="316"/>
      <c r="GXI49" s="316"/>
      <c r="GXJ49" s="316"/>
      <c r="GXK49" s="316"/>
      <c r="GXL49" s="316"/>
      <c r="GXM49" s="316"/>
      <c r="GXN49" s="316"/>
      <c r="GXO49" s="316"/>
      <c r="GXP49" s="316"/>
      <c r="GXQ49" s="316"/>
      <c r="GXR49" s="316"/>
      <c r="GXS49" s="316"/>
      <c r="GXT49" s="316"/>
      <c r="GXU49" s="316"/>
      <c r="GXV49" s="316"/>
      <c r="GXW49" s="316"/>
      <c r="GXX49" s="316"/>
      <c r="GXY49" s="316"/>
      <c r="GXZ49" s="316"/>
      <c r="GYA49" s="316"/>
      <c r="GYB49" s="316"/>
      <c r="GYC49" s="316"/>
      <c r="GYD49" s="316"/>
      <c r="GYE49" s="316"/>
      <c r="GYF49" s="316"/>
      <c r="GYG49" s="316"/>
      <c r="GYH49" s="316"/>
      <c r="GYI49" s="316"/>
      <c r="GYJ49" s="316"/>
      <c r="GYK49" s="316"/>
      <c r="GYL49" s="316"/>
      <c r="GYM49" s="316"/>
      <c r="GYN49" s="316"/>
      <c r="GYO49" s="316"/>
      <c r="GYP49" s="316"/>
      <c r="GYQ49" s="316"/>
      <c r="GYR49" s="316"/>
      <c r="GYS49" s="316"/>
      <c r="GYT49" s="316"/>
      <c r="GYU49" s="316"/>
      <c r="GYV49" s="316"/>
      <c r="GYW49" s="316"/>
      <c r="GYX49" s="316"/>
      <c r="GYY49" s="316"/>
      <c r="GYZ49" s="316"/>
      <c r="GZA49" s="316"/>
      <c r="GZB49" s="316"/>
      <c r="GZC49" s="316"/>
      <c r="GZD49" s="316"/>
      <c r="GZE49" s="316"/>
      <c r="GZF49" s="316"/>
      <c r="GZG49" s="316"/>
      <c r="GZH49" s="316"/>
      <c r="GZI49" s="316"/>
      <c r="GZJ49" s="316"/>
      <c r="GZK49" s="316"/>
      <c r="GZL49" s="316"/>
      <c r="GZM49" s="316"/>
      <c r="GZN49" s="316"/>
      <c r="GZO49" s="316"/>
      <c r="GZP49" s="316"/>
      <c r="GZQ49" s="316"/>
      <c r="GZR49" s="316"/>
      <c r="GZS49" s="316"/>
      <c r="GZT49" s="316"/>
      <c r="GZU49" s="316"/>
      <c r="GZV49" s="316"/>
      <c r="GZW49" s="316"/>
      <c r="GZX49" s="316"/>
      <c r="GZY49" s="316"/>
      <c r="GZZ49" s="316"/>
      <c r="HAA49" s="316"/>
      <c r="HAB49" s="316"/>
      <c r="HAC49" s="316"/>
      <c r="HAD49" s="316"/>
      <c r="HAE49" s="316"/>
      <c r="HAF49" s="316"/>
      <c r="HAG49" s="316"/>
      <c r="HAH49" s="316"/>
      <c r="HAI49" s="316"/>
      <c r="HAJ49" s="316"/>
      <c r="HAK49" s="316"/>
      <c r="HAL49" s="316"/>
      <c r="HAM49" s="316"/>
      <c r="HAN49" s="316"/>
      <c r="HAO49" s="316"/>
      <c r="HAP49" s="316"/>
      <c r="HAQ49" s="316"/>
      <c r="HAR49" s="316"/>
      <c r="HAS49" s="316"/>
      <c r="HAT49" s="316"/>
      <c r="HAU49" s="316"/>
      <c r="HAV49" s="316"/>
      <c r="HAW49" s="316"/>
      <c r="HAX49" s="316"/>
      <c r="HAY49" s="316"/>
      <c r="HAZ49" s="316"/>
      <c r="HBA49" s="316"/>
      <c r="HBB49" s="316"/>
      <c r="HBC49" s="316"/>
      <c r="HBD49" s="316"/>
      <c r="HBE49" s="316"/>
      <c r="HBF49" s="316"/>
      <c r="HBG49" s="316"/>
      <c r="HBH49" s="316"/>
      <c r="HBI49" s="316"/>
      <c r="HBJ49" s="316"/>
      <c r="HBK49" s="316"/>
      <c r="HBL49" s="316"/>
      <c r="HBM49" s="316"/>
      <c r="HBN49" s="316"/>
      <c r="HBO49" s="316"/>
      <c r="HBP49" s="316"/>
      <c r="HBQ49" s="316"/>
      <c r="HBR49" s="316"/>
      <c r="HBS49" s="316"/>
      <c r="HBT49" s="316"/>
      <c r="HBU49" s="316"/>
      <c r="HBV49" s="316"/>
      <c r="HBW49" s="316"/>
      <c r="HBX49" s="316"/>
      <c r="HBY49" s="316"/>
      <c r="HBZ49" s="316"/>
      <c r="HCA49" s="316"/>
      <c r="HCB49" s="316"/>
      <c r="HCC49" s="316"/>
      <c r="HCD49" s="316"/>
      <c r="HCE49" s="316"/>
      <c r="HCF49" s="316"/>
      <c r="HCG49" s="316"/>
      <c r="HCH49" s="316"/>
      <c r="HCI49" s="316"/>
      <c r="HCJ49" s="316"/>
      <c r="HCK49" s="316"/>
      <c r="HCL49" s="316"/>
      <c r="HCM49" s="316"/>
      <c r="HCN49" s="316"/>
      <c r="HCO49" s="316"/>
      <c r="HCP49" s="316"/>
      <c r="HCQ49" s="316"/>
      <c r="HCR49" s="316"/>
      <c r="HCS49" s="316"/>
      <c r="HCT49" s="316"/>
      <c r="HCU49" s="316"/>
      <c r="HCV49" s="316"/>
      <c r="HCW49" s="316"/>
      <c r="HCX49" s="316"/>
      <c r="HCY49" s="316"/>
      <c r="HCZ49" s="316"/>
      <c r="HDA49" s="316"/>
      <c r="HDB49" s="316"/>
      <c r="HDC49" s="316"/>
      <c r="HDD49" s="316"/>
      <c r="HDE49" s="316"/>
      <c r="HDF49" s="316"/>
      <c r="HDG49" s="316"/>
      <c r="HDH49" s="316"/>
      <c r="HDI49" s="316"/>
      <c r="HDJ49" s="316"/>
      <c r="HDK49" s="316"/>
      <c r="HDL49" s="316"/>
      <c r="HDM49" s="316"/>
      <c r="HDN49" s="316"/>
      <c r="HDO49" s="316"/>
      <c r="HDP49" s="316"/>
      <c r="HDQ49" s="316"/>
      <c r="HDR49" s="316"/>
      <c r="HDS49" s="316"/>
      <c r="HDT49" s="316"/>
      <c r="HDU49" s="316"/>
      <c r="HDV49" s="316"/>
      <c r="HDW49" s="316"/>
      <c r="HDX49" s="316"/>
      <c r="HDY49" s="316"/>
      <c r="HDZ49" s="316"/>
      <c r="HEA49" s="316"/>
      <c r="HEB49" s="316"/>
      <c r="HEC49" s="316"/>
      <c r="HED49" s="316"/>
      <c r="HEE49" s="316"/>
      <c r="HEF49" s="316"/>
      <c r="HEG49" s="316"/>
      <c r="HEH49" s="316"/>
      <c r="HEI49" s="316"/>
      <c r="HEJ49" s="316"/>
      <c r="HEK49" s="316"/>
      <c r="HEL49" s="316"/>
      <c r="HEM49" s="316"/>
      <c r="HEN49" s="316"/>
      <c r="HEO49" s="316"/>
      <c r="HEP49" s="316"/>
      <c r="HEQ49" s="316"/>
      <c r="HER49" s="316"/>
      <c r="HES49" s="316"/>
      <c r="HET49" s="316"/>
      <c r="HEU49" s="316"/>
      <c r="HEV49" s="316"/>
      <c r="HEW49" s="316"/>
      <c r="HEX49" s="316"/>
      <c r="HEY49" s="316"/>
      <c r="HEZ49" s="316"/>
      <c r="HFA49" s="316"/>
      <c r="HFB49" s="316"/>
      <c r="HFC49" s="316"/>
      <c r="HFD49" s="316"/>
      <c r="HFE49" s="316"/>
      <c r="HFF49" s="316"/>
      <c r="HFG49" s="316"/>
      <c r="HFH49" s="316"/>
      <c r="HFI49" s="316"/>
      <c r="HFJ49" s="316"/>
      <c r="HFK49" s="316"/>
      <c r="HFL49" s="316"/>
      <c r="HFM49" s="316"/>
      <c r="HFN49" s="316"/>
      <c r="HFO49" s="316"/>
      <c r="HFP49" s="316"/>
      <c r="HFQ49" s="316"/>
      <c r="HFR49" s="316"/>
      <c r="HFS49" s="316"/>
      <c r="HFT49" s="316"/>
      <c r="HFU49" s="316"/>
      <c r="HFV49" s="316"/>
      <c r="HFW49" s="316"/>
      <c r="HFX49" s="316"/>
      <c r="HFY49" s="316"/>
      <c r="HFZ49" s="316"/>
      <c r="HGA49" s="316"/>
      <c r="HGB49" s="316"/>
      <c r="HGC49" s="316"/>
      <c r="HGD49" s="316"/>
      <c r="HGE49" s="316"/>
      <c r="HGF49" s="316"/>
      <c r="HGG49" s="316"/>
      <c r="HGH49" s="316"/>
      <c r="HGI49" s="316"/>
      <c r="HGJ49" s="316"/>
      <c r="HGK49" s="316"/>
      <c r="HGL49" s="316"/>
      <c r="HGM49" s="316"/>
      <c r="HGN49" s="316"/>
      <c r="HGO49" s="316"/>
      <c r="HGP49" s="316"/>
      <c r="HGQ49" s="316"/>
      <c r="HGR49" s="316"/>
      <c r="HGS49" s="316"/>
      <c r="HGT49" s="316"/>
      <c r="HGU49" s="316"/>
      <c r="HGV49" s="316"/>
      <c r="HGW49" s="316"/>
      <c r="HGX49" s="316"/>
      <c r="HGY49" s="316"/>
      <c r="HGZ49" s="316"/>
      <c r="HHA49" s="316"/>
      <c r="HHB49" s="316"/>
      <c r="HHC49" s="316"/>
      <c r="HHD49" s="316"/>
      <c r="HHE49" s="316"/>
      <c r="HHF49" s="316"/>
      <c r="HHG49" s="316"/>
      <c r="HHH49" s="316"/>
      <c r="HHI49" s="316"/>
      <c r="HHJ49" s="316"/>
      <c r="HHK49" s="316"/>
      <c r="HHL49" s="316"/>
      <c r="HHM49" s="316"/>
      <c r="HHN49" s="316"/>
      <c r="HHO49" s="316"/>
      <c r="HHP49" s="316"/>
      <c r="HHQ49" s="316"/>
      <c r="HHR49" s="316"/>
      <c r="HHS49" s="316"/>
      <c r="HHT49" s="316"/>
      <c r="HHU49" s="316"/>
      <c r="HHV49" s="316"/>
      <c r="HHW49" s="316"/>
      <c r="HHX49" s="316"/>
      <c r="HHY49" s="316"/>
      <c r="HHZ49" s="316"/>
      <c r="HIA49" s="316"/>
      <c r="HIB49" s="316"/>
      <c r="HIC49" s="316"/>
      <c r="HID49" s="316"/>
      <c r="HIE49" s="316"/>
      <c r="HIF49" s="316"/>
      <c r="HIG49" s="316"/>
      <c r="HIH49" s="316"/>
      <c r="HII49" s="316"/>
      <c r="HIJ49" s="316"/>
      <c r="HIK49" s="316"/>
      <c r="HIL49" s="316"/>
      <c r="HIM49" s="316"/>
      <c r="HIN49" s="316"/>
      <c r="HIO49" s="316"/>
      <c r="HIP49" s="316"/>
      <c r="HIQ49" s="316"/>
      <c r="HIR49" s="316"/>
      <c r="HIS49" s="316"/>
      <c r="HIT49" s="316"/>
      <c r="HIU49" s="316"/>
      <c r="HIV49" s="316"/>
      <c r="HIW49" s="316"/>
      <c r="HIX49" s="316"/>
      <c r="HIY49" s="316"/>
      <c r="HIZ49" s="316"/>
      <c r="HJA49" s="316"/>
      <c r="HJB49" s="316"/>
      <c r="HJC49" s="316"/>
      <c r="HJD49" s="316"/>
      <c r="HJE49" s="316"/>
      <c r="HJF49" s="316"/>
      <c r="HJG49" s="316"/>
      <c r="HJH49" s="316"/>
      <c r="HJI49" s="316"/>
      <c r="HJJ49" s="316"/>
      <c r="HJK49" s="316"/>
      <c r="HJL49" s="316"/>
      <c r="HJM49" s="316"/>
      <c r="HJN49" s="316"/>
      <c r="HJO49" s="316"/>
      <c r="HJP49" s="316"/>
      <c r="HJQ49" s="316"/>
      <c r="HJR49" s="316"/>
      <c r="HJS49" s="316"/>
      <c r="HJT49" s="316"/>
      <c r="HJU49" s="316"/>
      <c r="HJV49" s="316"/>
      <c r="HJW49" s="316"/>
      <c r="HJX49" s="316"/>
      <c r="HJY49" s="316"/>
      <c r="HJZ49" s="316"/>
      <c r="HKA49" s="316"/>
      <c r="HKB49" s="316"/>
      <c r="HKC49" s="316"/>
      <c r="HKD49" s="316"/>
      <c r="HKE49" s="316"/>
      <c r="HKF49" s="316"/>
      <c r="HKG49" s="316"/>
      <c r="HKH49" s="316"/>
      <c r="HKI49" s="316"/>
      <c r="HKJ49" s="316"/>
      <c r="HKK49" s="316"/>
      <c r="HKL49" s="316"/>
      <c r="HKM49" s="316"/>
      <c r="HKN49" s="316"/>
      <c r="HKO49" s="316"/>
      <c r="HKP49" s="316"/>
      <c r="HKQ49" s="316"/>
      <c r="HKR49" s="316"/>
      <c r="HKS49" s="316"/>
      <c r="HKT49" s="316"/>
      <c r="HKU49" s="316"/>
      <c r="HKV49" s="316"/>
      <c r="HKW49" s="316"/>
      <c r="HKX49" s="316"/>
      <c r="HKY49" s="316"/>
      <c r="HKZ49" s="316"/>
      <c r="HLA49" s="316"/>
      <c r="HLB49" s="316"/>
      <c r="HLC49" s="316"/>
      <c r="HLD49" s="316"/>
      <c r="HLE49" s="316"/>
      <c r="HLF49" s="316"/>
      <c r="HLG49" s="316"/>
      <c r="HLH49" s="316"/>
      <c r="HLI49" s="316"/>
      <c r="HLJ49" s="316"/>
      <c r="HLK49" s="316"/>
      <c r="HLL49" s="316"/>
      <c r="HLM49" s="316"/>
      <c r="HLN49" s="316"/>
      <c r="HLO49" s="316"/>
      <c r="HLP49" s="316"/>
      <c r="HLQ49" s="316"/>
      <c r="HLR49" s="316"/>
      <c r="HLS49" s="316"/>
      <c r="HLT49" s="316"/>
      <c r="HLU49" s="316"/>
      <c r="HLV49" s="316"/>
      <c r="HLW49" s="316"/>
      <c r="HLX49" s="316"/>
      <c r="HLY49" s="316"/>
      <c r="HLZ49" s="316"/>
      <c r="HMA49" s="316"/>
      <c r="HMB49" s="316"/>
      <c r="HMC49" s="316"/>
      <c r="HMD49" s="316"/>
      <c r="HME49" s="316"/>
      <c r="HMF49" s="316"/>
      <c r="HMG49" s="316"/>
      <c r="HMH49" s="316"/>
      <c r="HMI49" s="316"/>
      <c r="HMJ49" s="316"/>
      <c r="HMK49" s="316"/>
      <c r="HML49" s="316"/>
      <c r="HMM49" s="316"/>
      <c r="HMN49" s="316"/>
      <c r="HMO49" s="316"/>
      <c r="HMP49" s="316"/>
      <c r="HMQ49" s="316"/>
      <c r="HMR49" s="316"/>
      <c r="HMS49" s="316"/>
      <c r="HMT49" s="316"/>
      <c r="HMU49" s="316"/>
      <c r="HMV49" s="316"/>
      <c r="HMW49" s="316"/>
      <c r="HMX49" s="316"/>
      <c r="HMY49" s="316"/>
      <c r="HMZ49" s="316"/>
      <c r="HNA49" s="316"/>
      <c r="HNB49" s="316"/>
      <c r="HNC49" s="316"/>
      <c r="HND49" s="316"/>
      <c r="HNE49" s="316"/>
      <c r="HNF49" s="316"/>
      <c r="HNG49" s="316"/>
      <c r="HNH49" s="316"/>
      <c r="HNI49" s="316"/>
      <c r="HNJ49" s="316"/>
      <c r="HNK49" s="316"/>
      <c r="HNL49" s="316"/>
      <c r="HNM49" s="316"/>
      <c r="HNN49" s="316"/>
      <c r="HNO49" s="316"/>
      <c r="HNP49" s="316"/>
      <c r="HNQ49" s="316"/>
      <c r="HNR49" s="316"/>
      <c r="HNS49" s="316"/>
      <c r="HNT49" s="316"/>
      <c r="HNU49" s="316"/>
      <c r="HNV49" s="316"/>
      <c r="HNW49" s="316"/>
      <c r="HNX49" s="316"/>
      <c r="HNY49" s="316"/>
      <c r="HNZ49" s="316"/>
      <c r="HOA49" s="316"/>
      <c r="HOB49" s="316"/>
      <c r="HOC49" s="316"/>
      <c r="HOD49" s="316"/>
      <c r="HOE49" s="316"/>
      <c r="HOF49" s="316"/>
      <c r="HOG49" s="316"/>
      <c r="HOH49" s="316"/>
      <c r="HOI49" s="316"/>
      <c r="HOJ49" s="316"/>
      <c r="HOK49" s="316"/>
      <c r="HOL49" s="316"/>
      <c r="HOM49" s="316"/>
      <c r="HON49" s="316"/>
      <c r="HOO49" s="316"/>
      <c r="HOP49" s="316"/>
      <c r="HOQ49" s="316"/>
      <c r="HOR49" s="316"/>
      <c r="HOS49" s="316"/>
      <c r="HOT49" s="316"/>
      <c r="HOU49" s="316"/>
      <c r="HOV49" s="316"/>
      <c r="HOW49" s="316"/>
      <c r="HOX49" s="316"/>
      <c r="HOY49" s="316"/>
      <c r="HOZ49" s="316"/>
      <c r="HPA49" s="316"/>
      <c r="HPB49" s="316"/>
      <c r="HPC49" s="316"/>
      <c r="HPD49" s="316"/>
      <c r="HPE49" s="316"/>
      <c r="HPF49" s="316"/>
      <c r="HPG49" s="316"/>
      <c r="HPH49" s="316"/>
      <c r="HPI49" s="316"/>
      <c r="HPJ49" s="316"/>
      <c r="HPK49" s="316"/>
      <c r="HPL49" s="316"/>
      <c r="HPM49" s="316"/>
      <c r="HPN49" s="316"/>
      <c r="HPO49" s="316"/>
      <c r="HPP49" s="316"/>
      <c r="HPQ49" s="316"/>
      <c r="HPR49" s="316"/>
      <c r="HPS49" s="316"/>
      <c r="HPT49" s="316"/>
      <c r="HPU49" s="316"/>
      <c r="HPV49" s="316"/>
      <c r="HPW49" s="316"/>
      <c r="HPX49" s="316"/>
      <c r="HPY49" s="316"/>
      <c r="HPZ49" s="316"/>
      <c r="HQA49" s="316"/>
      <c r="HQB49" s="316"/>
      <c r="HQC49" s="316"/>
      <c r="HQD49" s="316"/>
      <c r="HQE49" s="316"/>
      <c r="HQF49" s="316"/>
      <c r="HQG49" s="316"/>
      <c r="HQH49" s="316"/>
      <c r="HQI49" s="316"/>
      <c r="HQJ49" s="316"/>
      <c r="HQK49" s="316"/>
      <c r="HQL49" s="316"/>
      <c r="HQM49" s="316"/>
      <c r="HQN49" s="316"/>
      <c r="HQO49" s="316"/>
      <c r="HQP49" s="316"/>
      <c r="HQQ49" s="316"/>
      <c r="HQR49" s="316"/>
      <c r="HQS49" s="316"/>
      <c r="HQT49" s="316"/>
      <c r="HQU49" s="316"/>
      <c r="HQV49" s="316"/>
      <c r="HQW49" s="316"/>
      <c r="HQX49" s="316"/>
      <c r="HQY49" s="316"/>
      <c r="HQZ49" s="316"/>
      <c r="HRA49" s="316"/>
      <c r="HRB49" s="316"/>
      <c r="HRC49" s="316"/>
      <c r="HRD49" s="316"/>
      <c r="HRE49" s="316"/>
      <c r="HRF49" s="316"/>
      <c r="HRG49" s="316"/>
      <c r="HRH49" s="316"/>
      <c r="HRI49" s="316"/>
      <c r="HRJ49" s="316"/>
      <c r="HRK49" s="316"/>
      <c r="HRL49" s="316"/>
      <c r="HRM49" s="316"/>
      <c r="HRN49" s="316"/>
      <c r="HRO49" s="316"/>
      <c r="HRP49" s="316"/>
      <c r="HRQ49" s="316"/>
      <c r="HRR49" s="316"/>
      <c r="HRS49" s="316"/>
      <c r="HRT49" s="316"/>
      <c r="HRU49" s="316"/>
      <c r="HRV49" s="316"/>
      <c r="HRW49" s="316"/>
      <c r="HRX49" s="316"/>
      <c r="HRY49" s="316"/>
      <c r="HRZ49" s="316"/>
      <c r="HSA49" s="316"/>
      <c r="HSB49" s="316"/>
      <c r="HSC49" s="316"/>
      <c r="HSD49" s="316"/>
      <c r="HSE49" s="316"/>
      <c r="HSF49" s="316"/>
      <c r="HSG49" s="316"/>
      <c r="HSH49" s="316"/>
      <c r="HSI49" s="316"/>
      <c r="HSJ49" s="316"/>
      <c r="HSK49" s="316"/>
      <c r="HSL49" s="316"/>
      <c r="HSM49" s="316"/>
      <c r="HSN49" s="316"/>
      <c r="HSO49" s="316"/>
      <c r="HSP49" s="316"/>
      <c r="HSQ49" s="316"/>
      <c r="HSR49" s="316"/>
      <c r="HSS49" s="316"/>
      <c r="HST49" s="316"/>
      <c r="HSU49" s="316"/>
      <c r="HSV49" s="316"/>
      <c r="HSW49" s="316"/>
      <c r="HSX49" s="316"/>
      <c r="HSY49" s="316"/>
      <c r="HSZ49" s="316"/>
      <c r="HTA49" s="316"/>
      <c r="HTB49" s="316"/>
      <c r="HTC49" s="316"/>
      <c r="HTD49" s="316"/>
      <c r="HTE49" s="316"/>
      <c r="HTF49" s="316"/>
      <c r="HTG49" s="316"/>
      <c r="HTH49" s="316"/>
      <c r="HTI49" s="316"/>
      <c r="HTJ49" s="316"/>
      <c r="HTK49" s="316"/>
      <c r="HTL49" s="316"/>
      <c r="HTM49" s="316"/>
      <c r="HTN49" s="316"/>
      <c r="HTO49" s="316"/>
      <c r="HTP49" s="316"/>
      <c r="HTQ49" s="316"/>
      <c r="HTR49" s="316"/>
      <c r="HTS49" s="316"/>
      <c r="HTT49" s="316"/>
      <c r="HTU49" s="316"/>
      <c r="HTV49" s="316"/>
      <c r="HTW49" s="316"/>
      <c r="HTX49" s="316"/>
      <c r="HTY49" s="316"/>
      <c r="HTZ49" s="316"/>
      <c r="HUA49" s="316"/>
      <c r="HUB49" s="316"/>
      <c r="HUC49" s="316"/>
      <c r="HUD49" s="316"/>
      <c r="HUE49" s="316"/>
      <c r="HUF49" s="316"/>
      <c r="HUG49" s="316"/>
      <c r="HUH49" s="316"/>
      <c r="HUI49" s="316"/>
      <c r="HUJ49" s="316"/>
      <c r="HUK49" s="316"/>
      <c r="HUL49" s="316"/>
      <c r="HUM49" s="316"/>
      <c r="HUN49" s="316"/>
      <c r="HUO49" s="316"/>
      <c r="HUP49" s="316"/>
      <c r="HUQ49" s="316"/>
      <c r="HUR49" s="316"/>
      <c r="HUS49" s="316"/>
      <c r="HUT49" s="316"/>
      <c r="HUU49" s="316"/>
      <c r="HUV49" s="316"/>
      <c r="HUW49" s="316"/>
      <c r="HUX49" s="316"/>
      <c r="HUY49" s="316"/>
      <c r="HUZ49" s="316"/>
      <c r="HVA49" s="316"/>
      <c r="HVB49" s="316"/>
      <c r="HVC49" s="316"/>
      <c r="HVD49" s="316"/>
      <c r="HVE49" s="316"/>
      <c r="HVF49" s="316"/>
      <c r="HVG49" s="316"/>
      <c r="HVH49" s="316"/>
      <c r="HVI49" s="316"/>
      <c r="HVJ49" s="316"/>
      <c r="HVK49" s="316"/>
      <c r="HVL49" s="316"/>
      <c r="HVM49" s="316"/>
      <c r="HVN49" s="316"/>
      <c r="HVO49" s="316"/>
      <c r="HVP49" s="316"/>
      <c r="HVQ49" s="316"/>
      <c r="HVR49" s="316"/>
      <c r="HVS49" s="316"/>
      <c r="HVT49" s="316"/>
      <c r="HVU49" s="316"/>
      <c r="HVV49" s="316"/>
      <c r="HVW49" s="316"/>
      <c r="HVX49" s="316"/>
      <c r="HVY49" s="316"/>
      <c r="HVZ49" s="316"/>
      <c r="HWA49" s="316"/>
      <c r="HWB49" s="316"/>
      <c r="HWC49" s="316"/>
      <c r="HWD49" s="316"/>
      <c r="HWE49" s="316"/>
      <c r="HWF49" s="316"/>
      <c r="HWG49" s="316"/>
      <c r="HWH49" s="316"/>
      <c r="HWI49" s="316"/>
      <c r="HWJ49" s="316"/>
      <c r="HWK49" s="316"/>
      <c r="HWL49" s="316"/>
      <c r="HWM49" s="316"/>
      <c r="HWN49" s="316"/>
      <c r="HWO49" s="316"/>
      <c r="HWP49" s="316"/>
      <c r="HWQ49" s="316"/>
      <c r="HWR49" s="316"/>
      <c r="HWS49" s="316"/>
      <c r="HWT49" s="316"/>
      <c r="HWU49" s="316"/>
      <c r="HWV49" s="316"/>
      <c r="HWW49" s="316"/>
      <c r="HWX49" s="316"/>
      <c r="HWY49" s="316"/>
      <c r="HWZ49" s="316"/>
      <c r="HXA49" s="316"/>
      <c r="HXB49" s="316"/>
      <c r="HXC49" s="316"/>
      <c r="HXD49" s="316"/>
      <c r="HXE49" s="316"/>
      <c r="HXF49" s="316"/>
      <c r="HXG49" s="316"/>
      <c r="HXH49" s="316"/>
      <c r="HXI49" s="316"/>
      <c r="HXJ49" s="316"/>
      <c r="HXK49" s="316"/>
      <c r="HXL49" s="316"/>
      <c r="HXM49" s="316"/>
      <c r="HXN49" s="316"/>
      <c r="HXO49" s="316"/>
      <c r="HXP49" s="316"/>
      <c r="HXQ49" s="316"/>
      <c r="HXR49" s="316"/>
      <c r="HXS49" s="316"/>
      <c r="HXT49" s="316"/>
      <c r="HXU49" s="316"/>
      <c r="HXV49" s="316"/>
      <c r="HXW49" s="316"/>
      <c r="HXX49" s="316"/>
      <c r="HXY49" s="316"/>
      <c r="HXZ49" s="316"/>
      <c r="HYA49" s="316"/>
      <c r="HYB49" s="316"/>
      <c r="HYC49" s="316"/>
      <c r="HYD49" s="316"/>
      <c r="HYE49" s="316"/>
      <c r="HYF49" s="316"/>
      <c r="HYG49" s="316"/>
      <c r="HYH49" s="316"/>
      <c r="HYI49" s="316"/>
      <c r="HYJ49" s="316"/>
      <c r="HYK49" s="316"/>
      <c r="HYL49" s="316"/>
      <c r="HYM49" s="316"/>
      <c r="HYN49" s="316"/>
      <c r="HYO49" s="316"/>
      <c r="HYP49" s="316"/>
      <c r="HYQ49" s="316"/>
      <c r="HYR49" s="316"/>
      <c r="HYS49" s="316"/>
      <c r="HYT49" s="316"/>
      <c r="HYU49" s="316"/>
      <c r="HYV49" s="316"/>
      <c r="HYW49" s="316"/>
      <c r="HYX49" s="316"/>
      <c r="HYY49" s="316"/>
      <c r="HYZ49" s="316"/>
      <c r="HZA49" s="316"/>
      <c r="HZB49" s="316"/>
      <c r="HZC49" s="316"/>
      <c r="HZD49" s="316"/>
      <c r="HZE49" s="316"/>
      <c r="HZF49" s="316"/>
      <c r="HZG49" s="316"/>
      <c r="HZH49" s="316"/>
      <c r="HZI49" s="316"/>
      <c r="HZJ49" s="316"/>
      <c r="HZK49" s="316"/>
      <c r="HZL49" s="316"/>
      <c r="HZM49" s="316"/>
      <c r="HZN49" s="316"/>
      <c r="HZO49" s="316"/>
      <c r="HZP49" s="316"/>
      <c r="HZQ49" s="316"/>
      <c r="HZR49" s="316"/>
      <c r="HZS49" s="316"/>
      <c r="HZT49" s="316"/>
      <c r="HZU49" s="316"/>
      <c r="HZV49" s="316"/>
      <c r="HZW49" s="316"/>
      <c r="HZX49" s="316"/>
      <c r="HZY49" s="316"/>
      <c r="HZZ49" s="316"/>
      <c r="IAA49" s="316"/>
      <c r="IAB49" s="316"/>
      <c r="IAC49" s="316"/>
      <c r="IAD49" s="316"/>
      <c r="IAE49" s="316"/>
      <c r="IAF49" s="316"/>
      <c r="IAG49" s="316"/>
      <c r="IAH49" s="316"/>
      <c r="IAI49" s="316"/>
      <c r="IAJ49" s="316"/>
      <c r="IAK49" s="316"/>
      <c r="IAL49" s="316"/>
      <c r="IAM49" s="316"/>
      <c r="IAN49" s="316"/>
      <c r="IAO49" s="316"/>
      <c r="IAP49" s="316"/>
      <c r="IAQ49" s="316"/>
      <c r="IAR49" s="316"/>
      <c r="IAS49" s="316"/>
      <c r="IAT49" s="316"/>
      <c r="IAU49" s="316"/>
      <c r="IAV49" s="316"/>
      <c r="IAW49" s="316"/>
      <c r="IAX49" s="316"/>
      <c r="IAY49" s="316"/>
      <c r="IAZ49" s="316"/>
      <c r="IBA49" s="316"/>
      <c r="IBB49" s="316"/>
      <c r="IBC49" s="316"/>
      <c r="IBD49" s="316"/>
      <c r="IBE49" s="316"/>
      <c r="IBF49" s="316"/>
      <c r="IBG49" s="316"/>
      <c r="IBH49" s="316"/>
      <c r="IBI49" s="316"/>
      <c r="IBJ49" s="316"/>
      <c r="IBK49" s="316"/>
      <c r="IBL49" s="316"/>
      <c r="IBM49" s="316"/>
      <c r="IBN49" s="316"/>
      <c r="IBO49" s="316"/>
      <c r="IBP49" s="316"/>
      <c r="IBQ49" s="316"/>
      <c r="IBR49" s="316"/>
      <c r="IBS49" s="316"/>
      <c r="IBT49" s="316"/>
      <c r="IBU49" s="316"/>
      <c r="IBV49" s="316"/>
      <c r="IBW49" s="316"/>
      <c r="IBX49" s="316"/>
      <c r="IBY49" s="316"/>
      <c r="IBZ49" s="316"/>
      <c r="ICA49" s="316"/>
      <c r="ICB49" s="316"/>
      <c r="ICC49" s="316"/>
      <c r="ICD49" s="316"/>
      <c r="ICE49" s="316"/>
      <c r="ICF49" s="316"/>
      <c r="ICG49" s="316"/>
      <c r="ICH49" s="316"/>
      <c r="ICI49" s="316"/>
      <c r="ICJ49" s="316"/>
      <c r="ICK49" s="316"/>
      <c r="ICL49" s="316"/>
      <c r="ICM49" s="316"/>
      <c r="ICN49" s="316"/>
      <c r="ICO49" s="316"/>
      <c r="ICP49" s="316"/>
      <c r="ICQ49" s="316"/>
      <c r="ICR49" s="316"/>
      <c r="ICS49" s="316"/>
      <c r="ICT49" s="316"/>
      <c r="ICU49" s="316"/>
      <c r="ICV49" s="316"/>
      <c r="ICW49" s="316"/>
      <c r="ICX49" s="316"/>
      <c r="ICY49" s="316"/>
      <c r="ICZ49" s="316"/>
      <c r="IDA49" s="316"/>
      <c r="IDB49" s="316"/>
      <c r="IDC49" s="316"/>
      <c r="IDD49" s="316"/>
      <c r="IDE49" s="316"/>
      <c r="IDF49" s="316"/>
      <c r="IDG49" s="316"/>
      <c r="IDH49" s="316"/>
      <c r="IDI49" s="316"/>
      <c r="IDJ49" s="316"/>
      <c r="IDK49" s="316"/>
      <c r="IDL49" s="316"/>
      <c r="IDM49" s="316"/>
      <c r="IDN49" s="316"/>
      <c r="IDO49" s="316"/>
      <c r="IDP49" s="316"/>
      <c r="IDQ49" s="316"/>
      <c r="IDR49" s="316"/>
      <c r="IDS49" s="316"/>
      <c r="IDT49" s="316"/>
      <c r="IDU49" s="316"/>
      <c r="IDV49" s="316"/>
      <c r="IDW49" s="316"/>
      <c r="IDX49" s="316"/>
      <c r="IDY49" s="316"/>
      <c r="IDZ49" s="316"/>
      <c r="IEA49" s="316"/>
      <c r="IEB49" s="316"/>
      <c r="IEC49" s="316"/>
      <c r="IED49" s="316"/>
      <c r="IEE49" s="316"/>
      <c r="IEF49" s="316"/>
      <c r="IEG49" s="316"/>
      <c r="IEH49" s="316"/>
      <c r="IEI49" s="316"/>
      <c r="IEJ49" s="316"/>
      <c r="IEK49" s="316"/>
      <c r="IEL49" s="316"/>
      <c r="IEM49" s="316"/>
      <c r="IEN49" s="316"/>
      <c r="IEO49" s="316"/>
      <c r="IEP49" s="316"/>
      <c r="IEQ49" s="316"/>
      <c r="IER49" s="316"/>
      <c r="IES49" s="316"/>
      <c r="IET49" s="316"/>
      <c r="IEU49" s="316"/>
      <c r="IEV49" s="316"/>
      <c r="IEW49" s="316"/>
      <c r="IEX49" s="316"/>
      <c r="IEY49" s="316"/>
      <c r="IEZ49" s="316"/>
      <c r="IFA49" s="316"/>
      <c r="IFB49" s="316"/>
      <c r="IFC49" s="316"/>
      <c r="IFD49" s="316"/>
      <c r="IFE49" s="316"/>
      <c r="IFF49" s="316"/>
      <c r="IFG49" s="316"/>
      <c r="IFH49" s="316"/>
      <c r="IFI49" s="316"/>
      <c r="IFJ49" s="316"/>
      <c r="IFK49" s="316"/>
      <c r="IFL49" s="316"/>
      <c r="IFM49" s="316"/>
      <c r="IFN49" s="316"/>
      <c r="IFO49" s="316"/>
      <c r="IFP49" s="316"/>
      <c r="IFQ49" s="316"/>
      <c r="IFR49" s="316"/>
      <c r="IFS49" s="316"/>
      <c r="IFT49" s="316"/>
      <c r="IFU49" s="316"/>
      <c r="IFV49" s="316"/>
      <c r="IFW49" s="316"/>
      <c r="IFX49" s="316"/>
      <c r="IFY49" s="316"/>
      <c r="IFZ49" s="316"/>
      <c r="IGA49" s="316"/>
      <c r="IGB49" s="316"/>
      <c r="IGC49" s="316"/>
      <c r="IGD49" s="316"/>
      <c r="IGE49" s="316"/>
      <c r="IGF49" s="316"/>
      <c r="IGG49" s="316"/>
      <c r="IGH49" s="316"/>
      <c r="IGI49" s="316"/>
      <c r="IGJ49" s="316"/>
      <c r="IGK49" s="316"/>
      <c r="IGL49" s="316"/>
      <c r="IGM49" s="316"/>
      <c r="IGN49" s="316"/>
      <c r="IGO49" s="316"/>
      <c r="IGP49" s="316"/>
      <c r="IGQ49" s="316"/>
      <c r="IGR49" s="316"/>
      <c r="IGS49" s="316"/>
      <c r="IGT49" s="316"/>
      <c r="IGU49" s="316"/>
      <c r="IGV49" s="316"/>
      <c r="IGW49" s="316"/>
      <c r="IGX49" s="316"/>
      <c r="IGY49" s="316"/>
      <c r="IGZ49" s="316"/>
      <c r="IHA49" s="316"/>
      <c r="IHB49" s="316"/>
      <c r="IHC49" s="316"/>
      <c r="IHD49" s="316"/>
      <c r="IHE49" s="316"/>
      <c r="IHF49" s="316"/>
      <c r="IHG49" s="316"/>
      <c r="IHH49" s="316"/>
      <c r="IHI49" s="316"/>
      <c r="IHJ49" s="316"/>
      <c r="IHK49" s="316"/>
      <c r="IHL49" s="316"/>
      <c r="IHM49" s="316"/>
      <c r="IHN49" s="316"/>
      <c r="IHO49" s="316"/>
      <c r="IHP49" s="316"/>
      <c r="IHQ49" s="316"/>
      <c r="IHR49" s="316"/>
      <c r="IHS49" s="316"/>
      <c r="IHT49" s="316"/>
      <c r="IHU49" s="316"/>
      <c r="IHV49" s="316"/>
      <c r="IHW49" s="316"/>
      <c r="IHX49" s="316"/>
      <c r="IHY49" s="316"/>
      <c r="IHZ49" s="316"/>
      <c r="IIA49" s="316"/>
      <c r="IIB49" s="316"/>
      <c r="IIC49" s="316"/>
      <c r="IID49" s="316"/>
      <c r="IIE49" s="316"/>
      <c r="IIF49" s="316"/>
      <c r="IIG49" s="316"/>
      <c r="IIH49" s="316"/>
      <c r="III49" s="316"/>
      <c r="IIJ49" s="316"/>
      <c r="IIK49" s="316"/>
      <c r="IIL49" s="316"/>
      <c r="IIM49" s="316"/>
      <c r="IIN49" s="316"/>
      <c r="IIO49" s="316"/>
      <c r="IIP49" s="316"/>
      <c r="IIQ49" s="316"/>
      <c r="IIR49" s="316"/>
      <c r="IIS49" s="316"/>
      <c r="IIT49" s="316"/>
      <c r="IIU49" s="316"/>
      <c r="IIV49" s="316"/>
      <c r="IIW49" s="316"/>
      <c r="IIX49" s="316"/>
      <c r="IIY49" s="316"/>
      <c r="IIZ49" s="316"/>
      <c r="IJA49" s="316"/>
      <c r="IJB49" s="316"/>
      <c r="IJC49" s="316"/>
      <c r="IJD49" s="316"/>
      <c r="IJE49" s="316"/>
      <c r="IJF49" s="316"/>
      <c r="IJG49" s="316"/>
      <c r="IJH49" s="316"/>
      <c r="IJI49" s="316"/>
      <c r="IJJ49" s="316"/>
      <c r="IJK49" s="316"/>
      <c r="IJL49" s="316"/>
      <c r="IJM49" s="316"/>
      <c r="IJN49" s="316"/>
      <c r="IJO49" s="316"/>
      <c r="IJP49" s="316"/>
      <c r="IJQ49" s="316"/>
      <c r="IJR49" s="316"/>
      <c r="IJS49" s="316"/>
      <c r="IJT49" s="316"/>
      <c r="IJU49" s="316"/>
      <c r="IJV49" s="316"/>
      <c r="IJW49" s="316"/>
      <c r="IJX49" s="316"/>
      <c r="IJY49" s="316"/>
      <c r="IJZ49" s="316"/>
      <c r="IKA49" s="316"/>
      <c r="IKB49" s="316"/>
      <c r="IKC49" s="316"/>
      <c r="IKD49" s="316"/>
      <c r="IKE49" s="316"/>
      <c r="IKF49" s="316"/>
      <c r="IKG49" s="316"/>
      <c r="IKH49" s="316"/>
      <c r="IKI49" s="316"/>
      <c r="IKJ49" s="316"/>
      <c r="IKK49" s="316"/>
      <c r="IKL49" s="316"/>
      <c r="IKM49" s="316"/>
      <c r="IKN49" s="316"/>
      <c r="IKO49" s="316"/>
      <c r="IKP49" s="316"/>
      <c r="IKQ49" s="316"/>
      <c r="IKR49" s="316"/>
      <c r="IKS49" s="316"/>
      <c r="IKT49" s="316"/>
      <c r="IKU49" s="316"/>
      <c r="IKV49" s="316"/>
      <c r="IKW49" s="316"/>
      <c r="IKX49" s="316"/>
      <c r="IKY49" s="316"/>
      <c r="IKZ49" s="316"/>
      <c r="ILA49" s="316"/>
      <c r="ILB49" s="316"/>
      <c r="ILC49" s="316"/>
      <c r="ILD49" s="316"/>
      <c r="ILE49" s="316"/>
      <c r="ILF49" s="316"/>
      <c r="ILG49" s="316"/>
      <c r="ILH49" s="316"/>
      <c r="ILI49" s="316"/>
      <c r="ILJ49" s="316"/>
      <c r="ILK49" s="316"/>
      <c r="ILL49" s="316"/>
      <c r="ILM49" s="316"/>
      <c r="ILN49" s="316"/>
      <c r="ILO49" s="316"/>
      <c r="ILP49" s="316"/>
      <c r="ILQ49" s="316"/>
      <c r="ILR49" s="316"/>
      <c r="ILS49" s="316"/>
      <c r="ILT49" s="316"/>
      <c r="ILU49" s="316"/>
      <c r="ILV49" s="316"/>
      <c r="ILW49" s="316"/>
      <c r="ILX49" s="316"/>
      <c r="ILY49" s="316"/>
      <c r="ILZ49" s="316"/>
      <c r="IMA49" s="316"/>
      <c r="IMB49" s="316"/>
      <c r="IMC49" s="316"/>
      <c r="IMD49" s="316"/>
      <c r="IME49" s="316"/>
      <c r="IMF49" s="316"/>
      <c r="IMG49" s="316"/>
      <c r="IMH49" s="316"/>
      <c r="IMI49" s="316"/>
      <c r="IMJ49" s="316"/>
      <c r="IMK49" s="316"/>
      <c r="IML49" s="316"/>
      <c r="IMM49" s="316"/>
      <c r="IMN49" s="316"/>
      <c r="IMO49" s="316"/>
      <c r="IMP49" s="316"/>
      <c r="IMQ49" s="316"/>
      <c r="IMR49" s="316"/>
      <c r="IMS49" s="316"/>
      <c r="IMT49" s="316"/>
      <c r="IMU49" s="316"/>
      <c r="IMV49" s="316"/>
      <c r="IMW49" s="316"/>
      <c r="IMX49" s="316"/>
      <c r="IMY49" s="316"/>
      <c r="IMZ49" s="316"/>
      <c r="INA49" s="316"/>
      <c r="INB49" s="316"/>
      <c r="INC49" s="316"/>
      <c r="IND49" s="316"/>
      <c r="INE49" s="316"/>
      <c r="INF49" s="316"/>
      <c r="ING49" s="316"/>
      <c r="INH49" s="316"/>
      <c r="INI49" s="316"/>
      <c r="INJ49" s="316"/>
      <c r="INK49" s="316"/>
      <c r="INL49" s="316"/>
      <c r="INM49" s="316"/>
      <c r="INN49" s="316"/>
      <c r="INO49" s="316"/>
      <c r="INP49" s="316"/>
      <c r="INQ49" s="316"/>
      <c r="INR49" s="316"/>
      <c r="INS49" s="316"/>
      <c r="INT49" s="316"/>
      <c r="INU49" s="316"/>
      <c r="INV49" s="316"/>
      <c r="INW49" s="316"/>
      <c r="INX49" s="316"/>
      <c r="INY49" s="316"/>
      <c r="INZ49" s="316"/>
      <c r="IOA49" s="316"/>
      <c r="IOB49" s="316"/>
      <c r="IOC49" s="316"/>
      <c r="IOD49" s="316"/>
      <c r="IOE49" s="316"/>
      <c r="IOF49" s="316"/>
      <c r="IOG49" s="316"/>
      <c r="IOH49" s="316"/>
      <c r="IOI49" s="316"/>
      <c r="IOJ49" s="316"/>
      <c r="IOK49" s="316"/>
      <c r="IOL49" s="316"/>
      <c r="IOM49" s="316"/>
      <c r="ION49" s="316"/>
      <c r="IOO49" s="316"/>
      <c r="IOP49" s="316"/>
      <c r="IOQ49" s="316"/>
      <c r="IOR49" s="316"/>
      <c r="IOS49" s="316"/>
      <c r="IOT49" s="316"/>
      <c r="IOU49" s="316"/>
      <c r="IOV49" s="316"/>
      <c r="IOW49" s="316"/>
      <c r="IOX49" s="316"/>
      <c r="IOY49" s="316"/>
      <c r="IOZ49" s="316"/>
      <c r="IPA49" s="316"/>
      <c r="IPB49" s="316"/>
      <c r="IPC49" s="316"/>
      <c r="IPD49" s="316"/>
      <c r="IPE49" s="316"/>
      <c r="IPF49" s="316"/>
      <c r="IPG49" s="316"/>
      <c r="IPH49" s="316"/>
      <c r="IPI49" s="316"/>
      <c r="IPJ49" s="316"/>
      <c r="IPK49" s="316"/>
      <c r="IPL49" s="316"/>
      <c r="IPM49" s="316"/>
      <c r="IPN49" s="316"/>
      <c r="IPO49" s="316"/>
      <c r="IPP49" s="316"/>
      <c r="IPQ49" s="316"/>
      <c r="IPR49" s="316"/>
      <c r="IPS49" s="316"/>
      <c r="IPT49" s="316"/>
      <c r="IPU49" s="316"/>
      <c r="IPV49" s="316"/>
      <c r="IPW49" s="316"/>
      <c r="IPX49" s="316"/>
      <c r="IPY49" s="316"/>
      <c r="IPZ49" s="316"/>
      <c r="IQA49" s="316"/>
      <c r="IQB49" s="316"/>
      <c r="IQC49" s="316"/>
      <c r="IQD49" s="316"/>
      <c r="IQE49" s="316"/>
      <c r="IQF49" s="316"/>
      <c r="IQG49" s="316"/>
      <c r="IQH49" s="316"/>
      <c r="IQI49" s="316"/>
      <c r="IQJ49" s="316"/>
      <c r="IQK49" s="316"/>
      <c r="IQL49" s="316"/>
      <c r="IQM49" s="316"/>
      <c r="IQN49" s="316"/>
      <c r="IQO49" s="316"/>
      <c r="IQP49" s="316"/>
      <c r="IQQ49" s="316"/>
      <c r="IQR49" s="316"/>
      <c r="IQS49" s="316"/>
      <c r="IQT49" s="316"/>
      <c r="IQU49" s="316"/>
      <c r="IQV49" s="316"/>
      <c r="IQW49" s="316"/>
      <c r="IQX49" s="316"/>
      <c r="IQY49" s="316"/>
      <c r="IQZ49" s="316"/>
      <c r="IRA49" s="316"/>
      <c r="IRB49" s="316"/>
      <c r="IRC49" s="316"/>
      <c r="IRD49" s="316"/>
      <c r="IRE49" s="316"/>
      <c r="IRF49" s="316"/>
      <c r="IRG49" s="316"/>
      <c r="IRH49" s="316"/>
      <c r="IRI49" s="316"/>
      <c r="IRJ49" s="316"/>
      <c r="IRK49" s="316"/>
      <c r="IRL49" s="316"/>
      <c r="IRM49" s="316"/>
      <c r="IRN49" s="316"/>
      <c r="IRO49" s="316"/>
      <c r="IRP49" s="316"/>
      <c r="IRQ49" s="316"/>
      <c r="IRR49" s="316"/>
      <c r="IRS49" s="316"/>
      <c r="IRT49" s="316"/>
      <c r="IRU49" s="316"/>
      <c r="IRV49" s="316"/>
      <c r="IRW49" s="316"/>
      <c r="IRX49" s="316"/>
      <c r="IRY49" s="316"/>
      <c r="IRZ49" s="316"/>
      <c r="ISA49" s="316"/>
      <c r="ISB49" s="316"/>
      <c r="ISC49" s="316"/>
      <c r="ISD49" s="316"/>
      <c r="ISE49" s="316"/>
      <c r="ISF49" s="316"/>
      <c r="ISG49" s="316"/>
      <c r="ISH49" s="316"/>
      <c r="ISI49" s="316"/>
      <c r="ISJ49" s="316"/>
      <c r="ISK49" s="316"/>
      <c r="ISL49" s="316"/>
      <c r="ISM49" s="316"/>
      <c r="ISN49" s="316"/>
      <c r="ISO49" s="316"/>
      <c r="ISP49" s="316"/>
      <c r="ISQ49" s="316"/>
      <c r="ISR49" s="316"/>
      <c r="ISS49" s="316"/>
      <c r="IST49" s="316"/>
      <c r="ISU49" s="316"/>
      <c r="ISV49" s="316"/>
      <c r="ISW49" s="316"/>
      <c r="ISX49" s="316"/>
      <c r="ISY49" s="316"/>
      <c r="ISZ49" s="316"/>
      <c r="ITA49" s="316"/>
      <c r="ITB49" s="316"/>
      <c r="ITC49" s="316"/>
      <c r="ITD49" s="316"/>
      <c r="ITE49" s="316"/>
      <c r="ITF49" s="316"/>
      <c r="ITG49" s="316"/>
      <c r="ITH49" s="316"/>
      <c r="ITI49" s="316"/>
      <c r="ITJ49" s="316"/>
      <c r="ITK49" s="316"/>
      <c r="ITL49" s="316"/>
      <c r="ITM49" s="316"/>
      <c r="ITN49" s="316"/>
      <c r="ITO49" s="316"/>
      <c r="ITP49" s="316"/>
      <c r="ITQ49" s="316"/>
      <c r="ITR49" s="316"/>
      <c r="ITS49" s="316"/>
      <c r="ITT49" s="316"/>
      <c r="ITU49" s="316"/>
      <c r="ITV49" s="316"/>
      <c r="ITW49" s="316"/>
      <c r="ITX49" s="316"/>
      <c r="ITY49" s="316"/>
      <c r="ITZ49" s="316"/>
      <c r="IUA49" s="316"/>
      <c r="IUB49" s="316"/>
      <c r="IUC49" s="316"/>
      <c r="IUD49" s="316"/>
      <c r="IUE49" s="316"/>
      <c r="IUF49" s="316"/>
      <c r="IUG49" s="316"/>
      <c r="IUH49" s="316"/>
      <c r="IUI49" s="316"/>
      <c r="IUJ49" s="316"/>
      <c r="IUK49" s="316"/>
      <c r="IUL49" s="316"/>
      <c r="IUM49" s="316"/>
      <c r="IUN49" s="316"/>
      <c r="IUO49" s="316"/>
      <c r="IUP49" s="316"/>
      <c r="IUQ49" s="316"/>
      <c r="IUR49" s="316"/>
      <c r="IUS49" s="316"/>
      <c r="IUT49" s="316"/>
      <c r="IUU49" s="316"/>
      <c r="IUV49" s="316"/>
      <c r="IUW49" s="316"/>
      <c r="IUX49" s="316"/>
      <c r="IUY49" s="316"/>
      <c r="IUZ49" s="316"/>
      <c r="IVA49" s="316"/>
      <c r="IVB49" s="316"/>
      <c r="IVC49" s="316"/>
      <c r="IVD49" s="316"/>
      <c r="IVE49" s="316"/>
      <c r="IVF49" s="316"/>
      <c r="IVG49" s="316"/>
      <c r="IVH49" s="316"/>
      <c r="IVI49" s="316"/>
      <c r="IVJ49" s="316"/>
      <c r="IVK49" s="316"/>
      <c r="IVL49" s="316"/>
      <c r="IVM49" s="316"/>
      <c r="IVN49" s="316"/>
      <c r="IVO49" s="316"/>
      <c r="IVP49" s="316"/>
      <c r="IVQ49" s="316"/>
      <c r="IVR49" s="316"/>
      <c r="IVS49" s="316"/>
      <c r="IVT49" s="316"/>
      <c r="IVU49" s="316"/>
      <c r="IVV49" s="316"/>
      <c r="IVW49" s="316"/>
      <c r="IVX49" s="316"/>
      <c r="IVY49" s="316"/>
      <c r="IVZ49" s="316"/>
      <c r="IWA49" s="316"/>
      <c r="IWB49" s="316"/>
      <c r="IWC49" s="316"/>
      <c r="IWD49" s="316"/>
      <c r="IWE49" s="316"/>
      <c r="IWF49" s="316"/>
      <c r="IWG49" s="316"/>
      <c r="IWH49" s="316"/>
      <c r="IWI49" s="316"/>
      <c r="IWJ49" s="316"/>
      <c r="IWK49" s="316"/>
      <c r="IWL49" s="316"/>
      <c r="IWM49" s="316"/>
      <c r="IWN49" s="316"/>
      <c r="IWO49" s="316"/>
      <c r="IWP49" s="316"/>
      <c r="IWQ49" s="316"/>
      <c r="IWR49" s="316"/>
      <c r="IWS49" s="316"/>
      <c r="IWT49" s="316"/>
      <c r="IWU49" s="316"/>
      <c r="IWV49" s="316"/>
      <c r="IWW49" s="316"/>
      <c r="IWX49" s="316"/>
      <c r="IWY49" s="316"/>
      <c r="IWZ49" s="316"/>
      <c r="IXA49" s="316"/>
      <c r="IXB49" s="316"/>
      <c r="IXC49" s="316"/>
      <c r="IXD49" s="316"/>
      <c r="IXE49" s="316"/>
      <c r="IXF49" s="316"/>
      <c r="IXG49" s="316"/>
      <c r="IXH49" s="316"/>
      <c r="IXI49" s="316"/>
      <c r="IXJ49" s="316"/>
      <c r="IXK49" s="316"/>
      <c r="IXL49" s="316"/>
      <c r="IXM49" s="316"/>
      <c r="IXN49" s="316"/>
      <c r="IXO49" s="316"/>
      <c r="IXP49" s="316"/>
      <c r="IXQ49" s="316"/>
      <c r="IXR49" s="316"/>
      <c r="IXS49" s="316"/>
      <c r="IXT49" s="316"/>
      <c r="IXU49" s="316"/>
      <c r="IXV49" s="316"/>
      <c r="IXW49" s="316"/>
      <c r="IXX49" s="316"/>
      <c r="IXY49" s="316"/>
      <c r="IXZ49" s="316"/>
      <c r="IYA49" s="316"/>
      <c r="IYB49" s="316"/>
      <c r="IYC49" s="316"/>
      <c r="IYD49" s="316"/>
      <c r="IYE49" s="316"/>
      <c r="IYF49" s="316"/>
      <c r="IYG49" s="316"/>
      <c r="IYH49" s="316"/>
      <c r="IYI49" s="316"/>
      <c r="IYJ49" s="316"/>
      <c r="IYK49" s="316"/>
      <c r="IYL49" s="316"/>
      <c r="IYM49" s="316"/>
      <c r="IYN49" s="316"/>
      <c r="IYO49" s="316"/>
      <c r="IYP49" s="316"/>
      <c r="IYQ49" s="316"/>
      <c r="IYR49" s="316"/>
      <c r="IYS49" s="316"/>
      <c r="IYT49" s="316"/>
      <c r="IYU49" s="316"/>
      <c r="IYV49" s="316"/>
      <c r="IYW49" s="316"/>
      <c r="IYX49" s="316"/>
      <c r="IYY49" s="316"/>
      <c r="IYZ49" s="316"/>
      <c r="IZA49" s="316"/>
      <c r="IZB49" s="316"/>
      <c r="IZC49" s="316"/>
      <c r="IZD49" s="316"/>
      <c r="IZE49" s="316"/>
      <c r="IZF49" s="316"/>
      <c r="IZG49" s="316"/>
      <c r="IZH49" s="316"/>
      <c r="IZI49" s="316"/>
      <c r="IZJ49" s="316"/>
      <c r="IZK49" s="316"/>
      <c r="IZL49" s="316"/>
      <c r="IZM49" s="316"/>
      <c r="IZN49" s="316"/>
      <c r="IZO49" s="316"/>
      <c r="IZP49" s="316"/>
      <c r="IZQ49" s="316"/>
      <c r="IZR49" s="316"/>
      <c r="IZS49" s="316"/>
      <c r="IZT49" s="316"/>
      <c r="IZU49" s="316"/>
      <c r="IZV49" s="316"/>
      <c r="IZW49" s="316"/>
      <c r="IZX49" s="316"/>
      <c r="IZY49" s="316"/>
      <c r="IZZ49" s="316"/>
      <c r="JAA49" s="316"/>
      <c r="JAB49" s="316"/>
      <c r="JAC49" s="316"/>
      <c r="JAD49" s="316"/>
      <c r="JAE49" s="316"/>
      <c r="JAF49" s="316"/>
      <c r="JAG49" s="316"/>
      <c r="JAH49" s="316"/>
      <c r="JAI49" s="316"/>
      <c r="JAJ49" s="316"/>
      <c r="JAK49" s="316"/>
      <c r="JAL49" s="316"/>
      <c r="JAM49" s="316"/>
      <c r="JAN49" s="316"/>
      <c r="JAO49" s="316"/>
      <c r="JAP49" s="316"/>
      <c r="JAQ49" s="316"/>
      <c r="JAR49" s="316"/>
      <c r="JAS49" s="316"/>
      <c r="JAT49" s="316"/>
      <c r="JAU49" s="316"/>
      <c r="JAV49" s="316"/>
      <c r="JAW49" s="316"/>
      <c r="JAX49" s="316"/>
      <c r="JAY49" s="316"/>
      <c r="JAZ49" s="316"/>
      <c r="JBA49" s="316"/>
      <c r="JBB49" s="316"/>
      <c r="JBC49" s="316"/>
      <c r="JBD49" s="316"/>
      <c r="JBE49" s="316"/>
      <c r="JBF49" s="316"/>
      <c r="JBG49" s="316"/>
      <c r="JBH49" s="316"/>
      <c r="JBI49" s="316"/>
      <c r="JBJ49" s="316"/>
      <c r="JBK49" s="316"/>
      <c r="JBL49" s="316"/>
      <c r="JBM49" s="316"/>
      <c r="JBN49" s="316"/>
      <c r="JBO49" s="316"/>
      <c r="JBP49" s="316"/>
      <c r="JBQ49" s="316"/>
      <c r="JBR49" s="316"/>
      <c r="JBS49" s="316"/>
      <c r="JBT49" s="316"/>
      <c r="JBU49" s="316"/>
      <c r="JBV49" s="316"/>
      <c r="JBW49" s="316"/>
      <c r="JBX49" s="316"/>
      <c r="JBY49" s="316"/>
      <c r="JBZ49" s="316"/>
      <c r="JCA49" s="316"/>
      <c r="JCB49" s="316"/>
      <c r="JCC49" s="316"/>
      <c r="JCD49" s="316"/>
      <c r="JCE49" s="316"/>
      <c r="JCF49" s="316"/>
      <c r="JCG49" s="316"/>
      <c r="JCH49" s="316"/>
      <c r="JCI49" s="316"/>
      <c r="JCJ49" s="316"/>
      <c r="JCK49" s="316"/>
      <c r="JCL49" s="316"/>
      <c r="JCM49" s="316"/>
      <c r="JCN49" s="316"/>
      <c r="JCO49" s="316"/>
      <c r="JCP49" s="316"/>
      <c r="JCQ49" s="316"/>
      <c r="JCR49" s="316"/>
      <c r="JCS49" s="316"/>
      <c r="JCT49" s="316"/>
      <c r="JCU49" s="316"/>
      <c r="JCV49" s="316"/>
      <c r="JCW49" s="316"/>
      <c r="JCX49" s="316"/>
      <c r="JCY49" s="316"/>
      <c r="JCZ49" s="316"/>
      <c r="JDA49" s="316"/>
      <c r="JDB49" s="316"/>
      <c r="JDC49" s="316"/>
      <c r="JDD49" s="316"/>
      <c r="JDE49" s="316"/>
      <c r="JDF49" s="316"/>
      <c r="JDG49" s="316"/>
      <c r="JDH49" s="316"/>
      <c r="JDI49" s="316"/>
      <c r="JDJ49" s="316"/>
      <c r="JDK49" s="316"/>
      <c r="JDL49" s="316"/>
      <c r="JDM49" s="316"/>
      <c r="JDN49" s="316"/>
      <c r="JDO49" s="316"/>
      <c r="JDP49" s="316"/>
      <c r="JDQ49" s="316"/>
      <c r="JDR49" s="316"/>
      <c r="JDS49" s="316"/>
      <c r="JDT49" s="316"/>
      <c r="JDU49" s="316"/>
      <c r="JDV49" s="316"/>
      <c r="JDW49" s="316"/>
      <c r="JDX49" s="316"/>
      <c r="JDY49" s="316"/>
      <c r="JDZ49" s="316"/>
      <c r="JEA49" s="316"/>
      <c r="JEB49" s="316"/>
      <c r="JEC49" s="316"/>
      <c r="JED49" s="316"/>
      <c r="JEE49" s="316"/>
      <c r="JEF49" s="316"/>
      <c r="JEG49" s="316"/>
      <c r="JEH49" s="316"/>
      <c r="JEI49" s="316"/>
      <c r="JEJ49" s="316"/>
      <c r="JEK49" s="316"/>
      <c r="JEL49" s="316"/>
      <c r="JEM49" s="316"/>
      <c r="JEN49" s="316"/>
      <c r="JEO49" s="316"/>
      <c r="JEP49" s="316"/>
      <c r="JEQ49" s="316"/>
      <c r="JER49" s="316"/>
      <c r="JES49" s="316"/>
      <c r="JET49" s="316"/>
      <c r="JEU49" s="316"/>
      <c r="JEV49" s="316"/>
      <c r="JEW49" s="316"/>
      <c r="JEX49" s="316"/>
      <c r="JEY49" s="316"/>
      <c r="JEZ49" s="316"/>
      <c r="JFA49" s="316"/>
      <c r="JFB49" s="316"/>
      <c r="JFC49" s="316"/>
      <c r="JFD49" s="316"/>
      <c r="JFE49" s="316"/>
      <c r="JFF49" s="316"/>
      <c r="JFG49" s="316"/>
      <c r="JFH49" s="316"/>
      <c r="JFI49" s="316"/>
      <c r="JFJ49" s="316"/>
      <c r="JFK49" s="316"/>
      <c r="JFL49" s="316"/>
      <c r="JFM49" s="316"/>
      <c r="JFN49" s="316"/>
      <c r="JFO49" s="316"/>
      <c r="JFP49" s="316"/>
      <c r="JFQ49" s="316"/>
      <c r="JFR49" s="316"/>
      <c r="JFS49" s="316"/>
      <c r="JFT49" s="316"/>
      <c r="JFU49" s="316"/>
      <c r="JFV49" s="316"/>
      <c r="JFW49" s="316"/>
      <c r="JFX49" s="316"/>
      <c r="JFY49" s="316"/>
      <c r="JFZ49" s="316"/>
      <c r="JGA49" s="316"/>
      <c r="JGB49" s="316"/>
      <c r="JGC49" s="316"/>
      <c r="JGD49" s="316"/>
      <c r="JGE49" s="316"/>
      <c r="JGF49" s="316"/>
      <c r="JGG49" s="316"/>
      <c r="JGH49" s="316"/>
      <c r="JGI49" s="316"/>
      <c r="JGJ49" s="316"/>
      <c r="JGK49" s="316"/>
      <c r="JGL49" s="316"/>
      <c r="JGM49" s="316"/>
      <c r="JGN49" s="316"/>
      <c r="JGO49" s="316"/>
      <c r="JGP49" s="316"/>
      <c r="JGQ49" s="316"/>
      <c r="JGR49" s="316"/>
      <c r="JGS49" s="316"/>
      <c r="JGT49" s="316"/>
      <c r="JGU49" s="316"/>
      <c r="JGV49" s="316"/>
      <c r="JGW49" s="316"/>
      <c r="JGX49" s="316"/>
      <c r="JGY49" s="316"/>
      <c r="JGZ49" s="316"/>
      <c r="JHA49" s="316"/>
      <c r="JHB49" s="316"/>
      <c r="JHC49" s="316"/>
      <c r="JHD49" s="316"/>
      <c r="JHE49" s="316"/>
      <c r="JHF49" s="316"/>
      <c r="JHG49" s="316"/>
      <c r="JHH49" s="316"/>
      <c r="JHI49" s="316"/>
      <c r="JHJ49" s="316"/>
      <c r="JHK49" s="316"/>
      <c r="JHL49" s="316"/>
      <c r="JHM49" s="316"/>
      <c r="JHN49" s="316"/>
      <c r="JHO49" s="316"/>
      <c r="JHP49" s="316"/>
      <c r="JHQ49" s="316"/>
      <c r="JHR49" s="316"/>
      <c r="JHS49" s="316"/>
      <c r="JHT49" s="316"/>
      <c r="JHU49" s="316"/>
      <c r="JHV49" s="316"/>
      <c r="JHW49" s="316"/>
      <c r="JHX49" s="316"/>
      <c r="JHY49" s="316"/>
      <c r="JHZ49" s="316"/>
      <c r="JIA49" s="316"/>
      <c r="JIB49" s="316"/>
      <c r="JIC49" s="316"/>
      <c r="JID49" s="316"/>
      <c r="JIE49" s="316"/>
      <c r="JIF49" s="316"/>
      <c r="JIG49" s="316"/>
      <c r="JIH49" s="316"/>
      <c r="JII49" s="316"/>
      <c r="JIJ49" s="316"/>
      <c r="JIK49" s="316"/>
      <c r="JIL49" s="316"/>
      <c r="JIM49" s="316"/>
      <c r="JIN49" s="316"/>
      <c r="JIO49" s="316"/>
      <c r="JIP49" s="316"/>
      <c r="JIQ49" s="316"/>
      <c r="JIR49" s="316"/>
      <c r="JIS49" s="316"/>
      <c r="JIT49" s="316"/>
      <c r="JIU49" s="316"/>
      <c r="JIV49" s="316"/>
      <c r="JIW49" s="316"/>
      <c r="JIX49" s="316"/>
      <c r="JIY49" s="316"/>
      <c r="JIZ49" s="316"/>
      <c r="JJA49" s="316"/>
      <c r="JJB49" s="316"/>
      <c r="JJC49" s="316"/>
      <c r="JJD49" s="316"/>
      <c r="JJE49" s="316"/>
      <c r="JJF49" s="316"/>
      <c r="JJG49" s="316"/>
      <c r="JJH49" s="316"/>
      <c r="JJI49" s="316"/>
      <c r="JJJ49" s="316"/>
      <c r="JJK49" s="316"/>
      <c r="JJL49" s="316"/>
      <c r="JJM49" s="316"/>
      <c r="JJN49" s="316"/>
      <c r="JJO49" s="316"/>
      <c r="JJP49" s="316"/>
      <c r="JJQ49" s="316"/>
      <c r="JJR49" s="316"/>
      <c r="JJS49" s="316"/>
      <c r="JJT49" s="316"/>
      <c r="JJU49" s="316"/>
      <c r="JJV49" s="316"/>
      <c r="JJW49" s="316"/>
      <c r="JJX49" s="316"/>
      <c r="JJY49" s="316"/>
      <c r="JJZ49" s="316"/>
      <c r="JKA49" s="316"/>
      <c r="JKB49" s="316"/>
      <c r="JKC49" s="316"/>
      <c r="JKD49" s="316"/>
      <c r="JKE49" s="316"/>
      <c r="JKF49" s="316"/>
      <c r="JKG49" s="316"/>
      <c r="JKH49" s="316"/>
      <c r="JKI49" s="316"/>
      <c r="JKJ49" s="316"/>
      <c r="JKK49" s="316"/>
      <c r="JKL49" s="316"/>
      <c r="JKM49" s="316"/>
      <c r="JKN49" s="316"/>
      <c r="JKO49" s="316"/>
      <c r="JKP49" s="316"/>
      <c r="JKQ49" s="316"/>
      <c r="JKR49" s="316"/>
      <c r="JKS49" s="316"/>
      <c r="JKT49" s="316"/>
      <c r="JKU49" s="316"/>
      <c r="JKV49" s="316"/>
      <c r="JKW49" s="316"/>
      <c r="JKX49" s="316"/>
      <c r="JKY49" s="316"/>
      <c r="JKZ49" s="316"/>
      <c r="JLA49" s="316"/>
      <c r="JLB49" s="316"/>
      <c r="JLC49" s="316"/>
      <c r="JLD49" s="316"/>
      <c r="JLE49" s="316"/>
      <c r="JLF49" s="316"/>
      <c r="JLG49" s="316"/>
      <c r="JLH49" s="316"/>
      <c r="JLI49" s="316"/>
      <c r="JLJ49" s="316"/>
      <c r="JLK49" s="316"/>
      <c r="JLL49" s="316"/>
      <c r="JLM49" s="316"/>
      <c r="JLN49" s="316"/>
      <c r="JLO49" s="316"/>
      <c r="JLP49" s="316"/>
      <c r="JLQ49" s="316"/>
      <c r="JLR49" s="316"/>
      <c r="JLS49" s="316"/>
      <c r="JLT49" s="316"/>
      <c r="JLU49" s="316"/>
      <c r="JLV49" s="316"/>
      <c r="JLW49" s="316"/>
      <c r="JLX49" s="316"/>
      <c r="JLY49" s="316"/>
      <c r="JLZ49" s="316"/>
      <c r="JMA49" s="316"/>
      <c r="JMB49" s="316"/>
      <c r="JMC49" s="316"/>
      <c r="JMD49" s="316"/>
      <c r="JME49" s="316"/>
      <c r="JMF49" s="316"/>
      <c r="JMG49" s="316"/>
      <c r="JMH49" s="316"/>
      <c r="JMI49" s="316"/>
      <c r="JMJ49" s="316"/>
      <c r="JMK49" s="316"/>
      <c r="JML49" s="316"/>
      <c r="JMM49" s="316"/>
      <c r="JMN49" s="316"/>
      <c r="JMO49" s="316"/>
      <c r="JMP49" s="316"/>
      <c r="JMQ49" s="316"/>
      <c r="JMR49" s="316"/>
      <c r="JMS49" s="316"/>
      <c r="JMT49" s="316"/>
      <c r="JMU49" s="316"/>
      <c r="JMV49" s="316"/>
      <c r="JMW49" s="316"/>
      <c r="JMX49" s="316"/>
      <c r="JMY49" s="316"/>
      <c r="JMZ49" s="316"/>
      <c r="JNA49" s="316"/>
      <c r="JNB49" s="316"/>
      <c r="JNC49" s="316"/>
      <c r="JND49" s="316"/>
      <c r="JNE49" s="316"/>
      <c r="JNF49" s="316"/>
      <c r="JNG49" s="316"/>
      <c r="JNH49" s="316"/>
      <c r="JNI49" s="316"/>
      <c r="JNJ49" s="316"/>
      <c r="JNK49" s="316"/>
      <c r="JNL49" s="316"/>
      <c r="JNM49" s="316"/>
      <c r="JNN49" s="316"/>
      <c r="JNO49" s="316"/>
      <c r="JNP49" s="316"/>
      <c r="JNQ49" s="316"/>
      <c r="JNR49" s="316"/>
      <c r="JNS49" s="316"/>
      <c r="JNT49" s="316"/>
      <c r="JNU49" s="316"/>
      <c r="JNV49" s="316"/>
      <c r="JNW49" s="316"/>
      <c r="JNX49" s="316"/>
      <c r="JNY49" s="316"/>
      <c r="JNZ49" s="316"/>
      <c r="JOA49" s="316"/>
      <c r="JOB49" s="316"/>
      <c r="JOC49" s="316"/>
      <c r="JOD49" s="316"/>
      <c r="JOE49" s="316"/>
      <c r="JOF49" s="316"/>
      <c r="JOG49" s="316"/>
      <c r="JOH49" s="316"/>
      <c r="JOI49" s="316"/>
      <c r="JOJ49" s="316"/>
      <c r="JOK49" s="316"/>
      <c r="JOL49" s="316"/>
      <c r="JOM49" s="316"/>
      <c r="JON49" s="316"/>
      <c r="JOO49" s="316"/>
      <c r="JOP49" s="316"/>
      <c r="JOQ49" s="316"/>
      <c r="JOR49" s="316"/>
      <c r="JOS49" s="316"/>
      <c r="JOT49" s="316"/>
      <c r="JOU49" s="316"/>
      <c r="JOV49" s="316"/>
      <c r="JOW49" s="316"/>
      <c r="JOX49" s="316"/>
      <c r="JOY49" s="316"/>
      <c r="JOZ49" s="316"/>
      <c r="JPA49" s="316"/>
      <c r="JPB49" s="316"/>
      <c r="JPC49" s="316"/>
      <c r="JPD49" s="316"/>
      <c r="JPE49" s="316"/>
      <c r="JPF49" s="316"/>
      <c r="JPG49" s="316"/>
      <c r="JPH49" s="316"/>
      <c r="JPI49" s="316"/>
      <c r="JPJ49" s="316"/>
      <c r="JPK49" s="316"/>
      <c r="JPL49" s="316"/>
      <c r="JPM49" s="316"/>
      <c r="JPN49" s="316"/>
      <c r="JPO49" s="316"/>
      <c r="JPP49" s="316"/>
      <c r="JPQ49" s="316"/>
      <c r="JPR49" s="316"/>
      <c r="JPS49" s="316"/>
      <c r="JPT49" s="316"/>
      <c r="JPU49" s="316"/>
      <c r="JPV49" s="316"/>
      <c r="JPW49" s="316"/>
      <c r="JPX49" s="316"/>
      <c r="JPY49" s="316"/>
      <c r="JPZ49" s="316"/>
      <c r="JQA49" s="316"/>
      <c r="JQB49" s="316"/>
      <c r="JQC49" s="316"/>
      <c r="JQD49" s="316"/>
      <c r="JQE49" s="316"/>
      <c r="JQF49" s="316"/>
      <c r="JQG49" s="316"/>
      <c r="JQH49" s="316"/>
      <c r="JQI49" s="316"/>
      <c r="JQJ49" s="316"/>
      <c r="JQK49" s="316"/>
      <c r="JQL49" s="316"/>
      <c r="JQM49" s="316"/>
      <c r="JQN49" s="316"/>
      <c r="JQO49" s="316"/>
      <c r="JQP49" s="316"/>
      <c r="JQQ49" s="316"/>
      <c r="JQR49" s="316"/>
      <c r="JQS49" s="316"/>
      <c r="JQT49" s="316"/>
      <c r="JQU49" s="316"/>
      <c r="JQV49" s="316"/>
      <c r="JQW49" s="316"/>
      <c r="JQX49" s="316"/>
      <c r="JQY49" s="316"/>
      <c r="JQZ49" s="316"/>
      <c r="JRA49" s="316"/>
      <c r="JRB49" s="316"/>
      <c r="JRC49" s="316"/>
      <c r="JRD49" s="316"/>
      <c r="JRE49" s="316"/>
      <c r="JRF49" s="316"/>
      <c r="JRG49" s="316"/>
      <c r="JRH49" s="316"/>
      <c r="JRI49" s="316"/>
      <c r="JRJ49" s="316"/>
      <c r="JRK49" s="316"/>
      <c r="JRL49" s="316"/>
      <c r="JRM49" s="316"/>
      <c r="JRN49" s="316"/>
      <c r="JRO49" s="316"/>
      <c r="JRP49" s="316"/>
      <c r="JRQ49" s="316"/>
      <c r="JRR49" s="316"/>
      <c r="JRS49" s="316"/>
      <c r="JRT49" s="316"/>
      <c r="JRU49" s="316"/>
      <c r="JRV49" s="316"/>
      <c r="JRW49" s="316"/>
      <c r="JRX49" s="316"/>
      <c r="JRY49" s="316"/>
      <c r="JRZ49" s="316"/>
      <c r="JSA49" s="316"/>
      <c r="JSB49" s="316"/>
      <c r="JSC49" s="316"/>
      <c r="JSD49" s="316"/>
      <c r="JSE49" s="316"/>
      <c r="JSF49" s="316"/>
      <c r="JSG49" s="316"/>
      <c r="JSH49" s="316"/>
      <c r="JSI49" s="316"/>
      <c r="JSJ49" s="316"/>
      <c r="JSK49" s="316"/>
      <c r="JSL49" s="316"/>
      <c r="JSM49" s="316"/>
      <c r="JSN49" s="316"/>
      <c r="JSO49" s="316"/>
      <c r="JSP49" s="316"/>
      <c r="JSQ49" s="316"/>
      <c r="JSR49" s="316"/>
      <c r="JSS49" s="316"/>
      <c r="JST49" s="316"/>
      <c r="JSU49" s="316"/>
      <c r="JSV49" s="316"/>
      <c r="JSW49" s="316"/>
      <c r="JSX49" s="316"/>
      <c r="JSY49" s="316"/>
      <c r="JSZ49" s="316"/>
      <c r="JTA49" s="316"/>
      <c r="JTB49" s="316"/>
      <c r="JTC49" s="316"/>
      <c r="JTD49" s="316"/>
      <c r="JTE49" s="316"/>
      <c r="JTF49" s="316"/>
      <c r="JTG49" s="316"/>
      <c r="JTH49" s="316"/>
      <c r="JTI49" s="316"/>
      <c r="JTJ49" s="316"/>
      <c r="JTK49" s="316"/>
      <c r="JTL49" s="316"/>
      <c r="JTM49" s="316"/>
      <c r="JTN49" s="316"/>
      <c r="JTO49" s="316"/>
      <c r="JTP49" s="316"/>
      <c r="JTQ49" s="316"/>
      <c r="JTR49" s="316"/>
      <c r="JTS49" s="316"/>
      <c r="JTT49" s="316"/>
      <c r="JTU49" s="316"/>
      <c r="JTV49" s="316"/>
      <c r="JTW49" s="316"/>
      <c r="JTX49" s="316"/>
      <c r="JTY49" s="316"/>
      <c r="JTZ49" s="316"/>
      <c r="JUA49" s="316"/>
      <c r="JUB49" s="316"/>
      <c r="JUC49" s="316"/>
      <c r="JUD49" s="316"/>
      <c r="JUE49" s="316"/>
      <c r="JUF49" s="316"/>
      <c r="JUG49" s="316"/>
      <c r="JUH49" s="316"/>
      <c r="JUI49" s="316"/>
      <c r="JUJ49" s="316"/>
      <c r="JUK49" s="316"/>
      <c r="JUL49" s="316"/>
      <c r="JUM49" s="316"/>
      <c r="JUN49" s="316"/>
      <c r="JUO49" s="316"/>
      <c r="JUP49" s="316"/>
      <c r="JUQ49" s="316"/>
      <c r="JUR49" s="316"/>
      <c r="JUS49" s="316"/>
      <c r="JUT49" s="316"/>
      <c r="JUU49" s="316"/>
      <c r="JUV49" s="316"/>
      <c r="JUW49" s="316"/>
      <c r="JUX49" s="316"/>
      <c r="JUY49" s="316"/>
      <c r="JUZ49" s="316"/>
      <c r="JVA49" s="316"/>
      <c r="JVB49" s="316"/>
      <c r="JVC49" s="316"/>
      <c r="JVD49" s="316"/>
      <c r="JVE49" s="316"/>
      <c r="JVF49" s="316"/>
      <c r="JVG49" s="316"/>
      <c r="JVH49" s="316"/>
      <c r="JVI49" s="316"/>
      <c r="JVJ49" s="316"/>
      <c r="JVK49" s="316"/>
      <c r="JVL49" s="316"/>
      <c r="JVM49" s="316"/>
      <c r="JVN49" s="316"/>
      <c r="JVO49" s="316"/>
      <c r="JVP49" s="316"/>
      <c r="JVQ49" s="316"/>
      <c r="JVR49" s="316"/>
      <c r="JVS49" s="316"/>
      <c r="JVT49" s="316"/>
      <c r="JVU49" s="316"/>
      <c r="JVV49" s="316"/>
      <c r="JVW49" s="316"/>
      <c r="JVX49" s="316"/>
      <c r="JVY49" s="316"/>
      <c r="JVZ49" s="316"/>
      <c r="JWA49" s="316"/>
      <c r="JWB49" s="316"/>
      <c r="JWC49" s="316"/>
      <c r="JWD49" s="316"/>
      <c r="JWE49" s="316"/>
      <c r="JWF49" s="316"/>
      <c r="JWG49" s="316"/>
      <c r="JWH49" s="316"/>
      <c r="JWI49" s="316"/>
      <c r="JWJ49" s="316"/>
      <c r="JWK49" s="316"/>
      <c r="JWL49" s="316"/>
      <c r="JWM49" s="316"/>
      <c r="JWN49" s="316"/>
      <c r="JWO49" s="316"/>
      <c r="JWP49" s="316"/>
      <c r="JWQ49" s="316"/>
      <c r="JWR49" s="316"/>
      <c r="JWS49" s="316"/>
      <c r="JWT49" s="316"/>
      <c r="JWU49" s="316"/>
      <c r="JWV49" s="316"/>
      <c r="JWW49" s="316"/>
      <c r="JWX49" s="316"/>
      <c r="JWY49" s="316"/>
      <c r="JWZ49" s="316"/>
      <c r="JXA49" s="316"/>
      <c r="JXB49" s="316"/>
      <c r="JXC49" s="316"/>
      <c r="JXD49" s="316"/>
      <c r="JXE49" s="316"/>
      <c r="JXF49" s="316"/>
      <c r="JXG49" s="316"/>
      <c r="JXH49" s="316"/>
      <c r="JXI49" s="316"/>
      <c r="JXJ49" s="316"/>
      <c r="JXK49" s="316"/>
      <c r="JXL49" s="316"/>
      <c r="JXM49" s="316"/>
      <c r="JXN49" s="316"/>
      <c r="JXO49" s="316"/>
      <c r="JXP49" s="316"/>
      <c r="JXQ49" s="316"/>
      <c r="JXR49" s="316"/>
      <c r="JXS49" s="316"/>
      <c r="JXT49" s="316"/>
      <c r="JXU49" s="316"/>
      <c r="JXV49" s="316"/>
      <c r="JXW49" s="316"/>
      <c r="JXX49" s="316"/>
      <c r="JXY49" s="316"/>
      <c r="JXZ49" s="316"/>
      <c r="JYA49" s="316"/>
      <c r="JYB49" s="316"/>
      <c r="JYC49" s="316"/>
      <c r="JYD49" s="316"/>
      <c r="JYE49" s="316"/>
      <c r="JYF49" s="316"/>
      <c r="JYG49" s="316"/>
      <c r="JYH49" s="316"/>
      <c r="JYI49" s="316"/>
      <c r="JYJ49" s="316"/>
      <c r="JYK49" s="316"/>
      <c r="JYL49" s="316"/>
      <c r="JYM49" s="316"/>
      <c r="JYN49" s="316"/>
      <c r="JYO49" s="316"/>
      <c r="JYP49" s="316"/>
      <c r="JYQ49" s="316"/>
      <c r="JYR49" s="316"/>
      <c r="JYS49" s="316"/>
      <c r="JYT49" s="316"/>
      <c r="JYU49" s="316"/>
      <c r="JYV49" s="316"/>
      <c r="JYW49" s="316"/>
      <c r="JYX49" s="316"/>
      <c r="JYY49" s="316"/>
      <c r="JYZ49" s="316"/>
      <c r="JZA49" s="316"/>
      <c r="JZB49" s="316"/>
      <c r="JZC49" s="316"/>
      <c r="JZD49" s="316"/>
      <c r="JZE49" s="316"/>
      <c r="JZF49" s="316"/>
      <c r="JZG49" s="316"/>
      <c r="JZH49" s="316"/>
      <c r="JZI49" s="316"/>
      <c r="JZJ49" s="316"/>
      <c r="JZK49" s="316"/>
      <c r="JZL49" s="316"/>
      <c r="JZM49" s="316"/>
      <c r="JZN49" s="316"/>
      <c r="JZO49" s="316"/>
      <c r="JZP49" s="316"/>
      <c r="JZQ49" s="316"/>
      <c r="JZR49" s="316"/>
      <c r="JZS49" s="316"/>
      <c r="JZT49" s="316"/>
      <c r="JZU49" s="316"/>
      <c r="JZV49" s="316"/>
      <c r="JZW49" s="316"/>
      <c r="JZX49" s="316"/>
      <c r="JZY49" s="316"/>
      <c r="JZZ49" s="316"/>
      <c r="KAA49" s="316"/>
      <c r="KAB49" s="316"/>
      <c r="KAC49" s="316"/>
      <c r="KAD49" s="316"/>
      <c r="KAE49" s="316"/>
      <c r="KAF49" s="316"/>
      <c r="KAG49" s="316"/>
      <c r="KAH49" s="316"/>
      <c r="KAI49" s="316"/>
      <c r="KAJ49" s="316"/>
      <c r="KAK49" s="316"/>
      <c r="KAL49" s="316"/>
      <c r="KAM49" s="316"/>
      <c r="KAN49" s="316"/>
      <c r="KAO49" s="316"/>
      <c r="KAP49" s="316"/>
      <c r="KAQ49" s="316"/>
      <c r="KAR49" s="316"/>
      <c r="KAS49" s="316"/>
      <c r="KAT49" s="316"/>
      <c r="KAU49" s="316"/>
      <c r="KAV49" s="316"/>
      <c r="KAW49" s="316"/>
      <c r="KAX49" s="316"/>
      <c r="KAY49" s="316"/>
      <c r="KAZ49" s="316"/>
      <c r="KBA49" s="316"/>
      <c r="KBB49" s="316"/>
      <c r="KBC49" s="316"/>
      <c r="KBD49" s="316"/>
      <c r="KBE49" s="316"/>
      <c r="KBF49" s="316"/>
      <c r="KBG49" s="316"/>
      <c r="KBH49" s="316"/>
      <c r="KBI49" s="316"/>
      <c r="KBJ49" s="316"/>
      <c r="KBK49" s="316"/>
      <c r="KBL49" s="316"/>
      <c r="KBM49" s="316"/>
      <c r="KBN49" s="316"/>
      <c r="KBO49" s="316"/>
      <c r="KBP49" s="316"/>
      <c r="KBQ49" s="316"/>
      <c r="KBR49" s="316"/>
      <c r="KBS49" s="316"/>
      <c r="KBT49" s="316"/>
      <c r="KBU49" s="316"/>
      <c r="KBV49" s="316"/>
      <c r="KBW49" s="316"/>
      <c r="KBX49" s="316"/>
      <c r="KBY49" s="316"/>
      <c r="KBZ49" s="316"/>
      <c r="KCA49" s="316"/>
      <c r="KCB49" s="316"/>
      <c r="KCC49" s="316"/>
      <c r="KCD49" s="316"/>
      <c r="KCE49" s="316"/>
      <c r="KCF49" s="316"/>
      <c r="KCG49" s="316"/>
      <c r="KCH49" s="316"/>
      <c r="KCI49" s="316"/>
      <c r="KCJ49" s="316"/>
      <c r="KCK49" s="316"/>
      <c r="KCL49" s="316"/>
      <c r="KCM49" s="316"/>
      <c r="KCN49" s="316"/>
      <c r="KCO49" s="316"/>
      <c r="KCP49" s="316"/>
      <c r="KCQ49" s="316"/>
      <c r="KCR49" s="316"/>
      <c r="KCS49" s="316"/>
      <c r="KCT49" s="316"/>
      <c r="KCU49" s="316"/>
      <c r="KCV49" s="316"/>
      <c r="KCW49" s="316"/>
      <c r="KCX49" s="316"/>
      <c r="KCY49" s="316"/>
      <c r="KCZ49" s="316"/>
      <c r="KDA49" s="316"/>
      <c r="KDB49" s="316"/>
      <c r="KDC49" s="316"/>
      <c r="KDD49" s="316"/>
      <c r="KDE49" s="316"/>
      <c r="KDF49" s="316"/>
      <c r="KDG49" s="316"/>
      <c r="KDH49" s="316"/>
      <c r="KDI49" s="316"/>
      <c r="KDJ49" s="316"/>
      <c r="KDK49" s="316"/>
      <c r="KDL49" s="316"/>
      <c r="KDM49" s="316"/>
      <c r="KDN49" s="316"/>
      <c r="KDO49" s="316"/>
      <c r="KDP49" s="316"/>
      <c r="KDQ49" s="316"/>
      <c r="KDR49" s="316"/>
      <c r="KDS49" s="316"/>
      <c r="KDT49" s="316"/>
      <c r="KDU49" s="316"/>
      <c r="KDV49" s="316"/>
      <c r="KDW49" s="316"/>
      <c r="KDX49" s="316"/>
      <c r="KDY49" s="316"/>
      <c r="KDZ49" s="316"/>
      <c r="KEA49" s="316"/>
      <c r="KEB49" s="316"/>
      <c r="KEC49" s="316"/>
      <c r="KED49" s="316"/>
      <c r="KEE49" s="316"/>
      <c r="KEF49" s="316"/>
      <c r="KEG49" s="316"/>
      <c r="KEH49" s="316"/>
      <c r="KEI49" s="316"/>
      <c r="KEJ49" s="316"/>
      <c r="KEK49" s="316"/>
      <c r="KEL49" s="316"/>
      <c r="KEM49" s="316"/>
      <c r="KEN49" s="316"/>
      <c r="KEO49" s="316"/>
      <c r="KEP49" s="316"/>
      <c r="KEQ49" s="316"/>
      <c r="KER49" s="316"/>
      <c r="KES49" s="316"/>
      <c r="KET49" s="316"/>
      <c r="KEU49" s="316"/>
      <c r="KEV49" s="316"/>
      <c r="KEW49" s="316"/>
      <c r="KEX49" s="316"/>
      <c r="KEY49" s="316"/>
      <c r="KEZ49" s="316"/>
      <c r="KFA49" s="316"/>
      <c r="KFB49" s="316"/>
      <c r="KFC49" s="316"/>
      <c r="KFD49" s="316"/>
      <c r="KFE49" s="316"/>
      <c r="KFF49" s="316"/>
      <c r="KFG49" s="316"/>
      <c r="KFH49" s="316"/>
      <c r="KFI49" s="316"/>
      <c r="KFJ49" s="316"/>
      <c r="KFK49" s="316"/>
      <c r="KFL49" s="316"/>
      <c r="KFM49" s="316"/>
      <c r="KFN49" s="316"/>
      <c r="KFO49" s="316"/>
      <c r="KFP49" s="316"/>
      <c r="KFQ49" s="316"/>
      <c r="KFR49" s="316"/>
      <c r="KFS49" s="316"/>
      <c r="KFT49" s="316"/>
      <c r="KFU49" s="316"/>
      <c r="KFV49" s="316"/>
      <c r="KFW49" s="316"/>
      <c r="KFX49" s="316"/>
      <c r="KFY49" s="316"/>
      <c r="KFZ49" s="316"/>
      <c r="KGA49" s="316"/>
      <c r="KGB49" s="316"/>
      <c r="KGC49" s="316"/>
      <c r="KGD49" s="316"/>
      <c r="KGE49" s="316"/>
      <c r="KGF49" s="316"/>
      <c r="KGG49" s="316"/>
      <c r="KGH49" s="316"/>
      <c r="KGI49" s="316"/>
      <c r="KGJ49" s="316"/>
      <c r="KGK49" s="316"/>
      <c r="KGL49" s="316"/>
      <c r="KGM49" s="316"/>
      <c r="KGN49" s="316"/>
      <c r="KGO49" s="316"/>
      <c r="KGP49" s="316"/>
      <c r="KGQ49" s="316"/>
      <c r="KGR49" s="316"/>
      <c r="KGS49" s="316"/>
      <c r="KGT49" s="316"/>
      <c r="KGU49" s="316"/>
      <c r="KGV49" s="316"/>
      <c r="KGW49" s="316"/>
      <c r="KGX49" s="316"/>
      <c r="KGY49" s="316"/>
      <c r="KGZ49" s="316"/>
      <c r="KHA49" s="316"/>
      <c r="KHB49" s="316"/>
      <c r="KHC49" s="316"/>
      <c r="KHD49" s="316"/>
      <c r="KHE49" s="316"/>
      <c r="KHF49" s="316"/>
      <c r="KHG49" s="316"/>
      <c r="KHH49" s="316"/>
      <c r="KHI49" s="316"/>
      <c r="KHJ49" s="316"/>
      <c r="KHK49" s="316"/>
      <c r="KHL49" s="316"/>
      <c r="KHM49" s="316"/>
      <c r="KHN49" s="316"/>
      <c r="KHO49" s="316"/>
      <c r="KHP49" s="316"/>
      <c r="KHQ49" s="316"/>
      <c r="KHR49" s="316"/>
      <c r="KHS49" s="316"/>
      <c r="KHT49" s="316"/>
      <c r="KHU49" s="316"/>
      <c r="KHV49" s="316"/>
      <c r="KHW49" s="316"/>
      <c r="KHX49" s="316"/>
      <c r="KHY49" s="316"/>
      <c r="KHZ49" s="316"/>
      <c r="KIA49" s="316"/>
      <c r="KIB49" s="316"/>
      <c r="KIC49" s="316"/>
      <c r="KID49" s="316"/>
      <c r="KIE49" s="316"/>
      <c r="KIF49" s="316"/>
      <c r="KIG49" s="316"/>
      <c r="KIH49" s="316"/>
      <c r="KII49" s="316"/>
      <c r="KIJ49" s="316"/>
      <c r="KIK49" s="316"/>
      <c r="KIL49" s="316"/>
      <c r="KIM49" s="316"/>
      <c r="KIN49" s="316"/>
      <c r="KIO49" s="316"/>
      <c r="KIP49" s="316"/>
      <c r="KIQ49" s="316"/>
      <c r="KIR49" s="316"/>
      <c r="KIS49" s="316"/>
      <c r="KIT49" s="316"/>
      <c r="KIU49" s="316"/>
      <c r="KIV49" s="316"/>
      <c r="KIW49" s="316"/>
      <c r="KIX49" s="316"/>
      <c r="KIY49" s="316"/>
      <c r="KIZ49" s="316"/>
      <c r="KJA49" s="316"/>
      <c r="KJB49" s="316"/>
      <c r="KJC49" s="316"/>
      <c r="KJD49" s="316"/>
      <c r="KJE49" s="316"/>
      <c r="KJF49" s="316"/>
      <c r="KJG49" s="316"/>
      <c r="KJH49" s="316"/>
      <c r="KJI49" s="316"/>
      <c r="KJJ49" s="316"/>
      <c r="KJK49" s="316"/>
      <c r="KJL49" s="316"/>
      <c r="KJM49" s="316"/>
      <c r="KJN49" s="316"/>
      <c r="KJO49" s="316"/>
      <c r="KJP49" s="316"/>
      <c r="KJQ49" s="316"/>
      <c r="KJR49" s="316"/>
      <c r="KJS49" s="316"/>
      <c r="KJT49" s="316"/>
      <c r="KJU49" s="316"/>
      <c r="KJV49" s="316"/>
      <c r="KJW49" s="316"/>
      <c r="KJX49" s="316"/>
      <c r="KJY49" s="316"/>
      <c r="KJZ49" s="316"/>
      <c r="KKA49" s="316"/>
      <c r="KKB49" s="316"/>
      <c r="KKC49" s="316"/>
      <c r="KKD49" s="316"/>
      <c r="KKE49" s="316"/>
      <c r="KKF49" s="316"/>
      <c r="KKG49" s="316"/>
      <c r="KKH49" s="316"/>
      <c r="KKI49" s="316"/>
      <c r="KKJ49" s="316"/>
      <c r="KKK49" s="316"/>
      <c r="KKL49" s="316"/>
      <c r="KKM49" s="316"/>
      <c r="KKN49" s="316"/>
      <c r="KKO49" s="316"/>
      <c r="KKP49" s="316"/>
      <c r="KKQ49" s="316"/>
      <c r="KKR49" s="316"/>
      <c r="KKS49" s="316"/>
      <c r="KKT49" s="316"/>
      <c r="KKU49" s="316"/>
      <c r="KKV49" s="316"/>
      <c r="KKW49" s="316"/>
      <c r="KKX49" s="316"/>
      <c r="KKY49" s="316"/>
      <c r="KKZ49" s="316"/>
      <c r="KLA49" s="316"/>
      <c r="KLB49" s="316"/>
      <c r="KLC49" s="316"/>
      <c r="KLD49" s="316"/>
      <c r="KLE49" s="316"/>
      <c r="KLF49" s="316"/>
      <c r="KLG49" s="316"/>
      <c r="KLH49" s="316"/>
      <c r="KLI49" s="316"/>
      <c r="KLJ49" s="316"/>
      <c r="KLK49" s="316"/>
      <c r="KLL49" s="316"/>
      <c r="KLM49" s="316"/>
      <c r="KLN49" s="316"/>
      <c r="KLO49" s="316"/>
      <c r="KLP49" s="316"/>
      <c r="KLQ49" s="316"/>
      <c r="KLR49" s="316"/>
      <c r="KLS49" s="316"/>
      <c r="KLT49" s="316"/>
      <c r="KLU49" s="316"/>
      <c r="KLV49" s="316"/>
      <c r="KLW49" s="316"/>
      <c r="KLX49" s="316"/>
      <c r="KLY49" s="316"/>
      <c r="KLZ49" s="316"/>
      <c r="KMA49" s="316"/>
      <c r="KMB49" s="316"/>
      <c r="KMC49" s="316"/>
      <c r="KMD49" s="316"/>
      <c r="KME49" s="316"/>
      <c r="KMF49" s="316"/>
      <c r="KMG49" s="316"/>
      <c r="KMH49" s="316"/>
      <c r="KMI49" s="316"/>
      <c r="KMJ49" s="316"/>
      <c r="KMK49" s="316"/>
      <c r="KML49" s="316"/>
      <c r="KMM49" s="316"/>
      <c r="KMN49" s="316"/>
      <c r="KMO49" s="316"/>
      <c r="KMP49" s="316"/>
      <c r="KMQ49" s="316"/>
      <c r="KMR49" s="316"/>
      <c r="KMS49" s="316"/>
      <c r="KMT49" s="316"/>
      <c r="KMU49" s="316"/>
      <c r="KMV49" s="316"/>
      <c r="KMW49" s="316"/>
      <c r="KMX49" s="316"/>
      <c r="KMY49" s="316"/>
      <c r="KMZ49" s="316"/>
      <c r="KNA49" s="316"/>
      <c r="KNB49" s="316"/>
      <c r="KNC49" s="316"/>
      <c r="KND49" s="316"/>
      <c r="KNE49" s="316"/>
      <c r="KNF49" s="316"/>
      <c r="KNG49" s="316"/>
      <c r="KNH49" s="316"/>
      <c r="KNI49" s="316"/>
      <c r="KNJ49" s="316"/>
      <c r="KNK49" s="316"/>
      <c r="KNL49" s="316"/>
      <c r="KNM49" s="316"/>
      <c r="KNN49" s="316"/>
      <c r="KNO49" s="316"/>
      <c r="KNP49" s="316"/>
      <c r="KNQ49" s="316"/>
      <c r="KNR49" s="316"/>
      <c r="KNS49" s="316"/>
      <c r="KNT49" s="316"/>
      <c r="KNU49" s="316"/>
      <c r="KNV49" s="316"/>
      <c r="KNW49" s="316"/>
      <c r="KNX49" s="316"/>
      <c r="KNY49" s="316"/>
      <c r="KNZ49" s="316"/>
      <c r="KOA49" s="316"/>
      <c r="KOB49" s="316"/>
      <c r="KOC49" s="316"/>
      <c r="KOD49" s="316"/>
      <c r="KOE49" s="316"/>
      <c r="KOF49" s="316"/>
      <c r="KOG49" s="316"/>
      <c r="KOH49" s="316"/>
      <c r="KOI49" s="316"/>
      <c r="KOJ49" s="316"/>
      <c r="KOK49" s="316"/>
      <c r="KOL49" s="316"/>
      <c r="KOM49" s="316"/>
      <c r="KON49" s="316"/>
      <c r="KOO49" s="316"/>
      <c r="KOP49" s="316"/>
      <c r="KOQ49" s="316"/>
      <c r="KOR49" s="316"/>
      <c r="KOS49" s="316"/>
      <c r="KOT49" s="316"/>
      <c r="KOU49" s="316"/>
      <c r="KOV49" s="316"/>
      <c r="KOW49" s="316"/>
      <c r="KOX49" s="316"/>
      <c r="KOY49" s="316"/>
      <c r="KOZ49" s="316"/>
      <c r="KPA49" s="316"/>
      <c r="KPB49" s="316"/>
      <c r="KPC49" s="316"/>
      <c r="KPD49" s="316"/>
      <c r="KPE49" s="316"/>
      <c r="KPF49" s="316"/>
      <c r="KPG49" s="316"/>
      <c r="KPH49" s="316"/>
      <c r="KPI49" s="316"/>
      <c r="KPJ49" s="316"/>
      <c r="KPK49" s="316"/>
      <c r="KPL49" s="316"/>
      <c r="KPM49" s="316"/>
      <c r="KPN49" s="316"/>
      <c r="KPO49" s="316"/>
      <c r="KPP49" s="316"/>
      <c r="KPQ49" s="316"/>
      <c r="KPR49" s="316"/>
      <c r="KPS49" s="316"/>
      <c r="KPT49" s="316"/>
      <c r="KPU49" s="316"/>
      <c r="KPV49" s="316"/>
      <c r="KPW49" s="316"/>
      <c r="KPX49" s="316"/>
      <c r="KPY49" s="316"/>
      <c r="KPZ49" s="316"/>
      <c r="KQA49" s="316"/>
      <c r="KQB49" s="316"/>
      <c r="KQC49" s="316"/>
      <c r="KQD49" s="316"/>
      <c r="KQE49" s="316"/>
      <c r="KQF49" s="316"/>
      <c r="KQG49" s="316"/>
      <c r="KQH49" s="316"/>
      <c r="KQI49" s="316"/>
      <c r="KQJ49" s="316"/>
      <c r="KQK49" s="316"/>
      <c r="KQL49" s="316"/>
      <c r="KQM49" s="316"/>
      <c r="KQN49" s="316"/>
      <c r="KQO49" s="316"/>
      <c r="KQP49" s="316"/>
      <c r="KQQ49" s="316"/>
      <c r="KQR49" s="316"/>
      <c r="KQS49" s="316"/>
      <c r="KQT49" s="316"/>
      <c r="KQU49" s="316"/>
      <c r="KQV49" s="316"/>
      <c r="KQW49" s="316"/>
      <c r="KQX49" s="316"/>
      <c r="KQY49" s="316"/>
      <c r="KQZ49" s="316"/>
      <c r="KRA49" s="316"/>
      <c r="KRB49" s="316"/>
      <c r="KRC49" s="316"/>
      <c r="KRD49" s="316"/>
      <c r="KRE49" s="316"/>
      <c r="KRF49" s="316"/>
      <c r="KRG49" s="316"/>
      <c r="KRH49" s="316"/>
      <c r="KRI49" s="316"/>
      <c r="KRJ49" s="316"/>
      <c r="KRK49" s="316"/>
      <c r="KRL49" s="316"/>
      <c r="KRM49" s="316"/>
      <c r="KRN49" s="316"/>
      <c r="KRO49" s="316"/>
      <c r="KRP49" s="316"/>
      <c r="KRQ49" s="316"/>
      <c r="KRR49" s="316"/>
      <c r="KRS49" s="316"/>
      <c r="KRT49" s="316"/>
      <c r="KRU49" s="316"/>
      <c r="KRV49" s="316"/>
      <c r="KRW49" s="316"/>
      <c r="KRX49" s="316"/>
      <c r="KRY49" s="316"/>
      <c r="KRZ49" s="316"/>
      <c r="KSA49" s="316"/>
      <c r="KSB49" s="316"/>
      <c r="KSC49" s="316"/>
      <c r="KSD49" s="316"/>
      <c r="KSE49" s="316"/>
      <c r="KSF49" s="316"/>
      <c r="KSG49" s="316"/>
      <c r="KSH49" s="316"/>
      <c r="KSI49" s="316"/>
      <c r="KSJ49" s="316"/>
      <c r="KSK49" s="316"/>
      <c r="KSL49" s="316"/>
      <c r="KSM49" s="316"/>
      <c r="KSN49" s="316"/>
      <c r="KSO49" s="316"/>
      <c r="KSP49" s="316"/>
      <c r="KSQ49" s="316"/>
      <c r="KSR49" s="316"/>
      <c r="KSS49" s="316"/>
      <c r="KST49" s="316"/>
      <c r="KSU49" s="316"/>
      <c r="KSV49" s="316"/>
      <c r="KSW49" s="316"/>
      <c r="KSX49" s="316"/>
      <c r="KSY49" s="316"/>
      <c r="KSZ49" s="316"/>
      <c r="KTA49" s="316"/>
      <c r="KTB49" s="316"/>
      <c r="KTC49" s="316"/>
      <c r="KTD49" s="316"/>
      <c r="KTE49" s="316"/>
      <c r="KTF49" s="316"/>
      <c r="KTG49" s="316"/>
      <c r="KTH49" s="316"/>
      <c r="KTI49" s="316"/>
      <c r="KTJ49" s="316"/>
      <c r="KTK49" s="316"/>
      <c r="KTL49" s="316"/>
      <c r="KTM49" s="316"/>
      <c r="KTN49" s="316"/>
      <c r="KTO49" s="316"/>
      <c r="KTP49" s="316"/>
      <c r="KTQ49" s="316"/>
      <c r="KTR49" s="316"/>
      <c r="KTS49" s="316"/>
      <c r="KTT49" s="316"/>
      <c r="KTU49" s="316"/>
      <c r="KTV49" s="316"/>
      <c r="KTW49" s="316"/>
      <c r="KTX49" s="316"/>
      <c r="KTY49" s="316"/>
      <c r="KTZ49" s="316"/>
      <c r="KUA49" s="316"/>
      <c r="KUB49" s="316"/>
      <c r="KUC49" s="316"/>
      <c r="KUD49" s="316"/>
      <c r="KUE49" s="316"/>
      <c r="KUF49" s="316"/>
      <c r="KUG49" s="316"/>
      <c r="KUH49" s="316"/>
      <c r="KUI49" s="316"/>
      <c r="KUJ49" s="316"/>
      <c r="KUK49" s="316"/>
      <c r="KUL49" s="316"/>
      <c r="KUM49" s="316"/>
      <c r="KUN49" s="316"/>
      <c r="KUO49" s="316"/>
      <c r="KUP49" s="316"/>
      <c r="KUQ49" s="316"/>
      <c r="KUR49" s="316"/>
      <c r="KUS49" s="316"/>
      <c r="KUT49" s="316"/>
      <c r="KUU49" s="316"/>
      <c r="KUV49" s="316"/>
      <c r="KUW49" s="316"/>
      <c r="KUX49" s="316"/>
      <c r="KUY49" s="316"/>
      <c r="KUZ49" s="316"/>
      <c r="KVA49" s="316"/>
      <c r="KVB49" s="316"/>
      <c r="KVC49" s="316"/>
      <c r="KVD49" s="316"/>
      <c r="KVE49" s="316"/>
      <c r="KVF49" s="316"/>
      <c r="KVG49" s="316"/>
      <c r="KVH49" s="316"/>
      <c r="KVI49" s="316"/>
      <c r="KVJ49" s="316"/>
      <c r="KVK49" s="316"/>
      <c r="KVL49" s="316"/>
      <c r="KVM49" s="316"/>
      <c r="KVN49" s="316"/>
      <c r="KVO49" s="316"/>
      <c r="KVP49" s="316"/>
      <c r="KVQ49" s="316"/>
      <c r="KVR49" s="316"/>
      <c r="KVS49" s="316"/>
      <c r="KVT49" s="316"/>
      <c r="KVU49" s="316"/>
      <c r="KVV49" s="316"/>
      <c r="KVW49" s="316"/>
      <c r="KVX49" s="316"/>
      <c r="KVY49" s="316"/>
      <c r="KVZ49" s="316"/>
      <c r="KWA49" s="316"/>
      <c r="KWB49" s="316"/>
      <c r="KWC49" s="316"/>
      <c r="KWD49" s="316"/>
      <c r="KWE49" s="316"/>
      <c r="KWF49" s="316"/>
      <c r="KWG49" s="316"/>
      <c r="KWH49" s="316"/>
      <c r="KWI49" s="316"/>
      <c r="KWJ49" s="316"/>
      <c r="KWK49" s="316"/>
      <c r="KWL49" s="316"/>
      <c r="KWM49" s="316"/>
      <c r="KWN49" s="316"/>
      <c r="KWO49" s="316"/>
      <c r="KWP49" s="316"/>
      <c r="KWQ49" s="316"/>
      <c r="KWR49" s="316"/>
      <c r="KWS49" s="316"/>
      <c r="KWT49" s="316"/>
      <c r="KWU49" s="316"/>
      <c r="KWV49" s="316"/>
      <c r="KWW49" s="316"/>
      <c r="KWX49" s="316"/>
      <c r="KWY49" s="316"/>
      <c r="KWZ49" s="316"/>
      <c r="KXA49" s="316"/>
      <c r="KXB49" s="316"/>
      <c r="KXC49" s="316"/>
      <c r="KXD49" s="316"/>
      <c r="KXE49" s="316"/>
      <c r="KXF49" s="316"/>
      <c r="KXG49" s="316"/>
      <c r="KXH49" s="316"/>
      <c r="KXI49" s="316"/>
      <c r="KXJ49" s="316"/>
      <c r="KXK49" s="316"/>
      <c r="KXL49" s="316"/>
      <c r="KXM49" s="316"/>
      <c r="KXN49" s="316"/>
      <c r="KXO49" s="316"/>
      <c r="KXP49" s="316"/>
      <c r="KXQ49" s="316"/>
      <c r="KXR49" s="316"/>
      <c r="KXS49" s="316"/>
      <c r="KXT49" s="316"/>
      <c r="KXU49" s="316"/>
      <c r="KXV49" s="316"/>
      <c r="KXW49" s="316"/>
      <c r="KXX49" s="316"/>
      <c r="KXY49" s="316"/>
      <c r="KXZ49" s="316"/>
      <c r="KYA49" s="316"/>
      <c r="KYB49" s="316"/>
      <c r="KYC49" s="316"/>
      <c r="KYD49" s="316"/>
      <c r="KYE49" s="316"/>
      <c r="KYF49" s="316"/>
      <c r="KYG49" s="316"/>
      <c r="KYH49" s="316"/>
      <c r="KYI49" s="316"/>
      <c r="KYJ49" s="316"/>
      <c r="KYK49" s="316"/>
      <c r="KYL49" s="316"/>
      <c r="KYM49" s="316"/>
      <c r="KYN49" s="316"/>
      <c r="KYO49" s="316"/>
      <c r="KYP49" s="316"/>
      <c r="KYQ49" s="316"/>
      <c r="KYR49" s="316"/>
      <c r="KYS49" s="316"/>
      <c r="KYT49" s="316"/>
      <c r="KYU49" s="316"/>
      <c r="KYV49" s="316"/>
      <c r="KYW49" s="316"/>
      <c r="KYX49" s="316"/>
      <c r="KYY49" s="316"/>
      <c r="KYZ49" s="316"/>
      <c r="KZA49" s="316"/>
      <c r="KZB49" s="316"/>
      <c r="KZC49" s="316"/>
      <c r="KZD49" s="316"/>
      <c r="KZE49" s="316"/>
      <c r="KZF49" s="316"/>
      <c r="KZG49" s="316"/>
      <c r="KZH49" s="316"/>
      <c r="KZI49" s="316"/>
      <c r="KZJ49" s="316"/>
      <c r="KZK49" s="316"/>
      <c r="KZL49" s="316"/>
      <c r="KZM49" s="316"/>
      <c r="KZN49" s="316"/>
      <c r="KZO49" s="316"/>
      <c r="KZP49" s="316"/>
      <c r="KZQ49" s="316"/>
      <c r="KZR49" s="316"/>
      <c r="KZS49" s="316"/>
      <c r="KZT49" s="316"/>
      <c r="KZU49" s="316"/>
      <c r="KZV49" s="316"/>
      <c r="KZW49" s="316"/>
      <c r="KZX49" s="316"/>
      <c r="KZY49" s="316"/>
      <c r="KZZ49" s="316"/>
      <c r="LAA49" s="316"/>
      <c r="LAB49" s="316"/>
      <c r="LAC49" s="316"/>
      <c r="LAD49" s="316"/>
      <c r="LAE49" s="316"/>
      <c r="LAF49" s="316"/>
      <c r="LAG49" s="316"/>
      <c r="LAH49" s="316"/>
      <c r="LAI49" s="316"/>
      <c r="LAJ49" s="316"/>
      <c r="LAK49" s="316"/>
      <c r="LAL49" s="316"/>
      <c r="LAM49" s="316"/>
      <c r="LAN49" s="316"/>
      <c r="LAO49" s="316"/>
      <c r="LAP49" s="316"/>
      <c r="LAQ49" s="316"/>
      <c r="LAR49" s="316"/>
      <c r="LAS49" s="316"/>
      <c r="LAT49" s="316"/>
      <c r="LAU49" s="316"/>
      <c r="LAV49" s="316"/>
      <c r="LAW49" s="316"/>
      <c r="LAX49" s="316"/>
      <c r="LAY49" s="316"/>
      <c r="LAZ49" s="316"/>
      <c r="LBA49" s="316"/>
      <c r="LBB49" s="316"/>
      <c r="LBC49" s="316"/>
      <c r="LBD49" s="316"/>
      <c r="LBE49" s="316"/>
      <c r="LBF49" s="316"/>
      <c r="LBG49" s="316"/>
      <c r="LBH49" s="316"/>
      <c r="LBI49" s="316"/>
      <c r="LBJ49" s="316"/>
      <c r="LBK49" s="316"/>
      <c r="LBL49" s="316"/>
      <c r="LBM49" s="316"/>
      <c r="LBN49" s="316"/>
      <c r="LBO49" s="316"/>
      <c r="LBP49" s="316"/>
      <c r="LBQ49" s="316"/>
      <c r="LBR49" s="316"/>
      <c r="LBS49" s="316"/>
      <c r="LBT49" s="316"/>
      <c r="LBU49" s="316"/>
      <c r="LBV49" s="316"/>
      <c r="LBW49" s="316"/>
      <c r="LBX49" s="316"/>
      <c r="LBY49" s="316"/>
      <c r="LBZ49" s="316"/>
      <c r="LCA49" s="316"/>
      <c r="LCB49" s="316"/>
      <c r="LCC49" s="316"/>
      <c r="LCD49" s="316"/>
      <c r="LCE49" s="316"/>
      <c r="LCF49" s="316"/>
      <c r="LCG49" s="316"/>
      <c r="LCH49" s="316"/>
      <c r="LCI49" s="316"/>
      <c r="LCJ49" s="316"/>
      <c r="LCK49" s="316"/>
      <c r="LCL49" s="316"/>
      <c r="LCM49" s="316"/>
      <c r="LCN49" s="316"/>
      <c r="LCO49" s="316"/>
      <c r="LCP49" s="316"/>
      <c r="LCQ49" s="316"/>
      <c r="LCR49" s="316"/>
      <c r="LCS49" s="316"/>
      <c r="LCT49" s="316"/>
      <c r="LCU49" s="316"/>
      <c r="LCV49" s="316"/>
      <c r="LCW49" s="316"/>
      <c r="LCX49" s="316"/>
      <c r="LCY49" s="316"/>
      <c r="LCZ49" s="316"/>
      <c r="LDA49" s="316"/>
      <c r="LDB49" s="316"/>
      <c r="LDC49" s="316"/>
      <c r="LDD49" s="316"/>
      <c r="LDE49" s="316"/>
      <c r="LDF49" s="316"/>
      <c r="LDG49" s="316"/>
      <c r="LDH49" s="316"/>
      <c r="LDI49" s="316"/>
      <c r="LDJ49" s="316"/>
      <c r="LDK49" s="316"/>
      <c r="LDL49" s="316"/>
      <c r="LDM49" s="316"/>
      <c r="LDN49" s="316"/>
      <c r="LDO49" s="316"/>
      <c r="LDP49" s="316"/>
      <c r="LDQ49" s="316"/>
      <c r="LDR49" s="316"/>
      <c r="LDS49" s="316"/>
      <c r="LDT49" s="316"/>
      <c r="LDU49" s="316"/>
      <c r="LDV49" s="316"/>
      <c r="LDW49" s="316"/>
      <c r="LDX49" s="316"/>
      <c r="LDY49" s="316"/>
      <c r="LDZ49" s="316"/>
      <c r="LEA49" s="316"/>
      <c r="LEB49" s="316"/>
      <c r="LEC49" s="316"/>
      <c r="LED49" s="316"/>
      <c r="LEE49" s="316"/>
      <c r="LEF49" s="316"/>
      <c r="LEG49" s="316"/>
      <c r="LEH49" s="316"/>
      <c r="LEI49" s="316"/>
      <c r="LEJ49" s="316"/>
      <c r="LEK49" s="316"/>
      <c r="LEL49" s="316"/>
      <c r="LEM49" s="316"/>
      <c r="LEN49" s="316"/>
      <c r="LEO49" s="316"/>
      <c r="LEP49" s="316"/>
      <c r="LEQ49" s="316"/>
      <c r="LER49" s="316"/>
      <c r="LES49" s="316"/>
      <c r="LET49" s="316"/>
      <c r="LEU49" s="316"/>
      <c r="LEV49" s="316"/>
      <c r="LEW49" s="316"/>
      <c r="LEX49" s="316"/>
      <c r="LEY49" s="316"/>
      <c r="LEZ49" s="316"/>
      <c r="LFA49" s="316"/>
      <c r="LFB49" s="316"/>
      <c r="LFC49" s="316"/>
      <c r="LFD49" s="316"/>
      <c r="LFE49" s="316"/>
      <c r="LFF49" s="316"/>
      <c r="LFG49" s="316"/>
      <c r="LFH49" s="316"/>
      <c r="LFI49" s="316"/>
      <c r="LFJ49" s="316"/>
      <c r="LFK49" s="316"/>
      <c r="LFL49" s="316"/>
      <c r="LFM49" s="316"/>
      <c r="LFN49" s="316"/>
      <c r="LFO49" s="316"/>
      <c r="LFP49" s="316"/>
      <c r="LFQ49" s="316"/>
      <c r="LFR49" s="316"/>
      <c r="LFS49" s="316"/>
      <c r="LFT49" s="316"/>
      <c r="LFU49" s="316"/>
      <c r="LFV49" s="316"/>
      <c r="LFW49" s="316"/>
      <c r="LFX49" s="316"/>
      <c r="LFY49" s="316"/>
      <c r="LFZ49" s="316"/>
      <c r="LGA49" s="316"/>
      <c r="LGB49" s="316"/>
      <c r="LGC49" s="316"/>
      <c r="LGD49" s="316"/>
      <c r="LGE49" s="316"/>
      <c r="LGF49" s="316"/>
      <c r="LGG49" s="316"/>
      <c r="LGH49" s="316"/>
      <c r="LGI49" s="316"/>
      <c r="LGJ49" s="316"/>
      <c r="LGK49" s="316"/>
      <c r="LGL49" s="316"/>
      <c r="LGM49" s="316"/>
      <c r="LGN49" s="316"/>
      <c r="LGO49" s="316"/>
      <c r="LGP49" s="316"/>
      <c r="LGQ49" s="316"/>
      <c r="LGR49" s="316"/>
      <c r="LGS49" s="316"/>
      <c r="LGT49" s="316"/>
      <c r="LGU49" s="316"/>
      <c r="LGV49" s="316"/>
      <c r="LGW49" s="316"/>
      <c r="LGX49" s="316"/>
      <c r="LGY49" s="316"/>
      <c r="LGZ49" s="316"/>
      <c r="LHA49" s="316"/>
      <c r="LHB49" s="316"/>
      <c r="LHC49" s="316"/>
      <c r="LHD49" s="316"/>
      <c r="LHE49" s="316"/>
      <c r="LHF49" s="316"/>
      <c r="LHG49" s="316"/>
      <c r="LHH49" s="316"/>
      <c r="LHI49" s="316"/>
      <c r="LHJ49" s="316"/>
      <c r="LHK49" s="316"/>
      <c r="LHL49" s="316"/>
      <c r="LHM49" s="316"/>
      <c r="LHN49" s="316"/>
      <c r="LHO49" s="316"/>
      <c r="LHP49" s="316"/>
      <c r="LHQ49" s="316"/>
      <c r="LHR49" s="316"/>
      <c r="LHS49" s="316"/>
      <c r="LHT49" s="316"/>
      <c r="LHU49" s="316"/>
      <c r="LHV49" s="316"/>
      <c r="LHW49" s="316"/>
      <c r="LHX49" s="316"/>
      <c r="LHY49" s="316"/>
      <c r="LHZ49" s="316"/>
      <c r="LIA49" s="316"/>
      <c r="LIB49" s="316"/>
      <c r="LIC49" s="316"/>
      <c r="LID49" s="316"/>
      <c r="LIE49" s="316"/>
      <c r="LIF49" s="316"/>
      <c r="LIG49" s="316"/>
      <c r="LIH49" s="316"/>
      <c r="LII49" s="316"/>
      <c r="LIJ49" s="316"/>
      <c r="LIK49" s="316"/>
      <c r="LIL49" s="316"/>
      <c r="LIM49" s="316"/>
      <c r="LIN49" s="316"/>
      <c r="LIO49" s="316"/>
      <c r="LIP49" s="316"/>
      <c r="LIQ49" s="316"/>
      <c r="LIR49" s="316"/>
      <c r="LIS49" s="316"/>
      <c r="LIT49" s="316"/>
      <c r="LIU49" s="316"/>
      <c r="LIV49" s="316"/>
      <c r="LIW49" s="316"/>
      <c r="LIX49" s="316"/>
      <c r="LIY49" s="316"/>
      <c r="LIZ49" s="316"/>
      <c r="LJA49" s="316"/>
      <c r="LJB49" s="316"/>
      <c r="LJC49" s="316"/>
      <c r="LJD49" s="316"/>
      <c r="LJE49" s="316"/>
      <c r="LJF49" s="316"/>
      <c r="LJG49" s="316"/>
      <c r="LJH49" s="316"/>
      <c r="LJI49" s="316"/>
      <c r="LJJ49" s="316"/>
      <c r="LJK49" s="316"/>
      <c r="LJL49" s="316"/>
      <c r="LJM49" s="316"/>
      <c r="LJN49" s="316"/>
      <c r="LJO49" s="316"/>
      <c r="LJP49" s="316"/>
      <c r="LJQ49" s="316"/>
      <c r="LJR49" s="316"/>
      <c r="LJS49" s="316"/>
      <c r="LJT49" s="316"/>
      <c r="LJU49" s="316"/>
      <c r="LJV49" s="316"/>
      <c r="LJW49" s="316"/>
      <c r="LJX49" s="316"/>
      <c r="LJY49" s="316"/>
      <c r="LJZ49" s="316"/>
      <c r="LKA49" s="316"/>
      <c r="LKB49" s="316"/>
      <c r="LKC49" s="316"/>
      <c r="LKD49" s="316"/>
      <c r="LKE49" s="316"/>
      <c r="LKF49" s="316"/>
      <c r="LKG49" s="316"/>
      <c r="LKH49" s="316"/>
      <c r="LKI49" s="316"/>
      <c r="LKJ49" s="316"/>
      <c r="LKK49" s="316"/>
      <c r="LKL49" s="316"/>
      <c r="LKM49" s="316"/>
      <c r="LKN49" s="316"/>
      <c r="LKO49" s="316"/>
      <c r="LKP49" s="316"/>
      <c r="LKQ49" s="316"/>
      <c r="LKR49" s="316"/>
      <c r="LKS49" s="316"/>
      <c r="LKT49" s="316"/>
      <c r="LKU49" s="316"/>
      <c r="LKV49" s="316"/>
      <c r="LKW49" s="316"/>
      <c r="LKX49" s="316"/>
      <c r="LKY49" s="316"/>
      <c r="LKZ49" s="316"/>
      <c r="LLA49" s="316"/>
      <c r="LLB49" s="316"/>
      <c r="LLC49" s="316"/>
      <c r="LLD49" s="316"/>
      <c r="LLE49" s="316"/>
      <c r="LLF49" s="316"/>
      <c r="LLG49" s="316"/>
      <c r="LLH49" s="316"/>
      <c r="LLI49" s="316"/>
      <c r="LLJ49" s="316"/>
      <c r="LLK49" s="316"/>
      <c r="LLL49" s="316"/>
      <c r="LLM49" s="316"/>
      <c r="LLN49" s="316"/>
      <c r="LLO49" s="316"/>
      <c r="LLP49" s="316"/>
      <c r="LLQ49" s="316"/>
      <c r="LLR49" s="316"/>
      <c r="LLS49" s="316"/>
      <c r="LLT49" s="316"/>
      <c r="LLU49" s="316"/>
      <c r="LLV49" s="316"/>
      <c r="LLW49" s="316"/>
      <c r="LLX49" s="316"/>
      <c r="LLY49" s="316"/>
      <c r="LLZ49" s="316"/>
      <c r="LMA49" s="316"/>
      <c r="LMB49" s="316"/>
      <c r="LMC49" s="316"/>
      <c r="LMD49" s="316"/>
      <c r="LME49" s="316"/>
      <c r="LMF49" s="316"/>
      <c r="LMG49" s="316"/>
      <c r="LMH49" s="316"/>
      <c r="LMI49" s="316"/>
      <c r="LMJ49" s="316"/>
      <c r="LMK49" s="316"/>
      <c r="LML49" s="316"/>
      <c r="LMM49" s="316"/>
      <c r="LMN49" s="316"/>
      <c r="LMO49" s="316"/>
      <c r="LMP49" s="316"/>
      <c r="LMQ49" s="316"/>
      <c r="LMR49" s="316"/>
      <c r="LMS49" s="316"/>
      <c r="LMT49" s="316"/>
      <c r="LMU49" s="316"/>
      <c r="LMV49" s="316"/>
      <c r="LMW49" s="316"/>
      <c r="LMX49" s="316"/>
      <c r="LMY49" s="316"/>
      <c r="LMZ49" s="316"/>
      <c r="LNA49" s="316"/>
      <c r="LNB49" s="316"/>
      <c r="LNC49" s="316"/>
      <c r="LND49" s="316"/>
      <c r="LNE49" s="316"/>
      <c r="LNF49" s="316"/>
      <c r="LNG49" s="316"/>
      <c r="LNH49" s="316"/>
      <c r="LNI49" s="316"/>
      <c r="LNJ49" s="316"/>
      <c r="LNK49" s="316"/>
      <c r="LNL49" s="316"/>
      <c r="LNM49" s="316"/>
      <c r="LNN49" s="316"/>
      <c r="LNO49" s="316"/>
      <c r="LNP49" s="316"/>
      <c r="LNQ49" s="316"/>
      <c r="LNR49" s="316"/>
      <c r="LNS49" s="316"/>
      <c r="LNT49" s="316"/>
      <c r="LNU49" s="316"/>
      <c r="LNV49" s="316"/>
      <c r="LNW49" s="316"/>
      <c r="LNX49" s="316"/>
      <c r="LNY49" s="316"/>
      <c r="LNZ49" s="316"/>
      <c r="LOA49" s="316"/>
      <c r="LOB49" s="316"/>
      <c r="LOC49" s="316"/>
      <c r="LOD49" s="316"/>
      <c r="LOE49" s="316"/>
      <c r="LOF49" s="316"/>
      <c r="LOG49" s="316"/>
      <c r="LOH49" s="316"/>
      <c r="LOI49" s="316"/>
      <c r="LOJ49" s="316"/>
      <c r="LOK49" s="316"/>
      <c r="LOL49" s="316"/>
      <c r="LOM49" s="316"/>
      <c r="LON49" s="316"/>
      <c r="LOO49" s="316"/>
      <c r="LOP49" s="316"/>
      <c r="LOQ49" s="316"/>
      <c r="LOR49" s="316"/>
      <c r="LOS49" s="316"/>
      <c r="LOT49" s="316"/>
      <c r="LOU49" s="316"/>
      <c r="LOV49" s="316"/>
      <c r="LOW49" s="316"/>
      <c r="LOX49" s="316"/>
      <c r="LOY49" s="316"/>
      <c r="LOZ49" s="316"/>
      <c r="LPA49" s="316"/>
      <c r="LPB49" s="316"/>
      <c r="LPC49" s="316"/>
      <c r="LPD49" s="316"/>
      <c r="LPE49" s="316"/>
      <c r="LPF49" s="316"/>
      <c r="LPG49" s="316"/>
      <c r="LPH49" s="316"/>
      <c r="LPI49" s="316"/>
      <c r="LPJ49" s="316"/>
      <c r="LPK49" s="316"/>
      <c r="LPL49" s="316"/>
      <c r="LPM49" s="316"/>
      <c r="LPN49" s="316"/>
      <c r="LPO49" s="316"/>
      <c r="LPP49" s="316"/>
      <c r="LPQ49" s="316"/>
      <c r="LPR49" s="316"/>
      <c r="LPS49" s="316"/>
      <c r="LPT49" s="316"/>
      <c r="LPU49" s="316"/>
      <c r="LPV49" s="316"/>
      <c r="LPW49" s="316"/>
      <c r="LPX49" s="316"/>
      <c r="LPY49" s="316"/>
      <c r="LPZ49" s="316"/>
      <c r="LQA49" s="316"/>
      <c r="LQB49" s="316"/>
      <c r="LQC49" s="316"/>
      <c r="LQD49" s="316"/>
      <c r="LQE49" s="316"/>
      <c r="LQF49" s="316"/>
      <c r="LQG49" s="316"/>
      <c r="LQH49" s="316"/>
      <c r="LQI49" s="316"/>
      <c r="LQJ49" s="316"/>
      <c r="LQK49" s="316"/>
      <c r="LQL49" s="316"/>
      <c r="LQM49" s="316"/>
      <c r="LQN49" s="316"/>
      <c r="LQO49" s="316"/>
      <c r="LQP49" s="316"/>
      <c r="LQQ49" s="316"/>
      <c r="LQR49" s="316"/>
      <c r="LQS49" s="316"/>
      <c r="LQT49" s="316"/>
      <c r="LQU49" s="316"/>
      <c r="LQV49" s="316"/>
      <c r="LQW49" s="316"/>
      <c r="LQX49" s="316"/>
      <c r="LQY49" s="316"/>
      <c r="LQZ49" s="316"/>
      <c r="LRA49" s="316"/>
      <c r="LRB49" s="316"/>
      <c r="LRC49" s="316"/>
      <c r="LRD49" s="316"/>
      <c r="LRE49" s="316"/>
      <c r="LRF49" s="316"/>
      <c r="LRG49" s="316"/>
      <c r="LRH49" s="316"/>
      <c r="LRI49" s="316"/>
      <c r="LRJ49" s="316"/>
      <c r="LRK49" s="316"/>
      <c r="LRL49" s="316"/>
      <c r="LRM49" s="316"/>
      <c r="LRN49" s="316"/>
      <c r="LRO49" s="316"/>
      <c r="LRP49" s="316"/>
      <c r="LRQ49" s="316"/>
      <c r="LRR49" s="316"/>
      <c r="LRS49" s="316"/>
      <c r="LRT49" s="316"/>
      <c r="LRU49" s="316"/>
      <c r="LRV49" s="316"/>
      <c r="LRW49" s="316"/>
      <c r="LRX49" s="316"/>
      <c r="LRY49" s="316"/>
      <c r="LRZ49" s="316"/>
      <c r="LSA49" s="316"/>
      <c r="LSB49" s="316"/>
      <c r="LSC49" s="316"/>
      <c r="LSD49" s="316"/>
      <c r="LSE49" s="316"/>
      <c r="LSF49" s="316"/>
      <c r="LSG49" s="316"/>
      <c r="LSH49" s="316"/>
      <c r="LSI49" s="316"/>
      <c r="LSJ49" s="316"/>
      <c r="LSK49" s="316"/>
      <c r="LSL49" s="316"/>
      <c r="LSM49" s="316"/>
      <c r="LSN49" s="316"/>
      <c r="LSO49" s="316"/>
      <c r="LSP49" s="316"/>
      <c r="LSQ49" s="316"/>
      <c r="LSR49" s="316"/>
      <c r="LSS49" s="316"/>
      <c r="LST49" s="316"/>
      <c r="LSU49" s="316"/>
      <c r="LSV49" s="316"/>
      <c r="LSW49" s="316"/>
      <c r="LSX49" s="316"/>
      <c r="LSY49" s="316"/>
      <c r="LSZ49" s="316"/>
      <c r="LTA49" s="316"/>
      <c r="LTB49" s="316"/>
      <c r="LTC49" s="316"/>
      <c r="LTD49" s="316"/>
      <c r="LTE49" s="316"/>
      <c r="LTF49" s="316"/>
      <c r="LTG49" s="316"/>
      <c r="LTH49" s="316"/>
      <c r="LTI49" s="316"/>
      <c r="LTJ49" s="316"/>
      <c r="LTK49" s="316"/>
      <c r="LTL49" s="316"/>
      <c r="LTM49" s="316"/>
      <c r="LTN49" s="316"/>
      <c r="LTO49" s="316"/>
      <c r="LTP49" s="316"/>
      <c r="LTQ49" s="316"/>
      <c r="LTR49" s="316"/>
      <c r="LTS49" s="316"/>
      <c r="LTT49" s="316"/>
      <c r="LTU49" s="316"/>
      <c r="LTV49" s="316"/>
      <c r="LTW49" s="316"/>
      <c r="LTX49" s="316"/>
      <c r="LTY49" s="316"/>
      <c r="LTZ49" s="316"/>
      <c r="LUA49" s="316"/>
      <c r="LUB49" s="316"/>
      <c r="LUC49" s="316"/>
      <c r="LUD49" s="316"/>
      <c r="LUE49" s="316"/>
      <c r="LUF49" s="316"/>
      <c r="LUG49" s="316"/>
      <c r="LUH49" s="316"/>
      <c r="LUI49" s="316"/>
      <c r="LUJ49" s="316"/>
      <c r="LUK49" s="316"/>
      <c r="LUL49" s="316"/>
      <c r="LUM49" s="316"/>
      <c r="LUN49" s="316"/>
      <c r="LUO49" s="316"/>
      <c r="LUP49" s="316"/>
      <c r="LUQ49" s="316"/>
      <c r="LUR49" s="316"/>
      <c r="LUS49" s="316"/>
      <c r="LUT49" s="316"/>
      <c r="LUU49" s="316"/>
      <c r="LUV49" s="316"/>
      <c r="LUW49" s="316"/>
      <c r="LUX49" s="316"/>
      <c r="LUY49" s="316"/>
      <c r="LUZ49" s="316"/>
      <c r="LVA49" s="316"/>
      <c r="LVB49" s="316"/>
      <c r="LVC49" s="316"/>
      <c r="LVD49" s="316"/>
      <c r="LVE49" s="316"/>
      <c r="LVF49" s="316"/>
      <c r="LVG49" s="316"/>
      <c r="LVH49" s="316"/>
      <c r="LVI49" s="316"/>
      <c r="LVJ49" s="316"/>
      <c r="LVK49" s="316"/>
      <c r="LVL49" s="316"/>
      <c r="LVM49" s="316"/>
      <c r="LVN49" s="316"/>
      <c r="LVO49" s="316"/>
      <c r="LVP49" s="316"/>
      <c r="LVQ49" s="316"/>
      <c r="LVR49" s="316"/>
      <c r="LVS49" s="316"/>
      <c r="LVT49" s="316"/>
      <c r="LVU49" s="316"/>
      <c r="LVV49" s="316"/>
      <c r="LVW49" s="316"/>
      <c r="LVX49" s="316"/>
      <c r="LVY49" s="316"/>
      <c r="LVZ49" s="316"/>
      <c r="LWA49" s="316"/>
      <c r="LWB49" s="316"/>
      <c r="LWC49" s="316"/>
      <c r="LWD49" s="316"/>
      <c r="LWE49" s="316"/>
      <c r="LWF49" s="316"/>
      <c r="LWG49" s="316"/>
      <c r="LWH49" s="316"/>
      <c r="LWI49" s="316"/>
      <c r="LWJ49" s="316"/>
      <c r="LWK49" s="316"/>
      <c r="LWL49" s="316"/>
      <c r="LWM49" s="316"/>
      <c r="LWN49" s="316"/>
      <c r="LWO49" s="316"/>
      <c r="LWP49" s="316"/>
      <c r="LWQ49" s="316"/>
      <c r="LWR49" s="316"/>
      <c r="LWS49" s="316"/>
      <c r="LWT49" s="316"/>
      <c r="LWU49" s="316"/>
      <c r="LWV49" s="316"/>
      <c r="LWW49" s="316"/>
      <c r="LWX49" s="316"/>
      <c r="LWY49" s="316"/>
      <c r="LWZ49" s="316"/>
      <c r="LXA49" s="316"/>
      <c r="LXB49" s="316"/>
      <c r="LXC49" s="316"/>
      <c r="LXD49" s="316"/>
      <c r="LXE49" s="316"/>
      <c r="LXF49" s="316"/>
      <c r="LXG49" s="316"/>
      <c r="LXH49" s="316"/>
      <c r="LXI49" s="316"/>
      <c r="LXJ49" s="316"/>
      <c r="LXK49" s="316"/>
      <c r="LXL49" s="316"/>
      <c r="LXM49" s="316"/>
      <c r="LXN49" s="316"/>
      <c r="LXO49" s="316"/>
      <c r="LXP49" s="316"/>
      <c r="LXQ49" s="316"/>
      <c r="LXR49" s="316"/>
      <c r="LXS49" s="316"/>
      <c r="LXT49" s="316"/>
      <c r="LXU49" s="316"/>
      <c r="LXV49" s="316"/>
      <c r="LXW49" s="316"/>
      <c r="LXX49" s="316"/>
      <c r="LXY49" s="316"/>
      <c r="LXZ49" s="316"/>
      <c r="LYA49" s="316"/>
      <c r="LYB49" s="316"/>
      <c r="LYC49" s="316"/>
      <c r="LYD49" s="316"/>
      <c r="LYE49" s="316"/>
      <c r="LYF49" s="316"/>
      <c r="LYG49" s="316"/>
      <c r="LYH49" s="316"/>
      <c r="LYI49" s="316"/>
      <c r="LYJ49" s="316"/>
      <c r="LYK49" s="316"/>
      <c r="LYL49" s="316"/>
      <c r="LYM49" s="316"/>
      <c r="LYN49" s="316"/>
      <c r="LYO49" s="316"/>
      <c r="LYP49" s="316"/>
      <c r="LYQ49" s="316"/>
      <c r="LYR49" s="316"/>
      <c r="LYS49" s="316"/>
      <c r="LYT49" s="316"/>
      <c r="LYU49" s="316"/>
      <c r="LYV49" s="316"/>
      <c r="LYW49" s="316"/>
      <c r="LYX49" s="316"/>
      <c r="LYY49" s="316"/>
      <c r="LYZ49" s="316"/>
      <c r="LZA49" s="316"/>
      <c r="LZB49" s="316"/>
      <c r="LZC49" s="316"/>
      <c r="LZD49" s="316"/>
      <c r="LZE49" s="316"/>
      <c r="LZF49" s="316"/>
      <c r="LZG49" s="316"/>
      <c r="LZH49" s="316"/>
      <c r="LZI49" s="316"/>
      <c r="LZJ49" s="316"/>
      <c r="LZK49" s="316"/>
      <c r="LZL49" s="316"/>
      <c r="LZM49" s="316"/>
      <c r="LZN49" s="316"/>
      <c r="LZO49" s="316"/>
      <c r="LZP49" s="316"/>
      <c r="LZQ49" s="316"/>
      <c r="LZR49" s="316"/>
      <c r="LZS49" s="316"/>
      <c r="LZT49" s="316"/>
      <c r="LZU49" s="316"/>
      <c r="LZV49" s="316"/>
      <c r="LZW49" s="316"/>
      <c r="LZX49" s="316"/>
      <c r="LZY49" s="316"/>
      <c r="LZZ49" s="316"/>
      <c r="MAA49" s="316"/>
      <c r="MAB49" s="316"/>
      <c r="MAC49" s="316"/>
      <c r="MAD49" s="316"/>
      <c r="MAE49" s="316"/>
      <c r="MAF49" s="316"/>
      <c r="MAG49" s="316"/>
      <c r="MAH49" s="316"/>
      <c r="MAI49" s="316"/>
      <c r="MAJ49" s="316"/>
      <c r="MAK49" s="316"/>
      <c r="MAL49" s="316"/>
      <c r="MAM49" s="316"/>
      <c r="MAN49" s="316"/>
      <c r="MAO49" s="316"/>
      <c r="MAP49" s="316"/>
      <c r="MAQ49" s="316"/>
      <c r="MAR49" s="316"/>
      <c r="MAS49" s="316"/>
      <c r="MAT49" s="316"/>
      <c r="MAU49" s="316"/>
      <c r="MAV49" s="316"/>
      <c r="MAW49" s="316"/>
      <c r="MAX49" s="316"/>
      <c r="MAY49" s="316"/>
      <c r="MAZ49" s="316"/>
      <c r="MBA49" s="316"/>
      <c r="MBB49" s="316"/>
      <c r="MBC49" s="316"/>
      <c r="MBD49" s="316"/>
      <c r="MBE49" s="316"/>
      <c r="MBF49" s="316"/>
      <c r="MBG49" s="316"/>
      <c r="MBH49" s="316"/>
      <c r="MBI49" s="316"/>
      <c r="MBJ49" s="316"/>
      <c r="MBK49" s="316"/>
      <c r="MBL49" s="316"/>
      <c r="MBM49" s="316"/>
      <c r="MBN49" s="316"/>
      <c r="MBO49" s="316"/>
      <c r="MBP49" s="316"/>
      <c r="MBQ49" s="316"/>
      <c r="MBR49" s="316"/>
      <c r="MBS49" s="316"/>
      <c r="MBT49" s="316"/>
      <c r="MBU49" s="316"/>
      <c r="MBV49" s="316"/>
      <c r="MBW49" s="316"/>
      <c r="MBX49" s="316"/>
      <c r="MBY49" s="316"/>
      <c r="MBZ49" s="316"/>
      <c r="MCA49" s="316"/>
      <c r="MCB49" s="316"/>
      <c r="MCC49" s="316"/>
      <c r="MCD49" s="316"/>
      <c r="MCE49" s="316"/>
      <c r="MCF49" s="316"/>
      <c r="MCG49" s="316"/>
      <c r="MCH49" s="316"/>
      <c r="MCI49" s="316"/>
      <c r="MCJ49" s="316"/>
      <c r="MCK49" s="316"/>
      <c r="MCL49" s="316"/>
      <c r="MCM49" s="316"/>
      <c r="MCN49" s="316"/>
      <c r="MCO49" s="316"/>
      <c r="MCP49" s="316"/>
      <c r="MCQ49" s="316"/>
      <c r="MCR49" s="316"/>
      <c r="MCS49" s="316"/>
      <c r="MCT49" s="316"/>
      <c r="MCU49" s="316"/>
      <c r="MCV49" s="316"/>
      <c r="MCW49" s="316"/>
      <c r="MCX49" s="316"/>
      <c r="MCY49" s="316"/>
      <c r="MCZ49" s="316"/>
      <c r="MDA49" s="316"/>
      <c r="MDB49" s="316"/>
      <c r="MDC49" s="316"/>
      <c r="MDD49" s="316"/>
      <c r="MDE49" s="316"/>
      <c r="MDF49" s="316"/>
      <c r="MDG49" s="316"/>
      <c r="MDH49" s="316"/>
      <c r="MDI49" s="316"/>
      <c r="MDJ49" s="316"/>
      <c r="MDK49" s="316"/>
      <c r="MDL49" s="316"/>
      <c r="MDM49" s="316"/>
      <c r="MDN49" s="316"/>
      <c r="MDO49" s="316"/>
      <c r="MDP49" s="316"/>
      <c r="MDQ49" s="316"/>
      <c r="MDR49" s="316"/>
      <c r="MDS49" s="316"/>
      <c r="MDT49" s="316"/>
      <c r="MDU49" s="316"/>
      <c r="MDV49" s="316"/>
      <c r="MDW49" s="316"/>
      <c r="MDX49" s="316"/>
      <c r="MDY49" s="316"/>
      <c r="MDZ49" s="316"/>
      <c r="MEA49" s="316"/>
      <c r="MEB49" s="316"/>
      <c r="MEC49" s="316"/>
      <c r="MED49" s="316"/>
      <c r="MEE49" s="316"/>
      <c r="MEF49" s="316"/>
      <c r="MEG49" s="316"/>
      <c r="MEH49" s="316"/>
      <c r="MEI49" s="316"/>
      <c r="MEJ49" s="316"/>
      <c r="MEK49" s="316"/>
      <c r="MEL49" s="316"/>
      <c r="MEM49" s="316"/>
      <c r="MEN49" s="316"/>
      <c r="MEO49" s="316"/>
      <c r="MEP49" s="316"/>
      <c r="MEQ49" s="316"/>
      <c r="MER49" s="316"/>
      <c r="MES49" s="316"/>
      <c r="MET49" s="316"/>
      <c r="MEU49" s="316"/>
      <c r="MEV49" s="316"/>
      <c r="MEW49" s="316"/>
      <c r="MEX49" s="316"/>
      <c r="MEY49" s="316"/>
      <c r="MEZ49" s="316"/>
      <c r="MFA49" s="316"/>
      <c r="MFB49" s="316"/>
      <c r="MFC49" s="316"/>
      <c r="MFD49" s="316"/>
      <c r="MFE49" s="316"/>
      <c r="MFF49" s="316"/>
      <c r="MFG49" s="316"/>
      <c r="MFH49" s="316"/>
      <c r="MFI49" s="316"/>
      <c r="MFJ49" s="316"/>
      <c r="MFK49" s="316"/>
      <c r="MFL49" s="316"/>
      <c r="MFM49" s="316"/>
      <c r="MFN49" s="316"/>
      <c r="MFO49" s="316"/>
      <c r="MFP49" s="316"/>
      <c r="MFQ49" s="316"/>
      <c r="MFR49" s="316"/>
      <c r="MFS49" s="316"/>
      <c r="MFT49" s="316"/>
      <c r="MFU49" s="316"/>
      <c r="MFV49" s="316"/>
      <c r="MFW49" s="316"/>
      <c r="MFX49" s="316"/>
      <c r="MFY49" s="316"/>
      <c r="MFZ49" s="316"/>
      <c r="MGA49" s="316"/>
      <c r="MGB49" s="316"/>
      <c r="MGC49" s="316"/>
      <c r="MGD49" s="316"/>
      <c r="MGE49" s="316"/>
      <c r="MGF49" s="316"/>
      <c r="MGG49" s="316"/>
      <c r="MGH49" s="316"/>
      <c r="MGI49" s="316"/>
      <c r="MGJ49" s="316"/>
      <c r="MGK49" s="316"/>
      <c r="MGL49" s="316"/>
      <c r="MGM49" s="316"/>
      <c r="MGN49" s="316"/>
      <c r="MGO49" s="316"/>
      <c r="MGP49" s="316"/>
      <c r="MGQ49" s="316"/>
      <c r="MGR49" s="316"/>
      <c r="MGS49" s="316"/>
      <c r="MGT49" s="316"/>
      <c r="MGU49" s="316"/>
      <c r="MGV49" s="316"/>
      <c r="MGW49" s="316"/>
      <c r="MGX49" s="316"/>
      <c r="MGY49" s="316"/>
      <c r="MGZ49" s="316"/>
      <c r="MHA49" s="316"/>
      <c r="MHB49" s="316"/>
      <c r="MHC49" s="316"/>
      <c r="MHD49" s="316"/>
      <c r="MHE49" s="316"/>
      <c r="MHF49" s="316"/>
      <c r="MHG49" s="316"/>
      <c r="MHH49" s="316"/>
      <c r="MHI49" s="316"/>
      <c r="MHJ49" s="316"/>
      <c r="MHK49" s="316"/>
      <c r="MHL49" s="316"/>
      <c r="MHM49" s="316"/>
      <c r="MHN49" s="316"/>
      <c r="MHO49" s="316"/>
      <c r="MHP49" s="316"/>
      <c r="MHQ49" s="316"/>
      <c r="MHR49" s="316"/>
      <c r="MHS49" s="316"/>
      <c r="MHT49" s="316"/>
      <c r="MHU49" s="316"/>
      <c r="MHV49" s="316"/>
      <c r="MHW49" s="316"/>
      <c r="MHX49" s="316"/>
      <c r="MHY49" s="316"/>
      <c r="MHZ49" s="316"/>
      <c r="MIA49" s="316"/>
      <c r="MIB49" s="316"/>
      <c r="MIC49" s="316"/>
      <c r="MID49" s="316"/>
      <c r="MIE49" s="316"/>
      <c r="MIF49" s="316"/>
      <c r="MIG49" s="316"/>
      <c r="MIH49" s="316"/>
      <c r="MII49" s="316"/>
      <c r="MIJ49" s="316"/>
      <c r="MIK49" s="316"/>
      <c r="MIL49" s="316"/>
      <c r="MIM49" s="316"/>
      <c r="MIN49" s="316"/>
      <c r="MIO49" s="316"/>
      <c r="MIP49" s="316"/>
      <c r="MIQ49" s="316"/>
      <c r="MIR49" s="316"/>
      <c r="MIS49" s="316"/>
      <c r="MIT49" s="316"/>
      <c r="MIU49" s="316"/>
      <c r="MIV49" s="316"/>
      <c r="MIW49" s="316"/>
      <c r="MIX49" s="316"/>
      <c r="MIY49" s="316"/>
      <c r="MIZ49" s="316"/>
      <c r="MJA49" s="316"/>
      <c r="MJB49" s="316"/>
      <c r="MJC49" s="316"/>
      <c r="MJD49" s="316"/>
      <c r="MJE49" s="316"/>
      <c r="MJF49" s="316"/>
      <c r="MJG49" s="316"/>
      <c r="MJH49" s="316"/>
      <c r="MJI49" s="316"/>
      <c r="MJJ49" s="316"/>
      <c r="MJK49" s="316"/>
      <c r="MJL49" s="316"/>
      <c r="MJM49" s="316"/>
      <c r="MJN49" s="316"/>
      <c r="MJO49" s="316"/>
      <c r="MJP49" s="316"/>
      <c r="MJQ49" s="316"/>
      <c r="MJR49" s="316"/>
      <c r="MJS49" s="316"/>
      <c r="MJT49" s="316"/>
      <c r="MJU49" s="316"/>
      <c r="MJV49" s="316"/>
      <c r="MJW49" s="316"/>
      <c r="MJX49" s="316"/>
      <c r="MJY49" s="316"/>
      <c r="MJZ49" s="316"/>
      <c r="MKA49" s="316"/>
      <c r="MKB49" s="316"/>
      <c r="MKC49" s="316"/>
      <c r="MKD49" s="316"/>
      <c r="MKE49" s="316"/>
      <c r="MKF49" s="316"/>
      <c r="MKG49" s="316"/>
      <c r="MKH49" s="316"/>
      <c r="MKI49" s="316"/>
      <c r="MKJ49" s="316"/>
      <c r="MKK49" s="316"/>
      <c r="MKL49" s="316"/>
      <c r="MKM49" s="316"/>
      <c r="MKN49" s="316"/>
      <c r="MKO49" s="316"/>
      <c r="MKP49" s="316"/>
      <c r="MKQ49" s="316"/>
      <c r="MKR49" s="316"/>
      <c r="MKS49" s="316"/>
      <c r="MKT49" s="316"/>
      <c r="MKU49" s="316"/>
      <c r="MKV49" s="316"/>
      <c r="MKW49" s="316"/>
      <c r="MKX49" s="316"/>
      <c r="MKY49" s="316"/>
      <c r="MKZ49" s="316"/>
      <c r="MLA49" s="316"/>
      <c r="MLB49" s="316"/>
      <c r="MLC49" s="316"/>
      <c r="MLD49" s="316"/>
      <c r="MLE49" s="316"/>
      <c r="MLF49" s="316"/>
      <c r="MLG49" s="316"/>
      <c r="MLH49" s="316"/>
      <c r="MLI49" s="316"/>
      <c r="MLJ49" s="316"/>
      <c r="MLK49" s="316"/>
      <c r="MLL49" s="316"/>
      <c r="MLM49" s="316"/>
      <c r="MLN49" s="316"/>
      <c r="MLO49" s="316"/>
      <c r="MLP49" s="316"/>
      <c r="MLQ49" s="316"/>
      <c r="MLR49" s="316"/>
      <c r="MLS49" s="316"/>
      <c r="MLT49" s="316"/>
      <c r="MLU49" s="316"/>
      <c r="MLV49" s="316"/>
      <c r="MLW49" s="316"/>
      <c r="MLX49" s="316"/>
      <c r="MLY49" s="316"/>
      <c r="MLZ49" s="316"/>
      <c r="MMA49" s="316"/>
      <c r="MMB49" s="316"/>
      <c r="MMC49" s="316"/>
      <c r="MMD49" s="316"/>
      <c r="MME49" s="316"/>
      <c r="MMF49" s="316"/>
      <c r="MMG49" s="316"/>
      <c r="MMH49" s="316"/>
      <c r="MMI49" s="316"/>
      <c r="MMJ49" s="316"/>
      <c r="MMK49" s="316"/>
      <c r="MML49" s="316"/>
      <c r="MMM49" s="316"/>
      <c r="MMN49" s="316"/>
      <c r="MMO49" s="316"/>
      <c r="MMP49" s="316"/>
      <c r="MMQ49" s="316"/>
      <c r="MMR49" s="316"/>
      <c r="MMS49" s="316"/>
      <c r="MMT49" s="316"/>
      <c r="MMU49" s="316"/>
      <c r="MMV49" s="316"/>
      <c r="MMW49" s="316"/>
      <c r="MMX49" s="316"/>
      <c r="MMY49" s="316"/>
      <c r="MMZ49" s="316"/>
      <c r="MNA49" s="316"/>
      <c r="MNB49" s="316"/>
      <c r="MNC49" s="316"/>
      <c r="MND49" s="316"/>
      <c r="MNE49" s="316"/>
      <c r="MNF49" s="316"/>
      <c r="MNG49" s="316"/>
      <c r="MNH49" s="316"/>
      <c r="MNI49" s="316"/>
      <c r="MNJ49" s="316"/>
      <c r="MNK49" s="316"/>
      <c r="MNL49" s="316"/>
      <c r="MNM49" s="316"/>
      <c r="MNN49" s="316"/>
      <c r="MNO49" s="316"/>
      <c r="MNP49" s="316"/>
      <c r="MNQ49" s="316"/>
      <c r="MNR49" s="316"/>
      <c r="MNS49" s="316"/>
      <c r="MNT49" s="316"/>
      <c r="MNU49" s="316"/>
      <c r="MNV49" s="316"/>
      <c r="MNW49" s="316"/>
      <c r="MNX49" s="316"/>
      <c r="MNY49" s="316"/>
      <c r="MNZ49" s="316"/>
      <c r="MOA49" s="316"/>
      <c r="MOB49" s="316"/>
      <c r="MOC49" s="316"/>
      <c r="MOD49" s="316"/>
      <c r="MOE49" s="316"/>
      <c r="MOF49" s="316"/>
      <c r="MOG49" s="316"/>
      <c r="MOH49" s="316"/>
      <c r="MOI49" s="316"/>
      <c r="MOJ49" s="316"/>
      <c r="MOK49" s="316"/>
      <c r="MOL49" s="316"/>
      <c r="MOM49" s="316"/>
      <c r="MON49" s="316"/>
      <c r="MOO49" s="316"/>
      <c r="MOP49" s="316"/>
      <c r="MOQ49" s="316"/>
      <c r="MOR49" s="316"/>
      <c r="MOS49" s="316"/>
      <c r="MOT49" s="316"/>
      <c r="MOU49" s="316"/>
      <c r="MOV49" s="316"/>
      <c r="MOW49" s="316"/>
      <c r="MOX49" s="316"/>
      <c r="MOY49" s="316"/>
      <c r="MOZ49" s="316"/>
      <c r="MPA49" s="316"/>
      <c r="MPB49" s="316"/>
      <c r="MPC49" s="316"/>
      <c r="MPD49" s="316"/>
      <c r="MPE49" s="316"/>
      <c r="MPF49" s="316"/>
      <c r="MPG49" s="316"/>
      <c r="MPH49" s="316"/>
      <c r="MPI49" s="316"/>
      <c r="MPJ49" s="316"/>
      <c r="MPK49" s="316"/>
      <c r="MPL49" s="316"/>
      <c r="MPM49" s="316"/>
      <c r="MPN49" s="316"/>
      <c r="MPO49" s="316"/>
      <c r="MPP49" s="316"/>
      <c r="MPQ49" s="316"/>
      <c r="MPR49" s="316"/>
      <c r="MPS49" s="316"/>
      <c r="MPT49" s="316"/>
      <c r="MPU49" s="316"/>
      <c r="MPV49" s="316"/>
      <c r="MPW49" s="316"/>
      <c r="MPX49" s="316"/>
      <c r="MPY49" s="316"/>
      <c r="MPZ49" s="316"/>
      <c r="MQA49" s="316"/>
      <c r="MQB49" s="316"/>
      <c r="MQC49" s="316"/>
      <c r="MQD49" s="316"/>
      <c r="MQE49" s="316"/>
      <c r="MQF49" s="316"/>
      <c r="MQG49" s="316"/>
      <c r="MQH49" s="316"/>
      <c r="MQI49" s="316"/>
      <c r="MQJ49" s="316"/>
      <c r="MQK49" s="316"/>
      <c r="MQL49" s="316"/>
      <c r="MQM49" s="316"/>
      <c r="MQN49" s="316"/>
      <c r="MQO49" s="316"/>
      <c r="MQP49" s="316"/>
      <c r="MQQ49" s="316"/>
      <c r="MQR49" s="316"/>
      <c r="MQS49" s="316"/>
      <c r="MQT49" s="316"/>
      <c r="MQU49" s="316"/>
      <c r="MQV49" s="316"/>
      <c r="MQW49" s="316"/>
      <c r="MQX49" s="316"/>
      <c r="MQY49" s="316"/>
      <c r="MQZ49" s="316"/>
      <c r="MRA49" s="316"/>
      <c r="MRB49" s="316"/>
      <c r="MRC49" s="316"/>
      <c r="MRD49" s="316"/>
      <c r="MRE49" s="316"/>
      <c r="MRF49" s="316"/>
      <c r="MRG49" s="316"/>
      <c r="MRH49" s="316"/>
      <c r="MRI49" s="316"/>
      <c r="MRJ49" s="316"/>
      <c r="MRK49" s="316"/>
      <c r="MRL49" s="316"/>
      <c r="MRM49" s="316"/>
      <c r="MRN49" s="316"/>
      <c r="MRO49" s="316"/>
      <c r="MRP49" s="316"/>
      <c r="MRQ49" s="316"/>
      <c r="MRR49" s="316"/>
      <c r="MRS49" s="316"/>
      <c r="MRT49" s="316"/>
      <c r="MRU49" s="316"/>
      <c r="MRV49" s="316"/>
      <c r="MRW49" s="316"/>
      <c r="MRX49" s="316"/>
      <c r="MRY49" s="316"/>
      <c r="MRZ49" s="316"/>
      <c r="MSA49" s="316"/>
      <c r="MSB49" s="316"/>
      <c r="MSC49" s="316"/>
      <c r="MSD49" s="316"/>
      <c r="MSE49" s="316"/>
      <c r="MSF49" s="316"/>
      <c r="MSG49" s="316"/>
      <c r="MSH49" s="316"/>
      <c r="MSI49" s="316"/>
      <c r="MSJ49" s="316"/>
      <c r="MSK49" s="316"/>
      <c r="MSL49" s="316"/>
      <c r="MSM49" s="316"/>
      <c r="MSN49" s="316"/>
      <c r="MSO49" s="316"/>
      <c r="MSP49" s="316"/>
      <c r="MSQ49" s="316"/>
      <c r="MSR49" s="316"/>
      <c r="MSS49" s="316"/>
      <c r="MST49" s="316"/>
      <c r="MSU49" s="316"/>
      <c r="MSV49" s="316"/>
      <c r="MSW49" s="316"/>
      <c r="MSX49" s="316"/>
      <c r="MSY49" s="316"/>
      <c r="MSZ49" s="316"/>
      <c r="MTA49" s="316"/>
      <c r="MTB49" s="316"/>
      <c r="MTC49" s="316"/>
      <c r="MTD49" s="316"/>
      <c r="MTE49" s="316"/>
      <c r="MTF49" s="316"/>
      <c r="MTG49" s="316"/>
      <c r="MTH49" s="316"/>
      <c r="MTI49" s="316"/>
      <c r="MTJ49" s="316"/>
      <c r="MTK49" s="316"/>
      <c r="MTL49" s="316"/>
      <c r="MTM49" s="316"/>
      <c r="MTN49" s="316"/>
      <c r="MTO49" s="316"/>
      <c r="MTP49" s="316"/>
      <c r="MTQ49" s="316"/>
      <c r="MTR49" s="316"/>
      <c r="MTS49" s="316"/>
      <c r="MTT49" s="316"/>
      <c r="MTU49" s="316"/>
      <c r="MTV49" s="316"/>
      <c r="MTW49" s="316"/>
      <c r="MTX49" s="316"/>
      <c r="MTY49" s="316"/>
      <c r="MTZ49" s="316"/>
      <c r="MUA49" s="316"/>
      <c r="MUB49" s="316"/>
      <c r="MUC49" s="316"/>
      <c r="MUD49" s="316"/>
      <c r="MUE49" s="316"/>
      <c r="MUF49" s="316"/>
      <c r="MUG49" s="316"/>
      <c r="MUH49" s="316"/>
      <c r="MUI49" s="316"/>
      <c r="MUJ49" s="316"/>
      <c r="MUK49" s="316"/>
      <c r="MUL49" s="316"/>
      <c r="MUM49" s="316"/>
      <c r="MUN49" s="316"/>
      <c r="MUO49" s="316"/>
      <c r="MUP49" s="316"/>
      <c r="MUQ49" s="316"/>
      <c r="MUR49" s="316"/>
      <c r="MUS49" s="316"/>
      <c r="MUT49" s="316"/>
      <c r="MUU49" s="316"/>
      <c r="MUV49" s="316"/>
      <c r="MUW49" s="316"/>
      <c r="MUX49" s="316"/>
      <c r="MUY49" s="316"/>
      <c r="MUZ49" s="316"/>
      <c r="MVA49" s="316"/>
      <c r="MVB49" s="316"/>
      <c r="MVC49" s="316"/>
      <c r="MVD49" s="316"/>
      <c r="MVE49" s="316"/>
      <c r="MVF49" s="316"/>
      <c r="MVG49" s="316"/>
      <c r="MVH49" s="316"/>
      <c r="MVI49" s="316"/>
      <c r="MVJ49" s="316"/>
      <c r="MVK49" s="316"/>
      <c r="MVL49" s="316"/>
      <c r="MVM49" s="316"/>
      <c r="MVN49" s="316"/>
      <c r="MVO49" s="316"/>
      <c r="MVP49" s="316"/>
      <c r="MVQ49" s="316"/>
      <c r="MVR49" s="316"/>
      <c r="MVS49" s="316"/>
      <c r="MVT49" s="316"/>
      <c r="MVU49" s="316"/>
      <c r="MVV49" s="316"/>
      <c r="MVW49" s="316"/>
      <c r="MVX49" s="316"/>
      <c r="MVY49" s="316"/>
      <c r="MVZ49" s="316"/>
      <c r="MWA49" s="316"/>
      <c r="MWB49" s="316"/>
      <c r="MWC49" s="316"/>
      <c r="MWD49" s="316"/>
      <c r="MWE49" s="316"/>
      <c r="MWF49" s="316"/>
      <c r="MWG49" s="316"/>
      <c r="MWH49" s="316"/>
      <c r="MWI49" s="316"/>
      <c r="MWJ49" s="316"/>
      <c r="MWK49" s="316"/>
      <c r="MWL49" s="316"/>
      <c r="MWM49" s="316"/>
      <c r="MWN49" s="316"/>
      <c r="MWO49" s="316"/>
      <c r="MWP49" s="316"/>
      <c r="MWQ49" s="316"/>
      <c r="MWR49" s="316"/>
      <c r="MWS49" s="316"/>
      <c r="MWT49" s="316"/>
      <c r="MWU49" s="316"/>
      <c r="MWV49" s="316"/>
      <c r="MWW49" s="316"/>
      <c r="MWX49" s="316"/>
      <c r="MWY49" s="316"/>
      <c r="MWZ49" s="316"/>
      <c r="MXA49" s="316"/>
      <c r="MXB49" s="316"/>
      <c r="MXC49" s="316"/>
      <c r="MXD49" s="316"/>
      <c r="MXE49" s="316"/>
      <c r="MXF49" s="316"/>
      <c r="MXG49" s="316"/>
      <c r="MXH49" s="316"/>
      <c r="MXI49" s="316"/>
      <c r="MXJ49" s="316"/>
      <c r="MXK49" s="316"/>
      <c r="MXL49" s="316"/>
      <c r="MXM49" s="316"/>
      <c r="MXN49" s="316"/>
      <c r="MXO49" s="316"/>
      <c r="MXP49" s="316"/>
      <c r="MXQ49" s="316"/>
      <c r="MXR49" s="316"/>
      <c r="MXS49" s="316"/>
      <c r="MXT49" s="316"/>
      <c r="MXU49" s="316"/>
      <c r="MXV49" s="316"/>
      <c r="MXW49" s="316"/>
      <c r="MXX49" s="316"/>
      <c r="MXY49" s="316"/>
      <c r="MXZ49" s="316"/>
      <c r="MYA49" s="316"/>
      <c r="MYB49" s="316"/>
      <c r="MYC49" s="316"/>
      <c r="MYD49" s="316"/>
      <c r="MYE49" s="316"/>
      <c r="MYF49" s="316"/>
      <c r="MYG49" s="316"/>
      <c r="MYH49" s="316"/>
      <c r="MYI49" s="316"/>
      <c r="MYJ49" s="316"/>
      <c r="MYK49" s="316"/>
      <c r="MYL49" s="316"/>
      <c r="MYM49" s="316"/>
      <c r="MYN49" s="316"/>
      <c r="MYO49" s="316"/>
      <c r="MYP49" s="316"/>
      <c r="MYQ49" s="316"/>
      <c r="MYR49" s="316"/>
      <c r="MYS49" s="316"/>
      <c r="MYT49" s="316"/>
      <c r="MYU49" s="316"/>
      <c r="MYV49" s="316"/>
      <c r="MYW49" s="316"/>
      <c r="MYX49" s="316"/>
      <c r="MYY49" s="316"/>
      <c r="MYZ49" s="316"/>
      <c r="MZA49" s="316"/>
      <c r="MZB49" s="316"/>
      <c r="MZC49" s="316"/>
      <c r="MZD49" s="316"/>
      <c r="MZE49" s="316"/>
      <c r="MZF49" s="316"/>
      <c r="MZG49" s="316"/>
      <c r="MZH49" s="316"/>
      <c r="MZI49" s="316"/>
      <c r="MZJ49" s="316"/>
      <c r="MZK49" s="316"/>
      <c r="MZL49" s="316"/>
      <c r="MZM49" s="316"/>
      <c r="MZN49" s="316"/>
      <c r="MZO49" s="316"/>
      <c r="MZP49" s="316"/>
      <c r="MZQ49" s="316"/>
      <c r="MZR49" s="316"/>
      <c r="MZS49" s="316"/>
      <c r="MZT49" s="316"/>
      <c r="MZU49" s="316"/>
      <c r="MZV49" s="316"/>
      <c r="MZW49" s="316"/>
      <c r="MZX49" s="316"/>
      <c r="MZY49" s="316"/>
      <c r="MZZ49" s="316"/>
      <c r="NAA49" s="316"/>
      <c r="NAB49" s="316"/>
      <c r="NAC49" s="316"/>
      <c r="NAD49" s="316"/>
      <c r="NAE49" s="316"/>
      <c r="NAF49" s="316"/>
      <c r="NAG49" s="316"/>
      <c r="NAH49" s="316"/>
      <c r="NAI49" s="316"/>
      <c r="NAJ49" s="316"/>
      <c r="NAK49" s="316"/>
      <c r="NAL49" s="316"/>
      <c r="NAM49" s="316"/>
      <c r="NAN49" s="316"/>
      <c r="NAO49" s="316"/>
      <c r="NAP49" s="316"/>
      <c r="NAQ49" s="316"/>
      <c r="NAR49" s="316"/>
      <c r="NAS49" s="316"/>
      <c r="NAT49" s="316"/>
      <c r="NAU49" s="316"/>
      <c r="NAV49" s="316"/>
      <c r="NAW49" s="316"/>
      <c r="NAX49" s="316"/>
      <c r="NAY49" s="316"/>
      <c r="NAZ49" s="316"/>
      <c r="NBA49" s="316"/>
      <c r="NBB49" s="316"/>
      <c r="NBC49" s="316"/>
      <c r="NBD49" s="316"/>
      <c r="NBE49" s="316"/>
      <c r="NBF49" s="316"/>
      <c r="NBG49" s="316"/>
      <c r="NBH49" s="316"/>
      <c r="NBI49" s="316"/>
      <c r="NBJ49" s="316"/>
      <c r="NBK49" s="316"/>
      <c r="NBL49" s="316"/>
      <c r="NBM49" s="316"/>
      <c r="NBN49" s="316"/>
      <c r="NBO49" s="316"/>
      <c r="NBP49" s="316"/>
      <c r="NBQ49" s="316"/>
      <c r="NBR49" s="316"/>
      <c r="NBS49" s="316"/>
      <c r="NBT49" s="316"/>
      <c r="NBU49" s="316"/>
      <c r="NBV49" s="316"/>
      <c r="NBW49" s="316"/>
      <c r="NBX49" s="316"/>
      <c r="NBY49" s="316"/>
      <c r="NBZ49" s="316"/>
      <c r="NCA49" s="316"/>
      <c r="NCB49" s="316"/>
      <c r="NCC49" s="316"/>
      <c r="NCD49" s="316"/>
      <c r="NCE49" s="316"/>
      <c r="NCF49" s="316"/>
      <c r="NCG49" s="316"/>
      <c r="NCH49" s="316"/>
      <c r="NCI49" s="316"/>
      <c r="NCJ49" s="316"/>
      <c r="NCK49" s="316"/>
      <c r="NCL49" s="316"/>
      <c r="NCM49" s="316"/>
      <c r="NCN49" s="316"/>
      <c r="NCO49" s="316"/>
      <c r="NCP49" s="316"/>
      <c r="NCQ49" s="316"/>
      <c r="NCR49" s="316"/>
      <c r="NCS49" s="316"/>
      <c r="NCT49" s="316"/>
      <c r="NCU49" s="316"/>
      <c r="NCV49" s="316"/>
      <c r="NCW49" s="316"/>
      <c r="NCX49" s="316"/>
      <c r="NCY49" s="316"/>
      <c r="NCZ49" s="316"/>
      <c r="NDA49" s="316"/>
      <c r="NDB49" s="316"/>
      <c r="NDC49" s="316"/>
      <c r="NDD49" s="316"/>
      <c r="NDE49" s="316"/>
      <c r="NDF49" s="316"/>
      <c r="NDG49" s="316"/>
      <c r="NDH49" s="316"/>
      <c r="NDI49" s="316"/>
      <c r="NDJ49" s="316"/>
      <c r="NDK49" s="316"/>
      <c r="NDL49" s="316"/>
      <c r="NDM49" s="316"/>
      <c r="NDN49" s="316"/>
      <c r="NDO49" s="316"/>
      <c r="NDP49" s="316"/>
      <c r="NDQ49" s="316"/>
      <c r="NDR49" s="316"/>
      <c r="NDS49" s="316"/>
      <c r="NDT49" s="316"/>
      <c r="NDU49" s="316"/>
      <c r="NDV49" s="316"/>
      <c r="NDW49" s="316"/>
      <c r="NDX49" s="316"/>
      <c r="NDY49" s="316"/>
      <c r="NDZ49" s="316"/>
      <c r="NEA49" s="316"/>
      <c r="NEB49" s="316"/>
      <c r="NEC49" s="316"/>
      <c r="NED49" s="316"/>
      <c r="NEE49" s="316"/>
      <c r="NEF49" s="316"/>
      <c r="NEG49" s="316"/>
      <c r="NEH49" s="316"/>
      <c r="NEI49" s="316"/>
      <c r="NEJ49" s="316"/>
      <c r="NEK49" s="316"/>
      <c r="NEL49" s="316"/>
      <c r="NEM49" s="316"/>
      <c r="NEN49" s="316"/>
      <c r="NEO49" s="316"/>
      <c r="NEP49" s="316"/>
      <c r="NEQ49" s="316"/>
      <c r="NER49" s="316"/>
      <c r="NES49" s="316"/>
      <c r="NET49" s="316"/>
      <c r="NEU49" s="316"/>
      <c r="NEV49" s="316"/>
      <c r="NEW49" s="316"/>
      <c r="NEX49" s="316"/>
      <c r="NEY49" s="316"/>
      <c r="NEZ49" s="316"/>
      <c r="NFA49" s="316"/>
      <c r="NFB49" s="316"/>
      <c r="NFC49" s="316"/>
      <c r="NFD49" s="316"/>
      <c r="NFE49" s="316"/>
      <c r="NFF49" s="316"/>
      <c r="NFG49" s="316"/>
      <c r="NFH49" s="316"/>
      <c r="NFI49" s="316"/>
      <c r="NFJ49" s="316"/>
      <c r="NFK49" s="316"/>
      <c r="NFL49" s="316"/>
      <c r="NFM49" s="316"/>
      <c r="NFN49" s="316"/>
      <c r="NFO49" s="316"/>
      <c r="NFP49" s="316"/>
      <c r="NFQ49" s="316"/>
      <c r="NFR49" s="316"/>
      <c r="NFS49" s="316"/>
      <c r="NFT49" s="316"/>
      <c r="NFU49" s="316"/>
      <c r="NFV49" s="316"/>
      <c r="NFW49" s="316"/>
      <c r="NFX49" s="316"/>
      <c r="NFY49" s="316"/>
      <c r="NFZ49" s="316"/>
      <c r="NGA49" s="316"/>
      <c r="NGB49" s="316"/>
      <c r="NGC49" s="316"/>
      <c r="NGD49" s="316"/>
      <c r="NGE49" s="316"/>
      <c r="NGF49" s="316"/>
      <c r="NGG49" s="316"/>
      <c r="NGH49" s="316"/>
      <c r="NGI49" s="316"/>
      <c r="NGJ49" s="316"/>
      <c r="NGK49" s="316"/>
      <c r="NGL49" s="316"/>
      <c r="NGM49" s="316"/>
      <c r="NGN49" s="316"/>
      <c r="NGO49" s="316"/>
      <c r="NGP49" s="316"/>
      <c r="NGQ49" s="316"/>
      <c r="NGR49" s="316"/>
      <c r="NGS49" s="316"/>
      <c r="NGT49" s="316"/>
      <c r="NGU49" s="316"/>
      <c r="NGV49" s="316"/>
      <c r="NGW49" s="316"/>
      <c r="NGX49" s="316"/>
      <c r="NGY49" s="316"/>
      <c r="NGZ49" s="316"/>
      <c r="NHA49" s="316"/>
      <c r="NHB49" s="316"/>
      <c r="NHC49" s="316"/>
      <c r="NHD49" s="316"/>
      <c r="NHE49" s="316"/>
      <c r="NHF49" s="316"/>
      <c r="NHG49" s="316"/>
      <c r="NHH49" s="316"/>
      <c r="NHI49" s="316"/>
      <c r="NHJ49" s="316"/>
      <c r="NHK49" s="316"/>
      <c r="NHL49" s="316"/>
      <c r="NHM49" s="316"/>
      <c r="NHN49" s="316"/>
      <c r="NHO49" s="316"/>
      <c r="NHP49" s="316"/>
      <c r="NHQ49" s="316"/>
      <c r="NHR49" s="316"/>
      <c r="NHS49" s="316"/>
      <c r="NHT49" s="316"/>
      <c r="NHU49" s="316"/>
      <c r="NHV49" s="316"/>
      <c r="NHW49" s="316"/>
      <c r="NHX49" s="316"/>
      <c r="NHY49" s="316"/>
      <c r="NHZ49" s="316"/>
      <c r="NIA49" s="316"/>
      <c r="NIB49" s="316"/>
      <c r="NIC49" s="316"/>
      <c r="NID49" s="316"/>
      <c r="NIE49" s="316"/>
      <c r="NIF49" s="316"/>
      <c r="NIG49" s="316"/>
      <c r="NIH49" s="316"/>
      <c r="NII49" s="316"/>
      <c r="NIJ49" s="316"/>
      <c r="NIK49" s="316"/>
      <c r="NIL49" s="316"/>
      <c r="NIM49" s="316"/>
      <c r="NIN49" s="316"/>
      <c r="NIO49" s="316"/>
      <c r="NIP49" s="316"/>
      <c r="NIQ49" s="316"/>
      <c r="NIR49" s="316"/>
      <c r="NIS49" s="316"/>
      <c r="NIT49" s="316"/>
      <c r="NIU49" s="316"/>
      <c r="NIV49" s="316"/>
      <c r="NIW49" s="316"/>
      <c r="NIX49" s="316"/>
      <c r="NIY49" s="316"/>
      <c r="NIZ49" s="316"/>
      <c r="NJA49" s="316"/>
      <c r="NJB49" s="316"/>
      <c r="NJC49" s="316"/>
      <c r="NJD49" s="316"/>
      <c r="NJE49" s="316"/>
      <c r="NJF49" s="316"/>
      <c r="NJG49" s="316"/>
      <c r="NJH49" s="316"/>
      <c r="NJI49" s="316"/>
      <c r="NJJ49" s="316"/>
      <c r="NJK49" s="316"/>
      <c r="NJL49" s="316"/>
      <c r="NJM49" s="316"/>
      <c r="NJN49" s="316"/>
      <c r="NJO49" s="316"/>
      <c r="NJP49" s="316"/>
      <c r="NJQ49" s="316"/>
      <c r="NJR49" s="316"/>
      <c r="NJS49" s="316"/>
      <c r="NJT49" s="316"/>
      <c r="NJU49" s="316"/>
      <c r="NJV49" s="316"/>
      <c r="NJW49" s="316"/>
      <c r="NJX49" s="316"/>
      <c r="NJY49" s="316"/>
      <c r="NJZ49" s="316"/>
      <c r="NKA49" s="316"/>
      <c r="NKB49" s="316"/>
      <c r="NKC49" s="316"/>
      <c r="NKD49" s="316"/>
      <c r="NKE49" s="316"/>
      <c r="NKF49" s="316"/>
      <c r="NKG49" s="316"/>
      <c r="NKH49" s="316"/>
      <c r="NKI49" s="316"/>
      <c r="NKJ49" s="316"/>
      <c r="NKK49" s="316"/>
      <c r="NKL49" s="316"/>
      <c r="NKM49" s="316"/>
      <c r="NKN49" s="316"/>
      <c r="NKO49" s="316"/>
      <c r="NKP49" s="316"/>
      <c r="NKQ49" s="316"/>
      <c r="NKR49" s="316"/>
      <c r="NKS49" s="316"/>
      <c r="NKT49" s="316"/>
      <c r="NKU49" s="316"/>
      <c r="NKV49" s="316"/>
      <c r="NKW49" s="316"/>
      <c r="NKX49" s="316"/>
      <c r="NKY49" s="316"/>
      <c r="NKZ49" s="316"/>
      <c r="NLA49" s="316"/>
      <c r="NLB49" s="316"/>
      <c r="NLC49" s="316"/>
      <c r="NLD49" s="316"/>
      <c r="NLE49" s="316"/>
      <c r="NLF49" s="316"/>
      <c r="NLG49" s="316"/>
      <c r="NLH49" s="316"/>
      <c r="NLI49" s="316"/>
      <c r="NLJ49" s="316"/>
      <c r="NLK49" s="316"/>
      <c r="NLL49" s="316"/>
      <c r="NLM49" s="316"/>
      <c r="NLN49" s="316"/>
      <c r="NLO49" s="316"/>
      <c r="NLP49" s="316"/>
      <c r="NLQ49" s="316"/>
      <c r="NLR49" s="316"/>
      <c r="NLS49" s="316"/>
      <c r="NLT49" s="316"/>
      <c r="NLU49" s="316"/>
      <c r="NLV49" s="316"/>
      <c r="NLW49" s="316"/>
      <c r="NLX49" s="316"/>
      <c r="NLY49" s="316"/>
      <c r="NLZ49" s="316"/>
      <c r="NMA49" s="316"/>
      <c r="NMB49" s="316"/>
      <c r="NMC49" s="316"/>
      <c r="NMD49" s="316"/>
      <c r="NME49" s="316"/>
      <c r="NMF49" s="316"/>
      <c r="NMG49" s="316"/>
      <c r="NMH49" s="316"/>
      <c r="NMI49" s="316"/>
      <c r="NMJ49" s="316"/>
      <c r="NMK49" s="316"/>
      <c r="NML49" s="316"/>
      <c r="NMM49" s="316"/>
      <c r="NMN49" s="316"/>
      <c r="NMO49" s="316"/>
      <c r="NMP49" s="316"/>
      <c r="NMQ49" s="316"/>
      <c r="NMR49" s="316"/>
      <c r="NMS49" s="316"/>
      <c r="NMT49" s="316"/>
      <c r="NMU49" s="316"/>
      <c r="NMV49" s="316"/>
      <c r="NMW49" s="316"/>
      <c r="NMX49" s="316"/>
      <c r="NMY49" s="316"/>
      <c r="NMZ49" s="316"/>
      <c r="NNA49" s="316"/>
      <c r="NNB49" s="316"/>
      <c r="NNC49" s="316"/>
      <c r="NND49" s="316"/>
      <c r="NNE49" s="316"/>
      <c r="NNF49" s="316"/>
      <c r="NNG49" s="316"/>
      <c r="NNH49" s="316"/>
      <c r="NNI49" s="316"/>
      <c r="NNJ49" s="316"/>
      <c r="NNK49" s="316"/>
      <c r="NNL49" s="316"/>
      <c r="NNM49" s="316"/>
      <c r="NNN49" s="316"/>
      <c r="NNO49" s="316"/>
      <c r="NNP49" s="316"/>
      <c r="NNQ49" s="316"/>
      <c r="NNR49" s="316"/>
      <c r="NNS49" s="316"/>
      <c r="NNT49" s="316"/>
      <c r="NNU49" s="316"/>
      <c r="NNV49" s="316"/>
      <c r="NNW49" s="316"/>
      <c r="NNX49" s="316"/>
      <c r="NNY49" s="316"/>
      <c r="NNZ49" s="316"/>
      <c r="NOA49" s="316"/>
      <c r="NOB49" s="316"/>
      <c r="NOC49" s="316"/>
      <c r="NOD49" s="316"/>
      <c r="NOE49" s="316"/>
      <c r="NOF49" s="316"/>
      <c r="NOG49" s="316"/>
      <c r="NOH49" s="316"/>
      <c r="NOI49" s="316"/>
      <c r="NOJ49" s="316"/>
      <c r="NOK49" s="316"/>
      <c r="NOL49" s="316"/>
      <c r="NOM49" s="316"/>
      <c r="NON49" s="316"/>
      <c r="NOO49" s="316"/>
      <c r="NOP49" s="316"/>
      <c r="NOQ49" s="316"/>
      <c r="NOR49" s="316"/>
      <c r="NOS49" s="316"/>
      <c r="NOT49" s="316"/>
      <c r="NOU49" s="316"/>
      <c r="NOV49" s="316"/>
      <c r="NOW49" s="316"/>
      <c r="NOX49" s="316"/>
      <c r="NOY49" s="316"/>
      <c r="NOZ49" s="316"/>
      <c r="NPA49" s="316"/>
      <c r="NPB49" s="316"/>
      <c r="NPC49" s="316"/>
      <c r="NPD49" s="316"/>
      <c r="NPE49" s="316"/>
      <c r="NPF49" s="316"/>
      <c r="NPG49" s="316"/>
      <c r="NPH49" s="316"/>
      <c r="NPI49" s="316"/>
      <c r="NPJ49" s="316"/>
      <c r="NPK49" s="316"/>
      <c r="NPL49" s="316"/>
      <c r="NPM49" s="316"/>
      <c r="NPN49" s="316"/>
      <c r="NPO49" s="316"/>
      <c r="NPP49" s="316"/>
      <c r="NPQ49" s="316"/>
      <c r="NPR49" s="316"/>
      <c r="NPS49" s="316"/>
      <c r="NPT49" s="316"/>
      <c r="NPU49" s="316"/>
      <c r="NPV49" s="316"/>
      <c r="NPW49" s="316"/>
      <c r="NPX49" s="316"/>
      <c r="NPY49" s="316"/>
      <c r="NPZ49" s="316"/>
      <c r="NQA49" s="316"/>
      <c r="NQB49" s="316"/>
      <c r="NQC49" s="316"/>
      <c r="NQD49" s="316"/>
      <c r="NQE49" s="316"/>
      <c r="NQF49" s="316"/>
      <c r="NQG49" s="316"/>
      <c r="NQH49" s="316"/>
      <c r="NQI49" s="316"/>
      <c r="NQJ49" s="316"/>
      <c r="NQK49" s="316"/>
      <c r="NQL49" s="316"/>
      <c r="NQM49" s="316"/>
      <c r="NQN49" s="316"/>
      <c r="NQO49" s="316"/>
      <c r="NQP49" s="316"/>
      <c r="NQQ49" s="316"/>
      <c r="NQR49" s="316"/>
      <c r="NQS49" s="316"/>
      <c r="NQT49" s="316"/>
      <c r="NQU49" s="316"/>
      <c r="NQV49" s="316"/>
      <c r="NQW49" s="316"/>
      <c r="NQX49" s="316"/>
      <c r="NQY49" s="316"/>
      <c r="NQZ49" s="316"/>
      <c r="NRA49" s="316"/>
      <c r="NRB49" s="316"/>
      <c r="NRC49" s="316"/>
      <c r="NRD49" s="316"/>
      <c r="NRE49" s="316"/>
      <c r="NRF49" s="316"/>
      <c r="NRG49" s="316"/>
      <c r="NRH49" s="316"/>
      <c r="NRI49" s="316"/>
      <c r="NRJ49" s="316"/>
      <c r="NRK49" s="316"/>
      <c r="NRL49" s="316"/>
      <c r="NRM49" s="316"/>
      <c r="NRN49" s="316"/>
      <c r="NRO49" s="316"/>
      <c r="NRP49" s="316"/>
      <c r="NRQ49" s="316"/>
      <c r="NRR49" s="316"/>
      <c r="NRS49" s="316"/>
      <c r="NRT49" s="316"/>
      <c r="NRU49" s="316"/>
      <c r="NRV49" s="316"/>
      <c r="NRW49" s="316"/>
      <c r="NRX49" s="316"/>
      <c r="NRY49" s="316"/>
      <c r="NRZ49" s="316"/>
      <c r="NSA49" s="316"/>
      <c r="NSB49" s="316"/>
      <c r="NSC49" s="316"/>
      <c r="NSD49" s="316"/>
      <c r="NSE49" s="316"/>
      <c r="NSF49" s="316"/>
      <c r="NSG49" s="316"/>
      <c r="NSH49" s="316"/>
      <c r="NSI49" s="316"/>
      <c r="NSJ49" s="316"/>
      <c r="NSK49" s="316"/>
      <c r="NSL49" s="316"/>
      <c r="NSM49" s="316"/>
      <c r="NSN49" s="316"/>
      <c r="NSO49" s="316"/>
      <c r="NSP49" s="316"/>
      <c r="NSQ49" s="316"/>
      <c r="NSR49" s="316"/>
      <c r="NSS49" s="316"/>
      <c r="NST49" s="316"/>
      <c r="NSU49" s="316"/>
      <c r="NSV49" s="316"/>
      <c r="NSW49" s="316"/>
      <c r="NSX49" s="316"/>
      <c r="NSY49" s="316"/>
      <c r="NSZ49" s="316"/>
      <c r="NTA49" s="316"/>
      <c r="NTB49" s="316"/>
      <c r="NTC49" s="316"/>
      <c r="NTD49" s="316"/>
      <c r="NTE49" s="316"/>
      <c r="NTF49" s="316"/>
      <c r="NTG49" s="316"/>
      <c r="NTH49" s="316"/>
      <c r="NTI49" s="316"/>
      <c r="NTJ49" s="316"/>
      <c r="NTK49" s="316"/>
      <c r="NTL49" s="316"/>
      <c r="NTM49" s="316"/>
      <c r="NTN49" s="316"/>
      <c r="NTO49" s="316"/>
      <c r="NTP49" s="316"/>
      <c r="NTQ49" s="316"/>
      <c r="NTR49" s="316"/>
      <c r="NTS49" s="316"/>
      <c r="NTT49" s="316"/>
      <c r="NTU49" s="316"/>
      <c r="NTV49" s="316"/>
      <c r="NTW49" s="316"/>
      <c r="NTX49" s="316"/>
      <c r="NTY49" s="316"/>
      <c r="NTZ49" s="316"/>
      <c r="NUA49" s="316"/>
      <c r="NUB49" s="316"/>
      <c r="NUC49" s="316"/>
      <c r="NUD49" s="316"/>
      <c r="NUE49" s="316"/>
      <c r="NUF49" s="316"/>
      <c r="NUG49" s="316"/>
      <c r="NUH49" s="316"/>
      <c r="NUI49" s="316"/>
      <c r="NUJ49" s="316"/>
      <c r="NUK49" s="316"/>
      <c r="NUL49" s="316"/>
      <c r="NUM49" s="316"/>
      <c r="NUN49" s="316"/>
      <c r="NUO49" s="316"/>
      <c r="NUP49" s="316"/>
      <c r="NUQ49" s="316"/>
      <c r="NUR49" s="316"/>
      <c r="NUS49" s="316"/>
      <c r="NUT49" s="316"/>
      <c r="NUU49" s="316"/>
      <c r="NUV49" s="316"/>
      <c r="NUW49" s="316"/>
      <c r="NUX49" s="316"/>
      <c r="NUY49" s="316"/>
      <c r="NUZ49" s="316"/>
      <c r="NVA49" s="316"/>
      <c r="NVB49" s="316"/>
      <c r="NVC49" s="316"/>
      <c r="NVD49" s="316"/>
      <c r="NVE49" s="316"/>
      <c r="NVF49" s="316"/>
      <c r="NVG49" s="316"/>
      <c r="NVH49" s="316"/>
      <c r="NVI49" s="316"/>
      <c r="NVJ49" s="316"/>
      <c r="NVK49" s="316"/>
      <c r="NVL49" s="316"/>
      <c r="NVM49" s="316"/>
      <c r="NVN49" s="316"/>
      <c r="NVO49" s="316"/>
      <c r="NVP49" s="316"/>
      <c r="NVQ49" s="316"/>
      <c r="NVR49" s="316"/>
      <c r="NVS49" s="316"/>
      <c r="NVT49" s="316"/>
      <c r="NVU49" s="316"/>
      <c r="NVV49" s="316"/>
      <c r="NVW49" s="316"/>
      <c r="NVX49" s="316"/>
      <c r="NVY49" s="316"/>
      <c r="NVZ49" s="316"/>
      <c r="NWA49" s="316"/>
      <c r="NWB49" s="316"/>
      <c r="NWC49" s="316"/>
      <c r="NWD49" s="316"/>
      <c r="NWE49" s="316"/>
      <c r="NWF49" s="316"/>
      <c r="NWG49" s="316"/>
      <c r="NWH49" s="316"/>
      <c r="NWI49" s="316"/>
      <c r="NWJ49" s="316"/>
      <c r="NWK49" s="316"/>
      <c r="NWL49" s="316"/>
      <c r="NWM49" s="316"/>
      <c r="NWN49" s="316"/>
      <c r="NWO49" s="316"/>
      <c r="NWP49" s="316"/>
      <c r="NWQ49" s="316"/>
      <c r="NWR49" s="316"/>
      <c r="NWS49" s="316"/>
      <c r="NWT49" s="316"/>
      <c r="NWU49" s="316"/>
      <c r="NWV49" s="316"/>
      <c r="NWW49" s="316"/>
      <c r="NWX49" s="316"/>
      <c r="NWY49" s="316"/>
      <c r="NWZ49" s="316"/>
      <c r="NXA49" s="316"/>
      <c r="NXB49" s="316"/>
      <c r="NXC49" s="316"/>
      <c r="NXD49" s="316"/>
      <c r="NXE49" s="316"/>
      <c r="NXF49" s="316"/>
      <c r="NXG49" s="316"/>
      <c r="NXH49" s="316"/>
      <c r="NXI49" s="316"/>
      <c r="NXJ49" s="316"/>
      <c r="NXK49" s="316"/>
      <c r="NXL49" s="316"/>
      <c r="NXM49" s="316"/>
      <c r="NXN49" s="316"/>
      <c r="NXO49" s="316"/>
      <c r="NXP49" s="316"/>
      <c r="NXQ49" s="316"/>
      <c r="NXR49" s="316"/>
      <c r="NXS49" s="316"/>
      <c r="NXT49" s="316"/>
      <c r="NXU49" s="316"/>
      <c r="NXV49" s="316"/>
      <c r="NXW49" s="316"/>
      <c r="NXX49" s="316"/>
      <c r="NXY49" s="316"/>
      <c r="NXZ49" s="316"/>
      <c r="NYA49" s="316"/>
      <c r="NYB49" s="316"/>
      <c r="NYC49" s="316"/>
      <c r="NYD49" s="316"/>
      <c r="NYE49" s="316"/>
      <c r="NYF49" s="316"/>
      <c r="NYG49" s="316"/>
      <c r="NYH49" s="316"/>
      <c r="NYI49" s="316"/>
      <c r="NYJ49" s="316"/>
      <c r="NYK49" s="316"/>
      <c r="NYL49" s="316"/>
      <c r="NYM49" s="316"/>
      <c r="NYN49" s="316"/>
      <c r="NYO49" s="316"/>
      <c r="NYP49" s="316"/>
      <c r="NYQ49" s="316"/>
      <c r="NYR49" s="316"/>
      <c r="NYS49" s="316"/>
      <c r="NYT49" s="316"/>
      <c r="NYU49" s="316"/>
      <c r="NYV49" s="316"/>
      <c r="NYW49" s="316"/>
      <c r="NYX49" s="316"/>
      <c r="NYY49" s="316"/>
      <c r="NYZ49" s="316"/>
      <c r="NZA49" s="316"/>
      <c r="NZB49" s="316"/>
      <c r="NZC49" s="316"/>
      <c r="NZD49" s="316"/>
      <c r="NZE49" s="316"/>
      <c r="NZF49" s="316"/>
      <c r="NZG49" s="316"/>
      <c r="NZH49" s="316"/>
      <c r="NZI49" s="316"/>
      <c r="NZJ49" s="316"/>
      <c r="NZK49" s="316"/>
      <c r="NZL49" s="316"/>
      <c r="NZM49" s="316"/>
      <c r="NZN49" s="316"/>
      <c r="NZO49" s="316"/>
      <c r="NZP49" s="316"/>
      <c r="NZQ49" s="316"/>
      <c r="NZR49" s="316"/>
      <c r="NZS49" s="316"/>
      <c r="NZT49" s="316"/>
      <c r="NZU49" s="316"/>
      <c r="NZV49" s="316"/>
      <c r="NZW49" s="316"/>
      <c r="NZX49" s="316"/>
      <c r="NZY49" s="316"/>
      <c r="NZZ49" s="316"/>
      <c r="OAA49" s="316"/>
      <c r="OAB49" s="316"/>
      <c r="OAC49" s="316"/>
      <c r="OAD49" s="316"/>
      <c r="OAE49" s="316"/>
      <c r="OAF49" s="316"/>
      <c r="OAG49" s="316"/>
      <c r="OAH49" s="316"/>
      <c r="OAI49" s="316"/>
      <c r="OAJ49" s="316"/>
      <c r="OAK49" s="316"/>
      <c r="OAL49" s="316"/>
      <c r="OAM49" s="316"/>
      <c r="OAN49" s="316"/>
      <c r="OAO49" s="316"/>
      <c r="OAP49" s="316"/>
      <c r="OAQ49" s="316"/>
      <c r="OAR49" s="316"/>
      <c r="OAS49" s="316"/>
      <c r="OAT49" s="316"/>
      <c r="OAU49" s="316"/>
      <c r="OAV49" s="316"/>
      <c r="OAW49" s="316"/>
      <c r="OAX49" s="316"/>
      <c r="OAY49" s="316"/>
      <c r="OAZ49" s="316"/>
      <c r="OBA49" s="316"/>
      <c r="OBB49" s="316"/>
      <c r="OBC49" s="316"/>
      <c r="OBD49" s="316"/>
      <c r="OBE49" s="316"/>
      <c r="OBF49" s="316"/>
      <c r="OBG49" s="316"/>
      <c r="OBH49" s="316"/>
      <c r="OBI49" s="316"/>
      <c r="OBJ49" s="316"/>
      <c r="OBK49" s="316"/>
      <c r="OBL49" s="316"/>
      <c r="OBM49" s="316"/>
      <c r="OBN49" s="316"/>
      <c r="OBO49" s="316"/>
      <c r="OBP49" s="316"/>
      <c r="OBQ49" s="316"/>
      <c r="OBR49" s="316"/>
      <c r="OBS49" s="316"/>
      <c r="OBT49" s="316"/>
      <c r="OBU49" s="316"/>
      <c r="OBV49" s="316"/>
      <c r="OBW49" s="316"/>
      <c r="OBX49" s="316"/>
      <c r="OBY49" s="316"/>
      <c r="OBZ49" s="316"/>
      <c r="OCA49" s="316"/>
      <c r="OCB49" s="316"/>
      <c r="OCC49" s="316"/>
      <c r="OCD49" s="316"/>
      <c r="OCE49" s="316"/>
      <c r="OCF49" s="316"/>
      <c r="OCG49" s="316"/>
      <c r="OCH49" s="316"/>
      <c r="OCI49" s="316"/>
      <c r="OCJ49" s="316"/>
      <c r="OCK49" s="316"/>
      <c r="OCL49" s="316"/>
      <c r="OCM49" s="316"/>
      <c r="OCN49" s="316"/>
      <c r="OCO49" s="316"/>
      <c r="OCP49" s="316"/>
      <c r="OCQ49" s="316"/>
      <c r="OCR49" s="316"/>
      <c r="OCS49" s="316"/>
      <c r="OCT49" s="316"/>
      <c r="OCU49" s="316"/>
      <c r="OCV49" s="316"/>
      <c r="OCW49" s="316"/>
      <c r="OCX49" s="316"/>
      <c r="OCY49" s="316"/>
      <c r="OCZ49" s="316"/>
      <c r="ODA49" s="316"/>
      <c r="ODB49" s="316"/>
      <c r="ODC49" s="316"/>
      <c r="ODD49" s="316"/>
      <c r="ODE49" s="316"/>
      <c r="ODF49" s="316"/>
      <c r="ODG49" s="316"/>
      <c r="ODH49" s="316"/>
      <c r="ODI49" s="316"/>
      <c r="ODJ49" s="316"/>
      <c r="ODK49" s="316"/>
      <c r="ODL49" s="316"/>
      <c r="ODM49" s="316"/>
      <c r="ODN49" s="316"/>
      <c r="ODO49" s="316"/>
      <c r="ODP49" s="316"/>
      <c r="ODQ49" s="316"/>
      <c r="ODR49" s="316"/>
      <c r="ODS49" s="316"/>
      <c r="ODT49" s="316"/>
      <c r="ODU49" s="316"/>
      <c r="ODV49" s="316"/>
      <c r="ODW49" s="316"/>
      <c r="ODX49" s="316"/>
      <c r="ODY49" s="316"/>
      <c r="ODZ49" s="316"/>
      <c r="OEA49" s="316"/>
      <c r="OEB49" s="316"/>
      <c r="OEC49" s="316"/>
      <c r="OED49" s="316"/>
      <c r="OEE49" s="316"/>
      <c r="OEF49" s="316"/>
      <c r="OEG49" s="316"/>
      <c r="OEH49" s="316"/>
      <c r="OEI49" s="316"/>
      <c r="OEJ49" s="316"/>
      <c r="OEK49" s="316"/>
      <c r="OEL49" s="316"/>
      <c r="OEM49" s="316"/>
      <c r="OEN49" s="316"/>
      <c r="OEO49" s="316"/>
      <c r="OEP49" s="316"/>
      <c r="OEQ49" s="316"/>
      <c r="OER49" s="316"/>
      <c r="OES49" s="316"/>
      <c r="OET49" s="316"/>
      <c r="OEU49" s="316"/>
      <c r="OEV49" s="316"/>
      <c r="OEW49" s="316"/>
      <c r="OEX49" s="316"/>
      <c r="OEY49" s="316"/>
      <c r="OEZ49" s="316"/>
      <c r="OFA49" s="316"/>
      <c r="OFB49" s="316"/>
      <c r="OFC49" s="316"/>
      <c r="OFD49" s="316"/>
      <c r="OFE49" s="316"/>
      <c r="OFF49" s="316"/>
      <c r="OFG49" s="316"/>
      <c r="OFH49" s="316"/>
      <c r="OFI49" s="316"/>
      <c r="OFJ49" s="316"/>
      <c r="OFK49" s="316"/>
      <c r="OFL49" s="316"/>
      <c r="OFM49" s="316"/>
      <c r="OFN49" s="316"/>
      <c r="OFO49" s="316"/>
      <c r="OFP49" s="316"/>
      <c r="OFQ49" s="316"/>
      <c r="OFR49" s="316"/>
      <c r="OFS49" s="316"/>
      <c r="OFT49" s="316"/>
      <c r="OFU49" s="316"/>
      <c r="OFV49" s="316"/>
      <c r="OFW49" s="316"/>
      <c r="OFX49" s="316"/>
      <c r="OFY49" s="316"/>
      <c r="OFZ49" s="316"/>
      <c r="OGA49" s="316"/>
      <c r="OGB49" s="316"/>
      <c r="OGC49" s="316"/>
      <c r="OGD49" s="316"/>
      <c r="OGE49" s="316"/>
      <c r="OGF49" s="316"/>
      <c r="OGG49" s="316"/>
      <c r="OGH49" s="316"/>
      <c r="OGI49" s="316"/>
      <c r="OGJ49" s="316"/>
      <c r="OGK49" s="316"/>
      <c r="OGL49" s="316"/>
      <c r="OGM49" s="316"/>
      <c r="OGN49" s="316"/>
      <c r="OGO49" s="316"/>
      <c r="OGP49" s="316"/>
      <c r="OGQ49" s="316"/>
      <c r="OGR49" s="316"/>
      <c r="OGS49" s="316"/>
      <c r="OGT49" s="316"/>
      <c r="OGU49" s="316"/>
      <c r="OGV49" s="316"/>
      <c r="OGW49" s="316"/>
      <c r="OGX49" s="316"/>
      <c r="OGY49" s="316"/>
      <c r="OGZ49" s="316"/>
      <c r="OHA49" s="316"/>
      <c r="OHB49" s="316"/>
      <c r="OHC49" s="316"/>
      <c r="OHD49" s="316"/>
      <c r="OHE49" s="316"/>
      <c r="OHF49" s="316"/>
      <c r="OHG49" s="316"/>
      <c r="OHH49" s="316"/>
      <c r="OHI49" s="316"/>
      <c r="OHJ49" s="316"/>
      <c r="OHK49" s="316"/>
      <c r="OHL49" s="316"/>
      <c r="OHM49" s="316"/>
      <c r="OHN49" s="316"/>
      <c r="OHO49" s="316"/>
      <c r="OHP49" s="316"/>
      <c r="OHQ49" s="316"/>
      <c r="OHR49" s="316"/>
      <c r="OHS49" s="316"/>
      <c r="OHT49" s="316"/>
      <c r="OHU49" s="316"/>
      <c r="OHV49" s="316"/>
      <c r="OHW49" s="316"/>
      <c r="OHX49" s="316"/>
      <c r="OHY49" s="316"/>
      <c r="OHZ49" s="316"/>
      <c r="OIA49" s="316"/>
      <c r="OIB49" s="316"/>
      <c r="OIC49" s="316"/>
      <c r="OID49" s="316"/>
      <c r="OIE49" s="316"/>
      <c r="OIF49" s="316"/>
      <c r="OIG49" s="316"/>
      <c r="OIH49" s="316"/>
      <c r="OII49" s="316"/>
      <c r="OIJ49" s="316"/>
      <c r="OIK49" s="316"/>
      <c r="OIL49" s="316"/>
      <c r="OIM49" s="316"/>
      <c r="OIN49" s="316"/>
      <c r="OIO49" s="316"/>
      <c r="OIP49" s="316"/>
      <c r="OIQ49" s="316"/>
      <c r="OIR49" s="316"/>
      <c r="OIS49" s="316"/>
      <c r="OIT49" s="316"/>
      <c r="OIU49" s="316"/>
      <c r="OIV49" s="316"/>
      <c r="OIW49" s="316"/>
      <c r="OIX49" s="316"/>
      <c r="OIY49" s="316"/>
      <c r="OIZ49" s="316"/>
      <c r="OJA49" s="316"/>
      <c r="OJB49" s="316"/>
      <c r="OJC49" s="316"/>
      <c r="OJD49" s="316"/>
      <c r="OJE49" s="316"/>
      <c r="OJF49" s="316"/>
      <c r="OJG49" s="316"/>
      <c r="OJH49" s="316"/>
      <c r="OJI49" s="316"/>
      <c r="OJJ49" s="316"/>
      <c r="OJK49" s="316"/>
      <c r="OJL49" s="316"/>
      <c r="OJM49" s="316"/>
      <c r="OJN49" s="316"/>
      <c r="OJO49" s="316"/>
      <c r="OJP49" s="316"/>
      <c r="OJQ49" s="316"/>
      <c r="OJR49" s="316"/>
      <c r="OJS49" s="316"/>
      <c r="OJT49" s="316"/>
      <c r="OJU49" s="316"/>
      <c r="OJV49" s="316"/>
      <c r="OJW49" s="316"/>
      <c r="OJX49" s="316"/>
      <c r="OJY49" s="316"/>
      <c r="OJZ49" s="316"/>
      <c r="OKA49" s="316"/>
      <c r="OKB49" s="316"/>
      <c r="OKC49" s="316"/>
      <c r="OKD49" s="316"/>
      <c r="OKE49" s="316"/>
      <c r="OKF49" s="316"/>
      <c r="OKG49" s="316"/>
      <c r="OKH49" s="316"/>
      <c r="OKI49" s="316"/>
      <c r="OKJ49" s="316"/>
      <c r="OKK49" s="316"/>
      <c r="OKL49" s="316"/>
      <c r="OKM49" s="316"/>
      <c r="OKN49" s="316"/>
      <c r="OKO49" s="316"/>
      <c r="OKP49" s="316"/>
      <c r="OKQ49" s="316"/>
      <c r="OKR49" s="316"/>
      <c r="OKS49" s="316"/>
      <c r="OKT49" s="316"/>
      <c r="OKU49" s="316"/>
      <c r="OKV49" s="316"/>
      <c r="OKW49" s="316"/>
      <c r="OKX49" s="316"/>
      <c r="OKY49" s="316"/>
      <c r="OKZ49" s="316"/>
      <c r="OLA49" s="316"/>
      <c r="OLB49" s="316"/>
      <c r="OLC49" s="316"/>
      <c r="OLD49" s="316"/>
      <c r="OLE49" s="316"/>
      <c r="OLF49" s="316"/>
      <c r="OLG49" s="316"/>
      <c r="OLH49" s="316"/>
      <c r="OLI49" s="316"/>
      <c r="OLJ49" s="316"/>
      <c r="OLK49" s="316"/>
      <c r="OLL49" s="316"/>
      <c r="OLM49" s="316"/>
      <c r="OLN49" s="316"/>
      <c r="OLO49" s="316"/>
      <c r="OLP49" s="316"/>
      <c r="OLQ49" s="316"/>
      <c r="OLR49" s="316"/>
      <c r="OLS49" s="316"/>
      <c r="OLT49" s="316"/>
      <c r="OLU49" s="316"/>
      <c r="OLV49" s="316"/>
      <c r="OLW49" s="316"/>
      <c r="OLX49" s="316"/>
      <c r="OLY49" s="316"/>
      <c r="OLZ49" s="316"/>
      <c r="OMA49" s="316"/>
      <c r="OMB49" s="316"/>
      <c r="OMC49" s="316"/>
      <c r="OMD49" s="316"/>
      <c r="OME49" s="316"/>
      <c r="OMF49" s="316"/>
      <c r="OMG49" s="316"/>
      <c r="OMH49" s="316"/>
      <c r="OMI49" s="316"/>
      <c r="OMJ49" s="316"/>
      <c r="OMK49" s="316"/>
      <c r="OML49" s="316"/>
      <c r="OMM49" s="316"/>
      <c r="OMN49" s="316"/>
      <c r="OMO49" s="316"/>
      <c r="OMP49" s="316"/>
      <c r="OMQ49" s="316"/>
      <c r="OMR49" s="316"/>
      <c r="OMS49" s="316"/>
      <c r="OMT49" s="316"/>
      <c r="OMU49" s="316"/>
      <c r="OMV49" s="316"/>
      <c r="OMW49" s="316"/>
      <c r="OMX49" s="316"/>
      <c r="OMY49" s="316"/>
      <c r="OMZ49" s="316"/>
      <c r="ONA49" s="316"/>
      <c r="ONB49" s="316"/>
      <c r="ONC49" s="316"/>
      <c r="OND49" s="316"/>
      <c r="ONE49" s="316"/>
      <c r="ONF49" s="316"/>
      <c r="ONG49" s="316"/>
      <c r="ONH49" s="316"/>
      <c r="ONI49" s="316"/>
      <c r="ONJ49" s="316"/>
      <c r="ONK49" s="316"/>
      <c r="ONL49" s="316"/>
      <c r="ONM49" s="316"/>
      <c r="ONN49" s="316"/>
      <c r="ONO49" s="316"/>
      <c r="ONP49" s="316"/>
      <c r="ONQ49" s="316"/>
      <c r="ONR49" s="316"/>
      <c r="ONS49" s="316"/>
      <c r="ONT49" s="316"/>
      <c r="ONU49" s="316"/>
      <c r="ONV49" s="316"/>
      <c r="ONW49" s="316"/>
      <c r="ONX49" s="316"/>
      <c r="ONY49" s="316"/>
      <c r="ONZ49" s="316"/>
      <c r="OOA49" s="316"/>
      <c r="OOB49" s="316"/>
      <c r="OOC49" s="316"/>
      <c r="OOD49" s="316"/>
      <c r="OOE49" s="316"/>
      <c r="OOF49" s="316"/>
      <c r="OOG49" s="316"/>
      <c r="OOH49" s="316"/>
      <c r="OOI49" s="316"/>
      <c r="OOJ49" s="316"/>
      <c r="OOK49" s="316"/>
      <c r="OOL49" s="316"/>
      <c r="OOM49" s="316"/>
      <c r="OON49" s="316"/>
      <c r="OOO49" s="316"/>
      <c r="OOP49" s="316"/>
      <c r="OOQ49" s="316"/>
      <c r="OOR49" s="316"/>
      <c r="OOS49" s="316"/>
      <c r="OOT49" s="316"/>
      <c r="OOU49" s="316"/>
      <c r="OOV49" s="316"/>
      <c r="OOW49" s="316"/>
      <c r="OOX49" s="316"/>
      <c r="OOY49" s="316"/>
      <c r="OOZ49" s="316"/>
      <c r="OPA49" s="316"/>
      <c r="OPB49" s="316"/>
      <c r="OPC49" s="316"/>
      <c r="OPD49" s="316"/>
      <c r="OPE49" s="316"/>
      <c r="OPF49" s="316"/>
      <c r="OPG49" s="316"/>
      <c r="OPH49" s="316"/>
      <c r="OPI49" s="316"/>
      <c r="OPJ49" s="316"/>
      <c r="OPK49" s="316"/>
      <c r="OPL49" s="316"/>
      <c r="OPM49" s="316"/>
      <c r="OPN49" s="316"/>
      <c r="OPO49" s="316"/>
      <c r="OPP49" s="316"/>
      <c r="OPQ49" s="316"/>
      <c r="OPR49" s="316"/>
      <c r="OPS49" s="316"/>
      <c r="OPT49" s="316"/>
      <c r="OPU49" s="316"/>
      <c r="OPV49" s="316"/>
      <c r="OPW49" s="316"/>
      <c r="OPX49" s="316"/>
      <c r="OPY49" s="316"/>
      <c r="OPZ49" s="316"/>
      <c r="OQA49" s="316"/>
      <c r="OQB49" s="316"/>
      <c r="OQC49" s="316"/>
      <c r="OQD49" s="316"/>
      <c r="OQE49" s="316"/>
      <c r="OQF49" s="316"/>
      <c r="OQG49" s="316"/>
      <c r="OQH49" s="316"/>
      <c r="OQI49" s="316"/>
      <c r="OQJ49" s="316"/>
      <c r="OQK49" s="316"/>
      <c r="OQL49" s="316"/>
      <c r="OQM49" s="316"/>
      <c r="OQN49" s="316"/>
      <c r="OQO49" s="316"/>
      <c r="OQP49" s="316"/>
      <c r="OQQ49" s="316"/>
      <c r="OQR49" s="316"/>
      <c r="OQS49" s="316"/>
      <c r="OQT49" s="316"/>
      <c r="OQU49" s="316"/>
      <c r="OQV49" s="316"/>
      <c r="OQW49" s="316"/>
      <c r="OQX49" s="316"/>
      <c r="OQY49" s="316"/>
      <c r="OQZ49" s="316"/>
      <c r="ORA49" s="316"/>
      <c r="ORB49" s="316"/>
      <c r="ORC49" s="316"/>
      <c r="ORD49" s="316"/>
      <c r="ORE49" s="316"/>
      <c r="ORF49" s="316"/>
      <c r="ORG49" s="316"/>
      <c r="ORH49" s="316"/>
      <c r="ORI49" s="316"/>
      <c r="ORJ49" s="316"/>
      <c r="ORK49" s="316"/>
      <c r="ORL49" s="316"/>
      <c r="ORM49" s="316"/>
      <c r="ORN49" s="316"/>
      <c r="ORO49" s="316"/>
      <c r="ORP49" s="316"/>
      <c r="ORQ49" s="316"/>
      <c r="ORR49" s="316"/>
      <c r="ORS49" s="316"/>
      <c r="ORT49" s="316"/>
      <c r="ORU49" s="316"/>
      <c r="ORV49" s="316"/>
      <c r="ORW49" s="316"/>
      <c r="ORX49" s="316"/>
      <c r="ORY49" s="316"/>
      <c r="ORZ49" s="316"/>
      <c r="OSA49" s="316"/>
      <c r="OSB49" s="316"/>
      <c r="OSC49" s="316"/>
      <c r="OSD49" s="316"/>
      <c r="OSE49" s="316"/>
      <c r="OSF49" s="316"/>
      <c r="OSG49" s="316"/>
      <c r="OSH49" s="316"/>
      <c r="OSI49" s="316"/>
      <c r="OSJ49" s="316"/>
      <c r="OSK49" s="316"/>
      <c r="OSL49" s="316"/>
      <c r="OSM49" s="316"/>
      <c r="OSN49" s="316"/>
      <c r="OSO49" s="316"/>
      <c r="OSP49" s="316"/>
      <c r="OSQ49" s="316"/>
      <c r="OSR49" s="316"/>
      <c r="OSS49" s="316"/>
      <c r="OST49" s="316"/>
      <c r="OSU49" s="316"/>
      <c r="OSV49" s="316"/>
      <c r="OSW49" s="316"/>
      <c r="OSX49" s="316"/>
      <c r="OSY49" s="316"/>
      <c r="OSZ49" s="316"/>
      <c r="OTA49" s="316"/>
      <c r="OTB49" s="316"/>
      <c r="OTC49" s="316"/>
      <c r="OTD49" s="316"/>
      <c r="OTE49" s="316"/>
      <c r="OTF49" s="316"/>
      <c r="OTG49" s="316"/>
      <c r="OTH49" s="316"/>
      <c r="OTI49" s="316"/>
      <c r="OTJ49" s="316"/>
      <c r="OTK49" s="316"/>
      <c r="OTL49" s="316"/>
      <c r="OTM49" s="316"/>
      <c r="OTN49" s="316"/>
      <c r="OTO49" s="316"/>
      <c r="OTP49" s="316"/>
      <c r="OTQ49" s="316"/>
      <c r="OTR49" s="316"/>
      <c r="OTS49" s="316"/>
      <c r="OTT49" s="316"/>
      <c r="OTU49" s="316"/>
      <c r="OTV49" s="316"/>
      <c r="OTW49" s="316"/>
      <c r="OTX49" s="316"/>
      <c r="OTY49" s="316"/>
      <c r="OTZ49" s="316"/>
      <c r="OUA49" s="316"/>
      <c r="OUB49" s="316"/>
      <c r="OUC49" s="316"/>
      <c r="OUD49" s="316"/>
      <c r="OUE49" s="316"/>
      <c r="OUF49" s="316"/>
      <c r="OUG49" s="316"/>
      <c r="OUH49" s="316"/>
      <c r="OUI49" s="316"/>
      <c r="OUJ49" s="316"/>
      <c r="OUK49" s="316"/>
      <c r="OUL49" s="316"/>
      <c r="OUM49" s="316"/>
      <c r="OUN49" s="316"/>
      <c r="OUO49" s="316"/>
      <c r="OUP49" s="316"/>
      <c r="OUQ49" s="316"/>
      <c r="OUR49" s="316"/>
      <c r="OUS49" s="316"/>
      <c r="OUT49" s="316"/>
      <c r="OUU49" s="316"/>
      <c r="OUV49" s="316"/>
      <c r="OUW49" s="316"/>
      <c r="OUX49" s="316"/>
      <c r="OUY49" s="316"/>
      <c r="OUZ49" s="316"/>
      <c r="OVA49" s="316"/>
      <c r="OVB49" s="316"/>
      <c r="OVC49" s="316"/>
      <c r="OVD49" s="316"/>
      <c r="OVE49" s="316"/>
      <c r="OVF49" s="316"/>
      <c r="OVG49" s="316"/>
      <c r="OVH49" s="316"/>
      <c r="OVI49" s="316"/>
      <c r="OVJ49" s="316"/>
      <c r="OVK49" s="316"/>
      <c r="OVL49" s="316"/>
      <c r="OVM49" s="316"/>
      <c r="OVN49" s="316"/>
      <c r="OVO49" s="316"/>
      <c r="OVP49" s="316"/>
      <c r="OVQ49" s="316"/>
      <c r="OVR49" s="316"/>
      <c r="OVS49" s="316"/>
      <c r="OVT49" s="316"/>
      <c r="OVU49" s="316"/>
      <c r="OVV49" s="316"/>
      <c r="OVW49" s="316"/>
      <c r="OVX49" s="316"/>
      <c r="OVY49" s="316"/>
      <c r="OVZ49" s="316"/>
      <c r="OWA49" s="316"/>
      <c r="OWB49" s="316"/>
      <c r="OWC49" s="316"/>
      <c r="OWD49" s="316"/>
      <c r="OWE49" s="316"/>
      <c r="OWF49" s="316"/>
      <c r="OWG49" s="316"/>
      <c r="OWH49" s="316"/>
      <c r="OWI49" s="316"/>
      <c r="OWJ49" s="316"/>
      <c r="OWK49" s="316"/>
      <c r="OWL49" s="316"/>
      <c r="OWM49" s="316"/>
      <c r="OWN49" s="316"/>
      <c r="OWO49" s="316"/>
      <c r="OWP49" s="316"/>
      <c r="OWQ49" s="316"/>
      <c r="OWR49" s="316"/>
      <c r="OWS49" s="316"/>
      <c r="OWT49" s="316"/>
      <c r="OWU49" s="316"/>
      <c r="OWV49" s="316"/>
      <c r="OWW49" s="316"/>
      <c r="OWX49" s="316"/>
      <c r="OWY49" s="316"/>
      <c r="OWZ49" s="316"/>
      <c r="OXA49" s="316"/>
      <c r="OXB49" s="316"/>
      <c r="OXC49" s="316"/>
      <c r="OXD49" s="316"/>
      <c r="OXE49" s="316"/>
      <c r="OXF49" s="316"/>
      <c r="OXG49" s="316"/>
      <c r="OXH49" s="316"/>
      <c r="OXI49" s="316"/>
      <c r="OXJ49" s="316"/>
      <c r="OXK49" s="316"/>
      <c r="OXL49" s="316"/>
      <c r="OXM49" s="316"/>
      <c r="OXN49" s="316"/>
      <c r="OXO49" s="316"/>
      <c r="OXP49" s="316"/>
      <c r="OXQ49" s="316"/>
      <c r="OXR49" s="316"/>
      <c r="OXS49" s="316"/>
      <c r="OXT49" s="316"/>
      <c r="OXU49" s="316"/>
      <c r="OXV49" s="316"/>
      <c r="OXW49" s="316"/>
      <c r="OXX49" s="316"/>
      <c r="OXY49" s="316"/>
      <c r="OXZ49" s="316"/>
      <c r="OYA49" s="316"/>
      <c r="OYB49" s="316"/>
      <c r="OYC49" s="316"/>
      <c r="OYD49" s="316"/>
      <c r="OYE49" s="316"/>
      <c r="OYF49" s="316"/>
      <c r="OYG49" s="316"/>
      <c r="OYH49" s="316"/>
      <c r="OYI49" s="316"/>
      <c r="OYJ49" s="316"/>
      <c r="OYK49" s="316"/>
      <c r="OYL49" s="316"/>
      <c r="OYM49" s="316"/>
      <c r="OYN49" s="316"/>
      <c r="OYO49" s="316"/>
      <c r="OYP49" s="316"/>
      <c r="OYQ49" s="316"/>
      <c r="OYR49" s="316"/>
      <c r="OYS49" s="316"/>
      <c r="OYT49" s="316"/>
      <c r="OYU49" s="316"/>
      <c r="OYV49" s="316"/>
      <c r="OYW49" s="316"/>
      <c r="OYX49" s="316"/>
      <c r="OYY49" s="316"/>
      <c r="OYZ49" s="316"/>
      <c r="OZA49" s="316"/>
      <c r="OZB49" s="316"/>
      <c r="OZC49" s="316"/>
      <c r="OZD49" s="316"/>
      <c r="OZE49" s="316"/>
      <c r="OZF49" s="316"/>
      <c r="OZG49" s="316"/>
      <c r="OZH49" s="316"/>
      <c r="OZI49" s="316"/>
      <c r="OZJ49" s="316"/>
      <c r="OZK49" s="316"/>
      <c r="OZL49" s="316"/>
      <c r="OZM49" s="316"/>
      <c r="OZN49" s="316"/>
      <c r="OZO49" s="316"/>
      <c r="OZP49" s="316"/>
      <c r="OZQ49" s="316"/>
      <c r="OZR49" s="316"/>
      <c r="OZS49" s="316"/>
      <c r="OZT49" s="316"/>
      <c r="OZU49" s="316"/>
      <c r="OZV49" s="316"/>
      <c r="OZW49" s="316"/>
      <c r="OZX49" s="316"/>
      <c r="OZY49" s="316"/>
      <c r="OZZ49" s="316"/>
      <c r="PAA49" s="316"/>
      <c r="PAB49" s="316"/>
      <c r="PAC49" s="316"/>
      <c r="PAD49" s="316"/>
      <c r="PAE49" s="316"/>
      <c r="PAF49" s="316"/>
      <c r="PAG49" s="316"/>
      <c r="PAH49" s="316"/>
      <c r="PAI49" s="316"/>
      <c r="PAJ49" s="316"/>
      <c r="PAK49" s="316"/>
      <c r="PAL49" s="316"/>
      <c r="PAM49" s="316"/>
      <c r="PAN49" s="316"/>
      <c r="PAO49" s="316"/>
      <c r="PAP49" s="316"/>
      <c r="PAQ49" s="316"/>
      <c r="PAR49" s="316"/>
      <c r="PAS49" s="316"/>
      <c r="PAT49" s="316"/>
      <c r="PAU49" s="316"/>
      <c r="PAV49" s="316"/>
      <c r="PAW49" s="316"/>
      <c r="PAX49" s="316"/>
      <c r="PAY49" s="316"/>
      <c r="PAZ49" s="316"/>
      <c r="PBA49" s="316"/>
      <c r="PBB49" s="316"/>
      <c r="PBC49" s="316"/>
      <c r="PBD49" s="316"/>
      <c r="PBE49" s="316"/>
      <c r="PBF49" s="316"/>
      <c r="PBG49" s="316"/>
      <c r="PBH49" s="316"/>
      <c r="PBI49" s="316"/>
      <c r="PBJ49" s="316"/>
      <c r="PBK49" s="316"/>
      <c r="PBL49" s="316"/>
      <c r="PBM49" s="316"/>
      <c r="PBN49" s="316"/>
      <c r="PBO49" s="316"/>
      <c r="PBP49" s="316"/>
      <c r="PBQ49" s="316"/>
      <c r="PBR49" s="316"/>
      <c r="PBS49" s="316"/>
      <c r="PBT49" s="316"/>
      <c r="PBU49" s="316"/>
      <c r="PBV49" s="316"/>
      <c r="PBW49" s="316"/>
      <c r="PBX49" s="316"/>
      <c r="PBY49" s="316"/>
      <c r="PBZ49" s="316"/>
      <c r="PCA49" s="316"/>
      <c r="PCB49" s="316"/>
      <c r="PCC49" s="316"/>
      <c r="PCD49" s="316"/>
      <c r="PCE49" s="316"/>
      <c r="PCF49" s="316"/>
      <c r="PCG49" s="316"/>
      <c r="PCH49" s="316"/>
      <c r="PCI49" s="316"/>
      <c r="PCJ49" s="316"/>
      <c r="PCK49" s="316"/>
      <c r="PCL49" s="316"/>
      <c r="PCM49" s="316"/>
      <c r="PCN49" s="316"/>
      <c r="PCO49" s="316"/>
      <c r="PCP49" s="316"/>
      <c r="PCQ49" s="316"/>
      <c r="PCR49" s="316"/>
      <c r="PCS49" s="316"/>
      <c r="PCT49" s="316"/>
      <c r="PCU49" s="316"/>
      <c r="PCV49" s="316"/>
      <c r="PCW49" s="316"/>
      <c r="PCX49" s="316"/>
      <c r="PCY49" s="316"/>
      <c r="PCZ49" s="316"/>
      <c r="PDA49" s="316"/>
      <c r="PDB49" s="316"/>
      <c r="PDC49" s="316"/>
      <c r="PDD49" s="316"/>
      <c r="PDE49" s="316"/>
      <c r="PDF49" s="316"/>
      <c r="PDG49" s="316"/>
      <c r="PDH49" s="316"/>
      <c r="PDI49" s="316"/>
      <c r="PDJ49" s="316"/>
      <c r="PDK49" s="316"/>
      <c r="PDL49" s="316"/>
      <c r="PDM49" s="316"/>
      <c r="PDN49" s="316"/>
      <c r="PDO49" s="316"/>
      <c r="PDP49" s="316"/>
      <c r="PDQ49" s="316"/>
      <c r="PDR49" s="316"/>
      <c r="PDS49" s="316"/>
      <c r="PDT49" s="316"/>
      <c r="PDU49" s="316"/>
      <c r="PDV49" s="316"/>
      <c r="PDW49" s="316"/>
      <c r="PDX49" s="316"/>
      <c r="PDY49" s="316"/>
      <c r="PDZ49" s="316"/>
      <c r="PEA49" s="316"/>
      <c r="PEB49" s="316"/>
      <c r="PEC49" s="316"/>
      <c r="PED49" s="316"/>
      <c r="PEE49" s="316"/>
      <c r="PEF49" s="316"/>
      <c r="PEG49" s="316"/>
      <c r="PEH49" s="316"/>
      <c r="PEI49" s="316"/>
      <c r="PEJ49" s="316"/>
      <c r="PEK49" s="316"/>
      <c r="PEL49" s="316"/>
      <c r="PEM49" s="316"/>
      <c r="PEN49" s="316"/>
      <c r="PEO49" s="316"/>
      <c r="PEP49" s="316"/>
      <c r="PEQ49" s="316"/>
      <c r="PER49" s="316"/>
      <c r="PES49" s="316"/>
      <c r="PET49" s="316"/>
      <c r="PEU49" s="316"/>
      <c r="PEV49" s="316"/>
      <c r="PEW49" s="316"/>
      <c r="PEX49" s="316"/>
      <c r="PEY49" s="316"/>
      <c r="PEZ49" s="316"/>
      <c r="PFA49" s="316"/>
      <c r="PFB49" s="316"/>
      <c r="PFC49" s="316"/>
      <c r="PFD49" s="316"/>
      <c r="PFE49" s="316"/>
      <c r="PFF49" s="316"/>
      <c r="PFG49" s="316"/>
      <c r="PFH49" s="316"/>
      <c r="PFI49" s="316"/>
      <c r="PFJ49" s="316"/>
      <c r="PFK49" s="316"/>
      <c r="PFL49" s="316"/>
      <c r="PFM49" s="316"/>
      <c r="PFN49" s="316"/>
      <c r="PFO49" s="316"/>
      <c r="PFP49" s="316"/>
      <c r="PFQ49" s="316"/>
      <c r="PFR49" s="316"/>
      <c r="PFS49" s="316"/>
      <c r="PFT49" s="316"/>
      <c r="PFU49" s="316"/>
      <c r="PFV49" s="316"/>
      <c r="PFW49" s="316"/>
      <c r="PFX49" s="316"/>
      <c r="PFY49" s="316"/>
      <c r="PFZ49" s="316"/>
      <c r="PGA49" s="316"/>
      <c r="PGB49" s="316"/>
      <c r="PGC49" s="316"/>
      <c r="PGD49" s="316"/>
      <c r="PGE49" s="316"/>
      <c r="PGF49" s="316"/>
      <c r="PGG49" s="316"/>
      <c r="PGH49" s="316"/>
      <c r="PGI49" s="316"/>
      <c r="PGJ49" s="316"/>
      <c r="PGK49" s="316"/>
      <c r="PGL49" s="316"/>
      <c r="PGM49" s="316"/>
      <c r="PGN49" s="316"/>
      <c r="PGO49" s="316"/>
      <c r="PGP49" s="316"/>
      <c r="PGQ49" s="316"/>
      <c r="PGR49" s="316"/>
      <c r="PGS49" s="316"/>
      <c r="PGT49" s="316"/>
      <c r="PGU49" s="316"/>
      <c r="PGV49" s="316"/>
      <c r="PGW49" s="316"/>
      <c r="PGX49" s="316"/>
      <c r="PGY49" s="316"/>
      <c r="PGZ49" s="316"/>
      <c r="PHA49" s="316"/>
      <c r="PHB49" s="316"/>
      <c r="PHC49" s="316"/>
      <c r="PHD49" s="316"/>
      <c r="PHE49" s="316"/>
      <c r="PHF49" s="316"/>
      <c r="PHG49" s="316"/>
      <c r="PHH49" s="316"/>
      <c r="PHI49" s="316"/>
      <c r="PHJ49" s="316"/>
      <c r="PHK49" s="316"/>
      <c r="PHL49" s="316"/>
      <c r="PHM49" s="316"/>
      <c r="PHN49" s="316"/>
      <c r="PHO49" s="316"/>
      <c r="PHP49" s="316"/>
      <c r="PHQ49" s="316"/>
      <c r="PHR49" s="316"/>
      <c r="PHS49" s="316"/>
      <c r="PHT49" s="316"/>
      <c r="PHU49" s="316"/>
      <c r="PHV49" s="316"/>
      <c r="PHW49" s="316"/>
      <c r="PHX49" s="316"/>
      <c r="PHY49" s="316"/>
      <c r="PHZ49" s="316"/>
      <c r="PIA49" s="316"/>
      <c r="PIB49" s="316"/>
      <c r="PIC49" s="316"/>
      <c r="PID49" s="316"/>
      <c r="PIE49" s="316"/>
      <c r="PIF49" s="316"/>
      <c r="PIG49" s="316"/>
      <c r="PIH49" s="316"/>
      <c r="PII49" s="316"/>
      <c r="PIJ49" s="316"/>
      <c r="PIK49" s="316"/>
      <c r="PIL49" s="316"/>
      <c r="PIM49" s="316"/>
      <c r="PIN49" s="316"/>
      <c r="PIO49" s="316"/>
      <c r="PIP49" s="316"/>
      <c r="PIQ49" s="316"/>
      <c r="PIR49" s="316"/>
      <c r="PIS49" s="316"/>
      <c r="PIT49" s="316"/>
      <c r="PIU49" s="316"/>
      <c r="PIV49" s="316"/>
      <c r="PIW49" s="316"/>
      <c r="PIX49" s="316"/>
      <c r="PIY49" s="316"/>
      <c r="PIZ49" s="316"/>
      <c r="PJA49" s="316"/>
      <c r="PJB49" s="316"/>
      <c r="PJC49" s="316"/>
      <c r="PJD49" s="316"/>
      <c r="PJE49" s="316"/>
      <c r="PJF49" s="316"/>
      <c r="PJG49" s="316"/>
      <c r="PJH49" s="316"/>
      <c r="PJI49" s="316"/>
      <c r="PJJ49" s="316"/>
      <c r="PJK49" s="316"/>
      <c r="PJL49" s="316"/>
      <c r="PJM49" s="316"/>
      <c r="PJN49" s="316"/>
      <c r="PJO49" s="316"/>
      <c r="PJP49" s="316"/>
      <c r="PJQ49" s="316"/>
      <c r="PJR49" s="316"/>
      <c r="PJS49" s="316"/>
      <c r="PJT49" s="316"/>
      <c r="PJU49" s="316"/>
      <c r="PJV49" s="316"/>
      <c r="PJW49" s="316"/>
      <c r="PJX49" s="316"/>
      <c r="PJY49" s="316"/>
      <c r="PJZ49" s="316"/>
      <c r="PKA49" s="316"/>
      <c r="PKB49" s="316"/>
      <c r="PKC49" s="316"/>
      <c r="PKD49" s="316"/>
      <c r="PKE49" s="316"/>
      <c r="PKF49" s="316"/>
      <c r="PKG49" s="316"/>
      <c r="PKH49" s="316"/>
      <c r="PKI49" s="316"/>
      <c r="PKJ49" s="316"/>
      <c r="PKK49" s="316"/>
      <c r="PKL49" s="316"/>
      <c r="PKM49" s="316"/>
      <c r="PKN49" s="316"/>
      <c r="PKO49" s="316"/>
      <c r="PKP49" s="316"/>
      <c r="PKQ49" s="316"/>
      <c r="PKR49" s="316"/>
      <c r="PKS49" s="316"/>
      <c r="PKT49" s="316"/>
      <c r="PKU49" s="316"/>
      <c r="PKV49" s="316"/>
      <c r="PKW49" s="316"/>
      <c r="PKX49" s="316"/>
      <c r="PKY49" s="316"/>
      <c r="PKZ49" s="316"/>
      <c r="PLA49" s="316"/>
      <c r="PLB49" s="316"/>
      <c r="PLC49" s="316"/>
      <c r="PLD49" s="316"/>
      <c r="PLE49" s="316"/>
      <c r="PLF49" s="316"/>
      <c r="PLG49" s="316"/>
      <c r="PLH49" s="316"/>
      <c r="PLI49" s="316"/>
      <c r="PLJ49" s="316"/>
      <c r="PLK49" s="316"/>
      <c r="PLL49" s="316"/>
      <c r="PLM49" s="316"/>
      <c r="PLN49" s="316"/>
      <c r="PLO49" s="316"/>
      <c r="PLP49" s="316"/>
      <c r="PLQ49" s="316"/>
      <c r="PLR49" s="316"/>
      <c r="PLS49" s="316"/>
      <c r="PLT49" s="316"/>
      <c r="PLU49" s="316"/>
      <c r="PLV49" s="316"/>
      <c r="PLW49" s="316"/>
      <c r="PLX49" s="316"/>
      <c r="PLY49" s="316"/>
      <c r="PLZ49" s="316"/>
      <c r="PMA49" s="316"/>
      <c r="PMB49" s="316"/>
      <c r="PMC49" s="316"/>
      <c r="PMD49" s="316"/>
      <c r="PME49" s="316"/>
      <c r="PMF49" s="316"/>
      <c r="PMG49" s="316"/>
      <c r="PMH49" s="316"/>
      <c r="PMI49" s="316"/>
      <c r="PMJ49" s="316"/>
      <c r="PMK49" s="316"/>
      <c r="PML49" s="316"/>
      <c r="PMM49" s="316"/>
      <c r="PMN49" s="316"/>
      <c r="PMO49" s="316"/>
      <c r="PMP49" s="316"/>
      <c r="PMQ49" s="316"/>
      <c r="PMR49" s="316"/>
      <c r="PMS49" s="316"/>
      <c r="PMT49" s="316"/>
      <c r="PMU49" s="316"/>
      <c r="PMV49" s="316"/>
      <c r="PMW49" s="316"/>
      <c r="PMX49" s="316"/>
      <c r="PMY49" s="316"/>
      <c r="PMZ49" s="316"/>
      <c r="PNA49" s="316"/>
      <c r="PNB49" s="316"/>
      <c r="PNC49" s="316"/>
      <c r="PND49" s="316"/>
      <c r="PNE49" s="316"/>
      <c r="PNF49" s="316"/>
      <c r="PNG49" s="316"/>
      <c r="PNH49" s="316"/>
      <c r="PNI49" s="316"/>
      <c r="PNJ49" s="316"/>
      <c r="PNK49" s="316"/>
      <c r="PNL49" s="316"/>
      <c r="PNM49" s="316"/>
      <c r="PNN49" s="316"/>
      <c r="PNO49" s="316"/>
      <c r="PNP49" s="316"/>
      <c r="PNQ49" s="316"/>
      <c r="PNR49" s="316"/>
      <c r="PNS49" s="316"/>
      <c r="PNT49" s="316"/>
      <c r="PNU49" s="316"/>
      <c r="PNV49" s="316"/>
      <c r="PNW49" s="316"/>
      <c r="PNX49" s="316"/>
      <c r="PNY49" s="316"/>
      <c r="PNZ49" s="316"/>
      <c r="POA49" s="316"/>
      <c r="POB49" s="316"/>
      <c r="POC49" s="316"/>
      <c r="POD49" s="316"/>
      <c r="POE49" s="316"/>
      <c r="POF49" s="316"/>
      <c r="POG49" s="316"/>
      <c r="POH49" s="316"/>
      <c r="POI49" s="316"/>
      <c r="POJ49" s="316"/>
      <c r="POK49" s="316"/>
      <c r="POL49" s="316"/>
      <c r="POM49" s="316"/>
      <c r="PON49" s="316"/>
      <c r="POO49" s="316"/>
      <c r="POP49" s="316"/>
      <c r="POQ49" s="316"/>
      <c r="POR49" s="316"/>
      <c r="POS49" s="316"/>
      <c r="POT49" s="316"/>
      <c r="POU49" s="316"/>
      <c r="POV49" s="316"/>
      <c r="POW49" s="316"/>
      <c r="POX49" s="316"/>
      <c r="POY49" s="316"/>
      <c r="POZ49" s="316"/>
      <c r="PPA49" s="316"/>
      <c r="PPB49" s="316"/>
      <c r="PPC49" s="316"/>
      <c r="PPD49" s="316"/>
      <c r="PPE49" s="316"/>
      <c r="PPF49" s="316"/>
      <c r="PPG49" s="316"/>
      <c r="PPH49" s="316"/>
      <c r="PPI49" s="316"/>
      <c r="PPJ49" s="316"/>
      <c r="PPK49" s="316"/>
      <c r="PPL49" s="316"/>
      <c r="PPM49" s="316"/>
      <c r="PPN49" s="316"/>
      <c r="PPO49" s="316"/>
      <c r="PPP49" s="316"/>
      <c r="PPQ49" s="316"/>
      <c r="PPR49" s="316"/>
      <c r="PPS49" s="316"/>
      <c r="PPT49" s="316"/>
      <c r="PPU49" s="316"/>
      <c r="PPV49" s="316"/>
      <c r="PPW49" s="316"/>
      <c r="PPX49" s="316"/>
      <c r="PPY49" s="316"/>
      <c r="PPZ49" s="316"/>
      <c r="PQA49" s="316"/>
      <c r="PQB49" s="316"/>
      <c r="PQC49" s="316"/>
      <c r="PQD49" s="316"/>
      <c r="PQE49" s="316"/>
      <c r="PQF49" s="316"/>
      <c r="PQG49" s="316"/>
      <c r="PQH49" s="316"/>
      <c r="PQI49" s="316"/>
      <c r="PQJ49" s="316"/>
      <c r="PQK49" s="316"/>
      <c r="PQL49" s="316"/>
      <c r="PQM49" s="316"/>
      <c r="PQN49" s="316"/>
      <c r="PQO49" s="316"/>
      <c r="PQP49" s="316"/>
      <c r="PQQ49" s="316"/>
      <c r="PQR49" s="316"/>
      <c r="PQS49" s="316"/>
      <c r="PQT49" s="316"/>
      <c r="PQU49" s="316"/>
      <c r="PQV49" s="316"/>
      <c r="PQW49" s="316"/>
      <c r="PQX49" s="316"/>
      <c r="PQY49" s="316"/>
      <c r="PQZ49" s="316"/>
      <c r="PRA49" s="316"/>
      <c r="PRB49" s="316"/>
      <c r="PRC49" s="316"/>
      <c r="PRD49" s="316"/>
      <c r="PRE49" s="316"/>
      <c r="PRF49" s="316"/>
      <c r="PRG49" s="316"/>
      <c r="PRH49" s="316"/>
      <c r="PRI49" s="316"/>
      <c r="PRJ49" s="316"/>
      <c r="PRK49" s="316"/>
      <c r="PRL49" s="316"/>
      <c r="PRM49" s="316"/>
      <c r="PRN49" s="316"/>
      <c r="PRO49" s="316"/>
      <c r="PRP49" s="316"/>
      <c r="PRQ49" s="316"/>
      <c r="PRR49" s="316"/>
      <c r="PRS49" s="316"/>
      <c r="PRT49" s="316"/>
      <c r="PRU49" s="316"/>
      <c r="PRV49" s="316"/>
      <c r="PRW49" s="316"/>
      <c r="PRX49" s="316"/>
      <c r="PRY49" s="316"/>
      <c r="PRZ49" s="316"/>
      <c r="PSA49" s="316"/>
      <c r="PSB49" s="316"/>
      <c r="PSC49" s="316"/>
      <c r="PSD49" s="316"/>
      <c r="PSE49" s="316"/>
      <c r="PSF49" s="316"/>
      <c r="PSG49" s="316"/>
      <c r="PSH49" s="316"/>
      <c r="PSI49" s="316"/>
      <c r="PSJ49" s="316"/>
      <c r="PSK49" s="316"/>
      <c r="PSL49" s="316"/>
      <c r="PSM49" s="316"/>
      <c r="PSN49" s="316"/>
      <c r="PSO49" s="316"/>
      <c r="PSP49" s="316"/>
      <c r="PSQ49" s="316"/>
      <c r="PSR49" s="316"/>
      <c r="PSS49" s="316"/>
      <c r="PST49" s="316"/>
      <c r="PSU49" s="316"/>
      <c r="PSV49" s="316"/>
      <c r="PSW49" s="316"/>
      <c r="PSX49" s="316"/>
      <c r="PSY49" s="316"/>
      <c r="PSZ49" s="316"/>
      <c r="PTA49" s="316"/>
      <c r="PTB49" s="316"/>
      <c r="PTC49" s="316"/>
      <c r="PTD49" s="316"/>
      <c r="PTE49" s="316"/>
      <c r="PTF49" s="316"/>
      <c r="PTG49" s="316"/>
      <c r="PTH49" s="316"/>
      <c r="PTI49" s="316"/>
      <c r="PTJ49" s="316"/>
      <c r="PTK49" s="316"/>
      <c r="PTL49" s="316"/>
      <c r="PTM49" s="316"/>
      <c r="PTN49" s="316"/>
      <c r="PTO49" s="316"/>
      <c r="PTP49" s="316"/>
      <c r="PTQ49" s="316"/>
      <c r="PTR49" s="316"/>
      <c r="PTS49" s="316"/>
      <c r="PTT49" s="316"/>
      <c r="PTU49" s="316"/>
      <c r="PTV49" s="316"/>
      <c r="PTW49" s="316"/>
      <c r="PTX49" s="316"/>
      <c r="PTY49" s="316"/>
      <c r="PTZ49" s="316"/>
      <c r="PUA49" s="316"/>
      <c r="PUB49" s="316"/>
      <c r="PUC49" s="316"/>
      <c r="PUD49" s="316"/>
      <c r="PUE49" s="316"/>
      <c r="PUF49" s="316"/>
      <c r="PUG49" s="316"/>
      <c r="PUH49" s="316"/>
      <c r="PUI49" s="316"/>
      <c r="PUJ49" s="316"/>
      <c r="PUK49" s="316"/>
      <c r="PUL49" s="316"/>
      <c r="PUM49" s="316"/>
      <c r="PUN49" s="316"/>
      <c r="PUO49" s="316"/>
      <c r="PUP49" s="316"/>
      <c r="PUQ49" s="316"/>
      <c r="PUR49" s="316"/>
      <c r="PUS49" s="316"/>
      <c r="PUT49" s="316"/>
      <c r="PUU49" s="316"/>
      <c r="PUV49" s="316"/>
      <c r="PUW49" s="316"/>
      <c r="PUX49" s="316"/>
      <c r="PUY49" s="316"/>
      <c r="PUZ49" s="316"/>
      <c r="PVA49" s="316"/>
      <c r="PVB49" s="316"/>
      <c r="PVC49" s="316"/>
      <c r="PVD49" s="316"/>
      <c r="PVE49" s="316"/>
      <c r="PVF49" s="316"/>
      <c r="PVG49" s="316"/>
      <c r="PVH49" s="316"/>
      <c r="PVI49" s="316"/>
      <c r="PVJ49" s="316"/>
      <c r="PVK49" s="316"/>
      <c r="PVL49" s="316"/>
      <c r="PVM49" s="316"/>
      <c r="PVN49" s="316"/>
      <c r="PVO49" s="316"/>
      <c r="PVP49" s="316"/>
      <c r="PVQ49" s="316"/>
      <c r="PVR49" s="316"/>
      <c r="PVS49" s="316"/>
      <c r="PVT49" s="316"/>
      <c r="PVU49" s="316"/>
      <c r="PVV49" s="316"/>
      <c r="PVW49" s="316"/>
      <c r="PVX49" s="316"/>
      <c r="PVY49" s="316"/>
      <c r="PVZ49" s="316"/>
      <c r="PWA49" s="316"/>
      <c r="PWB49" s="316"/>
      <c r="PWC49" s="316"/>
      <c r="PWD49" s="316"/>
      <c r="PWE49" s="316"/>
      <c r="PWF49" s="316"/>
      <c r="PWG49" s="316"/>
      <c r="PWH49" s="316"/>
      <c r="PWI49" s="316"/>
      <c r="PWJ49" s="316"/>
      <c r="PWK49" s="316"/>
      <c r="PWL49" s="316"/>
      <c r="PWM49" s="316"/>
      <c r="PWN49" s="316"/>
      <c r="PWO49" s="316"/>
      <c r="PWP49" s="316"/>
      <c r="PWQ49" s="316"/>
      <c r="PWR49" s="316"/>
      <c r="PWS49" s="316"/>
      <c r="PWT49" s="316"/>
      <c r="PWU49" s="316"/>
      <c r="PWV49" s="316"/>
      <c r="PWW49" s="316"/>
      <c r="PWX49" s="316"/>
      <c r="PWY49" s="316"/>
      <c r="PWZ49" s="316"/>
      <c r="PXA49" s="316"/>
      <c r="PXB49" s="316"/>
      <c r="PXC49" s="316"/>
      <c r="PXD49" s="316"/>
      <c r="PXE49" s="316"/>
      <c r="PXF49" s="316"/>
      <c r="PXG49" s="316"/>
      <c r="PXH49" s="316"/>
      <c r="PXI49" s="316"/>
      <c r="PXJ49" s="316"/>
      <c r="PXK49" s="316"/>
      <c r="PXL49" s="316"/>
      <c r="PXM49" s="316"/>
      <c r="PXN49" s="316"/>
      <c r="PXO49" s="316"/>
      <c r="PXP49" s="316"/>
      <c r="PXQ49" s="316"/>
      <c r="PXR49" s="316"/>
      <c r="PXS49" s="316"/>
      <c r="PXT49" s="316"/>
      <c r="PXU49" s="316"/>
      <c r="PXV49" s="316"/>
      <c r="PXW49" s="316"/>
      <c r="PXX49" s="316"/>
      <c r="PXY49" s="316"/>
      <c r="PXZ49" s="316"/>
      <c r="PYA49" s="316"/>
      <c r="PYB49" s="316"/>
      <c r="PYC49" s="316"/>
      <c r="PYD49" s="316"/>
      <c r="PYE49" s="316"/>
      <c r="PYF49" s="316"/>
      <c r="PYG49" s="316"/>
      <c r="PYH49" s="316"/>
      <c r="PYI49" s="316"/>
      <c r="PYJ49" s="316"/>
      <c r="PYK49" s="316"/>
      <c r="PYL49" s="316"/>
      <c r="PYM49" s="316"/>
      <c r="PYN49" s="316"/>
      <c r="PYO49" s="316"/>
      <c r="PYP49" s="316"/>
      <c r="PYQ49" s="316"/>
      <c r="PYR49" s="316"/>
      <c r="PYS49" s="316"/>
      <c r="PYT49" s="316"/>
      <c r="PYU49" s="316"/>
      <c r="PYV49" s="316"/>
      <c r="PYW49" s="316"/>
      <c r="PYX49" s="316"/>
      <c r="PYY49" s="316"/>
      <c r="PYZ49" s="316"/>
      <c r="PZA49" s="316"/>
      <c r="PZB49" s="316"/>
      <c r="PZC49" s="316"/>
      <c r="PZD49" s="316"/>
      <c r="PZE49" s="316"/>
      <c r="PZF49" s="316"/>
      <c r="PZG49" s="316"/>
      <c r="PZH49" s="316"/>
      <c r="PZI49" s="316"/>
      <c r="PZJ49" s="316"/>
      <c r="PZK49" s="316"/>
      <c r="PZL49" s="316"/>
      <c r="PZM49" s="316"/>
      <c r="PZN49" s="316"/>
      <c r="PZO49" s="316"/>
      <c r="PZP49" s="316"/>
      <c r="PZQ49" s="316"/>
      <c r="PZR49" s="316"/>
      <c r="PZS49" s="316"/>
      <c r="PZT49" s="316"/>
      <c r="PZU49" s="316"/>
      <c r="PZV49" s="316"/>
      <c r="PZW49" s="316"/>
      <c r="PZX49" s="316"/>
      <c r="PZY49" s="316"/>
      <c r="PZZ49" s="316"/>
      <c r="QAA49" s="316"/>
      <c r="QAB49" s="316"/>
      <c r="QAC49" s="316"/>
      <c r="QAD49" s="316"/>
      <c r="QAE49" s="316"/>
      <c r="QAF49" s="316"/>
      <c r="QAG49" s="316"/>
      <c r="QAH49" s="316"/>
      <c r="QAI49" s="316"/>
      <c r="QAJ49" s="316"/>
      <c r="QAK49" s="316"/>
      <c r="QAL49" s="316"/>
      <c r="QAM49" s="316"/>
      <c r="QAN49" s="316"/>
      <c r="QAO49" s="316"/>
      <c r="QAP49" s="316"/>
      <c r="QAQ49" s="316"/>
      <c r="QAR49" s="316"/>
      <c r="QAS49" s="316"/>
      <c r="QAT49" s="316"/>
      <c r="QAU49" s="316"/>
      <c r="QAV49" s="316"/>
      <c r="QAW49" s="316"/>
      <c r="QAX49" s="316"/>
      <c r="QAY49" s="316"/>
      <c r="QAZ49" s="316"/>
      <c r="QBA49" s="316"/>
      <c r="QBB49" s="316"/>
      <c r="QBC49" s="316"/>
      <c r="QBD49" s="316"/>
      <c r="QBE49" s="316"/>
      <c r="QBF49" s="316"/>
      <c r="QBG49" s="316"/>
      <c r="QBH49" s="316"/>
      <c r="QBI49" s="316"/>
      <c r="QBJ49" s="316"/>
      <c r="QBK49" s="316"/>
      <c r="QBL49" s="316"/>
      <c r="QBM49" s="316"/>
      <c r="QBN49" s="316"/>
      <c r="QBO49" s="316"/>
      <c r="QBP49" s="316"/>
      <c r="QBQ49" s="316"/>
      <c r="QBR49" s="316"/>
      <c r="QBS49" s="316"/>
      <c r="QBT49" s="316"/>
      <c r="QBU49" s="316"/>
      <c r="QBV49" s="316"/>
      <c r="QBW49" s="316"/>
      <c r="QBX49" s="316"/>
      <c r="QBY49" s="316"/>
      <c r="QBZ49" s="316"/>
      <c r="QCA49" s="316"/>
      <c r="QCB49" s="316"/>
      <c r="QCC49" s="316"/>
      <c r="QCD49" s="316"/>
      <c r="QCE49" s="316"/>
      <c r="QCF49" s="316"/>
      <c r="QCG49" s="316"/>
      <c r="QCH49" s="316"/>
      <c r="QCI49" s="316"/>
      <c r="QCJ49" s="316"/>
      <c r="QCK49" s="316"/>
      <c r="QCL49" s="316"/>
      <c r="QCM49" s="316"/>
      <c r="QCN49" s="316"/>
      <c r="QCO49" s="316"/>
      <c r="QCP49" s="316"/>
      <c r="QCQ49" s="316"/>
      <c r="QCR49" s="316"/>
      <c r="QCS49" s="316"/>
      <c r="QCT49" s="316"/>
      <c r="QCU49" s="316"/>
      <c r="QCV49" s="316"/>
      <c r="QCW49" s="316"/>
      <c r="QCX49" s="316"/>
      <c r="QCY49" s="316"/>
      <c r="QCZ49" s="316"/>
      <c r="QDA49" s="316"/>
      <c r="QDB49" s="316"/>
      <c r="QDC49" s="316"/>
      <c r="QDD49" s="316"/>
      <c r="QDE49" s="316"/>
      <c r="QDF49" s="316"/>
      <c r="QDG49" s="316"/>
      <c r="QDH49" s="316"/>
      <c r="QDI49" s="316"/>
      <c r="QDJ49" s="316"/>
      <c r="QDK49" s="316"/>
      <c r="QDL49" s="316"/>
      <c r="QDM49" s="316"/>
      <c r="QDN49" s="316"/>
      <c r="QDO49" s="316"/>
      <c r="QDP49" s="316"/>
      <c r="QDQ49" s="316"/>
      <c r="QDR49" s="316"/>
      <c r="QDS49" s="316"/>
      <c r="QDT49" s="316"/>
      <c r="QDU49" s="316"/>
      <c r="QDV49" s="316"/>
      <c r="QDW49" s="316"/>
      <c r="QDX49" s="316"/>
      <c r="QDY49" s="316"/>
      <c r="QDZ49" s="316"/>
      <c r="QEA49" s="316"/>
      <c r="QEB49" s="316"/>
      <c r="QEC49" s="316"/>
      <c r="QED49" s="316"/>
      <c r="QEE49" s="316"/>
      <c r="QEF49" s="316"/>
      <c r="QEG49" s="316"/>
      <c r="QEH49" s="316"/>
      <c r="QEI49" s="316"/>
      <c r="QEJ49" s="316"/>
      <c r="QEK49" s="316"/>
      <c r="QEL49" s="316"/>
      <c r="QEM49" s="316"/>
      <c r="QEN49" s="316"/>
      <c r="QEO49" s="316"/>
      <c r="QEP49" s="316"/>
      <c r="QEQ49" s="316"/>
      <c r="QER49" s="316"/>
      <c r="QES49" s="316"/>
      <c r="QET49" s="316"/>
      <c r="QEU49" s="316"/>
      <c r="QEV49" s="316"/>
      <c r="QEW49" s="316"/>
      <c r="QEX49" s="316"/>
      <c r="QEY49" s="316"/>
      <c r="QEZ49" s="316"/>
      <c r="QFA49" s="316"/>
      <c r="QFB49" s="316"/>
      <c r="QFC49" s="316"/>
      <c r="QFD49" s="316"/>
      <c r="QFE49" s="316"/>
      <c r="QFF49" s="316"/>
      <c r="QFG49" s="316"/>
      <c r="QFH49" s="316"/>
      <c r="QFI49" s="316"/>
      <c r="QFJ49" s="316"/>
      <c r="QFK49" s="316"/>
      <c r="QFL49" s="316"/>
      <c r="QFM49" s="316"/>
      <c r="QFN49" s="316"/>
      <c r="QFO49" s="316"/>
      <c r="QFP49" s="316"/>
      <c r="QFQ49" s="316"/>
      <c r="QFR49" s="316"/>
      <c r="QFS49" s="316"/>
      <c r="QFT49" s="316"/>
      <c r="QFU49" s="316"/>
      <c r="QFV49" s="316"/>
      <c r="QFW49" s="316"/>
      <c r="QFX49" s="316"/>
      <c r="QFY49" s="316"/>
      <c r="QFZ49" s="316"/>
      <c r="QGA49" s="316"/>
      <c r="QGB49" s="316"/>
      <c r="QGC49" s="316"/>
      <c r="QGD49" s="316"/>
      <c r="QGE49" s="316"/>
      <c r="QGF49" s="316"/>
      <c r="QGG49" s="316"/>
      <c r="QGH49" s="316"/>
      <c r="QGI49" s="316"/>
      <c r="QGJ49" s="316"/>
      <c r="QGK49" s="316"/>
      <c r="QGL49" s="316"/>
      <c r="QGM49" s="316"/>
      <c r="QGN49" s="316"/>
      <c r="QGO49" s="316"/>
      <c r="QGP49" s="316"/>
      <c r="QGQ49" s="316"/>
      <c r="QGR49" s="316"/>
      <c r="QGS49" s="316"/>
      <c r="QGT49" s="316"/>
      <c r="QGU49" s="316"/>
      <c r="QGV49" s="316"/>
      <c r="QGW49" s="316"/>
      <c r="QGX49" s="316"/>
      <c r="QGY49" s="316"/>
      <c r="QGZ49" s="316"/>
      <c r="QHA49" s="316"/>
      <c r="QHB49" s="316"/>
      <c r="QHC49" s="316"/>
      <c r="QHD49" s="316"/>
      <c r="QHE49" s="316"/>
      <c r="QHF49" s="316"/>
      <c r="QHG49" s="316"/>
      <c r="QHH49" s="316"/>
      <c r="QHI49" s="316"/>
      <c r="QHJ49" s="316"/>
      <c r="QHK49" s="316"/>
      <c r="QHL49" s="316"/>
      <c r="QHM49" s="316"/>
      <c r="QHN49" s="316"/>
      <c r="QHO49" s="316"/>
      <c r="QHP49" s="316"/>
      <c r="QHQ49" s="316"/>
      <c r="QHR49" s="316"/>
      <c r="QHS49" s="316"/>
      <c r="QHT49" s="316"/>
      <c r="QHU49" s="316"/>
      <c r="QHV49" s="316"/>
      <c r="QHW49" s="316"/>
      <c r="QHX49" s="316"/>
      <c r="QHY49" s="316"/>
      <c r="QHZ49" s="316"/>
      <c r="QIA49" s="316"/>
      <c r="QIB49" s="316"/>
      <c r="QIC49" s="316"/>
      <c r="QID49" s="316"/>
      <c r="QIE49" s="316"/>
      <c r="QIF49" s="316"/>
      <c r="QIG49" s="316"/>
      <c r="QIH49" s="316"/>
      <c r="QII49" s="316"/>
      <c r="QIJ49" s="316"/>
      <c r="QIK49" s="316"/>
      <c r="QIL49" s="316"/>
      <c r="QIM49" s="316"/>
      <c r="QIN49" s="316"/>
      <c r="QIO49" s="316"/>
      <c r="QIP49" s="316"/>
      <c r="QIQ49" s="316"/>
      <c r="QIR49" s="316"/>
      <c r="QIS49" s="316"/>
      <c r="QIT49" s="316"/>
      <c r="QIU49" s="316"/>
      <c r="QIV49" s="316"/>
      <c r="QIW49" s="316"/>
      <c r="QIX49" s="316"/>
      <c r="QIY49" s="316"/>
      <c r="QIZ49" s="316"/>
      <c r="QJA49" s="316"/>
      <c r="QJB49" s="316"/>
      <c r="QJC49" s="316"/>
      <c r="QJD49" s="316"/>
      <c r="QJE49" s="316"/>
      <c r="QJF49" s="316"/>
      <c r="QJG49" s="316"/>
      <c r="QJH49" s="316"/>
      <c r="QJI49" s="316"/>
      <c r="QJJ49" s="316"/>
      <c r="QJK49" s="316"/>
      <c r="QJL49" s="316"/>
      <c r="QJM49" s="316"/>
      <c r="QJN49" s="316"/>
      <c r="QJO49" s="316"/>
      <c r="QJP49" s="316"/>
      <c r="QJQ49" s="316"/>
      <c r="QJR49" s="316"/>
      <c r="QJS49" s="316"/>
      <c r="QJT49" s="316"/>
      <c r="QJU49" s="316"/>
      <c r="QJV49" s="316"/>
      <c r="QJW49" s="316"/>
      <c r="QJX49" s="316"/>
      <c r="QJY49" s="316"/>
      <c r="QJZ49" s="316"/>
      <c r="QKA49" s="316"/>
      <c r="QKB49" s="316"/>
      <c r="QKC49" s="316"/>
      <c r="QKD49" s="316"/>
      <c r="QKE49" s="316"/>
      <c r="QKF49" s="316"/>
      <c r="QKG49" s="316"/>
      <c r="QKH49" s="316"/>
      <c r="QKI49" s="316"/>
      <c r="QKJ49" s="316"/>
      <c r="QKK49" s="316"/>
      <c r="QKL49" s="316"/>
      <c r="QKM49" s="316"/>
      <c r="QKN49" s="316"/>
      <c r="QKO49" s="316"/>
      <c r="QKP49" s="316"/>
      <c r="QKQ49" s="316"/>
      <c r="QKR49" s="316"/>
      <c r="QKS49" s="316"/>
      <c r="QKT49" s="316"/>
      <c r="QKU49" s="316"/>
      <c r="QKV49" s="316"/>
      <c r="QKW49" s="316"/>
      <c r="QKX49" s="316"/>
      <c r="QKY49" s="316"/>
      <c r="QKZ49" s="316"/>
      <c r="QLA49" s="316"/>
      <c r="QLB49" s="316"/>
      <c r="QLC49" s="316"/>
      <c r="QLD49" s="316"/>
      <c r="QLE49" s="316"/>
      <c r="QLF49" s="316"/>
      <c r="QLG49" s="316"/>
      <c r="QLH49" s="316"/>
      <c r="QLI49" s="316"/>
      <c r="QLJ49" s="316"/>
      <c r="QLK49" s="316"/>
      <c r="QLL49" s="316"/>
      <c r="QLM49" s="316"/>
      <c r="QLN49" s="316"/>
      <c r="QLO49" s="316"/>
      <c r="QLP49" s="316"/>
      <c r="QLQ49" s="316"/>
      <c r="QLR49" s="316"/>
      <c r="QLS49" s="316"/>
      <c r="QLT49" s="316"/>
      <c r="QLU49" s="316"/>
      <c r="QLV49" s="316"/>
      <c r="QLW49" s="316"/>
      <c r="QLX49" s="316"/>
      <c r="QLY49" s="316"/>
      <c r="QLZ49" s="316"/>
      <c r="QMA49" s="316"/>
      <c r="QMB49" s="316"/>
      <c r="QMC49" s="316"/>
      <c r="QMD49" s="316"/>
      <c r="QME49" s="316"/>
      <c r="QMF49" s="316"/>
      <c r="QMG49" s="316"/>
      <c r="QMH49" s="316"/>
      <c r="QMI49" s="316"/>
      <c r="QMJ49" s="316"/>
      <c r="QMK49" s="316"/>
      <c r="QML49" s="316"/>
      <c r="QMM49" s="316"/>
      <c r="QMN49" s="316"/>
      <c r="QMO49" s="316"/>
      <c r="QMP49" s="316"/>
      <c r="QMQ49" s="316"/>
      <c r="QMR49" s="316"/>
      <c r="QMS49" s="316"/>
      <c r="QMT49" s="316"/>
      <c r="QMU49" s="316"/>
      <c r="QMV49" s="316"/>
      <c r="QMW49" s="316"/>
      <c r="QMX49" s="316"/>
      <c r="QMY49" s="316"/>
      <c r="QMZ49" s="316"/>
      <c r="QNA49" s="316"/>
      <c r="QNB49" s="316"/>
      <c r="QNC49" s="316"/>
      <c r="QND49" s="316"/>
      <c r="QNE49" s="316"/>
      <c r="QNF49" s="316"/>
      <c r="QNG49" s="316"/>
      <c r="QNH49" s="316"/>
      <c r="QNI49" s="316"/>
      <c r="QNJ49" s="316"/>
      <c r="QNK49" s="316"/>
      <c r="QNL49" s="316"/>
      <c r="QNM49" s="316"/>
      <c r="QNN49" s="316"/>
      <c r="QNO49" s="316"/>
      <c r="QNP49" s="316"/>
      <c r="QNQ49" s="316"/>
      <c r="QNR49" s="316"/>
      <c r="QNS49" s="316"/>
      <c r="QNT49" s="316"/>
      <c r="QNU49" s="316"/>
      <c r="QNV49" s="316"/>
      <c r="QNW49" s="316"/>
      <c r="QNX49" s="316"/>
      <c r="QNY49" s="316"/>
      <c r="QNZ49" s="316"/>
      <c r="QOA49" s="316"/>
      <c r="QOB49" s="316"/>
      <c r="QOC49" s="316"/>
      <c r="QOD49" s="316"/>
      <c r="QOE49" s="316"/>
      <c r="QOF49" s="316"/>
      <c r="QOG49" s="316"/>
      <c r="QOH49" s="316"/>
      <c r="QOI49" s="316"/>
      <c r="QOJ49" s="316"/>
      <c r="QOK49" s="316"/>
      <c r="QOL49" s="316"/>
      <c r="QOM49" s="316"/>
      <c r="QON49" s="316"/>
      <c r="QOO49" s="316"/>
      <c r="QOP49" s="316"/>
      <c r="QOQ49" s="316"/>
      <c r="QOR49" s="316"/>
      <c r="QOS49" s="316"/>
      <c r="QOT49" s="316"/>
      <c r="QOU49" s="316"/>
      <c r="QOV49" s="316"/>
      <c r="QOW49" s="316"/>
      <c r="QOX49" s="316"/>
      <c r="QOY49" s="316"/>
      <c r="QOZ49" s="316"/>
      <c r="QPA49" s="316"/>
      <c r="QPB49" s="316"/>
      <c r="QPC49" s="316"/>
      <c r="QPD49" s="316"/>
      <c r="QPE49" s="316"/>
      <c r="QPF49" s="316"/>
      <c r="QPG49" s="316"/>
      <c r="QPH49" s="316"/>
      <c r="QPI49" s="316"/>
      <c r="QPJ49" s="316"/>
      <c r="QPK49" s="316"/>
      <c r="QPL49" s="316"/>
      <c r="QPM49" s="316"/>
      <c r="QPN49" s="316"/>
      <c r="QPO49" s="316"/>
      <c r="QPP49" s="316"/>
      <c r="QPQ49" s="316"/>
      <c r="QPR49" s="316"/>
      <c r="QPS49" s="316"/>
      <c r="QPT49" s="316"/>
      <c r="QPU49" s="316"/>
      <c r="QPV49" s="316"/>
      <c r="QPW49" s="316"/>
      <c r="QPX49" s="316"/>
      <c r="QPY49" s="316"/>
      <c r="QPZ49" s="316"/>
      <c r="QQA49" s="316"/>
      <c r="QQB49" s="316"/>
      <c r="QQC49" s="316"/>
      <c r="QQD49" s="316"/>
      <c r="QQE49" s="316"/>
      <c r="QQF49" s="316"/>
      <c r="QQG49" s="316"/>
      <c r="QQH49" s="316"/>
      <c r="QQI49" s="316"/>
      <c r="QQJ49" s="316"/>
      <c r="QQK49" s="316"/>
      <c r="QQL49" s="316"/>
      <c r="QQM49" s="316"/>
      <c r="QQN49" s="316"/>
      <c r="QQO49" s="316"/>
      <c r="QQP49" s="316"/>
      <c r="QQQ49" s="316"/>
      <c r="QQR49" s="316"/>
      <c r="QQS49" s="316"/>
      <c r="QQT49" s="316"/>
      <c r="QQU49" s="316"/>
      <c r="QQV49" s="316"/>
      <c r="QQW49" s="316"/>
      <c r="QQX49" s="316"/>
      <c r="QQY49" s="316"/>
      <c r="QQZ49" s="316"/>
      <c r="QRA49" s="316"/>
      <c r="QRB49" s="316"/>
      <c r="QRC49" s="316"/>
      <c r="QRD49" s="316"/>
      <c r="QRE49" s="316"/>
      <c r="QRF49" s="316"/>
      <c r="QRG49" s="316"/>
      <c r="QRH49" s="316"/>
      <c r="QRI49" s="316"/>
      <c r="QRJ49" s="316"/>
      <c r="QRK49" s="316"/>
      <c r="QRL49" s="316"/>
      <c r="QRM49" s="316"/>
      <c r="QRN49" s="316"/>
      <c r="QRO49" s="316"/>
      <c r="QRP49" s="316"/>
      <c r="QRQ49" s="316"/>
      <c r="QRR49" s="316"/>
      <c r="QRS49" s="316"/>
      <c r="QRT49" s="316"/>
      <c r="QRU49" s="316"/>
      <c r="QRV49" s="316"/>
      <c r="QRW49" s="316"/>
      <c r="QRX49" s="316"/>
      <c r="QRY49" s="316"/>
      <c r="QRZ49" s="316"/>
      <c r="QSA49" s="316"/>
      <c r="QSB49" s="316"/>
      <c r="QSC49" s="316"/>
      <c r="QSD49" s="316"/>
      <c r="QSE49" s="316"/>
      <c r="QSF49" s="316"/>
      <c r="QSG49" s="316"/>
      <c r="QSH49" s="316"/>
      <c r="QSI49" s="316"/>
      <c r="QSJ49" s="316"/>
      <c r="QSK49" s="316"/>
      <c r="QSL49" s="316"/>
      <c r="QSM49" s="316"/>
      <c r="QSN49" s="316"/>
      <c r="QSO49" s="316"/>
      <c r="QSP49" s="316"/>
      <c r="QSQ49" s="316"/>
      <c r="QSR49" s="316"/>
      <c r="QSS49" s="316"/>
      <c r="QST49" s="316"/>
      <c r="QSU49" s="316"/>
      <c r="QSV49" s="316"/>
      <c r="QSW49" s="316"/>
      <c r="QSX49" s="316"/>
      <c r="QSY49" s="316"/>
      <c r="QSZ49" s="316"/>
      <c r="QTA49" s="316"/>
      <c r="QTB49" s="316"/>
      <c r="QTC49" s="316"/>
      <c r="QTD49" s="316"/>
      <c r="QTE49" s="316"/>
      <c r="QTF49" s="316"/>
      <c r="QTG49" s="316"/>
      <c r="QTH49" s="316"/>
      <c r="QTI49" s="316"/>
      <c r="QTJ49" s="316"/>
      <c r="QTK49" s="316"/>
      <c r="QTL49" s="316"/>
      <c r="QTM49" s="316"/>
      <c r="QTN49" s="316"/>
      <c r="QTO49" s="316"/>
      <c r="QTP49" s="316"/>
      <c r="QTQ49" s="316"/>
      <c r="QTR49" s="316"/>
      <c r="QTS49" s="316"/>
      <c r="QTT49" s="316"/>
      <c r="QTU49" s="316"/>
      <c r="QTV49" s="316"/>
      <c r="QTW49" s="316"/>
      <c r="QTX49" s="316"/>
      <c r="QTY49" s="316"/>
      <c r="QTZ49" s="316"/>
      <c r="QUA49" s="316"/>
      <c r="QUB49" s="316"/>
      <c r="QUC49" s="316"/>
      <c r="QUD49" s="316"/>
      <c r="QUE49" s="316"/>
      <c r="QUF49" s="316"/>
      <c r="QUG49" s="316"/>
      <c r="QUH49" s="316"/>
      <c r="QUI49" s="316"/>
      <c r="QUJ49" s="316"/>
      <c r="QUK49" s="316"/>
      <c r="QUL49" s="316"/>
      <c r="QUM49" s="316"/>
      <c r="QUN49" s="316"/>
      <c r="QUO49" s="316"/>
      <c r="QUP49" s="316"/>
      <c r="QUQ49" s="316"/>
      <c r="QUR49" s="316"/>
      <c r="QUS49" s="316"/>
      <c r="QUT49" s="316"/>
      <c r="QUU49" s="316"/>
      <c r="QUV49" s="316"/>
      <c r="QUW49" s="316"/>
      <c r="QUX49" s="316"/>
      <c r="QUY49" s="316"/>
      <c r="QUZ49" s="316"/>
      <c r="QVA49" s="316"/>
      <c r="QVB49" s="316"/>
      <c r="QVC49" s="316"/>
      <c r="QVD49" s="316"/>
      <c r="QVE49" s="316"/>
      <c r="QVF49" s="316"/>
      <c r="QVG49" s="316"/>
      <c r="QVH49" s="316"/>
      <c r="QVI49" s="316"/>
      <c r="QVJ49" s="316"/>
      <c r="QVK49" s="316"/>
      <c r="QVL49" s="316"/>
      <c r="QVM49" s="316"/>
      <c r="QVN49" s="316"/>
      <c r="QVO49" s="316"/>
      <c r="QVP49" s="316"/>
      <c r="QVQ49" s="316"/>
      <c r="QVR49" s="316"/>
      <c r="QVS49" s="316"/>
      <c r="QVT49" s="316"/>
      <c r="QVU49" s="316"/>
      <c r="QVV49" s="316"/>
      <c r="QVW49" s="316"/>
      <c r="QVX49" s="316"/>
      <c r="QVY49" s="316"/>
      <c r="QVZ49" s="316"/>
      <c r="QWA49" s="316"/>
      <c r="QWB49" s="316"/>
      <c r="QWC49" s="316"/>
      <c r="QWD49" s="316"/>
      <c r="QWE49" s="316"/>
      <c r="QWF49" s="316"/>
      <c r="QWG49" s="316"/>
      <c r="QWH49" s="316"/>
      <c r="QWI49" s="316"/>
      <c r="QWJ49" s="316"/>
      <c r="QWK49" s="316"/>
      <c r="QWL49" s="316"/>
      <c r="QWM49" s="316"/>
      <c r="QWN49" s="316"/>
      <c r="QWO49" s="316"/>
      <c r="QWP49" s="316"/>
      <c r="QWQ49" s="316"/>
      <c r="QWR49" s="316"/>
      <c r="QWS49" s="316"/>
      <c r="QWT49" s="316"/>
      <c r="QWU49" s="316"/>
      <c r="QWV49" s="316"/>
      <c r="QWW49" s="316"/>
      <c r="QWX49" s="316"/>
      <c r="QWY49" s="316"/>
      <c r="QWZ49" s="316"/>
      <c r="QXA49" s="316"/>
      <c r="QXB49" s="316"/>
      <c r="QXC49" s="316"/>
      <c r="QXD49" s="316"/>
      <c r="QXE49" s="316"/>
      <c r="QXF49" s="316"/>
      <c r="QXG49" s="316"/>
      <c r="QXH49" s="316"/>
      <c r="QXI49" s="316"/>
      <c r="QXJ49" s="316"/>
      <c r="QXK49" s="316"/>
      <c r="QXL49" s="316"/>
      <c r="QXM49" s="316"/>
      <c r="QXN49" s="316"/>
      <c r="QXO49" s="316"/>
      <c r="QXP49" s="316"/>
      <c r="QXQ49" s="316"/>
      <c r="QXR49" s="316"/>
      <c r="QXS49" s="316"/>
      <c r="QXT49" s="316"/>
      <c r="QXU49" s="316"/>
      <c r="QXV49" s="316"/>
      <c r="QXW49" s="316"/>
      <c r="QXX49" s="316"/>
      <c r="QXY49" s="316"/>
      <c r="QXZ49" s="316"/>
      <c r="QYA49" s="316"/>
      <c r="QYB49" s="316"/>
      <c r="QYC49" s="316"/>
      <c r="QYD49" s="316"/>
      <c r="QYE49" s="316"/>
      <c r="QYF49" s="316"/>
      <c r="QYG49" s="316"/>
      <c r="QYH49" s="316"/>
      <c r="QYI49" s="316"/>
      <c r="QYJ49" s="316"/>
      <c r="QYK49" s="316"/>
      <c r="QYL49" s="316"/>
      <c r="QYM49" s="316"/>
      <c r="QYN49" s="316"/>
      <c r="QYO49" s="316"/>
      <c r="QYP49" s="316"/>
      <c r="QYQ49" s="316"/>
      <c r="QYR49" s="316"/>
      <c r="QYS49" s="316"/>
      <c r="QYT49" s="316"/>
      <c r="QYU49" s="316"/>
      <c r="QYV49" s="316"/>
      <c r="QYW49" s="316"/>
      <c r="QYX49" s="316"/>
      <c r="QYY49" s="316"/>
      <c r="QYZ49" s="316"/>
      <c r="QZA49" s="316"/>
      <c r="QZB49" s="316"/>
      <c r="QZC49" s="316"/>
      <c r="QZD49" s="316"/>
      <c r="QZE49" s="316"/>
      <c r="QZF49" s="316"/>
      <c r="QZG49" s="316"/>
      <c r="QZH49" s="316"/>
      <c r="QZI49" s="316"/>
      <c r="QZJ49" s="316"/>
      <c r="QZK49" s="316"/>
      <c r="QZL49" s="316"/>
      <c r="QZM49" s="316"/>
      <c r="QZN49" s="316"/>
      <c r="QZO49" s="316"/>
      <c r="QZP49" s="316"/>
      <c r="QZQ49" s="316"/>
      <c r="QZR49" s="316"/>
      <c r="QZS49" s="316"/>
      <c r="QZT49" s="316"/>
      <c r="QZU49" s="316"/>
      <c r="QZV49" s="316"/>
      <c r="QZW49" s="316"/>
      <c r="QZX49" s="316"/>
      <c r="QZY49" s="316"/>
      <c r="QZZ49" s="316"/>
      <c r="RAA49" s="316"/>
      <c r="RAB49" s="316"/>
      <c r="RAC49" s="316"/>
      <c r="RAD49" s="316"/>
      <c r="RAE49" s="316"/>
      <c r="RAF49" s="316"/>
      <c r="RAG49" s="316"/>
      <c r="RAH49" s="316"/>
      <c r="RAI49" s="316"/>
      <c r="RAJ49" s="316"/>
      <c r="RAK49" s="316"/>
      <c r="RAL49" s="316"/>
      <c r="RAM49" s="316"/>
      <c r="RAN49" s="316"/>
      <c r="RAO49" s="316"/>
      <c r="RAP49" s="316"/>
      <c r="RAQ49" s="316"/>
      <c r="RAR49" s="316"/>
      <c r="RAS49" s="316"/>
      <c r="RAT49" s="316"/>
      <c r="RAU49" s="316"/>
      <c r="RAV49" s="316"/>
      <c r="RAW49" s="316"/>
      <c r="RAX49" s="316"/>
      <c r="RAY49" s="316"/>
      <c r="RAZ49" s="316"/>
      <c r="RBA49" s="316"/>
      <c r="RBB49" s="316"/>
      <c r="RBC49" s="316"/>
      <c r="RBD49" s="316"/>
      <c r="RBE49" s="316"/>
      <c r="RBF49" s="316"/>
      <c r="RBG49" s="316"/>
      <c r="RBH49" s="316"/>
      <c r="RBI49" s="316"/>
      <c r="RBJ49" s="316"/>
      <c r="RBK49" s="316"/>
      <c r="RBL49" s="316"/>
      <c r="RBM49" s="316"/>
      <c r="RBN49" s="316"/>
      <c r="RBO49" s="316"/>
      <c r="RBP49" s="316"/>
      <c r="RBQ49" s="316"/>
      <c r="RBR49" s="316"/>
      <c r="RBS49" s="316"/>
      <c r="RBT49" s="316"/>
      <c r="RBU49" s="316"/>
      <c r="RBV49" s="316"/>
      <c r="RBW49" s="316"/>
      <c r="RBX49" s="316"/>
      <c r="RBY49" s="316"/>
      <c r="RBZ49" s="316"/>
      <c r="RCA49" s="316"/>
      <c r="RCB49" s="316"/>
      <c r="RCC49" s="316"/>
      <c r="RCD49" s="316"/>
      <c r="RCE49" s="316"/>
      <c r="RCF49" s="316"/>
      <c r="RCG49" s="316"/>
      <c r="RCH49" s="316"/>
      <c r="RCI49" s="316"/>
      <c r="RCJ49" s="316"/>
      <c r="RCK49" s="316"/>
      <c r="RCL49" s="316"/>
      <c r="RCM49" s="316"/>
      <c r="RCN49" s="316"/>
      <c r="RCO49" s="316"/>
      <c r="RCP49" s="316"/>
      <c r="RCQ49" s="316"/>
      <c r="RCR49" s="316"/>
      <c r="RCS49" s="316"/>
      <c r="RCT49" s="316"/>
      <c r="RCU49" s="316"/>
      <c r="RCV49" s="316"/>
      <c r="RCW49" s="316"/>
      <c r="RCX49" s="316"/>
      <c r="RCY49" s="316"/>
      <c r="RCZ49" s="316"/>
      <c r="RDA49" s="316"/>
      <c r="RDB49" s="316"/>
      <c r="RDC49" s="316"/>
      <c r="RDD49" s="316"/>
      <c r="RDE49" s="316"/>
      <c r="RDF49" s="316"/>
      <c r="RDG49" s="316"/>
      <c r="RDH49" s="316"/>
      <c r="RDI49" s="316"/>
      <c r="RDJ49" s="316"/>
      <c r="RDK49" s="316"/>
      <c r="RDL49" s="316"/>
      <c r="RDM49" s="316"/>
      <c r="RDN49" s="316"/>
      <c r="RDO49" s="316"/>
      <c r="RDP49" s="316"/>
      <c r="RDQ49" s="316"/>
      <c r="RDR49" s="316"/>
      <c r="RDS49" s="316"/>
      <c r="RDT49" s="316"/>
      <c r="RDU49" s="316"/>
      <c r="RDV49" s="316"/>
      <c r="RDW49" s="316"/>
      <c r="RDX49" s="316"/>
      <c r="RDY49" s="316"/>
      <c r="RDZ49" s="316"/>
      <c r="REA49" s="316"/>
      <c r="REB49" s="316"/>
      <c r="REC49" s="316"/>
      <c r="RED49" s="316"/>
      <c r="REE49" s="316"/>
      <c r="REF49" s="316"/>
      <c r="REG49" s="316"/>
      <c r="REH49" s="316"/>
      <c r="REI49" s="316"/>
      <c r="REJ49" s="316"/>
      <c r="REK49" s="316"/>
      <c r="REL49" s="316"/>
      <c r="REM49" s="316"/>
      <c r="REN49" s="316"/>
      <c r="REO49" s="316"/>
      <c r="REP49" s="316"/>
      <c r="REQ49" s="316"/>
      <c r="RER49" s="316"/>
      <c r="RES49" s="316"/>
      <c r="RET49" s="316"/>
      <c r="REU49" s="316"/>
      <c r="REV49" s="316"/>
      <c r="REW49" s="316"/>
      <c r="REX49" s="316"/>
      <c r="REY49" s="316"/>
      <c r="REZ49" s="316"/>
      <c r="RFA49" s="316"/>
      <c r="RFB49" s="316"/>
      <c r="RFC49" s="316"/>
      <c r="RFD49" s="316"/>
      <c r="RFE49" s="316"/>
      <c r="RFF49" s="316"/>
      <c r="RFG49" s="316"/>
      <c r="RFH49" s="316"/>
      <c r="RFI49" s="316"/>
      <c r="RFJ49" s="316"/>
      <c r="RFK49" s="316"/>
      <c r="RFL49" s="316"/>
      <c r="RFM49" s="316"/>
      <c r="RFN49" s="316"/>
      <c r="RFO49" s="316"/>
      <c r="RFP49" s="316"/>
      <c r="RFQ49" s="316"/>
      <c r="RFR49" s="316"/>
      <c r="RFS49" s="316"/>
      <c r="RFT49" s="316"/>
      <c r="RFU49" s="316"/>
      <c r="RFV49" s="316"/>
      <c r="RFW49" s="316"/>
      <c r="RFX49" s="316"/>
      <c r="RFY49" s="316"/>
      <c r="RFZ49" s="316"/>
      <c r="RGA49" s="316"/>
      <c r="RGB49" s="316"/>
      <c r="RGC49" s="316"/>
      <c r="RGD49" s="316"/>
      <c r="RGE49" s="316"/>
      <c r="RGF49" s="316"/>
      <c r="RGG49" s="316"/>
      <c r="RGH49" s="316"/>
      <c r="RGI49" s="316"/>
      <c r="RGJ49" s="316"/>
      <c r="RGK49" s="316"/>
      <c r="RGL49" s="316"/>
      <c r="RGM49" s="316"/>
      <c r="RGN49" s="316"/>
      <c r="RGO49" s="316"/>
      <c r="RGP49" s="316"/>
      <c r="RGQ49" s="316"/>
      <c r="RGR49" s="316"/>
      <c r="RGS49" s="316"/>
      <c r="RGT49" s="316"/>
      <c r="RGU49" s="316"/>
      <c r="RGV49" s="316"/>
      <c r="RGW49" s="316"/>
      <c r="RGX49" s="316"/>
      <c r="RGY49" s="316"/>
      <c r="RGZ49" s="316"/>
      <c r="RHA49" s="316"/>
      <c r="RHB49" s="316"/>
      <c r="RHC49" s="316"/>
      <c r="RHD49" s="316"/>
      <c r="RHE49" s="316"/>
      <c r="RHF49" s="316"/>
      <c r="RHG49" s="316"/>
      <c r="RHH49" s="316"/>
      <c r="RHI49" s="316"/>
      <c r="RHJ49" s="316"/>
      <c r="RHK49" s="316"/>
      <c r="RHL49" s="316"/>
      <c r="RHM49" s="316"/>
      <c r="RHN49" s="316"/>
      <c r="RHO49" s="316"/>
      <c r="RHP49" s="316"/>
      <c r="RHQ49" s="316"/>
      <c r="RHR49" s="316"/>
      <c r="RHS49" s="316"/>
      <c r="RHT49" s="316"/>
      <c r="RHU49" s="316"/>
      <c r="RHV49" s="316"/>
      <c r="RHW49" s="316"/>
      <c r="RHX49" s="316"/>
      <c r="RHY49" s="316"/>
      <c r="RHZ49" s="316"/>
      <c r="RIA49" s="316"/>
      <c r="RIB49" s="316"/>
      <c r="RIC49" s="316"/>
      <c r="RID49" s="316"/>
      <c r="RIE49" s="316"/>
      <c r="RIF49" s="316"/>
      <c r="RIG49" s="316"/>
      <c r="RIH49" s="316"/>
      <c r="RII49" s="316"/>
      <c r="RIJ49" s="316"/>
      <c r="RIK49" s="316"/>
      <c r="RIL49" s="316"/>
      <c r="RIM49" s="316"/>
      <c r="RIN49" s="316"/>
      <c r="RIO49" s="316"/>
      <c r="RIP49" s="316"/>
      <c r="RIQ49" s="316"/>
      <c r="RIR49" s="316"/>
      <c r="RIS49" s="316"/>
      <c r="RIT49" s="316"/>
      <c r="RIU49" s="316"/>
      <c r="RIV49" s="316"/>
      <c r="RIW49" s="316"/>
      <c r="RIX49" s="316"/>
      <c r="RIY49" s="316"/>
      <c r="RIZ49" s="316"/>
      <c r="RJA49" s="316"/>
      <c r="RJB49" s="316"/>
      <c r="RJC49" s="316"/>
      <c r="RJD49" s="316"/>
      <c r="RJE49" s="316"/>
      <c r="RJF49" s="316"/>
      <c r="RJG49" s="316"/>
      <c r="RJH49" s="316"/>
      <c r="RJI49" s="316"/>
      <c r="RJJ49" s="316"/>
      <c r="RJK49" s="316"/>
      <c r="RJL49" s="316"/>
      <c r="RJM49" s="316"/>
      <c r="RJN49" s="316"/>
      <c r="RJO49" s="316"/>
      <c r="RJP49" s="316"/>
      <c r="RJQ49" s="316"/>
      <c r="RJR49" s="316"/>
      <c r="RJS49" s="316"/>
      <c r="RJT49" s="316"/>
      <c r="RJU49" s="316"/>
      <c r="RJV49" s="316"/>
      <c r="RJW49" s="316"/>
      <c r="RJX49" s="316"/>
      <c r="RJY49" s="316"/>
      <c r="RJZ49" s="316"/>
      <c r="RKA49" s="316"/>
      <c r="RKB49" s="316"/>
      <c r="RKC49" s="316"/>
      <c r="RKD49" s="316"/>
      <c r="RKE49" s="316"/>
      <c r="RKF49" s="316"/>
      <c r="RKG49" s="316"/>
      <c r="RKH49" s="316"/>
      <c r="RKI49" s="316"/>
      <c r="RKJ49" s="316"/>
      <c r="RKK49" s="316"/>
      <c r="RKL49" s="316"/>
      <c r="RKM49" s="316"/>
      <c r="RKN49" s="316"/>
      <c r="RKO49" s="316"/>
      <c r="RKP49" s="316"/>
      <c r="RKQ49" s="316"/>
      <c r="RKR49" s="316"/>
      <c r="RKS49" s="316"/>
      <c r="RKT49" s="316"/>
      <c r="RKU49" s="316"/>
      <c r="RKV49" s="316"/>
      <c r="RKW49" s="316"/>
      <c r="RKX49" s="316"/>
      <c r="RKY49" s="316"/>
      <c r="RKZ49" s="316"/>
      <c r="RLA49" s="316"/>
      <c r="RLB49" s="316"/>
      <c r="RLC49" s="316"/>
      <c r="RLD49" s="316"/>
      <c r="RLE49" s="316"/>
      <c r="RLF49" s="316"/>
      <c r="RLG49" s="316"/>
      <c r="RLH49" s="316"/>
      <c r="RLI49" s="316"/>
      <c r="RLJ49" s="316"/>
      <c r="RLK49" s="316"/>
      <c r="RLL49" s="316"/>
      <c r="RLM49" s="316"/>
      <c r="RLN49" s="316"/>
      <c r="RLO49" s="316"/>
      <c r="RLP49" s="316"/>
      <c r="RLQ49" s="316"/>
      <c r="RLR49" s="316"/>
      <c r="RLS49" s="316"/>
      <c r="RLT49" s="316"/>
      <c r="RLU49" s="316"/>
      <c r="RLV49" s="316"/>
      <c r="RLW49" s="316"/>
      <c r="RLX49" s="316"/>
      <c r="RLY49" s="316"/>
      <c r="RLZ49" s="316"/>
      <c r="RMA49" s="316"/>
      <c r="RMB49" s="316"/>
      <c r="RMC49" s="316"/>
      <c r="RMD49" s="316"/>
      <c r="RME49" s="316"/>
      <c r="RMF49" s="316"/>
      <c r="RMG49" s="316"/>
      <c r="RMH49" s="316"/>
      <c r="RMI49" s="316"/>
      <c r="RMJ49" s="316"/>
      <c r="RMK49" s="316"/>
      <c r="RML49" s="316"/>
      <c r="RMM49" s="316"/>
      <c r="RMN49" s="316"/>
      <c r="RMO49" s="316"/>
      <c r="RMP49" s="316"/>
      <c r="RMQ49" s="316"/>
      <c r="RMR49" s="316"/>
      <c r="RMS49" s="316"/>
      <c r="RMT49" s="316"/>
      <c r="RMU49" s="316"/>
      <c r="RMV49" s="316"/>
      <c r="RMW49" s="316"/>
      <c r="RMX49" s="316"/>
      <c r="RMY49" s="316"/>
      <c r="RMZ49" s="316"/>
      <c r="RNA49" s="316"/>
      <c r="RNB49" s="316"/>
      <c r="RNC49" s="316"/>
      <c r="RND49" s="316"/>
      <c r="RNE49" s="316"/>
      <c r="RNF49" s="316"/>
      <c r="RNG49" s="316"/>
      <c r="RNH49" s="316"/>
      <c r="RNI49" s="316"/>
      <c r="RNJ49" s="316"/>
      <c r="RNK49" s="316"/>
      <c r="RNL49" s="316"/>
      <c r="RNM49" s="316"/>
      <c r="RNN49" s="316"/>
      <c r="RNO49" s="316"/>
      <c r="RNP49" s="316"/>
      <c r="RNQ49" s="316"/>
      <c r="RNR49" s="316"/>
      <c r="RNS49" s="316"/>
      <c r="RNT49" s="316"/>
      <c r="RNU49" s="316"/>
      <c r="RNV49" s="316"/>
      <c r="RNW49" s="316"/>
      <c r="RNX49" s="316"/>
      <c r="RNY49" s="316"/>
      <c r="RNZ49" s="316"/>
      <c r="ROA49" s="316"/>
      <c r="ROB49" s="316"/>
      <c r="ROC49" s="316"/>
      <c r="ROD49" s="316"/>
      <c r="ROE49" s="316"/>
      <c r="ROF49" s="316"/>
      <c r="ROG49" s="316"/>
      <c r="ROH49" s="316"/>
      <c r="ROI49" s="316"/>
      <c r="ROJ49" s="316"/>
      <c r="ROK49" s="316"/>
      <c r="ROL49" s="316"/>
      <c r="ROM49" s="316"/>
      <c r="RON49" s="316"/>
      <c r="ROO49" s="316"/>
      <c r="ROP49" s="316"/>
      <c r="ROQ49" s="316"/>
      <c r="ROR49" s="316"/>
      <c r="ROS49" s="316"/>
      <c r="ROT49" s="316"/>
      <c r="ROU49" s="316"/>
      <c r="ROV49" s="316"/>
      <c r="ROW49" s="316"/>
      <c r="ROX49" s="316"/>
      <c r="ROY49" s="316"/>
      <c r="ROZ49" s="316"/>
      <c r="RPA49" s="316"/>
      <c r="RPB49" s="316"/>
      <c r="RPC49" s="316"/>
      <c r="RPD49" s="316"/>
      <c r="RPE49" s="316"/>
      <c r="RPF49" s="316"/>
      <c r="RPG49" s="316"/>
      <c r="RPH49" s="316"/>
      <c r="RPI49" s="316"/>
      <c r="RPJ49" s="316"/>
      <c r="RPK49" s="316"/>
      <c r="RPL49" s="316"/>
      <c r="RPM49" s="316"/>
      <c r="RPN49" s="316"/>
      <c r="RPO49" s="316"/>
      <c r="RPP49" s="316"/>
      <c r="RPQ49" s="316"/>
      <c r="RPR49" s="316"/>
      <c r="RPS49" s="316"/>
      <c r="RPT49" s="316"/>
      <c r="RPU49" s="316"/>
      <c r="RPV49" s="316"/>
      <c r="RPW49" s="316"/>
      <c r="RPX49" s="316"/>
      <c r="RPY49" s="316"/>
      <c r="RPZ49" s="316"/>
      <c r="RQA49" s="316"/>
      <c r="RQB49" s="316"/>
      <c r="RQC49" s="316"/>
      <c r="RQD49" s="316"/>
      <c r="RQE49" s="316"/>
      <c r="RQF49" s="316"/>
      <c r="RQG49" s="316"/>
      <c r="RQH49" s="316"/>
      <c r="RQI49" s="316"/>
      <c r="RQJ49" s="316"/>
      <c r="RQK49" s="316"/>
      <c r="RQL49" s="316"/>
      <c r="RQM49" s="316"/>
      <c r="RQN49" s="316"/>
      <c r="RQO49" s="316"/>
      <c r="RQP49" s="316"/>
      <c r="RQQ49" s="316"/>
      <c r="RQR49" s="316"/>
      <c r="RQS49" s="316"/>
      <c r="RQT49" s="316"/>
      <c r="RQU49" s="316"/>
      <c r="RQV49" s="316"/>
      <c r="RQW49" s="316"/>
      <c r="RQX49" s="316"/>
      <c r="RQY49" s="316"/>
      <c r="RQZ49" s="316"/>
      <c r="RRA49" s="316"/>
      <c r="RRB49" s="316"/>
      <c r="RRC49" s="316"/>
      <c r="RRD49" s="316"/>
      <c r="RRE49" s="316"/>
      <c r="RRF49" s="316"/>
      <c r="RRG49" s="316"/>
      <c r="RRH49" s="316"/>
      <c r="RRI49" s="316"/>
      <c r="RRJ49" s="316"/>
      <c r="RRK49" s="316"/>
      <c r="RRL49" s="316"/>
      <c r="RRM49" s="316"/>
      <c r="RRN49" s="316"/>
      <c r="RRO49" s="316"/>
      <c r="RRP49" s="316"/>
      <c r="RRQ49" s="316"/>
      <c r="RRR49" s="316"/>
      <c r="RRS49" s="316"/>
      <c r="RRT49" s="316"/>
      <c r="RRU49" s="316"/>
      <c r="RRV49" s="316"/>
      <c r="RRW49" s="316"/>
      <c r="RRX49" s="316"/>
      <c r="RRY49" s="316"/>
      <c r="RRZ49" s="316"/>
      <c r="RSA49" s="316"/>
      <c r="RSB49" s="316"/>
      <c r="RSC49" s="316"/>
      <c r="RSD49" s="316"/>
      <c r="RSE49" s="316"/>
      <c r="RSF49" s="316"/>
      <c r="RSG49" s="316"/>
      <c r="RSH49" s="316"/>
      <c r="RSI49" s="316"/>
      <c r="RSJ49" s="316"/>
      <c r="RSK49" s="316"/>
      <c r="RSL49" s="316"/>
      <c r="RSM49" s="316"/>
      <c r="RSN49" s="316"/>
      <c r="RSO49" s="316"/>
      <c r="RSP49" s="316"/>
      <c r="RSQ49" s="316"/>
      <c r="RSR49" s="316"/>
      <c r="RSS49" s="316"/>
      <c r="RST49" s="316"/>
      <c r="RSU49" s="316"/>
      <c r="RSV49" s="316"/>
      <c r="RSW49" s="316"/>
      <c r="RSX49" s="316"/>
      <c r="RSY49" s="316"/>
      <c r="RSZ49" s="316"/>
      <c r="RTA49" s="316"/>
      <c r="RTB49" s="316"/>
      <c r="RTC49" s="316"/>
      <c r="RTD49" s="316"/>
      <c r="RTE49" s="316"/>
      <c r="RTF49" s="316"/>
      <c r="RTG49" s="316"/>
      <c r="RTH49" s="316"/>
      <c r="RTI49" s="316"/>
      <c r="RTJ49" s="316"/>
      <c r="RTK49" s="316"/>
      <c r="RTL49" s="316"/>
      <c r="RTM49" s="316"/>
      <c r="RTN49" s="316"/>
      <c r="RTO49" s="316"/>
      <c r="RTP49" s="316"/>
      <c r="RTQ49" s="316"/>
      <c r="RTR49" s="316"/>
      <c r="RTS49" s="316"/>
      <c r="RTT49" s="316"/>
      <c r="RTU49" s="316"/>
      <c r="RTV49" s="316"/>
      <c r="RTW49" s="316"/>
      <c r="RTX49" s="316"/>
      <c r="RTY49" s="316"/>
      <c r="RTZ49" s="316"/>
      <c r="RUA49" s="316"/>
      <c r="RUB49" s="316"/>
      <c r="RUC49" s="316"/>
      <c r="RUD49" s="316"/>
      <c r="RUE49" s="316"/>
      <c r="RUF49" s="316"/>
      <c r="RUG49" s="316"/>
      <c r="RUH49" s="316"/>
      <c r="RUI49" s="316"/>
      <c r="RUJ49" s="316"/>
      <c r="RUK49" s="316"/>
      <c r="RUL49" s="316"/>
      <c r="RUM49" s="316"/>
      <c r="RUN49" s="316"/>
      <c r="RUO49" s="316"/>
      <c r="RUP49" s="316"/>
      <c r="RUQ49" s="316"/>
      <c r="RUR49" s="316"/>
      <c r="RUS49" s="316"/>
      <c r="RUT49" s="316"/>
      <c r="RUU49" s="316"/>
      <c r="RUV49" s="316"/>
      <c r="RUW49" s="316"/>
      <c r="RUX49" s="316"/>
      <c r="RUY49" s="316"/>
      <c r="RUZ49" s="316"/>
      <c r="RVA49" s="316"/>
      <c r="RVB49" s="316"/>
      <c r="RVC49" s="316"/>
      <c r="RVD49" s="316"/>
      <c r="RVE49" s="316"/>
      <c r="RVF49" s="316"/>
      <c r="RVG49" s="316"/>
      <c r="RVH49" s="316"/>
      <c r="RVI49" s="316"/>
      <c r="RVJ49" s="316"/>
      <c r="RVK49" s="316"/>
      <c r="RVL49" s="316"/>
      <c r="RVM49" s="316"/>
      <c r="RVN49" s="316"/>
      <c r="RVO49" s="316"/>
      <c r="RVP49" s="316"/>
      <c r="RVQ49" s="316"/>
      <c r="RVR49" s="316"/>
      <c r="RVS49" s="316"/>
      <c r="RVT49" s="316"/>
      <c r="RVU49" s="316"/>
      <c r="RVV49" s="316"/>
      <c r="RVW49" s="316"/>
      <c r="RVX49" s="316"/>
      <c r="RVY49" s="316"/>
      <c r="RVZ49" s="316"/>
      <c r="RWA49" s="316"/>
      <c r="RWB49" s="316"/>
      <c r="RWC49" s="316"/>
      <c r="RWD49" s="316"/>
      <c r="RWE49" s="316"/>
      <c r="RWF49" s="316"/>
      <c r="RWG49" s="316"/>
      <c r="RWH49" s="316"/>
      <c r="RWI49" s="316"/>
      <c r="RWJ49" s="316"/>
      <c r="RWK49" s="316"/>
      <c r="RWL49" s="316"/>
      <c r="RWM49" s="316"/>
      <c r="RWN49" s="316"/>
      <c r="RWO49" s="316"/>
      <c r="RWP49" s="316"/>
      <c r="RWQ49" s="316"/>
      <c r="RWR49" s="316"/>
      <c r="RWS49" s="316"/>
      <c r="RWT49" s="316"/>
      <c r="RWU49" s="316"/>
      <c r="RWV49" s="316"/>
      <c r="RWW49" s="316"/>
      <c r="RWX49" s="316"/>
      <c r="RWY49" s="316"/>
      <c r="RWZ49" s="316"/>
      <c r="RXA49" s="316"/>
      <c r="RXB49" s="316"/>
      <c r="RXC49" s="316"/>
      <c r="RXD49" s="316"/>
      <c r="RXE49" s="316"/>
      <c r="RXF49" s="316"/>
      <c r="RXG49" s="316"/>
      <c r="RXH49" s="316"/>
      <c r="RXI49" s="316"/>
      <c r="RXJ49" s="316"/>
      <c r="RXK49" s="316"/>
      <c r="RXL49" s="316"/>
      <c r="RXM49" s="316"/>
      <c r="RXN49" s="316"/>
      <c r="RXO49" s="316"/>
      <c r="RXP49" s="316"/>
      <c r="RXQ49" s="316"/>
      <c r="RXR49" s="316"/>
      <c r="RXS49" s="316"/>
      <c r="RXT49" s="316"/>
      <c r="RXU49" s="316"/>
      <c r="RXV49" s="316"/>
      <c r="RXW49" s="316"/>
      <c r="RXX49" s="316"/>
      <c r="RXY49" s="316"/>
      <c r="RXZ49" s="316"/>
      <c r="RYA49" s="316"/>
      <c r="RYB49" s="316"/>
      <c r="RYC49" s="316"/>
      <c r="RYD49" s="316"/>
      <c r="RYE49" s="316"/>
      <c r="RYF49" s="316"/>
      <c r="RYG49" s="316"/>
      <c r="RYH49" s="316"/>
      <c r="RYI49" s="316"/>
      <c r="RYJ49" s="316"/>
      <c r="RYK49" s="316"/>
      <c r="RYL49" s="316"/>
      <c r="RYM49" s="316"/>
      <c r="RYN49" s="316"/>
      <c r="RYO49" s="316"/>
      <c r="RYP49" s="316"/>
      <c r="RYQ49" s="316"/>
      <c r="RYR49" s="316"/>
      <c r="RYS49" s="316"/>
      <c r="RYT49" s="316"/>
      <c r="RYU49" s="316"/>
      <c r="RYV49" s="316"/>
      <c r="RYW49" s="316"/>
      <c r="RYX49" s="316"/>
      <c r="RYY49" s="316"/>
      <c r="RYZ49" s="316"/>
      <c r="RZA49" s="316"/>
      <c r="RZB49" s="316"/>
      <c r="RZC49" s="316"/>
      <c r="RZD49" s="316"/>
      <c r="RZE49" s="316"/>
      <c r="RZF49" s="316"/>
      <c r="RZG49" s="316"/>
      <c r="RZH49" s="316"/>
      <c r="RZI49" s="316"/>
      <c r="RZJ49" s="316"/>
      <c r="RZK49" s="316"/>
      <c r="RZL49" s="316"/>
      <c r="RZM49" s="316"/>
      <c r="RZN49" s="316"/>
      <c r="RZO49" s="316"/>
      <c r="RZP49" s="316"/>
      <c r="RZQ49" s="316"/>
      <c r="RZR49" s="316"/>
      <c r="RZS49" s="316"/>
      <c r="RZT49" s="316"/>
      <c r="RZU49" s="316"/>
      <c r="RZV49" s="316"/>
      <c r="RZW49" s="316"/>
      <c r="RZX49" s="316"/>
      <c r="RZY49" s="316"/>
      <c r="RZZ49" s="316"/>
      <c r="SAA49" s="316"/>
      <c r="SAB49" s="316"/>
      <c r="SAC49" s="316"/>
      <c r="SAD49" s="316"/>
      <c r="SAE49" s="316"/>
      <c r="SAF49" s="316"/>
      <c r="SAG49" s="316"/>
      <c r="SAH49" s="316"/>
      <c r="SAI49" s="316"/>
      <c r="SAJ49" s="316"/>
      <c r="SAK49" s="316"/>
      <c r="SAL49" s="316"/>
      <c r="SAM49" s="316"/>
      <c r="SAN49" s="316"/>
      <c r="SAO49" s="316"/>
      <c r="SAP49" s="316"/>
      <c r="SAQ49" s="316"/>
      <c r="SAR49" s="316"/>
      <c r="SAS49" s="316"/>
      <c r="SAT49" s="316"/>
      <c r="SAU49" s="316"/>
      <c r="SAV49" s="316"/>
      <c r="SAW49" s="316"/>
      <c r="SAX49" s="316"/>
      <c r="SAY49" s="316"/>
      <c r="SAZ49" s="316"/>
      <c r="SBA49" s="316"/>
      <c r="SBB49" s="316"/>
      <c r="SBC49" s="316"/>
      <c r="SBD49" s="316"/>
      <c r="SBE49" s="316"/>
      <c r="SBF49" s="316"/>
      <c r="SBG49" s="316"/>
      <c r="SBH49" s="316"/>
      <c r="SBI49" s="316"/>
      <c r="SBJ49" s="316"/>
      <c r="SBK49" s="316"/>
      <c r="SBL49" s="316"/>
      <c r="SBM49" s="316"/>
      <c r="SBN49" s="316"/>
      <c r="SBO49" s="316"/>
      <c r="SBP49" s="316"/>
      <c r="SBQ49" s="316"/>
      <c r="SBR49" s="316"/>
      <c r="SBS49" s="316"/>
      <c r="SBT49" s="316"/>
      <c r="SBU49" s="316"/>
      <c r="SBV49" s="316"/>
      <c r="SBW49" s="316"/>
      <c r="SBX49" s="316"/>
      <c r="SBY49" s="316"/>
      <c r="SBZ49" s="316"/>
      <c r="SCA49" s="316"/>
      <c r="SCB49" s="316"/>
      <c r="SCC49" s="316"/>
      <c r="SCD49" s="316"/>
      <c r="SCE49" s="316"/>
      <c r="SCF49" s="316"/>
      <c r="SCG49" s="316"/>
      <c r="SCH49" s="316"/>
      <c r="SCI49" s="316"/>
      <c r="SCJ49" s="316"/>
      <c r="SCK49" s="316"/>
      <c r="SCL49" s="316"/>
      <c r="SCM49" s="316"/>
      <c r="SCN49" s="316"/>
      <c r="SCO49" s="316"/>
      <c r="SCP49" s="316"/>
      <c r="SCQ49" s="316"/>
      <c r="SCR49" s="316"/>
      <c r="SCS49" s="316"/>
      <c r="SCT49" s="316"/>
      <c r="SCU49" s="316"/>
      <c r="SCV49" s="316"/>
      <c r="SCW49" s="316"/>
      <c r="SCX49" s="316"/>
      <c r="SCY49" s="316"/>
      <c r="SCZ49" s="316"/>
      <c r="SDA49" s="316"/>
      <c r="SDB49" s="316"/>
      <c r="SDC49" s="316"/>
      <c r="SDD49" s="316"/>
      <c r="SDE49" s="316"/>
      <c r="SDF49" s="316"/>
      <c r="SDG49" s="316"/>
      <c r="SDH49" s="316"/>
      <c r="SDI49" s="316"/>
      <c r="SDJ49" s="316"/>
      <c r="SDK49" s="316"/>
      <c r="SDL49" s="316"/>
      <c r="SDM49" s="316"/>
      <c r="SDN49" s="316"/>
      <c r="SDO49" s="316"/>
      <c r="SDP49" s="316"/>
      <c r="SDQ49" s="316"/>
      <c r="SDR49" s="316"/>
      <c r="SDS49" s="316"/>
      <c r="SDT49" s="316"/>
      <c r="SDU49" s="316"/>
      <c r="SDV49" s="316"/>
      <c r="SDW49" s="316"/>
      <c r="SDX49" s="316"/>
      <c r="SDY49" s="316"/>
      <c r="SDZ49" s="316"/>
      <c r="SEA49" s="316"/>
      <c r="SEB49" s="316"/>
      <c r="SEC49" s="316"/>
      <c r="SED49" s="316"/>
      <c r="SEE49" s="316"/>
      <c r="SEF49" s="316"/>
      <c r="SEG49" s="316"/>
      <c r="SEH49" s="316"/>
      <c r="SEI49" s="316"/>
      <c r="SEJ49" s="316"/>
      <c r="SEK49" s="316"/>
      <c r="SEL49" s="316"/>
      <c r="SEM49" s="316"/>
      <c r="SEN49" s="316"/>
      <c r="SEO49" s="316"/>
      <c r="SEP49" s="316"/>
      <c r="SEQ49" s="316"/>
      <c r="SER49" s="316"/>
      <c r="SES49" s="316"/>
      <c r="SET49" s="316"/>
      <c r="SEU49" s="316"/>
      <c r="SEV49" s="316"/>
      <c r="SEW49" s="316"/>
      <c r="SEX49" s="316"/>
      <c r="SEY49" s="316"/>
      <c r="SEZ49" s="316"/>
      <c r="SFA49" s="316"/>
      <c r="SFB49" s="316"/>
      <c r="SFC49" s="316"/>
      <c r="SFD49" s="316"/>
      <c r="SFE49" s="316"/>
      <c r="SFF49" s="316"/>
      <c r="SFG49" s="316"/>
      <c r="SFH49" s="316"/>
      <c r="SFI49" s="316"/>
      <c r="SFJ49" s="316"/>
      <c r="SFK49" s="316"/>
      <c r="SFL49" s="316"/>
      <c r="SFM49" s="316"/>
      <c r="SFN49" s="316"/>
      <c r="SFO49" s="316"/>
      <c r="SFP49" s="316"/>
      <c r="SFQ49" s="316"/>
      <c r="SFR49" s="316"/>
      <c r="SFS49" s="316"/>
      <c r="SFT49" s="316"/>
      <c r="SFU49" s="316"/>
      <c r="SFV49" s="316"/>
      <c r="SFW49" s="316"/>
      <c r="SFX49" s="316"/>
      <c r="SFY49" s="316"/>
      <c r="SFZ49" s="316"/>
      <c r="SGA49" s="316"/>
      <c r="SGB49" s="316"/>
      <c r="SGC49" s="316"/>
      <c r="SGD49" s="316"/>
      <c r="SGE49" s="316"/>
      <c r="SGF49" s="316"/>
      <c r="SGG49" s="316"/>
      <c r="SGH49" s="316"/>
      <c r="SGI49" s="316"/>
      <c r="SGJ49" s="316"/>
      <c r="SGK49" s="316"/>
      <c r="SGL49" s="316"/>
      <c r="SGM49" s="316"/>
      <c r="SGN49" s="316"/>
      <c r="SGO49" s="316"/>
      <c r="SGP49" s="316"/>
      <c r="SGQ49" s="316"/>
      <c r="SGR49" s="316"/>
      <c r="SGS49" s="316"/>
      <c r="SGT49" s="316"/>
      <c r="SGU49" s="316"/>
      <c r="SGV49" s="316"/>
      <c r="SGW49" s="316"/>
      <c r="SGX49" s="316"/>
      <c r="SGY49" s="316"/>
      <c r="SGZ49" s="316"/>
      <c r="SHA49" s="316"/>
      <c r="SHB49" s="316"/>
      <c r="SHC49" s="316"/>
      <c r="SHD49" s="316"/>
      <c r="SHE49" s="316"/>
      <c r="SHF49" s="316"/>
      <c r="SHG49" s="316"/>
      <c r="SHH49" s="316"/>
      <c r="SHI49" s="316"/>
      <c r="SHJ49" s="316"/>
      <c r="SHK49" s="316"/>
      <c r="SHL49" s="316"/>
      <c r="SHM49" s="316"/>
      <c r="SHN49" s="316"/>
      <c r="SHO49" s="316"/>
      <c r="SHP49" s="316"/>
      <c r="SHQ49" s="316"/>
      <c r="SHR49" s="316"/>
      <c r="SHS49" s="316"/>
      <c r="SHT49" s="316"/>
      <c r="SHU49" s="316"/>
      <c r="SHV49" s="316"/>
      <c r="SHW49" s="316"/>
      <c r="SHX49" s="316"/>
      <c r="SHY49" s="316"/>
      <c r="SHZ49" s="316"/>
      <c r="SIA49" s="316"/>
      <c r="SIB49" s="316"/>
      <c r="SIC49" s="316"/>
      <c r="SID49" s="316"/>
      <c r="SIE49" s="316"/>
      <c r="SIF49" s="316"/>
      <c r="SIG49" s="316"/>
      <c r="SIH49" s="316"/>
      <c r="SII49" s="316"/>
      <c r="SIJ49" s="316"/>
      <c r="SIK49" s="316"/>
      <c r="SIL49" s="316"/>
      <c r="SIM49" s="316"/>
      <c r="SIN49" s="316"/>
      <c r="SIO49" s="316"/>
      <c r="SIP49" s="316"/>
      <c r="SIQ49" s="316"/>
      <c r="SIR49" s="316"/>
      <c r="SIS49" s="316"/>
      <c r="SIT49" s="316"/>
      <c r="SIU49" s="316"/>
      <c r="SIV49" s="316"/>
      <c r="SIW49" s="316"/>
      <c r="SIX49" s="316"/>
      <c r="SIY49" s="316"/>
      <c r="SIZ49" s="316"/>
      <c r="SJA49" s="316"/>
      <c r="SJB49" s="316"/>
      <c r="SJC49" s="316"/>
      <c r="SJD49" s="316"/>
      <c r="SJE49" s="316"/>
      <c r="SJF49" s="316"/>
      <c r="SJG49" s="316"/>
      <c r="SJH49" s="316"/>
      <c r="SJI49" s="316"/>
      <c r="SJJ49" s="316"/>
      <c r="SJK49" s="316"/>
      <c r="SJL49" s="316"/>
      <c r="SJM49" s="316"/>
      <c r="SJN49" s="316"/>
      <c r="SJO49" s="316"/>
      <c r="SJP49" s="316"/>
      <c r="SJQ49" s="316"/>
      <c r="SJR49" s="316"/>
      <c r="SJS49" s="316"/>
      <c r="SJT49" s="316"/>
      <c r="SJU49" s="316"/>
      <c r="SJV49" s="316"/>
      <c r="SJW49" s="316"/>
      <c r="SJX49" s="316"/>
      <c r="SJY49" s="316"/>
      <c r="SJZ49" s="316"/>
      <c r="SKA49" s="316"/>
      <c r="SKB49" s="316"/>
      <c r="SKC49" s="316"/>
      <c r="SKD49" s="316"/>
      <c r="SKE49" s="316"/>
      <c r="SKF49" s="316"/>
      <c r="SKG49" s="316"/>
      <c r="SKH49" s="316"/>
      <c r="SKI49" s="316"/>
      <c r="SKJ49" s="316"/>
      <c r="SKK49" s="316"/>
      <c r="SKL49" s="316"/>
      <c r="SKM49" s="316"/>
      <c r="SKN49" s="316"/>
      <c r="SKO49" s="316"/>
      <c r="SKP49" s="316"/>
      <c r="SKQ49" s="316"/>
      <c r="SKR49" s="316"/>
      <c r="SKS49" s="316"/>
      <c r="SKT49" s="316"/>
      <c r="SKU49" s="316"/>
      <c r="SKV49" s="316"/>
      <c r="SKW49" s="316"/>
      <c r="SKX49" s="316"/>
      <c r="SKY49" s="316"/>
      <c r="SKZ49" s="316"/>
      <c r="SLA49" s="316"/>
      <c r="SLB49" s="316"/>
      <c r="SLC49" s="316"/>
      <c r="SLD49" s="316"/>
      <c r="SLE49" s="316"/>
      <c r="SLF49" s="316"/>
      <c r="SLG49" s="316"/>
      <c r="SLH49" s="316"/>
      <c r="SLI49" s="316"/>
      <c r="SLJ49" s="316"/>
      <c r="SLK49" s="316"/>
      <c r="SLL49" s="316"/>
      <c r="SLM49" s="316"/>
      <c r="SLN49" s="316"/>
      <c r="SLO49" s="316"/>
      <c r="SLP49" s="316"/>
      <c r="SLQ49" s="316"/>
      <c r="SLR49" s="316"/>
      <c r="SLS49" s="316"/>
      <c r="SLT49" s="316"/>
      <c r="SLU49" s="316"/>
      <c r="SLV49" s="316"/>
      <c r="SLW49" s="316"/>
      <c r="SLX49" s="316"/>
      <c r="SLY49" s="316"/>
      <c r="SLZ49" s="316"/>
      <c r="SMA49" s="316"/>
      <c r="SMB49" s="316"/>
      <c r="SMC49" s="316"/>
      <c r="SMD49" s="316"/>
      <c r="SME49" s="316"/>
      <c r="SMF49" s="316"/>
      <c r="SMG49" s="316"/>
      <c r="SMH49" s="316"/>
      <c r="SMI49" s="316"/>
      <c r="SMJ49" s="316"/>
      <c r="SMK49" s="316"/>
      <c r="SML49" s="316"/>
      <c r="SMM49" s="316"/>
      <c r="SMN49" s="316"/>
      <c r="SMO49" s="316"/>
      <c r="SMP49" s="316"/>
      <c r="SMQ49" s="316"/>
      <c r="SMR49" s="316"/>
      <c r="SMS49" s="316"/>
      <c r="SMT49" s="316"/>
      <c r="SMU49" s="316"/>
      <c r="SMV49" s="316"/>
      <c r="SMW49" s="316"/>
      <c r="SMX49" s="316"/>
      <c r="SMY49" s="316"/>
      <c r="SMZ49" s="316"/>
      <c r="SNA49" s="316"/>
      <c r="SNB49" s="316"/>
      <c r="SNC49" s="316"/>
      <c r="SND49" s="316"/>
      <c r="SNE49" s="316"/>
      <c r="SNF49" s="316"/>
      <c r="SNG49" s="316"/>
      <c r="SNH49" s="316"/>
      <c r="SNI49" s="316"/>
      <c r="SNJ49" s="316"/>
      <c r="SNK49" s="316"/>
      <c r="SNL49" s="316"/>
      <c r="SNM49" s="316"/>
      <c r="SNN49" s="316"/>
      <c r="SNO49" s="316"/>
      <c r="SNP49" s="316"/>
      <c r="SNQ49" s="316"/>
      <c r="SNR49" s="316"/>
      <c r="SNS49" s="316"/>
      <c r="SNT49" s="316"/>
      <c r="SNU49" s="316"/>
      <c r="SNV49" s="316"/>
      <c r="SNW49" s="316"/>
      <c r="SNX49" s="316"/>
      <c r="SNY49" s="316"/>
      <c r="SNZ49" s="316"/>
      <c r="SOA49" s="316"/>
      <c r="SOB49" s="316"/>
      <c r="SOC49" s="316"/>
      <c r="SOD49" s="316"/>
      <c r="SOE49" s="316"/>
      <c r="SOF49" s="316"/>
      <c r="SOG49" s="316"/>
      <c r="SOH49" s="316"/>
      <c r="SOI49" s="316"/>
      <c r="SOJ49" s="316"/>
      <c r="SOK49" s="316"/>
      <c r="SOL49" s="316"/>
      <c r="SOM49" s="316"/>
      <c r="SON49" s="316"/>
      <c r="SOO49" s="316"/>
      <c r="SOP49" s="316"/>
      <c r="SOQ49" s="316"/>
      <c r="SOR49" s="316"/>
      <c r="SOS49" s="316"/>
      <c r="SOT49" s="316"/>
      <c r="SOU49" s="316"/>
      <c r="SOV49" s="316"/>
      <c r="SOW49" s="316"/>
      <c r="SOX49" s="316"/>
      <c r="SOY49" s="316"/>
      <c r="SOZ49" s="316"/>
      <c r="SPA49" s="316"/>
      <c r="SPB49" s="316"/>
      <c r="SPC49" s="316"/>
      <c r="SPD49" s="316"/>
      <c r="SPE49" s="316"/>
      <c r="SPF49" s="316"/>
      <c r="SPG49" s="316"/>
      <c r="SPH49" s="316"/>
      <c r="SPI49" s="316"/>
      <c r="SPJ49" s="316"/>
      <c r="SPK49" s="316"/>
      <c r="SPL49" s="316"/>
      <c r="SPM49" s="316"/>
      <c r="SPN49" s="316"/>
      <c r="SPO49" s="316"/>
      <c r="SPP49" s="316"/>
      <c r="SPQ49" s="316"/>
      <c r="SPR49" s="316"/>
      <c r="SPS49" s="316"/>
      <c r="SPT49" s="316"/>
      <c r="SPU49" s="316"/>
      <c r="SPV49" s="316"/>
      <c r="SPW49" s="316"/>
      <c r="SPX49" s="316"/>
      <c r="SPY49" s="316"/>
      <c r="SPZ49" s="316"/>
      <c r="SQA49" s="316"/>
      <c r="SQB49" s="316"/>
      <c r="SQC49" s="316"/>
      <c r="SQD49" s="316"/>
      <c r="SQE49" s="316"/>
      <c r="SQF49" s="316"/>
      <c r="SQG49" s="316"/>
      <c r="SQH49" s="316"/>
      <c r="SQI49" s="316"/>
      <c r="SQJ49" s="316"/>
      <c r="SQK49" s="316"/>
      <c r="SQL49" s="316"/>
      <c r="SQM49" s="316"/>
      <c r="SQN49" s="316"/>
      <c r="SQO49" s="316"/>
      <c r="SQP49" s="316"/>
      <c r="SQQ49" s="316"/>
      <c r="SQR49" s="316"/>
      <c r="SQS49" s="316"/>
      <c r="SQT49" s="316"/>
      <c r="SQU49" s="316"/>
      <c r="SQV49" s="316"/>
      <c r="SQW49" s="316"/>
      <c r="SQX49" s="316"/>
      <c r="SQY49" s="316"/>
      <c r="SQZ49" s="316"/>
      <c r="SRA49" s="316"/>
      <c r="SRB49" s="316"/>
      <c r="SRC49" s="316"/>
      <c r="SRD49" s="316"/>
      <c r="SRE49" s="316"/>
      <c r="SRF49" s="316"/>
      <c r="SRG49" s="316"/>
      <c r="SRH49" s="316"/>
      <c r="SRI49" s="316"/>
      <c r="SRJ49" s="316"/>
      <c r="SRK49" s="316"/>
      <c r="SRL49" s="316"/>
      <c r="SRM49" s="316"/>
      <c r="SRN49" s="316"/>
      <c r="SRO49" s="316"/>
      <c r="SRP49" s="316"/>
      <c r="SRQ49" s="316"/>
      <c r="SRR49" s="316"/>
      <c r="SRS49" s="316"/>
      <c r="SRT49" s="316"/>
      <c r="SRU49" s="316"/>
      <c r="SRV49" s="316"/>
      <c r="SRW49" s="316"/>
      <c r="SRX49" s="316"/>
      <c r="SRY49" s="316"/>
      <c r="SRZ49" s="316"/>
      <c r="SSA49" s="316"/>
      <c r="SSB49" s="316"/>
      <c r="SSC49" s="316"/>
      <c r="SSD49" s="316"/>
      <c r="SSE49" s="316"/>
      <c r="SSF49" s="316"/>
      <c r="SSG49" s="316"/>
      <c r="SSH49" s="316"/>
      <c r="SSI49" s="316"/>
      <c r="SSJ49" s="316"/>
      <c r="SSK49" s="316"/>
      <c r="SSL49" s="316"/>
      <c r="SSM49" s="316"/>
      <c r="SSN49" s="316"/>
      <c r="SSO49" s="316"/>
      <c r="SSP49" s="316"/>
      <c r="SSQ49" s="316"/>
      <c r="SSR49" s="316"/>
      <c r="SSS49" s="316"/>
      <c r="SST49" s="316"/>
      <c r="SSU49" s="316"/>
      <c r="SSV49" s="316"/>
      <c r="SSW49" s="316"/>
      <c r="SSX49" s="316"/>
      <c r="SSY49" s="316"/>
      <c r="SSZ49" s="316"/>
      <c r="STA49" s="316"/>
      <c r="STB49" s="316"/>
      <c r="STC49" s="316"/>
      <c r="STD49" s="316"/>
      <c r="STE49" s="316"/>
      <c r="STF49" s="316"/>
      <c r="STG49" s="316"/>
      <c r="STH49" s="316"/>
      <c r="STI49" s="316"/>
      <c r="STJ49" s="316"/>
      <c r="STK49" s="316"/>
      <c r="STL49" s="316"/>
      <c r="STM49" s="316"/>
      <c r="STN49" s="316"/>
      <c r="STO49" s="316"/>
      <c r="STP49" s="316"/>
      <c r="STQ49" s="316"/>
      <c r="STR49" s="316"/>
      <c r="STS49" s="316"/>
      <c r="STT49" s="316"/>
      <c r="STU49" s="316"/>
      <c r="STV49" s="316"/>
      <c r="STW49" s="316"/>
      <c r="STX49" s="316"/>
      <c r="STY49" s="316"/>
      <c r="STZ49" s="316"/>
      <c r="SUA49" s="316"/>
      <c r="SUB49" s="316"/>
      <c r="SUC49" s="316"/>
      <c r="SUD49" s="316"/>
      <c r="SUE49" s="316"/>
      <c r="SUF49" s="316"/>
      <c r="SUG49" s="316"/>
      <c r="SUH49" s="316"/>
      <c r="SUI49" s="316"/>
      <c r="SUJ49" s="316"/>
      <c r="SUK49" s="316"/>
      <c r="SUL49" s="316"/>
      <c r="SUM49" s="316"/>
      <c r="SUN49" s="316"/>
      <c r="SUO49" s="316"/>
      <c r="SUP49" s="316"/>
      <c r="SUQ49" s="316"/>
      <c r="SUR49" s="316"/>
      <c r="SUS49" s="316"/>
      <c r="SUT49" s="316"/>
      <c r="SUU49" s="316"/>
      <c r="SUV49" s="316"/>
      <c r="SUW49" s="316"/>
      <c r="SUX49" s="316"/>
      <c r="SUY49" s="316"/>
      <c r="SUZ49" s="316"/>
      <c r="SVA49" s="316"/>
      <c r="SVB49" s="316"/>
      <c r="SVC49" s="316"/>
      <c r="SVD49" s="316"/>
      <c r="SVE49" s="316"/>
      <c r="SVF49" s="316"/>
      <c r="SVG49" s="316"/>
      <c r="SVH49" s="316"/>
      <c r="SVI49" s="316"/>
      <c r="SVJ49" s="316"/>
      <c r="SVK49" s="316"/>
      <c r="SVL49" s="316"/>
      <c r="SVM49" s="316"/>
      <c r="SVN49" s="316"/>
      <c r="SVO49" s="316"/>
      <c r="SVP49" s="316"/>
      <c r="SVQ49" s="316"/>
      <c r="SVR49" s="316"/>
      <c r="SVS49" s="316"/>
      <c r="SVT49" s="316"/>
      <c r="SVU49" s="316"/>
      <c r="SVV49" s="316"/>
      <c r="SVW49" s="316"/>
      <c r="SVX49" s="316"/>
      <c r="SVY49" s="316"/>
      <c r="SVZ49" s="316"/>
      <c r="SWA49" s="316"/>
      <c r="SWB49" s="316"/>
      <c r="SWC49" s="316"/>
      <c r="SWD49" s="316"/>
      <c r="SWE49" s="316"/>
      <c r="SWF49" s="316"/>
      <c r="SWG49" s="316"/>
      <c r="SWH49" s="316"/>
      <c r="SWI49" s="316"/>
      <c r="SWJ49" s="316"/>
      <c r="SWK49" s="316"/>
      <c r="SWL49" s="316"/>
      <c r="SWM49" s="316"/>
      <c r="SWN49" s="316"/>
      <c r="SWO49" s="316"/>
      <c r="SWP49" s="316"/>
      <c r="SWQ49" s="316"/>
      <c r="SWR49" s="316"/>
      <c r="SWS49" s="316"/>
      <c r="SWT49" s="316"/>
      <c r="SWU49" s="316"/>
      <c r="SWV49" s="316"/>
      <c r="SWW49" s="316"/>
      <c r="SWX49" s="316"/>
      <c r="SWY49" s="316"/>
      <c r="SWZ49" s="316"/>
      <c r="SXA49" s="316"/>
      <c r="SXB49" s="316"/>
      <c r="SXC49" s="316"/>
      <c r="SXD49" s="316"/>
      <c r="SXE49" s="316"/>
      <c r="SXF49" s="316"/>
      <c r="SXG49" s="316"/>
      <c r="SXH49" s="316"/>
      <c r="SXI49" s="316"/>
      <c r="SXJ49" s="316"/>
      <c r="SXK49" s="316"/>
      <c r="SXL49" s="316"/>
      <c r="SXM49" s="316"/>
      <c r="SXN49" s="316"/>
      <c r="SXO49" s="316"/>
      <c r="SXP49" s="316"/>
      <c r="SXQ49" s="316"/>
      <c r="SXR49" s="316"/>
      <c r="SXS49" s="316"/>
      <c r="SXT49" s="316"/>
      <c r="SXU49" s="316"/>
      <c r="SXV49" s="316"/>
      <c r="SXW49" s="316"/>
      <c r="SXX49" s="316"/>
      <c r="SXY49" s="316"/>
      <c r="SXZ49" s="316"/>
      <c r="SYA49" s="316"/>
      <c r="SYB49" s="316"/>
      <c r="SYC49" s="316"/>
      <c r="SYD49" s="316"/>
      <c r="SYE49" s="316"/>
      <c r="SYF49" s="316"/>
      <c r="SYG49" s="316"/>
      <c r="SYH49" s="316"/>
      <c r="SYI49" s="316"/>
      <c r="SYJ49" s="316"/>
      <c r="SYK49" s="316"/>
      <c r="SYL49" s="316"/>
      <c r="SYM49" s="316"/>
      <c r="SYN49" s="316"/>
      <c r="SYO49" s="316"/>
      <c r="SYP49" s="316"/>
      <c r="SYQ49" s="316"/>
      <c r="SYR49" s="316"/>
      <c r="SYS49" s="316"/>
      <c r="SYT49" s="316"/>
      <c r="SYU49" s="316"/>
      <c r="SYV49" s="316"/>
      <c r="SYW49" s="316"/>
      <c r="SYX49" s="316"/>
      <c r="SYY49" s="316"/>
      <c r="SYZ49" s="316"/>
      <c r="SZA49" s="316"/>
      <c r="SZB49" s="316"/>
      <c r="SZC49" s="316"/>
      <c r="SZD49" s="316"/>
      <c r="SZE49" s="316"/>
      <c r="SZF49" s="316"/>
      <c r="SZG49" s="316"/>
      <c r="SZH49" s="316"/>
      <c r="SZI49" s="316"/>
      <c r="SZJ49" s="316"/>
      <c r="SZK49" s="316"/>
      <c r="SZL49" s="316"/>
      <c r="SZM49" s="316"/>
      <c r="SZN49" s="316"/>
      <c r="SZO49" s="316"/>
      <c r="SZP49" s="316"/>
      <c r="SZQ49" s="316"/>
      <c r="SZR49" s="316"/>
      <c r="SZS49" s="316"/>
      <c r="SZT49" s="316"/>
      <c r="SZU49" s="316"/>
      <c r="SZV49" s="316"/>
      <c r="SZW49" s="316"/>
      <c r="SZX49" s="316"/>
      <c r="SZY49" s="316"/>
      <c r="SZZ49" s="316"/>
      <c r="TAA49" s="316"/>
      <c r="TAB49" s="316"/>
      <c r="TAC49" s="316"/>
      <c r="TAD49" s="316"/>
      <c r="TAE49" s="316"/>
      <c r="TAF49" s="316"/>
      <c r="TAG49" s="316"/>
      <c r="TAH49" s="316"/>
      <c r="TAI49" s="316"/>
      <c r="TAJ49" s="316"/>
      <c r="TAK49" s="316"/>
      <c r="TAL49" s="316"/>
      <c r="TAM49" s="316"/>
      <c r="TAN49" s="316"/>
      <c r="TAO49" s="316"/>
      <c r="TAP49" s="316"/>
      <c r="TAQ49" s="316"/>
      <c r="TAR49" s="316"/>
      <c r="TAS49" s="316"/>
      <c r="TAT49" s="316"/>
      <c r="TAU49" s="316"/>
      <c r="TAV49" s="316"/>
      <c r="TAW49" s="316"/>
      <c r="TAX49" s="316"/>
      <c r="TAY49" s="316"/>
      <c r="TAZ49" s="316"/>
      <c r="TBA49" s="316"/>
      <c r="TBB49" s="316"/>
      <c r="TBC49" s="316"/>
      <c r="TBD49" s="316"/>
      <c r="TBE49" s="316"/>
      <c r="TBF49" s="316"/>
      <c r="TBG49" s="316"/>
      <c r="TBH49" s="316"/>
      <c r="TBI49" s="316"/>
      <c r="TBJ49" s="316"/>
      <c r="TBK49" s="316"/>
      <c r="TBL49" s="316"/>
      <c r="TBM49" s="316"/>
      <c r="TBN49" s="316"/>
      <c r="TBO49" s="316"/>
      <c r="TBP49" s="316"/>
      <c r="TBQ49" s="316"/>
      <c r="TBR49" s="316"/>
      <c r="TBS49" s="316"/>
      <c r="TBT49" s="316"/>
      <c r="TBU49" s="316"/>
      <c r="TBV49" s="316"/>
      <c r="TBW49" s="316"/>
      <c r="TBX49" s="316"/>
      <c r="TBY49" s="316"/>
      <c r="TBZ49" s="316"/>
      <c r="TCA49" s="316"/>
      <c r="TCB49" s="316"/>
      <c r="TCC49" s="316"/>
      <c r="TCD49" s="316"/>
      <c r="TCE49" s="316"/>
      <c r="TCF49" s="316"/>
      <c r="TCG49" s="316"/>
      <c r="TCH49" s="316"/>
      <c r="TCI49" s="316"/>
      <c r="TCJ49" s="316"/>
      <c r="TCK49" s="316"/>
      <c r="TCL49" s="316"/>
      <c r="TCM49" s="316"/>
      <c r="TCN49" s="316"/>
      <c r="TCO49" s="316"/>
      <c r="TCP49" s="316"/>
      <c r="TCQ49" s="316"/>
      <c r="TCR49" s="316"/>
      <c r="TCS49" s="316"/>
      <c r="TCT49" s="316"/>
      <c r="TCU49" s="316"/>
      <c r="TCV49" s="316"/>
      <c r="TCW49" s="316"/>
      <c r="TCX49" s="316"/>
      <c r="TCY49" s="316"/>
      <c r="TCZ49" s="316"/>
      <c r="TDA49" s="316"/>
      <c r="TDB49" s="316"/>
      <c r="TDC49" s="316"/>
      <c r="TDD49" s="316"/>
      <c r="TDE49" s="316"/>
      <c r="TDF49" s="316"/>
      <c r="TDG49" s="316"/>
      <c r="TDH49" s="316"/>
      <c r="TDI49" s="316"/>
      <c r="TDJ49" s="316"/>
      <c r="TDK49" s="316"/>
      <c r="TDL49" s="316"/>
      <c r="TDM49" s="316"/>
      <c r="TDN49" s="316"/>
      <c r="TDO49" s="316"/>
      <c r="TDP49" s="316"/>
      <c r="TDQ49" s="316"/>
      <c r="TDR49" s="316"/>
      <c r="TDS49" s="316"/>
      <c r="TDT49" s="316"/>
      <c r="TDU49" s="316"/>
      <c r="TDV49" s="316"/>
      <c r="TDW49" s="316"/>
      <c r="TDX49" s="316"/>
      <c r="TDY49" s="316"/>
      <c r="TDZ49" s="316"/>
      <c r="TEA49" s="316"/>
      <c r="TEB49" s="316"/>
      <c r="TEC49" s="316"/>
      <c r="TED49" s="316"/>
      <c r="TEE49" s="316"/>
      <c r="TEF49" s="316"/>
      <c r="TEG49" s="316"/>
      <c r="TEH49" s="316"/>
      <c r="TEI49" s="316"/>
      <c r="TEJ49" s="316"/>
      <c r="TEK49" s="316"/>
      <c r="TEL49" s="316"/>
      <c r="TEM49" s="316"/>
      <c r="TEN49" s="316"/>
      <c r="TEO49" s="316"/>
      <c r="TEP49" s="316"/>
      <c r="TEQ49" s="316"/>
      <c r="TER49" s="316"/>
      <c r="TES49" s="316"/>
      <c r="TET49" s="316"/>
      <c r="TEU49" s="316"/>
      <c r="TEV49" s="316"/>
      <c r="TEW49" s="316"/>
      <c r="TEX49" s="316"/>
      <c r="TEY49" s="316"/>
      <c r="TEZ49" s="316"/>
      <c r="TFA49" s="316"/>
      <c r="TFB49" s="316"/>
      <c r="TFC49" s="316"/>
      <c r="TFD49" s="316"/>
      <c r="TFE49" s="316"/>
      <c r="TFF49" s="316"/>
      <c r="TFG49" s="316"/>
      <c r="TFH49" s="316"/>
      <c r="TFI49" s="316"/>
      <c r="TFJ49" s="316"/>
      <c r="TFK49" s="316"/>
      <c r="TFL49" s="316"/>
      <c r="TFM49" s="316"/>
      <c r="TFN49" s="316"/>
      <c r="TFO49" s="316"/>
      <c r="TFP49" s="316"/>
      <c r="TFQ49" s="316"/>
      <c r="TFR49" s="316"/>
      <c r="TFS49" s="316"/>
      <c r="TFT49" s="316"/>
      <c r="TFU49" s="316"/>
      <c r="TFV49" s="316"/>
      <c r="TFW49" s="316"/>
      <c r="TFX49" s="316"/>
      <c r="TFY49" s="316"/>
      <c r="TFZ49" s="316"/>
      <c r="TGA49" s="316"/>
      <c r="TGB49" s="316"/>
      <c r="TGC49" s="316"/>
      <c r="TGD49" s="316"/>
      <c r="TGE49" s="316"/>
      <c r="TGF49" s="316"/>
      <c r="TGG49" s="316"/>
      <c r="TGH49" s="316"/>
      <c r="TGI49" s="316"/>
      <c r="TGJ49" s="316"/>
      <c r="TGK49" s="316"/>
      <c r="TGL49" s="316"/>
      <c r="TGM49" s="316"/>
      <c r="TGN49" s="316"/>
      <c r="TGO49" s="316"/>
      <c r="TGP49" s="316"/>
      <c r="TGQ49" s="316"/>
      <c r="TGR49" s="316"/>
      <c r="TGS49" s="316"/>
      <c r="TGT49" s="316"/>
      <c r="TGU49" s="316"/>
      <c r="TGV49" s="316"/>
      <c r="TGW49" s="316"/>
      <c r="TGX49" s="316"/>
      <c r="TGY49" s="316"/>
      <c r="TGZ49" s="316"/>
      <c r="THA49" s="316"/>
      <c r="THB49" s="316"/>
      <c r="THC49" s="316"/>
      <c r="THD49" s="316"/>
      <c r="THE49" s="316"/>
      <c r="THF49" s="316"/>
      <c r="THG49" s="316"/>
      <c r="THH49" s="316"/>
      <c r="THI49" s="316"/>
      <c r="THJ49" s="316"/>
      <c r="THK49" s="316"/>
      <c r="THL49" s="316"/>
      <c r="THM49" s="316"/>
      <c r="THN49" s="316"/>
      <c r="THO49" s="316"/>
      <c r="THP49" s="316"/>
      <c r="THQ49" s="316"/>
      <c r="THR49" s="316"/>
      <c r="THS49" s="316"/>
      <c r="THT49" s="316"/>
      <c r="THU49" s="316"/>
      <c r="THV49" s="316"/>
      <c r="THW49" s="316"/>
      <c r="THX49" s="316"/>
      <c r="THY49" s="316"/>
      <c r="THZ49" s="316"/>
      <c r="TIA49" s="316"/>
      <c r="TIB49" s="316"/>
      <c r="TIC49" s="316"/>
      <c r="TID49" s="316"/>
      <c r="TIE49" s="316"/>
      <c r="TIF49" s="316"/>
      <c r="TIG49" s="316"/>
      <c r="TIH49" s="316"/>
      <c r="TII49" s="316"/>
      <c r="TIJ49" s="316"/>
      <c r="TIK49" s="316"/>
      <c r="TIL49" s="316"/>
      <c r="TIM49" s="316"/>
      <c r="TIN49" s="316"/>
      <c r="TIO49" s="316"/>
      <c r="TIP49" s="316"/>
      <c r="TIQ49" s="316"/>
      <c r="TIR49" s="316"/>
      <c r="TIS49" s="316"/>
      <c r="TIT49" s="316"/>
      <c r="TIU49" s="316"/>
      <c r="TIV49" s="316"/>
      <c r="TIW49" s="316"/>
      <c r="TIX49" s="316"/>
      <c r="TIY49" s="316"/>
      <c r="TIZ49" s="316"/>
      <c r="TJA49" s="316"/>
      <c r="TJB49" s="316"/>
      <c r="TJC49" s="316"/>
      <c r="TJD49" s="316"/>
      <c r="TJE49" s="316"/>
      <c r="TJF49" s="316"/>
      <c r="TJG49" s="316"/>
      <c r="TJH49" s="316"/>
      <c r="TJI49" s="316"/>
      <c r="TJJ49" s="316"/>
      <c r="TJK49" s="316"/>
      <c r="TJL49" s="316"/>
      <c r="TJM49" s="316"/>
      <c r="TJN49" s="316"/>
      <c r="TJO49" s="316"/>
      <c r="TJP49" s="316"/>
      <c r="TJQ49" s="316"/>
      <c r="TJR49" s="316"/>
      <c r="TJS49" s="316"/>
      <c r="TJT49" s="316"/>
      <c r="TJU49" s="316"/>
      <c r="TJV49" s="316"/>
      <c r="TJW49" s="316"/>
      <c r="TJX49" s="316"/>
      <c r="TJY49" s="316"/>
      <c r="TJZ49" s="316"/>
      <c r="TKA49" s="316"/>
      <c r="TKB49" s="316"/>
      <c r="TKC49" s="316"/>
      <c r="TKD49" s="316"/>
      <c r="TKE49" s="316"/>
      <c r="TKF49" s="316"/>
      <c r="TKG49" s="316"/>
      <c r="TKH49" s="316"/>
      <c r="TKI49" s="316"/>
      <c r="TKJ49" s="316"/>
      <c r="TKK49" s="316"/>
      <c r="TKL49" s="316"/>
      <c r="TKM49" s="316"/>
      <c r="TKN49" s="316"/>
      <c r="TKO49" s="316"/>
      <c r="TKP49" s="316"/>
      <c r="TKQ49" s="316"/>
      <c r="TKR49" s="316"/>
      <c r="TKS49" s="316"/>
      <c r="TKT49" s="316"/>
      <c r="TKU49" s="316"/>
      <c r="TKV49" s="316"/>
      <c r="TKW49" s="316"/>
      <c r="TKX49" s="316"/>
      <c r="TKY49" s="316"/>
      <c r="TKZ49" s="316"/>
      <c r="TLA49" s="316"/>
      <c r="TLB49" s="316"/>
      <c r="TLC49" s="316"/>
      <c r="TLD49" s="316"/>
      <c r="TLE49" s="316"/>
      <c r="TLF49" s="316"/>
      <c r="TLG49" s="316"/>
      <c r="TLH49" s="316"/>
      <c r="TLI49" s="316"/>
      <c r="TLJ49" s="316"/>
      <c r="TLK49" s="316"/>
      <c r="TLL49" s="316"/>
      <c r="TLM49" s="316"/>
      <c r="TLN49" s="316"/>
      <c r="TLO49" s="316"/>
      <c r="TLP49" s="316"/>
      <c r="TLQ49" s="316"/>
      <c r="TLR49" s="316"/>
      <c r="TLS49" s="316"/>
      <c r="TLT49" s="316"/>
      <c r="TLU49" s="316"/>
      <c r="TLV49" s="316"/>
      <c r="TLW49" s="316"/>
      <c r="TLX49" s="316"/>
      <c r="TLY49" s="316"/>
      <c r="TLZ49" s="316"/>
      <c r="TMA49" s="316"/>
      <c r="TMB49" s="316"/>
      <c r="TMC49" s="316"/>
      <c r="TMD49" s="316"/>
      <c r="TME49" s="316"/>
      <c r="TMF49" s="316"/>
      <c r="TMG49" s="316"/>
      <c r="TMH49" s="316"/>
      <c r="TMI49" s="316"/>
      <c r="TMJ49" s="316"/>
      <c r="TMK49" s="316"/>
      <c r="TML49" s="316"/>
      <c r="TMM49" s="316"/>
      <c r="TMN49" s="316"/>
      <c r="TMO49" s="316"/>
      <c r="TMP49" s="316"/>
      <c r="TMQ49" s="316"/>
      <c r="TMR49" s="316"/>
      <c r="TMS49" s="316"/>
      <c r="TMT49" s="316"/>
      <c r="TMU49" s="316"/>
      <c r="TMV49" s="316"/>
      <c r="TMW49" s="316"/>
      <c r="TMX49" s="316"/>
      <c r="TMY49" s="316"/>
      <c r="TMZ49" s="316"/>
      <c r="TNA49" s="316"/>
      <c r="TNB49" s="316"/>
      <c r="TNC49" s="316"/>
      <c r="TND49" s="316"/>
      <c r="TNE49" s="316"/>
      <c r="TNF49" s="316"/>
      <c r="TNG49" s="316"/>
      <c r="TNH49" s="316"/>
      <c r="TNI49" s="316"/>
      <c r="TNJ49" s="316"/>
      <c r="TNK49" s="316"/>
      <c r="TNL49" s="316"/>
      <c r="TNM49" s="316"/>
      <c r="TNN49" s="316"/>
      <c r="TNO49" s="316"/>
      <c r="TNP49" s="316"/>
      <c r="TNQ49" s="316"/>
      <c r="TNR49" s="316"/>
      <c r="TNS49" s="316"/>
      <c r="TNT49" s="316"/>
      <c r="TNU49" s="316"/>
      <c r="TNV49" s="316"/>
      <c r="TNW49" s="316"/>
      <c r="TNX49" s="316"/>
      <c r="TNY49" s="316"/>
      <c r="TNZ49" s="316"/>
      <c r="TOA49" s="316"/>
      <c r="TOB49" s="316"/>
      <c r="TOC49" s="316"/>
      <c r="TOD49" s="316"/>
      <c r="TOE49" s="316"/>
      <c r="TOF49" s="316"/>
      <c r="TOG49" s="316"/>
      <c r="TOH49" s="316"/>
      <c r="TOI49" s="316"/>
      <c r="TOJ49" s="316"/>
      <c r="TOK49" s="316"/>
      <c r="TOL49" s="316"/>
      <c r="TOM49" s="316"/>
      <c r="TON49" s="316"/>
      <c r="TOO49" s="316"/>
      <c r="TOP49" s="316"/>
      <c r="TOQ49" s="316"/>
      <c r="TOR49" s="316"/>
      <c r="TOS49" s="316"/>
      <c r="TOT49" s="316"/>
      <c r="TOU49" s="316"/>
      <c r="TOV49" s="316"/>
      <c r="TOW49" s="316"/>
      <c r="TOX49" s="316"/>
      <c r="TOY49" s="316"/>
      <c r="TOZ49" s="316"/>
      <c r="TPA49" s="316"/>
      <c r="TPB49" s="316"/>
      <c r="TPC49" s="316"/>
      <c r="TPD49" s="316"/>
      <c r="TPE49" s="316"/>
      <c r="TPF49" s="316"/>
      <c r="TPG49" s="316"/>
      <c r="TPH49" s="316"/>
      <c r="TPI49" s="316"/>
      <c r="TPJ49" s="316"/>
      <c r="TPK49" s="316"/>
      <c r="TPL49" s="316"/>
      <c r="TPM49" s="316"/>
      <c r="TPN49" s="316"/>
      <c r="TPO49" s="316"/>
      <c r="TPP49" s="316"/>
      <c r="TPQ49" s="316"/>
      <c r="TPR49" s="316"/>
      <c r="TPS49" s="316"/>
      <c r="TPT49" s="316"/>
      <c r="TPU49" s="316"/>
      <c r="TPV49" s="316"/>
      <c r="TPW49" s="316"/>
      <c r="TPX49" s="316"/>
      <c r="TPY49" s="316"/>
      <c r="TPZ49" s="316"/>
      <c r="TQA49" s="316"/>
      <c r="TQB49" s="316"/>
      <c r="TQC49" s="316"/>
      <c r="TQD49" s="316"/>
      <c r="TQE49" s="316"/>
      <c r="TQF49" s="316"/>
      <c r="TQG49" s="316"/>
      <c r="TQH49" s="316"/>
      <c r="TQI49" s="316"/>
      <c r="TQJ49" s="316"/>
      <c r="TQK49" s="316"/>
      <c r="TQL49" s="316"/>
      <c r="TQM49" s="316"/>
      <c r="TQN49" s="316"/>
      <c r="TQO49" s="316"/>
      <c r="TQP49" s="316"/>
      <c r="TQQ49" s="316"/>
      <c r="TQR49" s="316"/>
      <c r="TQS49" s="316"/>
      <c r="TQT49" s="316"/>
      <c r="TQU49" s="316"/>
      <c r="TQV49" s="316"/>
      <c r="TQW49" s="316"/>
      <c r="TQX49" s="316"/>
      <c r="TQY49" s="316"/>
      <c r="TQZ49" s="316"/>
      <c r="TRA49" s="316"/>
      <c r="TRB49" s="316"/>
      <c r="TRC49" s="316"/>
      <c r="TRD49" s="316"/>
      <c r="TRE49" s="316"/>
      <c r="TRF49" s="316"/>
      <c r="TRG49" s="316"/>
      <c r="TRH49" s="316"/>
      <c r="TRI49" s="316"/>
      <c r="TRJ49" s="316"/>
      <c r="TRK49" s="316"/>
      <c r="TRL49" s="316"/>
      <c r="TRM49" s="316"/>
      <c r="TRN49" s="316"/>
      <c r="TRO49" s="316"/>
      <c r="TRP49" s="316"/>
      <c r="TRQ49" s="316"/>
      <c r="TRR49" s="316"/>
      <c r="TRS49" s="316"/>
      <c r="TRT49" s="316"/>
      <c r="TRU49" s="316"/>
      <c r="TRV49" s="316"/>
      <c r="TRW49" s="316"/>
      <c r="TRX49" s="316"/>
      <c r="TRY49" s="316"/>
      <c r="TRZ49" s="316"/>
      <c r="TSA49" s="316"/>
      <c r="TSB49" s="316"/>
      <c r="TSC49" s="316"/>
      <c r="TSD49" s="316"/>
      <c r="TSE49" s="316"/>
      <c r="TSF49" s="316"/>
      <c r="TSG49" s="316"/>
      <c r="TSH49" s="316"/>
      <c r="TSI49" s="316"/>
      <c r="TSJ49" s="316"/>
      <c r="TSK49" s="316"/>
      <c r="TSL49" s="316"/>
      <c r="TSM49" s="316"/>
      <c r="TSN49" s="316"/>
      <c r="TSO49" s="316"/>
      <c r="TSP49" s="316"/>
      <c r="TSQ49" s="316"/>
      <c r="TSR49" s="316"/>
      <c r="TSS49" s="316"/>
      <c r="TST49" s="316"/>
      <c r="TSU49" s="316"/>
      <c r="TSV49" s="316"/>
      <c r="TSW49" s="316"/>
      <c r="TSX49" s="316"/>
      <c r="TSY49" s="316"/>
      <c r="TSZ49" s="316"/>
      <c r="TTA49" s="316"/>
      <c r="TTB49" s="316"/>
      <c r="TTC49" s="316"/>
      <c r="TTD49" s="316"/>
      <c r="TTE49" s="316"/>
      <c r="TTF49" s="316"/>
      <c r="TTG49" s="316"/>
      <c r="TTH49" s="316"/>
      <c r="TTI49" s="316"/>
      <c r="TTJ49" s="316"/>
      <c r="TTK49" s="316"/>
      <c r="TTL49" s="316"/>
      <c r="TTM49" s="316"/>
      <c r="TTN49" s="316"/>
      <c r="TTO49" s="316"/>
      <c r="TTP49" s="316"/>
      <c r="TTQ49" s="316"/>
      <c r="TTR49" s="316"/>
      <c r="TTS49" s="316"/>
      <c r="TTT49" s="316"/>
      <c r="TTU49" s="316"/>
      <c r="TTV49" s="316"/>
      <c r="TTW49" s="316"/>
      <c r="TTX49" s="316"/>
      <c r="TTY49" s="316"/>
      <c r="TTZ49" s="316"/>
      <c r="TUA49" s="316"/>
      <c r="TUB49" s="316"/>
      <c r="TUC49" s="316"/>
      <c r="TUD49" s="316"/>
      <c r="TUE49" s="316"/>
      <c r="TUF49" s="316"/>
      <c r="TUG49" s="316"/>
      <c r="TUH49" s="316"/>
      <c r="TUI49" s="316"/>
      <c r="TUJ49" s="316"/>
      <c r="TUK49" s="316"/>
      <c r="TUL49" s="316"/>
      <c r="TUM49" s="316"/>
      <c r="TUN49" s="316"/>
      <c r="TUO49" s="316"/>
      <c r="TUP49" s="316"/>
      <c r="TUQ49" s="316"/>
      <c r="TUR49" s="316"/>
      <c r="TUS49" s="316"/>
      <c r="TUT49" s="316"/>
      <c r="TUU49" s="316"/>
      <c r="TUV49" s="316"/>
      <c r="TUW49" s="316"/>
      <c r="TUX49" s="316"/>
      <c r="TUY49" s="316"/>
      <c r="TUZ49" s="316"/>
      <c r="TVA49" s="316"/>
      <c r="TVB49" s="316"/>
      <c r="TVC49" s="316"/>
      <c r="TVD49" s="316"/>
      <c r="TVE49" s="316"/>
      <c r="TVF49" s="316"/>
      <c r="TVG49" s="316"/>
      <c r="TVH49" s="316"/>
      <c r="TVI49" s="316"/>
      <c r="TVJ49" s="316"/>
      <c r="TVK49" s="316"/>
      <c r="TVL49" s="316"/>
      <c r="TVM49" s="316"/>
      <c r="TVN49" s="316"/>
      <c r="TVO49" s="316"/>
      <c r="TVP49" s="316"/>
      <c r="TVQ49" s="316"/>
      <c r="TVR49" s="316"/>
      <c r="TVS49" s="316"/>
      <c r="TVT49" s="316"/>
      <c r="TVU49" s="316"/>
      <c r="TVV49" s="316"/>
      <c r="TVW49" s="316"/>
      <c r="TVX49" s="316"/>
      <c r="TVY49" s="316"/>
      <c r="TVZ49" s="316"/>
      <c r="TWA49" s="316"/>
      <c r="TWB49" s="316"/>
      <c r="TWC49" s="316"/>
      <c r="TWD49" s="316"/>
      <c r="TWE49" s="316"/>
      <c r="TWF49" s="316"/>
      <c r="TWG49" s="316"/>
      <c r="TWH49" s="316"/>
      <c r="TWI49" s="316"/>
      <c r="TWJ49" s="316"/>
      <c r="TWK49" s="316"/>
      <c r="TWL49" s="316"/>
      <c r="TWM49" s="316"/>
      <c r="TWN49" s="316"/>
      <c r="TWO49" s="316"/>
      <c r="TWP49" s="316"/>
      <c r="TWQ49" s="316"/>
      <c r="TWR49" s="316"/>
      <c r="TWS49" s="316"/>
      <c r="TWT49" s="316"/>
      <c r="TWU49" s="316"/>
      <c r="TWV49" s="316"/>
      <c r="TWW49" s="316"/>
      <c r="TWX49" s="316"/>
      <c r="TWY49" s="316"/>
      <c r="TWZ49" s="316"/>
      <c r="TXA49" s="316"/>
      <c r="TXB49" s="316"/>
      <c r="TXC49" s="316"/>
      <c r="TXD49" s="316"/>
      <c r="TXE49" s="316"/>
      <c r="TXF49" s="316"/>
      <c r="TXG49" s="316"/>
      <c r="TXH49" s="316"/>
      <c r="TXI49" s="316"/>
      <c r="TXJ49" s="316"/>
      <c r="TXK49" s="316"/>
      <c r="TXL49" s="316"/>
      <c r="TXM49" s="316"/>
      <c r="TXN49" s="316"/>
      <c r="TXO49" s="316"/>
      <c r="TXP49" s="316"/>
      <c r="TXQ49" s="316"/>
      <c r="TXR49" s="316"/>
      <c r="TXS49" s="316"/>
      <c r="TXT49" s="316"/>
      <c r="TXU49" s="316"/>
      <c r="TXV49" s="316"/>
      <c r="TXW49" s="316"/>
      <c r="TXX49" s="316"/>
      <c r="TXY49" s="316"/>
      <c r="TXZ49" s="316"/>
      <c r="TYA49" s="316"/>
      <c r="TYB49" s="316"/>
      <c r="TYC49" s="316"/>
      <c r="TYD49" s="316"/>
      <c r="TYE49" s="316"/>
      <c r="TYF49" s="316"/>
      <c r="TYG49" s="316"/>
      <c r="TYH49" s="316"/>
      <c r="TYI49" s="316"/>
      <c r="TYJ49" s="316"/>
      <c r="TYK49" s="316"/>
      <c r="TYL49" s="316"/>
      <c r="TYM49" s="316"/>
      <c r="TYN49" s="316"/>
      <c r="TYO49" s="316"/>
      <c r="TYP49" s="316"/>
      <c r="TYQ49" s="316"/>
      <c r="TYR49" s="316"/>
      <c r="TYS49" s="316"/>
      <c r="TYT49" s="316"/>
      <c r="TYU49" s="316"/>
      <c r="TYV49" s="316"/>
      <c r="TYW49" s="316"/>
      <c r="TYX49" s="316"/>
      <c r="TYY49" s="316"/>
      <c r="TYZ49" s="316"/>
      <c r="TZA49" s="316"/>
      <c r="TZB49" s="316"/>
      <c r="TZC49" s="316"/>
      <c r="TZD49" s="316"/>
      <c r="TZE49" s="316"/>
      <c r="TZF49" s="316"/>
      <c r="TZG49" s="316"/>
      <c r="TZH49" s="316"/>
      <c r="TZI49" s="316"/>
      <c r="TZJ49" s="316"/>
      <c r="TZK49" s="316"/>
      <c r="TZL49" s="316"/>
      <c r="TZM49" s="316"/>
      <c r="TZN49" s="316"/>
      <c r="TZO49" s="316"/>
      <c r="TZP49" s="316"/>
      <c r="TZQ49" s="316"/>
      <c r="TZR49" s="316"/>
      <c r="TZS49" s="316"/>
      <c r="TZT49" s="316"/>
      <c r="TZU49" s="316"/>
      <c r="TZV49" s="316"/>
      <c r="TZW49" s="316"/>
      <c r="TZX49" s="316"/>
      <c r="TZY49" s="316"/>
      <c r="TZZ49" s="316"/>
      <c r="UAA49" s="316"/>
      <c r="UAB49" s="316"/>
      <c r="UAC49" s="316"/>
      <c r="UAD49" s="316"/>
      <c r="UAE49" s="316"/>
      <c r="UAF49" s="316"/>
      <c r="UAG49" s="316"/>
      <c r="UAH49" s="316"/>
      <c r="UAI49" s="316"/>
      <c r="UAJ49" s="316"/>
      <c r="UAK49" s="316"/>
      <c r="UAL49" s="316"/>
      <c r="UAM49" s="316"/>
      <c r="UAN49" s="316"/>
      <c r="UAO49" s="316"/>
      <c r="UAP49" s="316"/>
      <c r="UAQ49" s="316"/>
      <c r="UAR49" s="316"/>
      <c r="UAS49" s="316"/>
      <c r="UAT49" s="316"/>
      <c r="UAU49" s="316"/>
      <c r="UAV49" s="316"/>
      <c r="UAW49" s="316"/>
      <c r="UAX49" s="316"/>
      <c r="UAY49" s="316"/>
      <c r="UAZ49" s="316"/>
      <c r="UBA49" s="316"/>
      <c r="UBB49" s="316"/>
      <c r="UBC49" s="316"/>
      <c r="UBD49" s="316"/>
      <c r="UBE49" s="316"/>
      <c r="UBF49" s="316"/>
      <c r="UBG49" s="316"/>
      <c r="UBH49" s="316"/>
      <c r="UBI49" s="316"/>
      <c r="UBJ49" s="316"/>
      <c r="UBK49" s="316"/>
      <c r="UBL49" s="316"/>
      <c r="UBM49" s="316"/>
      <c r="UBN49" s="316"/>
      <c r="UBO49" s="316"/>
      <c r="UBP49" s="316"/>
      <c r="UBQ49" s="316"/>
      <c r="UBR49" s="316"/>
      <c r="UBS49" s="316"/>
      <c r="UBT49" s="316"/>
      <c r="UBU49" s="316"/>
      <c r="UBV49" s="316"/>
      <c r="UBW49" s="316"/>
      <c r="UBX49" s="316"/>
      <c r="UBY49" s="316"/>
      <c r="UBZ49" s="316"/>
      <c r="UCA49" s="316"/>
      <c r="UCB49" s="316"/>
      <c r="UCC49" s="316"/>
      <c r="UCD49" s="316"/>
      <c r="UCE49" s="316"/>
      <c r="UCF49" s="316"/>
      <c r="UCG49" s="316"/>
      <c r="UCH49" s="316"/>
      <c r="UCI49" s="316"/>
      <c r="UCJ49" s="316"/>
      <c r="UCK49" s="316"/>
      <c r="UCL49" s="316"/>
      <c r="UCM49" s="316"/>
      <c r="UCN49" s="316"/>
      <c r="UCO49" s="316"/>
      <c r="UCP49" s="316"/>
      <c r="UCQ49" s="316"/>
      <c r="UCR49" s="316"/>
      <c r="UCS49" s="316"/>
      <c r="UCT49" s="316"/>
      <c r="UCU49" s="316"/>
      <c r="UCV49" s="316"/>
      <c r="UCW49" s="316"/>
      <c r="UCX49" s="316"/>
      <c r="UCY49" s="316"/>
      <c r="UCZ49" s="316"/>
      <c r="UDA49" s="316"/>
      <c r="UDB49" s="316"/>
      <c r="UDC49" s="316"/>
      <c r="UDD49" s="316"/>
      <c r="UDE49" s="316"/>
      <c r="UDF49" s="316"/>
      <c r="UDG49" s="316"/>
      <c r="UDH49" s="316"/>
      <c r="UDI49" s="316"/>
      <c r="UDJ49" s="316"/>
      <c r="UDK49" s="316"/>
      <c r="UDL49" s="316"/>
      <c r="UDM49" s="316"/>
      <c r="UDN49" s="316"/>
      <c r="UDO49" s="316"/>
      <c r="UDP49" s="316"/>
      <c r="UDQ49" s="316"/>
      <c r="UDR49" s="316"/>
      <c r="UDS49" s="316"/>
      <c r="UDT49" s="316"/>
      <c r="UDU49" s="316"/>
      <c r="UDV49" s="316"/>
      <c r="UDW49" s="316"/>
      <c r="UDX49" s="316"/>
      <c r="UDY49" s="316"/>
      <c r="UDZ49" s="316"/>
      <c r="UEA49" s="316"/>
      <c r="UEB49" s="316"/>
      <c r="UEC49" s="316"/>
      <c r="UED49" s="316"/>
      <c r="UEE49" s="316"/>
      <c r="UEF49" s="316"/>
      <c r="UEG49" s="316"/>
      <c r="UEH49" s="316"/>
      <c r="UEI49" s="316"/>
      <c r="UEJ49" s="316"/>
      <c r="UEK49" s="316"/>
      <c r="UEL49" s="316"/>
      <c r="UEM49" s="316"/>
      <c r="UEN49" s="316"/>
      <c r="UEO49" s="316"/>
      <c r="UEP49" s="316"/>
      <c r="UEQ49" s="316"/>
      <c r="UER49" s="316"/>
      <c r="UES49" s="316"/>
      <c r="UET49" s="316"/>
      <c r="UEU49" s="316"/>
      <c r="UEV49" s="316"/>
      <c r="UEW49" s="316"/>
      <c r="UEX49" s="316"/>
      <c r="UEY49" s="316"/>
      <c r="UEZ49" s="316"/>
      <c r="UFA49" s="316"/>
      <c r="UFB49" s="316"/>
      <c r="UFC49" s="316"/>
      <c r="UFD49" s="316"/>
      <c r="UFE49" s="316"/>
      <c r="UFF49" s="316"/>
      <c r="UFG49" s="316"/>
      <c r="UFH49" s="316"/>
      <c r="UFI49" s="316"/>
      <c r="UFJ49" s="316"/>
      <c r="UFK49" s="316"/>
      <c r="UFL49" s="316"/>
      <c r="UFM49" s="316"/>
      <c r="UFN49" s="316"/>
      <c r="UFO49" s="316"/>
      <c r="UFP49" s="316"/>
      <c r="UFQ49" s="316"/>
      <c r="UFR49" s="316"/>
      <c r="UFS49" s="316"/>
      <c r="UFT49" s="316"/>
      <c r="UFU49" s="316"/>
      <c r="UFV49" s="316"/>
      <c r="UFW49" s="316"/>
      <c r="UFX49" s="316"/>
      <c r="UFY49" s="316"/>
      <c r="UFZ49" s="316"/>
      <c r="UGA49" s="316"/>
      <c r="UGB49" s="316"/>
      <c r="UGC49" s="316"/>
      <c r="UGD49" s="316"/>
      <c r="UGE49" s="316"/>
      <c r="UGF49" s="316"/>
      <c r="UGG49" s="316"/>
      <c r="UGH49" s="316"/>
      <c r="UGI49" s="316"/>
      <c r="UGJ49" s="316"/>
      <c r="UGK49" s="316"/>
      <c r="UGL49" s="316"/>
      <c r="UGM49" s="316"/>
      <c r="UGN49" s="316"/>
      <c r="UGO49" s="316"/>
      <c r="UGP49" s="316"/>
      <c r="UGQ49" s="316"/>
      <c r="UGR49" s="316"/>
      <c r="UGS49" s="316"/>
      <c r="UGT49" s="316"/>
      <c r="UGU49" s="316"/>
      <c r="UGV49" s="316"/>
      <c r="UGW49" s="316"/>
      <c r="UGX49" s="316"/>
      <c r="UGY49" s="316"/>
      <c r="UGZ49" s="316"/>
      <c r="UHA49" s="316"/>
      <c r="UHB49" s="316"/>
      <c r="UHC49" s="316"/>
      <c r="UHD49" s="316"/>
      <c r="UHE49" s="316"/>
      <c r="UHF49" s="316"/>
      <c r="UHG49" s="316"/>
      <c r="UHH49" s="316"/>
      <c r="UHI49" s="316"/>
      <c r="UHJ49" s="316"/>
      <c r="UHK49" s="316"/>
      <c r="UHL49" s="316"/>
      <c r="UHM49" s="316"/>
      <c r="UHN49" s="316"/>
      <c r="UHO49" s="316"/>
      <c r="UHP49" s="316"/>
      <c r="UHQ49" s="316"/>
      <c r="UHR49" s="316"/>
      <c r="UHS49" s="316"/>
      <c r="UHT49" s="316"/>
      <c r="UHU49" s="316"/>
      <c r="UHV49" s="316"/>
      <c r="UHW49" s="316"/>
      <c r="UHX49" s="316"/>
      <c r="UHY49" s="316"/>
      <c r="UHZ49" s="316"/>
      <c r="UIA49" s="316"/>
      <c r="UIB49" s="316"/>
      <c r="UIC49" s="316"/>
      <c r="UID49" s="316"/>
      <c r="UIE49" s="316"/>
      <c r="UIF49" s="316"/>
      <c r="UIG49" s="316"/>
      <c r="UIH49" s="316"/>
      <c r="UII49" s="316"/>
      <c r="UIJ49" s="316"/>
      <c r="UIK49" s="316"/>
      <c r="UIL49" s="316"/>
      <c r="UIM49" s="316"/>
      <c r="UIN49" s="316"/>
      <c r="UIO49" s="316"/>
      <c r="UIP49" s="316"/>
      <c r="UIQ49" s="316"/>
      <c r="UIR49" s="316"/>
      <c r="UIS49" s="316"/>
      <c r="UIT49" s="316"/>
      <c r="UIU49" s="316"/>
      <c r="UIV49" s="316"/>
      <c r="UIW49" s="316"/>
      <c r="UIX49" s="316"/>
      <c r="UIY49" s="316"/>
      <c r="UIZ49" s="316"/>
      <c r="UJA49" s="316"/>
      <c r="UJB49" s="316"/>
      <c r="UJC49" s="316"/>
      <c r="UJD49" s="316"/>
      <c r="UJE49" s="316"/>
      <c r="UJF49" s="316"/>
      <c r="UJG49" s="316"/>
      <c r="UJH49" s="316"/>
      <c r="UJI49" s="316"/>
      <c r="UJJ49" s="316"/>
      <c r="UJK49" s="316"/>
      <c r="UJL49" s="316"/>
      <c r="UJM49" s="316"/>
      <c r="UJN49" s="316"/>
      <c r="UJO49" s="316"/>
      <c r="UJP49" s="316"/>
      <c r="UJQ49" s="316"/>
      <c r="UJR49" s="316"/>
      <c r="UJS49" s="316"/>
      <c r="UJT49" s="316"/>
      <c r="UJU49" s="316"/>
      <c r="UJV49" s="316"/>
      <c r="UJW49" s="316"/>
      <c r="UJX49" s="316"/>
      <c r="UJY49" s="316"/>
      <c r="UJZ49" s="316"/>
      <c r="UKA49" s="316"/>
      <c r="UKB49" s="316"/>
      <c r="UKC49" s="316"/>
      <c r="UKD49" s="316"/>
      <c r="UKE49" s="316"/>
      <c r="UKF49" s="316"/>
      <c r="UKG49" s="316"/>
      <c r="UKH49" s="316"/>
      <c r="UKI49" s="316"/>
      <c r="UKJ49" s="316"/>
      <c r="UKK49" s="316"/>
      <c r="UKL49" s="316"/>
      <c r="UKM49" s="316"/>
      <c r="UKN49" s="316"/>
      <c r="UKO49" s="316"/>
      <c r="UKP49" s="316"/>
      <c r="UKQ49" s="316"/>
      <c r="UKR49" s="316"/>
      <c r="UKS49" s="316"/>
      <c r="UKT49" s="316"/>
      <c r="UKU49" s="316"/>
      <c r="UKV49" s="316"/>
      <c r="UKW49" s="316"/>
      <c r="UKX49" s="316"/>
      <c r="UKY49" s="316"/>
      <c r="UKZ49" s="316"/>
      <c r="ULA49" s="316"/>
      <c r="ULB49" s="316"/>
      <c r="ULC49" s="316"/>
      <c r="ULD49" s="316"/>
      <c r="ULE49" s="316"/>
      <c r="ULF49" s="316"/>
      <c r="ULG49" s="316"/>
      <c r="ULH49" s="316"/>
      <c r="ULI49" s="316"/>
      <c r="ULJ49" s="316"/>
      <c r="ULK49" s="316"/>
      <c r="ULL49" s="316"/>
      <c r="ULM49" s="316"/>
      <c r="ULN49" s="316"/>
      <c r="ULO49" s="316"/>
      <c r="ULP49" s="316"/>
      <c r="ULQ49" s="316"/>
      <c r="ULR49" s="316"/>
      <c r="ULS49" s="316"/>
      <c r="ULT49" s="316"/>
      <c r="ULU49" s="316"/>
      <c r="ULV49" s="316"/>
      <c r="ULW49" s="316"/>
      <c r="ULX49" s="316"/>
      <c r="ULY49" s="316"/>
      <c r="ULZ49" s="316"/>
      <c r="UMA49" s="316"/>
      <c r="UMB49" s="316"/>
      <c r="UMC49" s="316"/>
      <c r="UMD49" s="316"/>
      <c r="UME49" s="316"/>
      <c r="UMF49" s="316"/>
      <c r="UMG49" s="316"/>
      <c r="UMH49" s="316"/>
      <c r="UMI49" s="316"/>
      <c r="UMJ49" s="316"/>
      <c r="UMK49" s="316"/>
      <c r="UML49" s="316"/>
      <c r="UMM49" s="316"/>
      <c r="UMN49" s="316"/>
      <c r="UMO49" s="316"/>
      <c r="UMP49" s="316"/>
      <c r="UMQ49" s="316"/>
      <c r="UMR49" s="316"/>
      <c r="UMS49" s="316"/>
      <c r="UMT49" s="316"/>
      <c r="UMU49" s="316"/>
      <c r="UMV49" s="316"/>
      <c r="UMW49" s="316"/>
      <c r="UMX49" s="316"/>
      <c r="UMY49" s="316"/>
      <c r="UMZ49" s="316"/>
      <c r="UNA49" s="316"/>
      <c r="UNB49" s="316"/>
      <c r="UNC49" s="316"/>
      <c r="UND49" s="316"/>
      <c r="UNE49" s="316"/>
      <c r="UNF49" s="316"/>
      <c r="UNG49" s="316"/>
      <c r="UNH49" s="316"/>
      <c r="UNI49" s="316"/>
      <c r="UNJ49" s="316"/>
      <c r="UNK49" s="316"/>
      <c r="UNL49" s="316"/>
      <c r="UNM49" s="316"/>
      <c r="UNN49" s="316"/>
      <c r="UNO49" s="316"/>
      <c r="UNP49" s="316"/>
      <c r="UNQ49" s="316"/>
      <c r="UNR49" s="316"/>
      <c r="UNS49" s="316"/>
      <c r="UNT49" s="316"/>
      <c r="UNU49" s="316"/>
      <c r="UNV49" s="316"/>
      <c r="UNW49" s="316"/>
      <c r="UNX49" s="316"/>
      <c r="UNY49" s="316"/>
      <c r="UNZ49" s="316"/>
      <c r="UOA49" s="316"/>
      <c r="UOB49" s="316"/>
      <c r="UOC49" s="316"/>
      <c r="UOD49" s="316"/>
      <c r="UOE49" s="316"/>
      <c r="UOF49" s="316"/>
      <c r="UOG49" s="316"/>
      <c r="UOH49" s="316"/>
      <c r="UOI49" s="316"/>
      <c r="UOJ49" s="316"/>
      <c r="UOK49" s="316"/>
      <c r="UOL49" s="316"/>
      <c r="UOM49" s="316"/>
      <c r="UON49" s="316"/>
      <c r="UOO49" s="316"/>
      <c r="UOP49" s="316"/>
      <c r="UOQ49" s="316"/>
      <c r="UOR49" s="316"/>
      <c r="UOS49" s="316"/>
      <c r="UOT49" s="316"/>
      <c r="UOU49" s="316"/>
      <c r="UOV49" s="316"/>
      <c r="UOW49" s="316"/>
      <c r="UOX49" s="316"/>
      <c r="UOY49" s="316"/>
      <c r="UOZ49" s="316"/>
      <c r="UPA49" s="316"/>
      <c r="UPB49" s="316"/>
      <c r="UPC49" s="316"/>
      <c r="UPD49" s="316"/>
      <c r="UPE49" s="316"/>
      <c r="UPF49" s="316"/>
      <c r="UPG49" s="316"/>
      <c r="UPH49" s="316"/>
      <c r="UPI49" s="316"/>
      <c r="UPJ49" s="316"/>
      <c r="UPK49" s="316"/>
      <c r="UPL49" s="316"/>
      <c r="UPM49" s="316"/>
      <c r="UPN49" s="316"/>
      <c r="UPO49" s="316"/>
      <c r="UPP49" s="316"/>
      <c r="UPQ49" s="316"/>
      <c r="UPR49" s="316"/>
      <c r="UPS49" s="316"/>
      <c r="UPT49" s="316"/>
      <c r="UPU49" s="316"/>
      <c r="UPV49" s="316"/>
      <c r="UPW49" s="316"/>
      <c r="UPX49" s="316"/>
      <c r="UPY49" s="316"/>
      <c r="UPZ49" s="316"/>
      <c r="UQA49" s="316"/>
      <c r="UQB49" s="316"/>
      <c r="UQC49" s="316"/>
      <c r="UQD49" s="316"/>
      <c r="UQE49" s="316"/>
      <c r="UQF49" s="316"/>
      <c r="UQG49" s="316"/>
      <c r="UQH49" s="316"/>
      <c r="UQI49" s="316"/>
      <c r="UQJ49" s="316"/>
      <c r="UQK49" s="316"/>
      <c r="UQL49" s="316"/>
      <c r="UQM49" s="316"/>
      <c r="UQN49" s="316"/>
      <c r="UQO49" s="316"/>
      <c r="UQP49" s="316"/>
      <c r="UQQ49" s="316"/>
      <c r="UQR49" s="316"/>
      <c r="UQS49" s="316"/>
      <c r="UQT49" s="316"/>
      <c r="UQU49" s="316"/>
      <c r="UQV49" s="316"/>
      <c r="UQW49" s="316"/>
      <c r="UQX49" s="316"/>
      <c r="UQY49" s="316"/>
      <c r="UQZ49" s="316"/>
      <c r="URA49" s="316"/>
      <c r="URB49" s="316"/>
      <c r="URC49" s="316"/>
      <c r="URD49" s="316"/>
      <c r="URE49" s="316"/>
      <c r="URF49" s="316"/>
      <c r="URG49" s="316"/>
      <c r="URH49" s="316"/>
      <c r="URI49" s="316"/>
      <c r="URJ49" s="316"/>
      <c r="URK49" s="316"/>
      <c r="URL49" s="316"/>
      <c r="URM49" s="316"/>
      <c r="URN49" s="316"/>
      <c r="URO49" s="316"/>
      <c r="URP49" s="316"/>
      <c r="URQ49" s="316"/>
      <c r="URR49" s="316"/>
      <c r="URS49" s="316"/>
      <c r="URT49" s="316"/>
      <c r="URU49" s="316"/>
      <c r="URV49" s="316"/>
      <c r="URW49" s="316"/>
      <c r="URX49" s="316"/>
      <c r="URY49" s="316"/>
      <c r="URZ49" s="316"/>
      <c r="USA49" s="316"/>
      <c r="USB49" s="316"/>
      <c r="USC49" s="316"/>
      <c r="USD49" s="316"/>
      <c r="USE49" s="316"/>
      <c r="USF49" s="316"/>
      <c r="USG49" s="316"/>
      <c r="USH49" s="316"/>
      <c r="USI49" s="316"/>
      <c r="USJ49" s="316"/>
      <c r="USK49" s="316"/>
      <c r="USL49" s="316"/>
      <c r="USM49" s="316"/>
      <c r="USN49" s="316"/>
      <c r="USO49" s="316"/>
      <c r="USP49" s="316"/>
      <c r="USQ49" s="316"/>
      <c r="USR49" s="316"/>
      <c r="USS49" s="316"/>
      <c r="UST49" s="316"/>
      <c r="USU49" s="316"/>
      <c r="USV49" s="316"/>
      <c r="USW49" s="316"/>
      <c r="USX49" s="316"/>
      <c r="USY49" s="316"/>
      <c r="USZ49" s="316"/>
      <c r="UTA49" s="316"/>
      <c r="UTB49" s="316"/>
      <c r="UTC49" s="316"/>
      <c r="UTD49" s="316"/>
      <c r="UTE49" s="316"/>
      <c r="UTF49" s="316"/>
      <c r="UTG49" s="316"/>
      <c r="UTH49" s="316"/>
      <c r="UTI49" s="316"/>
      <c r="UTJ49" s="316"/>
      <c r="UTK49" s="316"/>
      <c r="UTL49" s="316"/>
      <c r="UTM49" s="316"/>
      <c r="UTN49" s="316"/>
      <c r="UTO49" s="316"/>
      <c r="UTP49" s="316"/>
      <c r="UTQ49" s="316"/>
      <c r="UTR49" s="316"/>
      <c r="UTS49" s="316"/>
      <c r="UTT49" s="316"/>
      <c r="UTU49" s="316"/>
      <c r="UTV49" s="316"/>
      <c r="UTW49" s="316"/>
      <c r="UTX49" s="316"/>
      <c r="UTY49" s="316"/>
      <c r="UTZ49" s="316"/>
      <c r="UUA49" s="316"/>
      <c r="UUB49" s="316"/>
      <c r="UUC49" s="316"/>
      <c r="UUD49" s="316"/>
      <c r="UUE49" s="316"/>
      <c r="UUF49" s="316"/>
      <c r="UUG49" s="316"/>
      <c r="UUH49" s="316"/>
      <c r="UUI49" s="316"/>
      <c r="UUJ49" s="316"/>
      <c r="UUK49" s="316"/>
      <c r="UUL49" s="316"/>
      <c r="UUM49" s="316"/>
      <c r="UUN49" s="316"/>
      <c r="UUO49" s="316"/>
      <c r="UUP49" s="316"/>
      <c r="UUQ49" s="316"/>
      <c r="UUR49" s="316"/>
      <c r="UUS49" s="316"/>
      <c r="UUT49" s="316"/>
      <c r="UUU49" s="316"/>
      <c r="UUV49" s="316"/>
      <c r="UUW49" s="316"/>
      <c r="UUX49" s="316"/>
      <c r="UUY49" s="316"/>
      <c r="UUZ49" s="316"/>
      <c r="UVA49" s="316"/>
      <c r="UVB49" s="316"/>
      <c r="UVC49" s="316"/>
      <c r="UVD49" s="316"/>
      <c r="UVE49" s="316"/>
      <c r="UVF49" s="316"/>
      <c r="UVG49" s="316"/>
      <c r="UVH49" s="316"/>
      <c r="UVI49" s="316"/>
      <c r="UVJ49" s="316"/>
      <c r="UVK49" s="316"/>
      <c r="UVL49" s="316"/>
      <c r="UVM49" s="316"/>
      <c r="UVN49" s="316"/>
      <c r="UVO49" s="316"/>
      <c r="UVP49" s="316"/>
      <c r="UVQ49" s="316"/>
      <c r="UVR49" s="316"/>
      <c r="UVS49" s="316"/>
      <c r="UVT49" s="316"/>
      <c r="UVU49" s="316"/>
      <c r="UVV49" s="316"/>
      <c r="UVW49" s="316"/>
      <c r="UVX49" s="316"/>
      <c r="UVY49" s="316"/>
      <c r="UVZ49" s="316"/>
      <c r="UWA49" s="316"/>
      <c r="UWB49" s="316"/>
      <c r="UWC49" s="316"/>
      <c r="UWD49" s="316"/>
      <c r="UWE49" s="316"/>
      <c r="UWF49" s="316"/>
      <c r="UWG49" s="316"/>
      <c r="UWH49" s="316"/>
      <c r="UWI49" s="316"/>
      <c r="UWJ49" s="316"/>
      <c r="UWK49" s="316"/>
      <c r="UWL49" s="316"/>
      <c r="UWM49" s="316"/>
      <c r="UWN49" s="316"/>
      <c r="UWO49" s="316"/>
      <c r="UWP49" s="316"/>
      <c r="UWQ49" s="316"/>
      <c r="UWR49" s="316"/>
      <c r="UWS49" s="316"/>
      <c r="UWT49" s="316"/>
      <c r="UWU49" s="316"/>
      <c r="UWV49" s="316"/>
      <c r="UWW49" s="316"/>
      <c r="UWX49" s="316"/>
      <c r="UWY49" s="316"/>
      <c r="UWZ49" s="316"/>
      <c r="UXA49" s="316"/>
      <c r="UXB49" s="316"/>
      <c r="UXC49" s="316"/>
      <c r="UXD49" s="316"/>
      <c r="UXE49" s="316"/>
      <c r="UXF49" s="316"/>
      <c r="UXG49" s="316"/>
      <c r="UXH49" s="316"/>
      <c r="UXI49" s="316"/>
      <c r="UXJ49" s="316"/>
      <c r="UXK49" s="316"/>
      <c r="UXL49" s="316"/>
      <c r="UXM49" s="316"/>
      <c r="UXN49" s="316"/>
      <c r="UXO49" s="316"/>
      <c r="UXP49" s="316"/>
      <c r="UXQ49" s="316"/>
      <c r="UXR49" s="316"/>
      <c r="UXS49" s="316"/>
      <c r="UXT49" s="316"/>
      <c r="UXU49" s="316"/>
      <c r="UXV49" s="316"/>
      <c r="UXW49" s="316"/>
      <c r="UXX49" s="316"/>
      <c r="UXY49" s="316"/>
      <c r="UXZ49" s="316"/>
      <c r="UYA49" s="316"/>
      <c r="UYB49" s="316"/>
      <c r="UYC49" s="316"/>
      <c r="UYD49" s="316"/>
      <c r="UYE49" s="316"/>
      <c r="UYF49" s="316"/>
      <c r="UYG49" s="316"/>
      <c r="UYH49" s="316"/>
      <c r="UYI49" s="316"/>
      <c r="UYJ49" s="316"/>
      <c r="UYK49" s="316"/>
      <c r="UYL49" s="316"/>
      <c r="UYM49" s="316"/>
      <c r="UYN49" s="316"/>
      <c r="UYO49" s="316"/>
      <c r="UYP49" s="316"/>
      <c r="UYQ49" s="316"/>
      <c r="UYR49" s="316"/>
      <c r="UYS49" s="316"/>
      <c r="UYT49" s="316"/>
      <c r="UYU49" s="316"/>
      <c r="UYV49" s="316"/>
      <c r="UYW49" s="316"/>
      <c r="UYX49" s="316"/>
      <c r="UYY49" s="316"/>
      <c r="UYZ49" s="316"/>
      <c r="UZA49" s="316"/>
      <c r="UZB49" s="316"/>
      <c r="UZC49" s="316"/>
      <c r="UZD49" s="316"/>
      <c r="UZE49" s="316"/>
      <c r="UZF49" s="316"/>
      <c r="UZG49" s="316"/>
      <c r="UZH49" s="316"/>
      <c r="UZI49" s="316"/>
      <c r="UZJ49" s="316"/>
      <c r="UZK49" s="316"/>
      <c r="UZL49" s="316"/>
      <c r="UZM49" s="316"/>
      <c r="UZN49" s="316"/>
      <c r="UZO49" s="316"/>
      <c r="UZP49" s="316"/>
      <c r="UZQ49" s="316"/>
      <c r="UZR49" s="316"/>
      <c r="UZS49" s="316"/>
      <c r="UZT49" s="316"/>
      <c r="UZU49" s="316"/>
      <c r="UZV49" s="316"/>
      <c r="UZW49" s="316"/>
      <c r="UZX49" s="316"/>
      <c r="UZY49" s="316"/>
      <c r="UZZ49" s="316"/>
      <c r="VAA49" s="316"/>
      <c r="VAB49" s="316"/>
      <c r="VAC49" s="316"/>
      <c r="VAD49" s="316"/>
      <c r="VAE49" s="316"/>
      <c r="VAF49" s="316"/>
      <c r="VAG49" s="316"/>
      <c r="VAH49" s="316"/>
      <c r="VAI49" s="316"/>
      <c r="VAJ49" s="316"/>
      <c r="VAK49" s="316"/>
      <c r="VAL49" s="316"/>
      <c r="VAM49" s="316"/>
      <c r="VAN49" s="316"/>
      <c r="VAO49" s="316"/>
      <c r="VAP49" s="316"/>
      <c r="VAQ49" s="316"/>
      <c r="VAR49" s="316"/>
      <c r="VAS49" s="316"/>
      <c r="VAT49" s="316"/>
      <c r="VAU49" s="316"/>
      <c r="VAV49" s="316"/>
      <c r="VAW49" s="316"/>
      <c r="VAX49" s="316"/>
      <c r="VAY49" s="316"/>
      <c r="VAZ49" s="316"/>
      <c r="VBA49" s="316"/>
      <c r="VBB49" s="316"/>
      <c r="VBC49" s="316"/>
      <c r="VBD49" s="316"/>
      <c r="VBE49" s="316"/>
      <c r="VBF49" s="316"/>
      <c r="VBG49" s="316"/>
      <c r="VBH49" s="316"/>
      <c r="VBI49" s="316"/>
      <c r="VBJ49" s="316"/>
      <c r="VBK49" s="316"/>
      <c r="VBL49" s="316"/>
      <c r="VBM49" s="316"/>
      <c r="VBN49" s="316"/>
      <c r="VBO49" s="316"/>
      <c r="VBP49" s="316"/>
      <c r="VBQ49" s="316"/>
      <c r="VBR49" s="316"/>
      <c r="VBS49" s="316"/>
      <c r="VBT49" s="316"/>
      <c r="VBU49" s="316"/>
      <c r="VBV49" s="316"/>
      <c r="VBW49" s="316"/>
      <c r="VBX49" s="316"/>
      <c r="VBY49" s="316"/>
      <c r="VBZ49" s="316"/>
      <c r="VCA49" s="316"/>
      <c r="VCB49" s="316"/>
      <c r="VCC49" s="316"/>
      <c r="VCD49" s="316"/>
      <c r="VCE49" s="316"/>
      <c r="VCF49" s="316"/>
      <c r="VCG49" s="316"/>
      <c r="VCH49" s="316"/>
      <c r="VCI49" s="316"/>
      <c r="VCJ49" s="316"/>
      <c r="VCK49" s="316"/>
      <c r="VCL49" s="316"/>
      <c r="VCM49" s="316"/>
      <c r="VCN49" s="316"/>
      <c r="VCO49" s="316"/>
      <c r="VCP49" s="316"/>
      <c r="VCQ49" s="316"/>
      <c r="VCR49" s="316"/>
      <c r="VCS49" s="316"/>
      <c r="VCT49" s="316"/>
      <c r="VCU49" s="316"/>
      <c r="VCV49" s="316"/>
      <c r="VCW49" s="316"/>
      <c r="VCX49" s="316"/>
      <c r="VCY49" s="316"/>
      <c r="VCZ49" s="316"/>
      <c r="VDA49" s="316"/>
      <c r="VDB49" s="316"/>
      <c r="VDC49" s="316"/>
      <c r="VDD49" s="316"/>
      <c r="VDE49" s="316"/>
      <c r="VDF49" s="316"/>
      <c r="VDG49" s="316"/>
      <c r="VDH49" s="316"/>
      <c r="VDI49" s="316"/>
      <c r="VDJ49" s="316"/>
      <c r="VDK49" s="316"/>
      <c r="VDL49" s="316"/>
      <c r="VDM49" s="316"/>
      <c r="VDN49" s="316"/>
      <c r="VDO49" s="316"/>
      <c r="VDP49" s="316"/>
      <c r="VDQ49" s="316"/>
      <c r="VDR49" s="316"/>
      <c r="VDS49" s="316"/>
      <c r="VDT49" s="316"/>
      <c r="VDU49" s="316"/>
      <c r="VDV49" s="316"/>
      <c r="VDW49" s="316"/>
      <c r="VDX49" s="316"/>
      <c r="VDY49" s="316"/>
      <c r="VDZ49" s="316"/>
      <c r="VEA49" s="316"/>
      <c r="VEB49" s="316"/>
      <c r="VEC49" s="316"/>
      <c r="VED49" s="316"/>
      <c r="VEE49" s="316"/>
      <c r="VEF49" s="316"/>
      <c r="VEG49" s="316"/>
      <c r="VEH49" s="316"/>
      <c r="VEI49" s="316"/>
      <c r="VEJ49" s="316"/>
      <c r="VEK49" s="316"/>
      <c r="VEL49" s="316"/>
      <c r="VEM49" s="316"/>
      <c r="VEN49" s="316"/>
      <c r="VEO49" s="316"/>
      <c r="VEP49" s="316"/>
      <c r="VEQ49" s="316"/>
      <c r="VER49" s="316"/>
      <c r="VES49" s="316"/>
      <c r="VET49" s="316"/>
      <c r="VEU49" s="316"/>
      <c r="VEV49" s="316"/>
      <c r="VEW49" s="316"/>
      <c r="VEX49" s="316"/>
      <c r="VEY49" s="316"/>
      <c r="VEZ49" s="316"/>
      <c r="VFA49" s="316"/>
      <c r="VFB49" s="316"/>
      <c r="VFC49" s="316"/>
      <c r="VFD49" s="316"/>
      <c r="VFE49" s="316"/>
      <c r="VFF49" s="316"/>
      <c r="VFG49" s="316"/>
      <c r="VFH49" s="316"/>
      <c r="VFI49" s="316"/>
      <c r="VFJ49" s="316"/>
      <c r="VFK49" s="316"/>
      <c r="VFL49" s="316"/>
      <c r="VFM49" s="316"/>
      <c r="VFN49" s="316"/>
      <c r="VFO49" s="316"/>
      <c r="VFP49" s="316"/>
      <c r="VFQ49" s="316"/>
      <c r="VFR49" s="316"/>
      <c r="VFS49" s="316"/>
      <c r="VFT49" s="316"/>
      <c r="VFU49" s="316"/>
      <c r="VFV49" s="316"/>
      <c r="VFW49" s="316"/>
      <c r="VFX49" s="316"/>
      <c r="VFY49" s="316"/>
      <c r="VFZ49" s="316"/>
      <c r="VGA49" s="316"/>
      <c r="VGB49" s="316"/>
      <c r="VGC49" s="316"/>
      <c r="VGD49" s="316"/>
      <c r="VGE49" s="316"/>
      <c r="VGF49" s="316"/>
      <c r="VGG49" s="316"/>
      <c r="VGH49" s="316"/>
      <c r="VGI49" s="316"/>
      <c r="VGJ49" s="316"/>
      <c r="VGK49" s="316"/>
      <c r="VGL49" s="316"/>
      <c r="VGM49" s="316"/>
      <c r="VGN49" s="316"/>
      <c r="VGO49" s="316"/>
      <c r="VGP49" s="316"/>
      <c r="VGQ49" s="316"/>
      <c r="VGR49" s="316"/>
      <c r="VGS49" s="316"/>
      <c r="VGT49" s="316"/>
      <c r="VGU49" s="316"/>
      <c r="VGV49" s="316"/>
      <c r="VGW49" s="316"/>
      <c r="VGX49" s="316"/>
      <c r="VGY49" s="316"/>
      <c r="VGZ49" s="316"/>
      <c r="VHA49" s="316"/>
      <c r="VHB49" s="316"/>
      <c r="VHC49" s="316"/>
      <c r="VHD49" s="316"/>
      <c r="VHE49" s="316"/>
      <c r="VHF49" s="316"/>
      <c r="VHG49" s="316"/>
      <c r="VHH49" s="316"/>
      <c r="VHI49" s="316"/>
      <c r="VHJ49" s="316"/>
      <c r="VHK49" s="316"/>
      <c r="VHL49" s="316"/>
      <c r="VHM49" s="316"/>
      <c r="VHN49" s="316"/>
      <c r="VHO49" s="316"/>
      <c r="VHP49" s="316"/>
      <c r="VHQ49" s="316"/>
      <c r="VHR49" s="316"/>
      <c r="VHS49" s="316"/>
      <c r="VHT49" s="316"/>
      <c r="VHU49" s="316"/>
      <c r="VHV49" s="316"/>
      <c r="VHW49" s="316"/>
      <c r="VHX49" s="316"/>
      <c r="VHY49" s="316"/>
      <c r="VHZ49" s="316"/>
      <c r="VIA49" s="316"/>
      <c r="VIB49" s="316"/>
      <c r="VIC49" s="316"/>
      <c r="VID49" s="316"/>
      <c r="VIE49" s="316"/>
      <c r="VIF49" s="316"/>
      <c r="VIG49" s="316"/>
      <c r="VIH49" s="316"/>
      <c r="VII49" s="316"/>
      <c r="VIJ49" s="316"/>
      <c r="VIK49" s="316"/>
      <c r="VIL49" s="316"/>
      <c r="VIM49" s="316"/>
      <c r="VIN49" s="316"/>
      <c r="VIO49" s="316"/>
      <c r="VIP49" s="316"/>
      <c r="VIQ49" s="316"/>
      <c r="VIR49" s="316"/>
      <c r="VIS49" s="316"/>
      <c r="VIT49" s="316"/>
      <c r="VIU49" s="316"/>
      <c r="VIV49" s="316"/>
      <c r="VIW49" s="316"/>
      <c r="VIX49" s="316"/>
      <c r="VIY49" s="316"/>
      <c r="VIZ49" s="316"/>
      <c r="VJA49" s="316"/>
      <c r="VJB49" s="316"/>
      <c r="VJC49" s="316"/>
      <c r="VJD49" s="316"/>
      <c r="VJE49" s="316"/>
      <c r="VJF49" s="316"/>
      <c r="VJG49" s="316"/>
      <c r="VJH49" s="316"/>
      <c r="VJI49" s="316"/>
      <c r="VJJ49" s="316"/>
      <c r="VJK49" s="316"/>
      <c r="VJL49" s="316"/>
      <c r="VJM49" s="316"/>
      <c r="VJN49" s="316"/>
      <c r="VJO49" s="316"/>
      <c r="VJP49" s="316"/>
      <c r="VJQ49" s="316"/>
      <c r="VJR49" s="316"/>
      <c r="VJS49" s="316"/>
      <c r="VJT49" s="316"/>
      <c r="VJU49" s="316"/>
      <c r="VJV49" s="316"/>
      <c r="VJW49" s="316"/>
      <c r="VJX49" s="316"/>
      <c r="VJY49" s="316"/>
      <c r="VJZ49" s="316"/>
      <c r="VKA49" s="316"/>
      <c r="VKB49" s="316"/>
      <c r="VKC49" s="316"/>
      <c r="VKD49" s="316"/>
      <c r="VKE49" s="316"/>
      <c r="VKF49" s="316"/>
      <c r="VKG49" s="316"/>
      <c r="VKH49" s="316"/>
      <c r="VKI49" s="316"/>
      <c r="VKJ49" s="316"/>
      <c r="VKK49" s="316"/>
      <c r="VKL49" s="316"/>
      <c r="VKM49" s="316"/>
      <c r="VKN49" s="316"/>
      <c r="VKO49" s="316"/>
      <c r="VKP49" s="316"/>
      <c r="VKQ49" s="316"/>
      <c r="VKR49" s="316"/>
      <c r="VKS49" s="316"/>
      <c r="VKT49" s="316"/>
      <c r="VKU49" s="316"/>
      <c r="VKV49" s="316"/>
      <c r="VKW49" s="316"/>
      <c r="VKX49" s="316"/>
      <c r="VKY49" s="316"/>
      <c r="VKZ49" s="316"/>
      <c r="VLA49" s="316"/>
      <c r="VLB49" s="316"/>
      <c r="VLC49" s="316"/>
      <c r="VLD49" s="316"/>
      <c r="VLE49" s="316"/>
      <c r="VLF49" s="316"/>
      <c r="VLG49" s="316"/>
      <c r="VLH49" s="316"/>
      <c r="VLI49" s="316"/>
      <c r="VLJ49" s="316"/>
      <c r="VLK49" s="316"/>
      <c r="VLL49" s="316"/>
      <c r="VLM49" s="316"/>
      <c r="VLN49" s="316"/>
      <c r="VLO49" s="316"/>
      <c r="VLP49" s="316"/>
      <c r="VLQ49" s="316"/>
      <c r="VLR49" s="316"/>
      <c r="VLS49" s="316"/>
      <c r="VLT49" s="316"/>
      <c r="VLU49" s="316"/>
      <c r="VLV49" s="316"/>
      <c r="VLW49" s="316"/>
      <c r="VLX49" s="316"/>
      <c r="VLY49" s="316"/>
      <c r="VLZ49" s="316"/>
      <c r="VMA49" s="316"/>
      <c r="VMB49" s="316"/>
      <c r="VMC49" s="316"/>
      <c r="VMD49" s="316"/>
      <c r="VME49" s="316"/>
      <c r="VMF49" s="316"/>
      <c r="VMG49" s="316"/>
      <c r="VMH49" s="316"/>
      <c r="VMI49" s="316"/>
      <c r="VMJ49" s="316"/>
      <c r="VMK49" s="316"/>
      <c r="VML49" s="316"/>
      <c r="VMM49" s="316"/>
      <c r="VMN49" s="316"/>
      <c r="VMO49" s="316"/>
      <c r="VMP49" s="316"/>
      <c r="VMQ49" s="316"/>
      <c r="VMR49" s="316"/>
      <c r="VMS49" s="316"/>
      <c r="VMT49" s="316"/>
      <c r="VMU49" s="316"/>
      <c r="VMV49" s="316"/>
      <c r="VMW49" s="316"/>
      <c r="VMX49" s="316"/>
      <c r="VMY49" s="316"/>
      <c r="VMZ49" s="316"/>
      <c r="VNA49" s="316"/>
      <c r="VNB49" s="316"/>
      <c r="VNC49" s="316"/>
      <c r="VND49" s="316"/>
      <c r="VNE49" s="316"/>
      <c r="VNF49" s="316"/>
      <c r="VNG49" s="316"/>
      <c r="VNH49" s="316"/>
      <c r="VNI49" s="316"/>
      <c r="VNJ49" s="316"/>
      <c r="VNK49" s="316"/>
      <c r="VNL49" s="316"/>
      <c r="VNM49" s="316"/>
      <c r="VNN49" s="316"/>
      <c r="VNO49" s="316"/>
      <c r="VNP49" s="316"/>
      <c r="VNQ49" s="316"/>
      <c r="VNR49" s="316"/>
      <c r="VNS49" s="316"/>
      <c r="VNT49" s="316"/>
      <c r="VNU49" s="316"/>
      <c r="VNV49" s="316"/>
      <c r="VNW49" s="316"/>
      <c r="VNX49" s="316"/>
      <c r="VNY49" s="316"/>
      <c r="VNZ49" s="316"/>
      <c r="VOA49" s="316"/>
      <c r="VOB49" s="316"/>
      <c r="VOC49" s="316"/>
      <c r="VOD49" s="316"/>
      <c r="VOE49" s="316"/>
      <c r="VOF49" s="316"/>
      <c r="VOG49" s="316"/>
      <c r="VOH49" s="316"/>
      <c r="VOI49" s="316"/>
      <c r="VOJ49" s="316"/>
      <c r="VOK49" s="316"/>
      <c r="VOL49" s="316"/>
      <c r="VOM49" s="316"/>
      <c r="VON49" s="316"/>
      <c r="VOO49" s="316"/>
      <c r="VOP49" s="316"/>
      <c r="VOQ49" s="316"/>
      <c r="VOR49" s="316"/>
      <c r="VOS49" s="316"/>
      <c r="VOT49" s="316"/>
      <c r="VOU49" s="316"/>
      <c r="VOV49" s="316"/>
      <c r="VOW49" s="316"/>
      <c r="VOX49" s="316"/>
      <c r="VOY49" s="316"/>
      <c r="VOZ49" s="316"/>
      <c r="VPA49" s="316"/>
      <c r="VPB49" s="316"/>
      <c r="VPC49" s="316"/>
      <c r="VPD49" s="316"/>
      <c r="VPE49" s="316"/>
      <c r="VPF49" s="316"/>
      <c r="VPG49" s="316"/>
      <c r="VPH49" s="316"/>
      <c r="VPI49" s="316"/>
      <c r="VPJ49" s="316"/>
      <c r="VPK49" s="316"/>
      <c r="VPL49" s="316"/>
      <c r="VPM49" s="316"/>
      <c r="VPN49" s="316"/>
      <c r="VPO49" s="316"/>
      <c r="VPP49" s="316"/>
      <c r="VPQ49" s="316"/>
      <c r="VPR49" s="316"/>
      <c r="VPS49" s="316"/>
      <c r="VPT49" s="316"/>
      <c r="VPU49" s="316"/>
      <c r="VPV49" s="316"/>
      <c r="VPW49" s="316"/>
      <c r="VPX49" s="316"/>
      <c r="VPY49" s="316"/>
      <c r="VPZ49" s="316"/>
      <c r="VQA49" s="316"/>
      <c r="VQB49" s="316"/>
      <c r="VQC49" s="316"/>
      <c r="VQD49" s="316"/>
      <c r="VQE49" s="316"/>
      <c r="VQF49" s="316"/>
      <c r="VQG49" s="316"/>
      <c r="VQH49" s="316"/>
      <c r="VQI49" s="316"/>
      <c r="VQJ49" s="316"/>
      <c r="VQK49" s="316"/>
      <c r="VQL49" s="316"/>
      <c r="VQM49" s="316"/>
      <c r="VQN49" s="316"/>
      <c r="VQO49" s="316"/>
      <c r="VQP49" s="316"/>
      <c r="VQQ49" s="316"/>
      <c r="VQR49" s="316"/>
      <c r="VQS49" s="316"/>
      <c r="VQT49" s="316"/>
      <c r="VQU49" s="316"/>
      <c r="VQV49" s="316"/>
      <c r="VQW49" s="316"/>
      <c r="VQX49" s="316"/>
      <c r="VQY49" s="316"/>
      <c r="VQZ49" s="316"/>
      <c r="VRA49" s="316"/>
      <c r="VRB49" s="316"/>
      <c r="VRC49" s="316"/>
      <c r="VRD49" s="316"/>
      <c r="VRE49" s="316"/>
      <c r="VRF49" s="316"/>
      <c r="VRG49" s="316"/>
      <c r="VRH49" s="316"/>
      <c r="VRI49" s="316"/>
      <c r="VRJ49" s="316"/>
      <c r="VRK49" s="316"/>
      <c r="VRL49" s="316"/>
      <c r="VRM49" s="316"/>
      <c r="VRN49" s="316"/>
      <c r="VRO49" s="316"/>
      <c r="VRP49" s="316"/>
      <c r="VRQ49" s="316"/>
      <c r="VRR49" s="316"/>
      <c r="VRS49" s="316"/>
      <c r="VRT49" s="316"/>
      <c r="VRU49" s="316"/>
      <c r="VRV49" s="316"/>
      <c r="VRW49" s="316"/>
      <c r="VRX49" s="316"/>
      <c r="VRY49" s="316"/>
      <c r="VRZ49" s="316"/>
      <c r="VSA49" s="316"/>
      <c r="VSB49" s="316"/>
      <c r="VSC49" s="316"/>
      <c r="VSD49" s="316"/>
      <c r="VSE49" s="316"/>
      <c r="VSF49" s="316"/>
      <c r="VSG49" s="316"/>
      <c r="VSH49" s="316"/>
      <c r="VSI49" s="316"/>
      <c r="VSJ49" s="316"/>
      <c r="VSK49" s="316"/>
      <c r="VSL49" s="316"/>
      <c r="VSM49" s="316"/>
      <c r="VSN49" s="316"/>
      <c r="VSO49" s="316"/>
      <c r="VSP49" s="316"/>
      <c r="VSQ49" s="316"/>
      <c r="VSR49" s="316"/>
      <c r="VSS49" s="316"/>
      <c r="VST49" s="316"/>
      <c r="VSU49" s="316"/>
      <c r="VSV49" s="316"/>
      <c r="VSW49" s="316"/>
      <c r="VSX49" s="316"/>
      <c r="VSY49" s="316"/>
      <c r="VSZ49" s="316"/>
      <c r="VTA49" s="316"/>
      <c r="VTB49" s="316"/>
      <c r="VTC49" s="316"/>
      <c r="VTD49" s="316"/>
      <c r="VTE49" s="316"/>
      <c r="VTF49" s="316"/>
      <c r="VTG49" s="316"/>
      <c r="VTH49" s="316"/>
      <c r="VTI49" s="316"/>
      <c r="VTJ49" s="316"/>
      <c r="VTK49" s="316"/>
      <c r="VTL49" s="316"/>
      <c r="VTM49" s="316"/>
      <c r="VTN49" s="316"/>
      <c r="VTO49" s="316"/>
      <c r="VTP49" s="316"/>
      <c r="VTQ49" s="316"/>
      <c r="VTR49" s="316"/>
      <c r="VTS49" s="316"/>
      <c r="VTT49" s="316"/>
      <c r="VTU49" s="316"/>
      <c r="VTV49" s="316"/>
      <c r="VTW49" s="316"/>
      <c r="VTX49" s="316"/>
      <c r="VTY49" s="316"/>
      <c r="VTZ49" s="316"/>
      <c r="VUA49" s="316"/>
      <c r="VUB49" s="316"/>
      <c r="VUC49" s="316"/>
      <c r="VUD49" s="316"/>
      <c r="VUE49" s="316"/>
      <c r="VUF49" s="316"/>
      <c r="VUG49" s="316"/>
      <c r="VUH49" s="316"/>
      <c r="VUI49" s="316"/>
      <c r="VUJ49" s="316"/>
      <c r="VUK49" s="316"/>
      <c r="VUL49" s="316"/>
      <c r="VUM49" s="316"/>
      <c r="VUN49" s="316"/>
      <c r="VUO49" s="316"/>
      <c r="VUP49" s="316"/>
      <c r="VUQ49" s="316"/>
      <c r="VUR49" s="316"/>
      <c r="VUS49" s="316"/>
      <c r="VUT49" s="316"/>
      <c r="VUU49" s="316"/>
      <c r="VUV49" s="316"/>
      <c r="VUW49" s="316"/>
      <c r="VUX49" s="316"/>
      <c r="VUY49" s="316"/>
      <c r="VUZ49" s="316"/>
      <c r="VVA49" s="316"/>
      <c r="VVB49" s="316"/>
      <c r="VVC49" s="316"/>
      <c r="VVD49" s="316"/>
      <c r="VVE49" s="316"/>
      <c r="VVF49" s="316"/>
      <c r="VVG49" s="316"/>
      <c r="VVH49" s="316"/>
      <c r="VVI49" s="316"/>
      <c r="VVJ49" s="316"/>
      <c r="VVK49" s="316"/>
      <c r="VVL49" s="316"/>
      <c r="VVM49" s="316"/>
      <c r="VVN49" s="316"/>
      <c r="VVO49" s="316"/>
      <c r="VVP49" s="316"/>
      <c r="VVQ49" s="316"/>
      <c r="VVR49" s="316"/>
      <c r="VVS49" s="316"/>
      <c r="VVT49" s="316"/>
      <c r="VVU49" s="316"/>
      <c r="VVV49" s="316"/>
      <c r="VVW49" s="316"/>
      <c r="VVX49" s="316"/>
      <c r="VVY49" s="316"/>
      <c r="VVZ49" s="316"/>
      <c r="VWA49" s="316"/>
      <c r="VWB49" s="316"/>
      <c r="VWC49" s="316"/>
      <c r="VWD49" s="316"/>
      <c r="VWE49" s="316"/>
      <c r="VWF49" s="316"/>
      <c r="VWG49" s="316"/>
      <c r="VWH49" s="316"/>
      <c r="VWI49" s="316"/>
      <c r="VWJ49" s="316"/>
      <c r="VWK49" s="316"/>
      <c r="VWL49" s="316"/>
      <c r="VWM49" s="316"/>
      <c r="VWN49" s="316"/>
      <c r="VWO49" s="316"/>
      <c r="VWP49" s="316"/>
      <c r="VWQ49" s="316"/>
      <c r="VWR49" s="316"/>
      <c r="VWS49" s="316"/>
      <c r="VWT49" s="316"/>
      <c r="VWU49" s="316"/>
      <c r="VWV49" s="316"/>
      <c r="VWW49" s="316"/>
      <c r="VWX49" s="316"/>
      <c r="VWY49" s="316"/>
      <c r="VWZ49" s="316"/>
      <c r="VXA49" s="316"/>
      <c r="VXB49" s="316"/>
      <c r="VXC49" s="316"/>
      <c r="VXD49" s="316"/>
      <c r="VXE49" s="316"/>
      <c r="VXF49" s="316"/>
      <c r="VXG49" s="316"/>
      <c r="VXH49" s="316"/>
      <c r="VXI49" s="316"/>
      <c r="VXJ49" s="316"/>
      <c r="VXK49" s="316"/>
      <c r="VXL49" s="316"/>
      <c r="VXM49" s="316"/>
      <c r="VXN49" s="316"/>
      <c r="VXO49" s="316"/>
      <c r="VXP49" s="316"/>
      <c r="VXQ49" s="316"/>
      <c r="VXR49" s="316"/>
      <c r="VXS49" s="316"/>
      <c r="VXT49" s="316"/>
      <c r="VXU49" s="316"/>
      <c r="VXV49" s="316"/>
      <c r="VXW49" s="316"/>
      <c r="VXX49" s="316"/>
      <c r="VXY49" s="316"/>
      <c r="VXZ49" s="316"/>
      <c r="VYA49" s="316"/>
      <c r="VYB49" s="316"/>
      <c r="VYC49" s="316"/>
      <c r="VYD49" s="316"/>
      <c r="VYE49" s="316"/>
      <c r="VYF49" s="316"/>
      <c r="VYG49" s="316"/>
      <c r="VYH49" s="316"/>
      <c r="VYI49" s="316"/>
      <c r="VYJ49" s="316"/>
      <c r="VYK49" s="316"/>
      <c r="VYL49" s="316"/>
      <c r="VYM49" s="316"/>
      <c r="VYN49" s="316"/>
      <c r="VYO49" s="316"/>
      <c r="VYP49" s="316"/>
      <c r="VYQ49" s="316"/>
      <c r="VYR49" s="316"/>
      <c r="VYS49" s="316"/>
      <c r="VYT49" s="316"/>
      <c r="VYU49" s="316"/>
      <c r="VYV49" s="316"/>
      <c r="VYW49" s="316"/>
      <c r="VYX49" s="316"/>
      <c r="VYY49" s="316"/>
      <c r="VYZ49" s="316"/>
      <c r="VZA49" s="316"/>
      <c r="VZB49" s="316"/>
      <c r="VZC49" s="316"/>
      <c r="VZD49" s="316"/>
      <c r="VZE49" s="316"/>
      <c r="VZF49" s="316"/>
      <c r="VZG49" s="316"/>
      <c r="VZH49" s="316"/>
      <c r="VZI49" s="316"/>
      <c r="VZJ49" s="316"/>
      <c r="VZK49" s="316"/>
      <c r="VZL49" s="316"/>
      <c r="VZM49" s="316"/>
      <c r="VZN49" s="316"/>
      <c r="VZO49" s="316"/>
      <c r="VZP49" s="316"/>
      <c r="VZQ49" s="316"/>
      <c r="VZR49" s="316"/>
      <c r="VZS49" s="316"/>
      <c r="VZT49" s="316"/>
      <c r="VZU49" s="316"/>
      <c r="VZV49" s="316"/>
      <c r="VZW49" s="316"/>
      <c r="VZX49" s="316"/>
      <c r="VZY49" s="316"/>
      <c r="VZZ49" s="316"/>
      <c r="WAA49" s="316"/>
      <c r="WAB49" s="316"/>
      <c r="WAC49" s="316"/>
      <c r="WAD49" s="316"/>
      <c r="WAE49" s="316"/>
      <c r="WAF49" s="316"/>
      <c r="WAG49" s="316"/>
      <c r="WAH49" s="316"/>
      <c r="WAI49" s="316"/>
      <c r="WAJ49" s="316"/>
      <c r="WAK49" s="316"/>
      <c r="WAL49" s="316"/>
      <c r="WAM49" s="316"/>
      <c r="WAN49" s="316"/>
      <c r="WAO49" s="316"/>
      <c r="WAP49" s="316"/>
      <c r="WAQ49" s="316"/>
      <c r="WAR49" s="316"/>
      <c r="WAS49" s="316"/>
      <c r="WAT49" s="316"/>
      <c r="WAU49" s="316"/>
      <c r="WAV49" s="316"/>
      <c r="WAW49" s="316"/>
      <c r="WAX49" s="316"/>
      <c r="WAY49" s="316"/>
      <c r="WAZ49" s="316"/>
      <c r="WBA49" s="316"/>
      <c r="WBB49" s="316"/>
      <c r="WBC49" s="316"/>
      <c r="WBD49" s="316"/>
      <c r="WBE49" s="316"/>
      <c r="WBF49" s="316"/>
      <c r="WBG49" s="316"/>
      <c r="WBH49" s="316"/>
      <c r="WBI49" s="316"/>
      <c r="WBJ49" s="316"/>
      <c r="WBK49" s="316"/>
      <c r="WBL49" s="316"/>
      <c r="WBM49" s="316"/>
      <c r="WBN49" s="316"/>
      <c r="WBO49" s="316"/>
      <c r="WBP49" s="316"/>
      <c r="WBQ49" s="316"/>
      <c r="WBR49" s="316"/>
      <c r="WBS49" s="316"/>
      <c r="WBT49" s="316"/>
      <c r="WBU49" s="316"/>
      <c r="WBV49" s="316"/>
      <c r="WBW49" s="316"/>
      <c r="WBX49" s="316"/>
      <c r="WBY49" s="316"/>
      <c r="WBZ49" s="316"/>
      <c r="WCA49" s="316"/>
      <c r="WCB49" s="316"/>
      <c r="WCC49" s="316"/>
      <c r="WCD49" s="316"/>
      <c r="WCE49" s="316"/>
      <c r="WCF49" s="316"/>
      <c r="WCG49" s="316"/>
      <c r="WCH49" s="316"/>
      <c r="WCI49" s="316"/>
      <c r="WCJ49" s="316"/>
      <c r="WCK49" s="316"/>
      <c r="WCL49" s="316"/>
      <c r="WCM49" s="316"/>
      <c r="WCN49" s="316"/>
      <c r="WCO49" s="316"/>
      <c r="WCP49" s="316"/>
      <c r="WCQ49" s="316"/>
      <c r="WCR49" s="316"/>
      <c r="WCS49" s="316"/>
      <c r="WCT49" s="316"/>
      <c r="WCU49" s="316"/>
      <c r="WCV49" s="316"/>
      <c r="WCW49" s="316"/>
      <c r="WCX49" s="316"/>
      <c r="WCY49" s="316"/>
      <c r="WCZ49" s="316"/>
      <c r="WDA49" s="316"/>
      <c r="WDB49" s="316"/>
      <c r="WDC49" s="316"/>
      <c r="WDD49" s="316"/>
      <c r="WDE49" s="316"/>
      <c r="WDF49" s="316"/>
      <c r="WDG49" s="316"/>
      <c r="WDH49" s="316"/>
      <c r="WDI49" s="316"/>
      <c r="WDJ49" s="316"/>
      <c r="WDK49" s="316"/>
      <c r="WDL49" s="316"/>
      <c r="WDM49" s="316"/>
      <c r="WDN49" s="316"/>
      <c r="WDO49" s="316"/>
      <c r="WDP49" s="316"/>
      <c r="WDQ49" s="316"/>
      <c r="WDR49" s="316"/>
      <c r="WDS49" s="316"/>
      <c r="WDT49" s="316"/>
      <c r="WDU49" s="316"/>
      <c r="WDV49" s="316"/>
      <c r="WDW49" s="316"/>
      <c r="WDX49" s="316"/>
      <c r="WDY49" s="316"/>
      <c r="WDZ49" s="316"/>
      <c r="WEA49" s="316"/>
      <c r="WEB49" s="316"/>
      <c r="WEC49" s="316"/>
      <c r="WED49" s="316"/>
      <c r="WEE49" s="316"/>
      <c r="WEF49" s="316"/>
      <c r="WEG49" s="316"/>
      <c r="WEH49" s="316"/>
      <c r="WEI49" s="316"/>
      <c r="WEJ49" s="316"/>
      <c r="WEK49" s="316"/>
      <c r="WEL49" s="316"/>
      <c r="WEM49" s="316"/>
      <c r="WEN49" s="316"/>
      <c r="WEO49" s="316"/>
      <c r="WEP49" s="316"/>
      <c r="WEQ49" s="316"/>
      <c r="WER49" s="316"/>
      <c r="WES49" s="316"/>
      <c r="WET49" s="316"/>
      <c r="WEU49" s="316"/>
      <c r="WEV49" s="316"/>
      <c r="WEW49" s="316"/>
      <c r="WEX49" s="316"/>
      <c r="WEY49" s="316"/>
      <c r="WEZ49" s="316"/>
      <c r="WFA49" s="316"/>
      <c r="WFB49" s="316"/>
      <c r="WFC49" s="316"/>
      <c r="WFD49" s="316"/>
      <c r="WFE49" s="316"/>
      <c r="WFF49" s="316"/>
      <c r="WFG49" s="316"/>
      <c r="WFH49" s="316"/>
      <c r="WFI49" s="316"/>
      <c r="WFJ49" s="316"/>
      <c r="WFK49" s="316"/>
      <c r="WFL49" s="316"/>
      <c r="WFM49" s="316"/>
      <c r="WFN49" s="316"/>
      <c r="WFO49" s="316"/>
      <c r="WFP49" s="316"/>
      <c r="WFQ49" s="316"/>
      <c r="WFR49" s="316"/>
      <c r="WFS49" s="316"/>
      <c r="WFT49" s="316"/>
      <c r="WFU49" s="316"/>
      <c r="WFV49" s="316"/>
      <c r="WFW49" s="316"/>
      <c r="WFX49" s="316"/>
      <c r="WFY49" s="316"/>
      <c r="WFZ49" s="316"/>
      <c r="WGA49" s="316"/>
      <c r="WGB49" s="316"/>
      <c r="WGC49" s="316"/>
      <c r="WGD49" s="316"/>
      <c r="WGE49" s="316"/>
      <c r="WGF49" s="316"/>
      <c r="WGG49" s="316"/>
      <c r="WGH49" s="316"/>
      <c r="WGI49" s="316"/>
      <c r="WGJ49" s="316"/>
      <c r="WGK49" s="316"/>
      <c r="WGL49" s="316"/>
      <c r="WGM49" s="316"/>
      <c r="WGN49" s="316"/>
      <c r="WGO49" s="316"/>
      <c r="WGP49" s="316"/>
      <c r="WGQ49" s="316"/>
      <c r="WGR49" s="316"/>
      <c r="WGS49" s="316"/>
      <c r="WGT49" s="316"/>
      <c r="WGU49" s="316"/>
      <c r="WGV49" s="316"/>
      <c r="WGW49" s="316"/>
      <c r="WGX49" s="316"/>
      <c r="WGY49" s="316"/>
      <c r="WGZ49" s="316"/>
      <c r="WHA49" s="316"/>
      <c r="WHB49" s="316"/>
      <c r="WHC49" s="316"/>
      <c r="WHD49" s="316"/>
      <c r="WHE49" s="316"/>
      <c r="WHF49" s="316"/>
      <c r="WHG49" s="316"/>
      <c r="WHH49" s="316"/>
      <c r="WHI49" s="316"/>
      <c r="WHJ49" s="316"/>
      <c r="WHK49" s="316"/>
      <c r="WHL49" s="316"/>
      <c r="WHM49" s="316"/>
      <c r="WHN49" s="316"/>
      <c r="WHO49" s="316"/>
      <c r="WHP49" s="316"/>
      <c r="WHQ49" s="316"/>
      <c r="WHR49" s="316"/>
      <c r="WHS49" s="316"/>
      <c r="WHT49" s="316"/>
      <c r="WHU49" s="316"/>
      <c r="WHV49" s="316"/>
      <c r="WHW49" s="316"/>
      <c r="WHX49" s="316"/>
      <c r="WHY49" s="316"/>
      <c r="WHZ49" s="316"/>
      <c r="WIA49" s="316"/>
      <c r="WIB49" s="316"/>
      <c r="WIC49" s="316"/>
      <c r="WID49" s="316"/>
      <c r="WIE49" s="316"/>
      <c r="WIF49" s="316"/>
      <c r="WIG49" s="316"/>
      <c r="WIH49" s="316"/>
      <c r="WII49" s="316"/>
      <c r="WIJ49" s="316"/>
      <c r="WIK49" s="316"/>
      <c r="WIL49" s="316"/>
      <c r="WIM49" s="316"/>
      <c r="WIN49" s="316"/>
      <c r="WIO49" s="316"/>
      <c r="WIP49" s="316"/>
      <c r="WIQ49" s="316"/>
      <c r="WIR49" s="316"/>
      <c r="WIS49" s="316"/>
      <c r="WIT49" s="316"/>
      <c r="WIU49" s="316"/>
      <c r="WIV49" s="316"/>
      <c r="WIW49" s="316"/>
      <c r="WIX49" s="316"/>
      <c r="WIY49" s="316"/>
      <c r="WIZ49" s="316"/>
      <c r="WJA49" s="316"/>
      <c r="WJB49" s="316"/>
      <c r="WJC49" s="316"/>
      <c r="WJD49" s="316"/>
      <c r="WJE49" s="316"/>
      <c r="WJF49" s="316"/>
      <c r="WJG49" s="316"/>
      <c r="WJH49" s="316"/>
      <c r="WJI49" s="316"/>
      <c r="WJJ49" s="316"/>
      <c r="WJK49" s="316"/>
      <c r="WJL49" s="316"/>
      <c r="WJM49" s="316"/>
      <c r="WJN49" s="316"/>
      <c r="WJO49" s="316"/>
      <c r="WJP49" s="316"/>
      <c r="WJQ49" s="316"/>
      <c r="WJR49" s="316"/>
      <c r="WJS49" s="316"/>
      <c r="WJT49" s="316"/>
      <c r="WJU49" s="316"/>
      <c r="WJV49" s="316"/>
      <c r="WJW49" s="316"/>
      <c r="WJX49" s="316"/>
      <c r="WJY49" s="316"/>
      <c r="WJZ49" s="316"/>
      <c r="WKA49" s="316"/>
      <c r="WKB49" s="316"/>
      <c r="WKC49" s="316"/>
      <c r="WKD49" s="316"/>
      <c r="WKE49" s="316"/>
      <c r="WKF49" s="316"/>
      <c r="WKG49" s="316"/>
      <c r="WKH49" s="316"/>
      <c r="WKI49" s="316"/>
      <c r="WKJ49" s="316"/>
      <c r="WKK49" s="316"/>
      <c r="WKL49" s="316"/>
      <c r="WKM49" s="316"/>
      <c r="WKN49" s="316"/>
      <c r="WKO49" s="316"/>
      <c r="WKP49" s="316"/>
      <c r="WKQ49" s="316"/>
      <c r="WKR49" s="316"/>
      <c r="WKS49" s="316"/>
      <c r="WKT49" s="316"/>
      <c r="WKU49" s="316"/>
      <c r="WKV49" s="316"/>
      <c r="WKW49" s="316"/>
      <c r="WKX49" s="316"/>
      <c r="WKY49" s="316"/>
      <c r="WKZ49" s="316"/>
      <c r="WLA49" s="316"/>
      <c r="WLB49" s="316"/>
      <c r="WLC49" s="316"/>
      <c r="WLD49" s="316"/>
      <c r="WLE49" s="316"/>
      <c r="WLF49" s="316"/>
      <c r="WLG49" s="316"/>
      <c r="WLH49" s="316"/>
      <c r="WLI49" s="316"/>
      <c r="WLJ49" s="316"/>
      <c r="WLK49" s="316"/>
      <c r="WLL49" s="316"/>
      <c r="WLM49" s="316"/>
      <c r="WLN49" s="316"/>
      <c r="WLO49" s="316"/>
      <c r="WLP49" s="316"/>
      <c r="WLQ49" s="316"/>
      <c r="WLR49" s="316"/>
      <c r="WLS49" s="316"/>
      <c r="WLT49" s="316"/>
      <c r="WLU49" s="316"/>
      <c r="WLV49" s="316"/>
      <c r="WLW49" s="316"/>
      <c r="WLX49" s="316"/>
      <c r="WLY49" s="316"/>
      <c r="WLZ49" s="316"/>
      <c r="WMA49" s="316"/>
      <c r="WMB49" s="316"/>
      <c r="WMC49" s="316"/>
      <c r="WMD49" s="316"/>
      <c r="WME49" s="316"/>
      <c r="WMF49" s="316"/>
      <c r="WMG49" s="316"/>
      <c r="WMH49" s="316"/>
      <c r="WMI49" s="316"/>
      <c r="WMJ49" s="316"/>
      <c r="WMK49" s="316"/>
      <c r="WML49" s="316"/>
      <c r="WMM49" s="316"/>
      <c r="WMN49" s="316"/>
      <c r="WMO49" s="316"/>
      <c r="WMP49" s="316"/>
      <c r="WMQ49" s="316"/>
      <c r="WMR49" s="316"/>
      <c r="WMS49" s="316"/>
      <c r="WMT49" s="316"/>
      <c r="WMU49" s="316"/>
      <c r="WMV49" s="316"/>
      <c r="WMW49" s="316"/>
      <c r="WMX49" s="316"/>
      <c r="WMY49" s="316"/>
      <c r="WMZ49" s="316"/>
      <c r="WNA49" s="316"/>
      <c r="WNB49" s="316"/>
      <c r="WNC49" s="316"/>
      <c r="WND49" s="316"/>
      <c r="WNE49" s="316"/>
      <c r="WNF49" s="316"/>
      <c r="WNG49" s="316"/>
      <c r="WNH49" s="316"/>
      <c r="WNI49" s="316"/>
      <c r="WNJ49" s="316"/>
      <c r="WNK49" s="316"/>
      <c r="WNL49" s="316"/>
      <c r="WNM49" s="316"/>
      <c r="WNN49" s="316"/>
      <c r="WNO49" s="316"/>
      <c r="WNP49" s="316"/>
      <c r="WNQ49" s="316"/>
      <c r="WNR49" s="316"/>
      <c r="WNS49" s="316"/>
      <c r="WNT49" s="316"/>
      <c r="WNU49" s="316"/>
      <c r="WNV49" s="316"/>
      <c r="WNW49" s="316"/>
      <c r="WNX49" s="316"/>
      <c r="WNY49" s="316"/>
      <c r="WNZ49" s="316"/>
      <c r="WOA49" s="316"/>
      <c r="WOB49" s="316"/>
      <c r="WOC49" s="316"/>
      <c r="WOD49" s="316"/>
      <c r="WOE49" s="316"/>
      <c r="WOF49" s="316"/>
      <c r="WOG49" s="316"/>
      <c r="WOH49" s="316"/>
      <c r="WOI49" s="316"/>
      <c r="WOJ49" s="316"/>
      <c r="WOK49" s="316"/>
      <c r="WOL49" s="316"/>
      <c r="WOM49" s="316"/>
      <c r="WON49" s="316"/>
      <c r="WOO49" s="316"/>
      <c r="WOP49" s="316"/>
      <c r="WOQ49" s="316"/>
      <c r="WOR49" s="316"/>
      <c r="WOS49" s="316"/>
      <c r="WOT49" s="316"/>
      <c r="WOU49" s="316"/>
      <c r="WOV49" s="316"/>
      <c r="WOW49" s="316"/>
      <c r="WOX49" s="316"/>
      <c r="WOY49" s="316"/>
      <c r="WOZ49" s="316"/>
      <c r="WPA49" s="316"/>
      <c r="WPB49" s="316"/>
      <c r="WPC49" s="316"/>
      <c r="WPD49" s="316"/>
      <c r="WPE49" s="316"/>
      <c r="WPF49" s="316"/>
      <c r="WPG49" s="316"/>
      <c r="WPH49" s="316"/>
      <c r="WPI49" s="316"/>
      <c r="WPJ49" s="316"/>
      <c r="WPK49" s="316"/>
      <c r="WPL49" s="316"/>
      <c r="WPM49" s="316"/>
      <c r="WPN49" s="316"/>
      <c r="WPO49" s="316"/>
      <c r="WPP49" s="316"/>
      <c r="WPQ49" s="316"/>
      <c r="WPR49" s="316"/>
      <c r="WPS49" s="316"/>
      <c r="WPT49" s="316"/>
      <c r="WPU49" s="316"/>
      <c r="WPV49" s="316"/>
      <c r="WPW49" s="316"/>
      <c r="WPX49" s="316"/>
      <c r="WPY49" s="316"/>
      <c r="WPZ49" s="316"/>
      <c r="WQA49" s="316"/>
      <c r="WQB49" s="316"/>
      <c r="WQC49" s="316"/>
      <c r="WQD49" s="316"/>
      <c r="WQE49" s="316"/>
      <c r="WQF49" s="316"/>
      <c r="WQG49" s="316"/>
      <c r="WQH49" s="316"/>
      <c r="WQI49" s="316"/>
      <c r="WQJ49" s="316"/>
      <c r="WQK49" s="316"/>
      <c r="WQL49" s="316"/>
      <c r="WQM49" s="316"/>
      <c r="WQN49" s="316"/>
      <c r="WQO49" s="316"/>
      <c r="WQP49" s="316"/>
      <c r="WQQ49" s="316"/>
      <c r="WQR49" s="316"/>
      <c r="WQS49" s="316"/>
      <c r="WQT49" s="316"/>
      <c r="WQU49" s="316"/>
      <c r="WQV49" s="316"/>
      <c r="WQW49" s="316"/>
      <c r="WQX49" s="316"/>
      <c r="WQY49" s="316"/>
      <c r="WQZ49" s="316"/>
      <c r="WRA49" s="316"/>
      <c r="WRB49" s="316"/>
      <c r="WRC49" s="316"/>
      <c r="WRD49" s="316"/>
      <c r="WRE49" s="316"/>
      <c r="WRF49" s="316"/>
      <c r="WRG49" s="316"/>
      <c r="WRH49" s="316"/>
      <c r="WRI49" s="316"/>
      <c r="WRJ49" s="316"/>
      <c r="WRK49" s="316"/>
      <c r="WRL49" s="316"/>
      <c r="WRM49" s="316"/>
      <c r="WRN49" s="316"/>
      <c r="WRO49" s="316"/>
      <c r="WRP49" s="316"/>
      <c r="WRQ49" s="316"/>
      <c r="WRR49" s="316"/>
      <c r="WRS49" s="316"/>
      <c r="WRT49" s="316"/>
      <c r="WRU49" s="316"/>
      <c r="WRV49" s="316"/>
      <c r="WRW49" s="316"/>
      <c r="WRX49" s="316"/>
      <c r="WRY49" s="316"/>
      <c r="WRZ49" s="316"/>
      <c r="WSA49" s="316"/>
      <c r="WSB49" s="316"/>
      <c r="WSC49" s="316"/>
      <c r="WSD49" s="316"/>
      <c r="WSE49" s="316"/>
      <c r="WSF49" s="316"/>
      <c r="WSG49" s="316"/>
      <c r="WSH49" s="316"/>
      <c r="WSI49" s="316"/>
      <c r="WSJ49" s="316"/>
      <c r="WSK49" s="316"/>
      <c r="WSL49" s="316"/>
      <c r="WSM49" s="316"/>
      <c r="WSN49" s="316"/>
      <c r="WSO49" s="316"/>
      <c r="WSP49" s="316"/>
      <c r="WSQ49" s="316"/>
      <c r="WSR49" s="316"/>
      <c r="WSS49" s="316"/>
      <c r="WST49" s="316"/>
      <c r="WSU49" s="316"/>
      <c r="WSV49" s="316"/>
      <c r="WSW49" s="316"/>
      <c r="WSX49" s="316"/>
      <c r="WSY49" s="316"/>
      <c r="WSZ49" s="316"/>
      <c r="WTA49" s="316"/>
      <c r="WTB49" s="316"/>
      <c r="WTC49" s="316"/>
      <c r="WTD49" s="316"/>
      <c r="WTE49" s="316"/>
      <c r="WTF49" s="316"/>
      <c r="WTG49" s="316"/>
      <c r="WTH49" s="316"/>
      <c r="WTI49" s="316"/>
      <c r="WTJ49" s="316"/>
      <c r="WTK49" s="316"/>
      <c r="WTL49" s="316"/>
      <c r="WTM49" s="316"/>
      <c r="WTN49" s="316"/>
      <c r="WTO49" s="316"/>
      <c r="WTP49" s="316"/>
      <c r="WTQ49" s="316"/>
      <c r="WTR49" s="316"/>
      <c r="WTS49" s="316"/>
      <c r="WTT49" s="316"/>
      <c r="WTU49" s="316"/>
      <c r="WTV49" s="316"/>
      <c r="WTW49" s="316"/>
      <c r="WTX49" s="316"/>
      <c r="WTY49" s="316"/>
      <c r="WTZ49" s="316"/>
      <c r="WUA49" s="316"/>
      <c r="WUB49" s="316"/>
      <c r="WUC49" s="316"/>
      <c r="WUD49" s="316"/>
      <c r="WUE49" s="316"/>
      <c r="WUF49" s="316"/>
      <c r="WUG49" s="316"/>
      <c r="WUH49" s="316"/>
      <c r="WUI49" s="316"/>
      <c r="WUJ49" s="316"/>
      <c r="WUK49" s="316"/>
      <c r="WUL49" s="316"/>
      <c r="WUM49" s="316"/>
      <c r="WUN49" s="316"/>
      <c r="WUO49" s="316"/>
      <c r="WUP49" s="316"/>
      <c r="WUQ49" s="316"/>
      <c r="WUR49" s="316"/>
      <c r="WUS49" s="316"/>
      <c r="WUT49" s="316"/>
      <c r="WUU49" s="316"/>
      <c r="WUV49" s="316"/>
      <c r="WUW49" s="316"/>
      <c r="WUX49" s="316"/>
      <c r="WUY49" s="316"/>
      <c r="WUZ49" s="316"/>
      <c r="WVA49" s="316"/>
      <c r="WVB49" s="316"/>
      <c r="WVC49" s="316"/>
      <c r="WVD49" s="316"/>
      <c r="WVE49" s="316"/>
      <c r="WVF49" s="316"/>
      <c r="WVG49" s="316"/>
      <c r="WVH49" s="316"/>
      <c r="WVI49" s="316"/>
      <c r="WVJ49" s="316"/>
      <c r="WVK49" s="316"/>
      <c r="WVL49" s="316"/>
      <c r="WVM49" s="316"/>
      <c r="WVN49" s="316"/>
      <c r="WVO49" s="316"/>
      <c r="WVP49" s="316"/>
      <c r="WVQ49" s="316"/>
      <c r="WVR49" s="316"/>
      <c r="WVS49" s="316"/>
      <c r="WVT49" s="316"/>
      <c r="WVU49" s="316"/>
      <c r="WVV49" s="316"/>
      <c r="WVW49" s="316"/>
      <c r="WVX49" s="316"/>
      <c r="WVY49" s="316"/>
      <c r="WVZ49" s="316"/>
      <c r="WWA49" s="316"/>
      <c r="WWB49" s="316"/>
      <c r="WWC49" s="316"/>
      <c r="WWD49" s="316"/>
      <c r="WWE49" s="316"/>
      <c r="WWF49" s="316"/>
      <c r="WWG49" s="316"/>
      <c r="WWH49" s="316"/>
      <c r="WWI49" s="316"/>
      <c r="WWJ49" s="316"/>
      <c r="WWK49" s="316"/>
      <c r="WWL49" s="316"/>
      <c r="WWM49" s="316"/>
      <c r="WWN49" s="316"/>
      <c r="WWO49" s="316"/>
      <c r="WWP49" s="316"/>
      <c r="WWQ49" s="316"/>
      <c r="WWR49" s="316"/>
      <c r="WWS49" s="316"/>
      <c r="WWT49" s="316"/>
      <c r="WWU49" s="316"/>
      <c r="WWV49" s="316"/>
      <c r="WWW49" s="316"/>
      <c r="WWX49" s="316"/>
      <c r="WWY49" s="316"/>
      <c r="WWZ49" s="316"/>
      <c r="WXA49" s="316"/>
      <c r="WXB49" s="316"/>
      <c r="WXC49" s="316"/>
      <c r="WXD49" s="316"/>
      <c r="WXE49" s="316"/>
      <c r="WXF49" s="316"/>
      <c r="WXG49" s="316"/>
      <c r="WXH49" s="316"/>
      <c r="WXI49" s="316"/>
      <c r="WXJ49" s="316"/>
      <c r="WXK49" s="316"/>
      <c r="WXL49" s="316"/>
      <c r="WXM49" s="316"/>
      <c r="WXN49" s="316"/>
      <c r="WXO49" s="316"/>
      <c r="WXP49" s="316"/>
      <c r="WXQ49" s="316"/>
      <c r="WXR49" s="316"/>
      <c r="WXS49" s="316"/>
      <c r="WXT49" s="316"/>
      <c r="WXU49" s="316"/>
      <c r="WXV49" s="316"/>
      <c r="WXW49" s="316"/>
      <c r="WXX49" s="316"/>
      <c r="WXY49" s="316"/>
      <c r="WXZ49" s="316"/>
      <c r="WYA49" s="316"/>
      <c r="WYB49" s="316"/>
      <c r="WYC49" s="316"/>
      <c r="WYD49" s="316"/>
      <c r="WYE49" s="316"/>
      <c r="WYF49" s="316"/>
      <c r="WYG49" s="316"/>
      <c r="WYH49" s="316"/>
      <c r="WYI49" s="316"/>
      <c r="WYJ49" s="316"/>
      <c r="WYK49" s="316"/>
      <c r="WYL49" s="316"/>
      <c r="WYM49" s="316"/>
      <c r="WYN49" s="316"/>
      <c r="WYO49" s="316"/>
      <c r="WYP49" s="316"/>
      <c r="WYQ49" s="316"/>
      <c r="WYR49" s="316"/>
      <c r="WYS49" s="316"/>
      <c r="WYT49" s="316"/>
      <c r="WYU49" s="316"/>
      <c r="WYV49" s="316"/>
      <c r="WYW49" s="316"/>
      <c r="WYX49" s="316"/>
      <c r="WYY49" s="316"/>
      <c r="WYZ49" s="316"/>
      <c r="WZA49" s="316"/>
      <c r="WZB49" s="316"/>
      <c r="WZC49" s="316"/>
      <c r="WZD49" s="316"/>
      <c r="WZE49" s="316"/>
      <c r="WZF49" s="316"/>
      <c r="WZG49" s="316"/>
      <c r="WZH49" s="316"/>
      <c r="WZI49" s="316"/>
      <c r="WZJ49" s="316"/>
      <c r="WZK49" s="316"/>
      <c r="WZL49" s="316"/>
      <c r="WZM49" s="316"/>
      <c r="WZN49" s="316"/>
      <c r="WZO49" s="316"/>
      <c r="WZP49" s="316"/>
      <c r="WZQ49" s="316"/>
      <c r="WZR49" s="316"/>
      <c r="WZS49" s="316"/>
      <c r="WZT49" s="316"/>
      <c r="WZU49" s="316"/>
      <c r="WZV49" s="316"/>
      <c r="WZW49" s="316"/>
      <c r="WZX49" s="316"/>
      <c r="WZY49" s="316"/>
      <c r="WZZ49" s="316"/>
      <c r="XAA49" s="316"/>
      <c r="XAB49" s="316"/>
      <c r="XAC49" s="316"/>
      <c r="XAD49" s="316"/>
      <c r="XAE49" s="316"/>
      <c r="XAF49" s="316"/>
      <c r="XAG49" s="316"/>
      <c r="XAH49" s="316"/>
      <c r="XAI49" s="316"/>
      <c r="XAJ49" s="316"/>
      <c r="XAK49" s="316"/>
      <c r="XAL49" s="316"/>
      <c r="XAM49" s="316"/>
      <c r="XAN49" s="316"/>
      <c r="XAO49" s="316"/>
      <c r="XAP49" s="316"/>
      <c r="XAQ49" s="316"/>
      <c r="XAR49" s="316"/>
      <c r="XAS49" s="316"/>
      <c r="XAT49" s="316"/>
      <c r="XAU49" s="316"/>
      <c r="XAV49" s="316"/>
      <c r="XAW49" s="316"/>
      <c r="XAX49" s="316"/>
      <c r="XAY49" s="316"/>
      <c r="XAZ49" s="316"/>
      <c r="XBA49" s="316"/>
      <c r="XBB49" s="316"/>
      <c r="XBC49" s="316"/>
      <c r="XBD49" s="316"/>
      <c r="XBE49" s="316"/>
      <c r="XBF49" s="316"/>
      <c r="XBG49" s="316"/>
      <c r="XBH49" s="316"/>
      <c r="XBI49" s="316"/>
      <c r="XBJ49" s="316"/>
      <c r="XBK49" s="316"/>
      <c r="XBL49" s="316"/>
      <c r="XBM49" s="316"/>
      <c r="XBN49" s="316"/>
      <c r="XBO49" s="316"/>
      <c r="XBP49" s="316"/>
      <c r="XBQ49" s="316"/>
      <c r="XBR49" s="316"/>
      <c r="XBS49" s="316"/>
      <c r="XBT49" s="316"/>
      <c r="XBU49" s="316"/>
      <c r="XBV49" s="316"/>
      <c r="XBW49" s="316"/>
      <c r="XBX49" s="316"/>
      <c r="XBY49" s="316"/>
      <c r="XBZ49" s="316"/>
      <c r="XCA49" s="316"/>
      <c r="XCB49" s="316"/>
      <c r="XCC49" s="316"/>
      <c r="XCD49" s="316"/>
      <c r="XCE49" s="316"/>
      <c r="XCF49" s="316"/>
      <c r="XCG49" s="316"/>
      <c r="XCH49" s="316"/>
      <c r="XCI49" s="316"/>
      <c r="XCJ49" s="316"/>
      <c r="XCK49" s="316"/>
      <c r="XCL49" s="316"/>
      <c r="XCM49" s="316"/>
      <c r="XCN49" s="316"/>
      <c r="XCO49" s="316"/>
      <c r="XCP49" s="316"/>
      <c r="XCQ49" s="316"/>
      <c r="XCR49" s="316"/>
      <c r="XCS49" s="316"/>
      <c r="XCT49" s="316"/>
      <c r="XCU49" s="316"/>
      <c r="XCV49" s="316"/>
      <c r="XCW49" s="316"/>
      <c r="XCX49" s="316"/>
      <c r="XCY49" s="316"/>
      <c r="XCZ49" s="316"/>
      <c r="XDA49" s="316"/>
      <c r="XDB49" s="316"/>
      <c r="XDC49" s="316"/>
      <c r="XDD49" s="316"/>
      <c r="XDE49" s="316"/>
      <c r="XDF49" s="316"/>
      <c r="XDG49" s="316"/>
      <c r="XDH49" s="316"/>
      <c r="XDI49" s="316"/>
      <c r="XDJ49" s="316"/>
      <c r="XDK49" s="316"/>
      <c r="XDL49" s="316"/>
      <c r="XDM49" s="316"/>
      <c r="XDN49" s="316"/>
      <c r="XDO49" s="316"/>
      <c r="XDP49" s="316"/>
      <c r="XDQ49" s="316"/>
      <c r="XDR49" s="316"/>
      <c r="XDS49" s="316"/>
      <c r="XDT49" s="316"/>
      <c r="XDU49" s="316"/>
      <c r="XDV49" s="316"/>
      <c r="XDW49" s="316"/>
      <c r="XDX49" s="316"/>
      <c r="XDY49" s="316"/>
      <c r="XDZ49" s="316"/>
      <c r="XEA49" s="316"/>
      <c r="XEB49" s="316"/>
      <c r="XEC49" s="316"/>
      <c r="XED49" s="316"/>
      <c r="XEE49" s="316"/>
      <c r="XEF49" s="316"/>
      <c r="XEG49" s="316"/>
    </row>
    <row r="50" spans="1:16361" ht="18" customHeight="1">
      <c r="A50" s="402"/>
      <c r="B50" s="424"/>
      <c r="C50" s="408" t="s">
        <v>963</v>
      </c>
      <c r="D50" s="408"/>
      <c r="E50" s="408"/>
      <c r="F50" s="409" t="s">
        <v>960</v>
      </c>
      <c r="G50" s="412">
        <v>1</v>
      </c>
      <c r="H50" s="415">
        <f>I49*0.1</f>
        <v>9495.61</v>
      </c>
      <c r="I50" s="418">
        <f>H50*G50</f>
        <v>9495.61</v>
      </c>
      <c r="J50" s="434"/>
    </row>
    <row r="51" spans="1:16361" ht="18" customHeight="1">
      <c r="A51" s="402"/>
      <c r="B51" s="424"/>
      <c r="C51" s="408" t="s">
        <v>964</v>
      </c>
      <c r="D51" s="408"/>
      <c r="E51" s="408"/>
      <c r="F51" s="410"/>
      <c r="G51" s="413"/>
      <c r="H51" s="416"/>
      <c r="I51" s="419"/>
      <c r="J51" s="434"/>
    </row>
    <row r="52" spans="1:16361" ht="18" customHeight="1">
      <c r="A52" s="402"/>
      <c r="B52" s="424"/>
      <c r="C52" s="408" t="s">
        <v>965</v>
      </c>
      <c r="D52" s="408"/>
      <c r="E52" s="408"/>
      <c r="F52" s="411"/>
      <c r="G52" s="414"/>
      <c r="H52" s="417"/>
      <c r="I52" s="420"/>
      <c r="J52" s="434"/>
    </row>
    <row r="53" spans="1:16361" ht="18" customHeight="1">
      <c r="A53" s="402"/>
      <c r="B53" s="424"/>
      <c r="C53" s="403" t="s">
        <v>973</v>
      </c>
      <c r="D53" s="403"/>
      <c r="E53" s="403"/>
      <c r="F53" s="330"/>
      <c r="G53" s="315"/>
      <c r="H53" s="315"/>
      <c r="I53" s="333">
        <f>SUM(I50:I52)</f>
        <v>9495.61</v>
      </c>
      <c r="J53" s="434"/>
    </row>
    <row r="54" spans="1:16361" ht="18" customHeight="1">
      <c r="A54" s="317"/>
      <c r="B54" s="324"/>
      <c r="C54" s="403" t="s">
        <v>974</v>
      </c>
      <c r="D54" s="403"/>
      <c r="E54" s="403"/>
      <c r="F54" s="330"/>
      <c r="G54" s="315"/>
      <c r="H54" s="315"/>
      <c r="I54" s="333">
        <f>I49+I53</f>
        <v>104451.71</v>
      </c>
      <c r="J54" s="434"/>
    </row>
    <row r="55" spans="1:16361" ht="18" customHeight="1">
      <c r="A55" s="402">
        <v>5</v>
      </c>
      <c r="B55" s="402" t="s">
        <v>1011</v>
      </c>
      <c r="C55" s="402" t="s">
        <v>975</v>
      </c>
      <c r="D55" s="402" t="s">
        <v>1012</v>
      </c>
      <c r="E55" s="402"/>
      <c r="F55" s="330" t="s">
        <v>959</v>
      </c>
      <c r="G55" s="319">
        <v>276</v>
      </c>
      <c r="H55" s="319">
        <v>200</v>
      </c>
      <c r="I55" s="335">
        <f t="shared" ref="I55:I58" si="3">G55*H55</f>
        <v>55200</v>
      </c>
      <c r="J55" s="401">
        <f>ROUND(I65*0.8,0)</f>
        <v>312760</v>
      </c>
    </row>
    <row r="56" spans="1:16361" ht="18" customHeight="1">
      <c r="A56" s="402"/>
      <c r="B56" s="402"/>
      <c r="C56" s="402"/>
      <c r="D56" s="402" t="s">
        <v>1013</v>
      </c>
      <c r="E56" s="402"/>
      <c r="F56" s="330" t="s">
        <v>959</v>
      </c>
      <c r="G56" s="318">
        <v>678</v>
      </c>
      <c r="H56" s="318">
        <v>200</v>
      </c>
      <c r="I56" s="335">
        <f t="shared" si="3"/>
        <v>135600</v>
      </c>
      <c r="J56" s="434"/>
    </row>
    <row r="57" spans="1:16361" ht="18" customHeight="1">
      <c r="A57" s="402"/>
      <c r="B57" s="402"/>
      <c r="C57" s="402"/>
      <c r="D57" s="402" t="s">
        <v>1014</v>
      </c>
      <c r="E57" s="402"/>
      <c r="F57" s="330" t="s">
        <v>959</v>
      </c>
      <c r="G57" s="319">
        <v>857.5</v>
      </c>
      <c r="H57" s="319">
        <v>160</v>
      </c>
      <c r="I57" s="331">
        <f t="shared" si="3"/>
        <v>137200</v>
      </c>
      <c r="J57" s="434"/>
    </row>
    <row r="58" spans="1:16361" ht="18" customHeight="1">
      <c r="A58" s="402"/>
      <c r="B58" s="402"/>
      <c r="C58" s="402"/>
      <c r="D58" s="402" t="s">
        <v>1015</v>
      </c>
      <c r="E58" s="402"/>
      <c r="F58" s="330" t="s">
        <v>959</v>
      </c>
      <c r="G58" s="319">
        <v>500</v>
      </c>
      <c r="H58" s="319">
        <v>45</v>
      </c>
      <c r="I58" s="335">
        <f t="shared" si="3"/>
        <v>22500</v>
      </c>
      <c r="J58" s="434"/>
    </row>
    <row r="59" spans="1:16361" s="321" customFormat="1" ht="18" customHeight="1">
      <c r="A59" s="403"/>
      <c r="B59" s="403"/>
      <c r="C59" s="403" t="s">
        <v>971</v>
      </c>
      <c r="D59" s="403"/>
      <c r="E59" s="403"/>
      <c r="F59" s="332"/>
      <c r="G59" s="315"/>
      <c r="H59" s="315"/>
      <c r="I59" s="333">
        <f>SUM(I55:I58)</f>
        <v>350500</v>
      </c>
      <c r="J59" s="434"/>
      <c r="K59" s="316"/>
      <c r="L59" s="316"/>
      <c r="M59" s="316"/>
      <c r="N59" s="316"/>
      <c r="O59" s="316"/>
      <c r="P59" s="316"/>
      <c r="Q59" s="316"/>
      <c r="R59" s="316"/>
      <c r="S59" s="316"/>
      <c r="T59" s="316"/>
      <c r="U59" s="316"/>
      <c r="V59" s="316"/>
      <c r="W59" s="316"/>
      <c r="X59" s="316"/>
      <c r="Y59" s="316"/>
      <c r="Z59" s="316"/>
      <c r="AA59" s="316"/>
      <c r="AB59" s="316"/>
      <c r="AC59" s="316"/>
      <c r="AD59" s="316"/>
      <c r="AE59" s="316"/>
      <c r="AF59" s="316"/>
      <c r="AG59" s="316"/>
      <c r="AH59" s="316"/>
      <c r="AI59" s="316"/>
      <c r="AJ59" s="316"/>
      <c r="AK59" s="316"/>
      <c r="AL59" s="316"/>
      <c r="AM59" s="316"/>
      <c r="AN59" s="316"/>
      <c r="AO59" s="316"/>
      <c r="AP59" s="316"/>
      <c r="AQ59" s="316"/>
      <c r="AR59" s="316"/>
      <c r="AS59" s="316"/>
      <c r="AT59" s="316"/>
      <c r="AU59" s="316"/>
      <c r="AV59" s="316"/>
      <c r="AW59" s="316"/>
      <c r="AX59" s="316"/>
      <c r="AY59" s="316"/>
      <c r="AZ59" s="316"/>
      <c r="BA59" s="316"/>
      <c r="BB59" s="316"/>
      <c r="BC59" s="316"/>
      <c r="BD59" s="316"/>
      <c r="BE59" s="316"/>
      <c r="BF59" s="316"/>
      <c r="BG59" s="316"/>
      <c r="BH59" s="316"/>
      <c r="BI59" s="316"/>
      <c r="BJ59" s="316"/>
      <c r="BK59" s="316"/>
      <c r="BL59" s="316"/>
      <c r="BM59" s="316"/>
      <c r="BN59" s="316"/>
      <c r="BO59" s="316"/>
      <c r="BP59" s="316"/>
      <c r="BQ59" s="316"/>
      <c r="BR59" s="316"/>
      <c r="BS59" s="316"/>
      <c r="BT59" s="316"/>
      <c r="BU59" s="316"/>
      <c r="BV59" s="316"/>
      <c r="BW59" s="316"/>
      <c r="BX59" s="316"/>
      <c r="BY59" s="316"/>
      <c r="BZ59" s="316"/>
      <c r="CA59" s="316"/>
      <c r="CB59" s="316"/>
      <c r="CC59" s="316"/>
      <c r="CD59" s="316"/>
      <c r="CE59" s="316"/>
      <c r="CF59" s="316"/>
      <c r="CG59" s="316"/>
      <c r="CH59" s="316"/>
      <c r="CI59" s="316"/>
      <c r="CJ59" s="316"/>
      <c r="CK59" s="316"/>
      <c r="CL59" s="316"/>
      <c r="CM59" s="316"/>
      <c r="CN59" s="316"/>
      <c r="CO59" s="316"/>
      <c r="CP59" s="316"/>
      <c r="CQ59" s="316"/>
      <c r="CR59" s="316"/>
      <c r="CS59" s="316"/>
      <c r="CT59" s="316"/>
      <c r="CU59" s="316"/>
      <c r="CV59" s="316"/>
      <c r="CW59" s="316"/>
      <c r="CX59" s="316"/>
      <c r="CY59" s="316"/>
      <c r="CZ59" s="316"/>
      <c r="DA59" s="316"/>
      <c r="DB59" s="316"/>
      <c r="DC59" s="316"/>
      <c r="DD59" s="316"/>
      <c r="DE59" s="316"/>
      <c r="DF59" s="316"/>
      <c r="DG59" s="316"/>
      <c r="DH59" s="316"/>
      <c r="DI59" s="316"/>
      <c r="DJ59" s="316"/>
      <c r="DK59" s="316"/>
      <c r="DL59" s="316"/>
      <c r="DM59" s="316"/>
      <c r="DN59" s="316"/>
      <c r="DO59" s="316"/>
      <c r="DP59" s="316"/>
      <c r="DQ59" s="316"/>
      <c r="DR59" s="316"/>
      <c r="DS59" s="316"/>
      <c r="DT59" s="316"/>
      <c r="DU59" s="316"/>
      <c r="DV59" s="316"/>
      <c r="DW59" s="316"/>
      <c r="DX59" s="316"/>
      <c r="DY59" s="316"/>
      <c r="DZ59" s="316"/>
      <c r="EA59" s="316"/>
      <c r="EB59" s="316"/>
      <c r="EC59" s="316"/>
      <c r="ED59" s="316"/>
      <c r="EE59" s="316"/>
      <c r="EF59" s="316"/>
      <c r="EG59" s="316"/>
      <c r="EH59" s="316"/>
      <c r="EI59" s="316"/>
      <c r="EJ59" s="316"/>
      <c r="EK59" s="316"/>
      <c r="EL59" s="316"/>
      <c r="EM59" s="316"/>
      <c r="EN59" s="316"/>
      <c r="EO59" s="316"/>
      <c r="EP59" s="316"/>
      <c r="EQ59" s="316"/>
      <c r="ER59" s="316"/>
      <c r="ES59" s="316"/>
      <c r="ET59" s="316"/>
      <c r="EU59" s="316"/>
      <c r="EV59" s="316"/>
      <c r="EW59" s="316"/>
      <c r="EX59" s="316"/>
      <c r="EY59" s="316"/>
      <c r="EZ59" s="316"/>
      <c r="FA59" s="316"/>
      <c r="FB59" s="316"/>
      <c r="FC59" s="316"/>
      <c r="FD59" s="316"/>
      <c r="FE59" s="316"/>
      <c r="FF59" s="316"/>
      <c r="FG59" s="316"/>
      <c r="FH59" s="316"/>
      <c r="FI59" s="316"/>
      <c r="FJ59" s="316"/>
      <c r="FK59" s="316"/>
      <c r="FL59" s="316"/>
      <c r="FM59" s="316"/>
      <c r="FN59" s="316"/>
      <c r="FO59" s="316"/>
      <c r="FP59" s="316"/>
      <c r="FQ59" s="316"/>
      <c r="FR59" s="316"/>
      <c r="FS59" s="316"/>
      <c r="FT59" s="316"/>
      <c r="FU59" s="316"/>
      <c r="FV59" s="316"/>
      <c r="FW59" s="316"/>
      <c r="FX59" s="316"/>
      <c r="FY59" s="316"/>
      <c r="FZ59" s="316"/>
      <c r="GA59" s="316"/>
      <c r="GB59" s="316"/>
      <c r="GC59" s="316"/>
      <c r="GD59" s="316"/>
      <c r="GE59" s="316"/>
      <c r="GF59" s="316"/>
      <c r="GG59" s="316"/>
      <c r="GH59" s="316"/>
      <c r="GI59" s="316"/>
      <c r="GJ59" s="316"/>
      <c r="GK59" s="316"/>
      <c r="GL59" s="316"/>
      <c r="GM59" s="316"/>
      <c r="GN59" s="316"/>
      <c r="GO59" s="316"/>
      <c r="GP59" s="316"/>
      <c r="GQ59" s="316"/>
      <c r="GR59" s="316"/>
      <c r="GS59" s="316"/>
      <c r="GT59" s="316"/>
      <c r="GU59" s="316"/>
      <c r="GV59" s="316"/>
      <c r="GW59" s="316"/>
      <c r="GX59" s="316"/>
      <c r="GY59" s="316"/>
      <c r="GZ59" s="316"/>
      <c r="HA59" s="316"/>
      <c r="HB59" s="316"/>
      <c r="HC59" s="316"/>
      <c r="HD59" s="316"/>
      <c r="HE59" s="316"/>
      <c r="HF59" s="316"/>
      <c r="HG59" s="316"/>
      <c r="HH59" s="316"/>
      <c r="HI59" s="316"/>
      <c r="HJ59" s="316"/>
      <c r="HK59" s="316"/>
      <c r="HL59" s="316"/>
      <c r="HM59" s="316"/>
      <c r="HN59" s="316"/>
      <c r="HO59" s="316"/>
      <c r="HP59" s="316"/>
      <c r="HQ59" s="316"/>
      <c r="HR59" s="316"/>
      <c r="HS59" s="316"/>
      <c r="HT59" s="316"/>
      <c r="HU59" s="316"/>
      <c r="HV59" s="316"/>
      <c r="HW59" s="316"/>
      <c r="HX59" s="316"/>
      <c r="HY59" s="316"/>
      <c r="HZ59" s="316"/>
      <c r="IA59" s="316"/>
      <c r="IB59" s="316"/>
      <c r="IC59" s="316"/>
      <c r="ID59" s="316"/>
      <c r="IE59" s="316"/>
      <c r="IF59" s="316"/>
      <c r="IG59" s="316"/>
      <c r="IH59" s="316"/>
      <c r="II59" s="316"/>
      <c r="IJ59" s="316"/>
      <c r="IK59" s="316"/>
      <c r="IL59" s="316"/>
      <c r="IM59" s="316"/>
      <c r="IN59" s="316"/>
      <c r="IO59" s="316"/>
      <c r="IP59" s="316"/>
      <c r="IQ59" s="316"/>
      <c r="IR59" s="316"/>
      <c r="IS59" s="316"/>
      <c r="IT59" s="316"/>
      <c r="IU59" s="316"/>
      <c r="IV59" s="316"/>
      <c r="IW59" s="316"/>
      <c r="IX59" s="316"/>
      <c r="IY59" s="316"/>
      <c r="IZ59" s="316"/>
      <c r="JA59" s="316"/>
      <c r="JB59" s="316"/>
      <c r="JC59" s="316"/>
      <c r="JD59" s="316"/>
      <c r="JE59" s="316"/>
      <c r="JF59" s="316"/>
      <c r="JG59" s="316"/>
      <c r="JH59" s="316"/>
      <c r="JI59" s="316"/>
      <c r="JJ59" s="316"/>
      <c r="JK59" s="316"/>
      <c r="JL59" s="316"/>
      <c r="JM59" s="316"/>
      <c r="JN59" s="316"/>
      <c r="JO59" s="316"/>
      <c r="JP59" s="316"/>
      <c r="JQ59" s="316"/>
      <c r="JR59" s="316"/>
      <c r="JS59" s="316"/>
      <c r="JT59" s="316"/>
      <c r="JU59" s="316"/>
      <c r="JV59" s="316"/>
      <c r="JW59" s="316"/>
      <c r="JX59" s="316"/>
      <c r="JY59" s="316"/>
      <c r="JZ59" s="316"/>
      <c r="KA59" s="316"/>
      <c r="KB59" s="316"/>
      <c r="KC59" s="316"/>
      <c r="KD59" s="316"/>
      <c r="KE59" s="316"/>
      <c r="KF59" s="316"/>
      <c r="KG59" s="316"/>
      <c r="KH59" s="316"/>
      <c r="KI59" s="316"/>
      <c r="KJ59" s="316"/>
      <c r="KK59" s="316"/>
      <c r="KL59" s="316"/>
      <c r="KM59" s="316"/>
      <c r="KN59" s="316"/>
      <c r="KO59" s="316"/>
      <c r="KP59" s="316"/>
      <c r="KQ59" s="316"/>
      <c r="KR59" s="316"/>
      <c r="KS59" s="316"/>
      <c r="KT59" s="316"/>
      <c r="KU59" s="316"/>
      <c r="KV59" s="316"/>
      <c r="KW59" s="316"/>
      <c r="KX59" s="316"/>
      <c r="KY59" s="316"/>
      <c r="KZ59" s="316"/>
      <c r="LA59" s="316"/>
      <c r="LB59" s="316"/>
      <c r="LC59" s="316"/>
      <c r="LD59" s="316"/>
      <c r="LE59" s="316"/>
      <c r="LF59" s="316"/>
      <c r="LG59" s="316"/>
      <c r="LH59" s="316"/>
      <c r="LI59" s="316"/>
      <c r="LJ59" s="316"/>
      <c r="LK59" s="316"/>
      <c r="LL59" s="316"/>
      <c r="LM59" s="316"/>
      <c r="LN59" s="316"/>
      <c r="LO59" s="316"/>
      <c r="LP59" s="316"/>
      <c r="LQ59" s="316"/>
      <c r="LR59" s="316"/>
      <c r="LS59" s="316"/>
      <c r="LT59" s="316"/>
      <c r="LU59" s="316"/>
      <c r="LV59" s="316"/>
      <c r="LW59" s="316"/>
      <c r="LX59" s="316"/>
      <c r="LY59" s="316"/>
      <c r="LZ59" s="316"/>
      <c r="MA59" s="316"/>
      <c r="MB59" s="316"/>
      <c r="MC59" s="316"/>
      <c r="MD59" s="316"/>
      <c r="ME59" s="316"/>
      <c r="MF59" s="316"/>
      <c r="MG59" s="316"/>
      <c r="MH59" s="316"/>
      <c r="MI59" s="316"/>
      <c r="MJ59" s="316"/>
      <c r="MK59" s="316"/>
      <c r="ML59" s="316"/>
      <c r="MM59" s="316"/>
      <c r="MN59" s="316"/>
      <c r="MO59" s="316"/>
      <c r="MP59" s="316"/>
      <c r="MQ59" s="316"/>
      <c r="MR59" s="316"/>
      <c r="MS59" s="316"/>
      <c r="MT59" s="316"/>
      <c r="MU59" s="316"/>
      <c r="MV59" s="316"/>
      <c r="MW59" s="316"/>
      <c r="MX59" s="316"/>
      <c r="MY59" s="316"/>
      <c r="MZ59" s="316"/>
      <c r="NA59" s="316"/>
      <c r="NB59" s="316"/>
      <c r="NC59" s="316"/>
      <c r="ND59" s="316"/>
      <c r="NE59" s="316"/>
      <c r="NF59" s="316"/>
      <c r="NG59" s="316"/>
      <c r="NH59" s="316"/>
      <c r="NI59" s="316"/>
      <c r="NJ59" s="316"/>
      <c r="NK59" s="316"/>
      <c r="NL59" s="316"/>
      <c r="NM59" s="316"/>
      <c r="NN59" s="316"/>
      <c r="NO59" s="316"/>
      <c r="NP59" s="316"/>
      <c r="NQ59" s="316"/>
      <c r="NR59" s="316"/>
      <c r="NS59" s="316"/>
      <c r="NT59" s="316"/>
      <c r="NU59" s="316"/>
      <c r="NV59" s="316"/>
      <c r="NW59" s="316"/>
      <c r="NX59" s="316"/>
      <c r="NY59" s="316"/>
      <c r="NZ59" s="316"/>
      <c r="OA59" s="316"/>
      <c r="OB59" s="316"/>
      <c r="OC59" s="316"/>
      <c r="OD59" s="316"/>
      <c r="OE59" s="316"/>
      <c r="OF59" s="316"/>
      <c r="OG59" s="316"/>
      <c r="OH59" s="316"/>
      <c r="OI59" s="316"/>
      <c r="OJ59" s="316"/>
      <c r="OK59" s="316"/>
      <c r="OL59" s="316"/>
      <c r="OM59" s="316"/>
      <c r="ON59" s="316"/>
      <c r="OO59" s="316"/>
      <c r="OP59" s="316"/>
      <c r="OQ59" s="316"/>
      <c r="OR59" s="316"/>
      <c r="OS59" s="316"/>
      <c r="OT59" s="316"/>
      <c r="OU59" s="316"/>
      <c r="OV59" s="316"/>
      <c r="OW59" s="316"/>
      <c r="OX59" s="316"/>
      <c r="OY59" s="316"/>
      <c r="OZ59" s="316"/>
      <c r="PA59" s="316"/>
      <c r="PB59" s="316"/>
      <c r="PC59" s="316"/>
      <c r="PD59" s="316"/>
      <c r="PE59" s="316"/>
      <c r="PF59" s="316"/>
      <c r="PG59" s="316"/>
      <c r="PH59" s="316"/>
      <c r="PI59" s="316"/>
      <c r="PJ59" s="316"/>
      <c r="PK59" s="316"/>
      <c r="PL59" s="316"/>
      <c r="PM59" s="316"/>
      <c r="PN59" s="316"/>
      <c r="PO59" s="316"/>
      <c r="PP59" s="316"/>
      <c r="PQ59" s="316"/>
      <c r="PR59" s="316"/>
      <c r="PS59" s="316"/>
      <c r="PT59" s="316"/>
      <c r="PU59" s="316"/>
      <c r="PV59" s="316"/>
      <c r="PW59" s="316"/>
      <c r="PX59" s="316"/>
      <c r="PY59" s="316"/>
      <c r="PZ59" s="316"/>
      <c r="QA59" s="316"/>
      <c r="QB59" s="316"/>
      <c r="QC59" s="316"/>
      <c r="QD59" s="316"/>
      <c r="QE59" s="316"/>
      <c r="QF59" s="316"/>
      <c r="QG59" s="316"/>
      <c r="QH59" s="316"/>
      <c r="QI59" s="316"/>
      <c r="QJ59" s="316"/>
      <c r="QK59" s="316"/>
      <c r="QL59" s="316"/>
      <c r="QM59" s="316"/>
      <c r="QN59" s="316"/>
      <c r="QO59" s="316"/>
      <c r="QP59" s="316"/>
      <c r="QQ59" s="316"/>
      <c r="QR59" s="316"/>
      <c r="QS59" s="316"/>
      <c r="QT59" s="316"/>
      <c r="QU59" s="316"/>
      <c r="QV59" s="316"/>
      <c r="QW59" s="316"/>
      <c r="QX59" s="316"/>
      <c r="QY59" s="316"/>
      <c r="QZ59" s="316"/>
      <c r="RA59" s="316"/>
      <c r="RB59" s="316"/>
      <c r="RC59" s="316"/>
      <c r="RD59" s="316"/>
      <c r="RE59" s="316"/>
      <c r="RF59" s="316"/>
      <c r="RG59" s="316"/>
      <c r="RH59" s="316"/>
      <c r="RI59" s="316"/>
      <c r="RJ59" s="316"/>
      <c r="RK59" s="316"/>
      <c r="RL59" s="316"/>
      <c r="RM59" s="316"/>
      <c r="RN59" s="316"/>
      <c r="RO59" s="316"/>
      <c r="RP59" s="316"/>
      <c r="RQ59" s="316"/>
      <c r="RR59" s="316"/>
      <c r="RS59" s="316"/>
      <c r="RT59" s="316"/>
      <c r="RU59" s="316"/>
      <c r="RV59" s="316"/>
      <c r="RW59" s="316"/>
      <c r="RX59" s="316"/>
      <c r="RY59" s="316"/>
      <c r="RZ59" s="316"/>
      <c r="SA59" s="316"/>
      <c r="SB59" s="316"/>
      <c r="SC59" s="316"/>
      <c r="SD59" s="316"/>
      <c r="SE59" s="316"/>
      <c r="SF59" s="316"/>
      <c r="SG59" s="316"/>
      <c r="SH59" s="316"/>
      <c r="SI59" s="316"/>
      <c r="SJ59" s="316"/>
      <c r="SK59" s="316"/>
      <c r="SL59" s="316"/>
      <c r="SM59" s="316"/>
      <c r="SN59" s="316"/>
      <c r="SO59" s="316"/>
      <c r="SP59" s="316"/>
      <c r="SQ59" s="316"/>
      <c r="SR59" s="316"/>
      <c r="SS59" s="316"/>
      <c r="ST59" s="316"/>
      <c r="SU59" s="316"/>
      <c r="SV59" s="316"/>
      <c r="SW59" s="316"/>
      <c r="SX59" s="316"/>
      <c r="SY59" s="316"/>
      <c r="SZ59" s="316"/>
      <c r="TA59" s="316"/>
      <c r="TB59" s="316"/>
      <c r="TC59" s="316"/>
      <c r="TD59" s="316"/>
      <c r="TE59" s="316"/>
      <c r="TF59" s="316"/>
      <c r="TG59" s="316"/>
      <c r="TH59" s="316"/>
      <c r="TI59" s="316"/>
      <c r="TJ59" s="316"/>
      <c r="TK59" s="316"/>
      <c r="TL59" s="316"/>
      <c r="TM59" s="316"/>
      <c r="TN59" s="316"/>
      <c r="TO59" s="316"/>
      <c r="TP59" s="316"/>
      <c r="TQ59" s="316"/>
      <c r="TR59" s="316"/>
      <c r="TS59" s="316"/>
      <c r="TT59" s="316"/>
      <c r="TU59" s="316"/>
      <c r="TV59" s="316"/>
      <c r="TW59" s="316"/>
      <c r="TX59" s="316"/>
      <c r="TY59" s="316"/>
      <c r="TZ59" s="316"/>
      <c r="UA59" s="316"/>
      <c r="UB59" s="316"/>
      <c r="UC59" s="316"/>
      <c r="UD59" s="316"/>
      <c r="UE59" s="316"/>
      <c r="UF59" s="316"/>
      <c r="UG59" s="316"/>
      <c r="UH59" s="316"/>
      <c r="UI59" s="316"/>
      <c r="UJ59" s="316"/>
      <c r="UK59" s="316"/>
      <c r="UL59" s="316"/>
      <c r="UM59" s="316"/>
      <c r="UN59" s="316"/>
      <c r="UO59" s="316"/>
      <c r="UP59" s="316"/>
      <c r="UQ59" s="316"/>
      <c r="UR59" s="316"/>
      <c r="US59" s="316"/>
      <c r="UT59" s="316"/>
      <c r="UU59" s="316"/>
      <c r="UV59" s="316"/>
      <c r="UW59" s="316"/>
      <c r="UX59" s="316"/>
      <c r="UY59" s="316"/>
      <c r="UZ59" s="316"/>
      <c r="VA59" s="316"/>
      <c r="VB59" s="316"/>
      <c r="VC59" s="316"/>
      <c r="VD59" s="316"/>
      <c r="VE59" s="316"/>
      <c r="VF59" s="316"/>
      <c r="VG59" s="316"/>
      <c r="VH59" s="316"/>
      <c r="VI59" s="316"/>
      <c r="VJ59" s="316"/>
      <c r="VK59" s="316"/>
      <c r="VL59" s="316"/>
      <c r="VM59" s="316"/>
      <c r="VN59" s="316"/>
      <c r="VO59" s="316"/>
      <c r="VP59" s="316"/>
      <c r="VQ59" s="316"/>
      <c r="VR59" s="316"/>
      <c r="VS59" s="316"/>
      <c r="VT59" s="316"/>
      <c r="VU59" s="316"/>
      <c r="VV59" s="316"/>
      <c r="VW59" s="316"/>
      <c r="VX59" s="316"/>
      <c r="VY59" s="316"/>
      <c r="VZ59" s="316"/>
      <c r="WA59" s="316"/>
      <c r="WB59" s="316"/>
      <c r="WC59" s="316"/>
      <c r="WD59" s="316"/>
      <c r="WE59" s="316"/>
      <c r="WF59" s="316"/>
      <c r="WG59" s="316"/>
      <c r="WH59" s="316"/>
      <c r="WI59" s="316"/>
      <c r="WJ59" s="316"/>
      <c r="WK59" s="316"/>
      <c r="WL59" s="316"/>
      <c r="WM59" s="316"/>
      <c r="WN59" s="316"/>
      <c r="WO59" s="316"/>
      <c r="WP59" s="316"/>
      <c r="WQ59" s="316"/>
      <c r="WR59" s="316"/>
      <c r="WS59" s="316"/>
      <c r="WT59" s="316"/>
      <c r="WU59" s="316"/>
      <c r="WV59" s="316"/>
      <c r="WW59" s="316"/>
      <c r="WX59" s="316"/>
      <c r="WY59" s="316"/>
      <c r="WZ59" s="316"/>
      <c r="XA59" s="316"/>
      <c r="XB59" s="316"/>
      <c r="XC59" s="316"/>
      <c r="XD59" s="316"/>
      <c r="XE59" s="316"/>
      <c r="XF59" s="316"/>
      <c r="XG59" s="316"/>
      <c r="XH59" s="316"/>
      <c r="XI59" s="316"/>
      <c r="XJ59" s="316"/>
      <c r="XK59" s="316"/>
      <c r="XL59" s="316"/>
      <c r="XM59" s="316"/>
      <c r="XN59" s="316"/>
      <c r="XO59" s="316"/>
      <c r="XP59" s="316"/>
      <c r="XQ59" s="316"/>
      <c r="XR59" s="316"/>
      <c r="XS59" s="316"/>
      <c r="XT59" s="316"/>
      <c r="XU59" s="316"/>
      <c r="XV59" s="316"/>
      <c r="XW59" s="316"/>
      <c r="XX59" s="316"/>
      <c r="XY59" s="316"/>
      <c r="XZ59" s="316"/>
      <c r="YA59" s="316"/>
      <c r="YB59" s="316"/>
      <c r="YC59" s="316"/>
      <c r="YD59" s="316"/>
      <c r="YE59" s="316"/>
      <c r="YF59" s="316"/>
      <c r="YG59" s="316"/>
      <c r="YH59" s="316"/>
      <c r="YI59" s="316"/>
      <c r="YJ59" s="316"/>
      <c r="YK59" s="316"/>
      <c r="YL59" s="316"/>
      <c r="YM59" s="316"/>
      <c r="YN59" s="316"/>
      <c r="YO59" s="316"/>
      <c r="YP59" s="316"/>
      <c r="YQ59" s="316"/>
      <c r="YR59" s="316"/>
      <c r="YS59" s="316"/>
      <c r="YT59" s="316"/>
      <c r="YU59" s="316"/>
      <c r="YV59" s="316"/>
      <c r="YW59" s="316"/>
      <c r="YX59" s="316"/>
      <c r="YY59" s="316"/>
      <c r="YZ59" s="316"/>
      <c r="ZA59" s="316"/>
      <c r="ZB59" s="316"/>
      <c r="ZC59" s="316"/>
      <c r="ZD59" s="316"/>
      <c r="ZE59" s="316"/>
      <c r="ZF59" s="316"/>
      <c r="ZG59" s="316"/>
      <c r="ZH59" s="316"/>
      <c r="ZI59" s="316"/>
      <c r="ZJ59" s="316"/>
      <c r="ZK59" s="316"/>
      <c r="ZL59" s="316"/>
      <c r="ZM59" s="316"/>
      <c r="ZN59" s="316"/>
      <c r="ZO59" s="316"/>
      <c r="ZP59" s="316"/>
      <c r="ZQ59" s="316"/>
      <c r="ZR59" s="316"/>
      <c r="ZS59" s="316"/>
      <c r="ZT59" s="316"/>
      <c r="ZU59" s="316"/>
      <c r="ZV59" s="316"/>
      <c r="ZW59" s="316"/>
      <c r="ZX59" s="316"/>
      <c r="ZY59" s="316"/>
      <c r="ZZ59" s="316"/>
      <c r="AAA59" s="316"/>
      <c r="AAB59" s="316"/>
      <c r="AAC59" s="316"/>
      <c r="AAD59" s="316"/>
      <c r="AAE59" s="316"/>
      <c r="AAF59" s="316"/>
      <c r="AAG59" s="316"/>
      <c r="AAH59" s="316"/>
      <c r="AAI59" s="316"/>
      <c r="AAJ59" s="316"/>
      <c r="AAK59" s="316"/>
      <c r="AAL59" s="316"/>
      <c r="AAM59" s="316"/>
      <c r="AAN59" s="316"/>
      <c r="AAO59" s="316"/>
      <c r="AAP59" s="316"/>
      <c r="AAQ59" s="316"/>
      <c r="AAR59" s="316"/>
      <c r="AAS59" s="316"/>
      <c r="AAT59" s="316"/>
      <c r="AAU59" s="316"/>
      <c r="AAV59" s="316"/>
      <c r="AAW59" s="316"/>
      <c r="AAX59" s="316"/>
      <c r="AAY59" s="316"/>
      <c r="AAZ59" s="316"/>
      <c r="ABA59" s="316"/>
      <c r="ABB59" s="316"/>
      <c r="ABC59" s="316"/>
      <c r="ABD59" s="316"/>
      <c r="ABE59" s="316"/>
      <c r="ABF59" s="316"/>
      <c r="ABG59" s="316"/>
      <c r="ABH59" s="316"/>
      <c r="ABI59" s="316"/>
      <c r="ABJ59" s="316"/>
      <c r="ABK59" s="316"/>
      <c r="ABL59" s="316"/>
      <c r="ABM59" s="316"/>
      <c r="ABN59" s="316"/>
      <c r="ABO59" s="316"/>
      <c r="ABP59" s="316"/>
      <c r="ABQ59" s="316"/>
      <c r="ABR59" s="316"/>
      <c r="ABS59" s="316"/>
      <c r="ABT59" s="316"/>
      <c r="ABU59" s="316"/>
      <c r="ABV59" s="316"/>
      <c r="ABW59" s="316"/>
      <c r="ABX59" s="316"/>
      <c r="ABY59" s="316"/>
      <c r="ABZ59" s="316"/>
      <c r="ACA59" s="316"/>
      <c r="ACB59" s="316"/>
      <c r="ACC59" s="316"/>
      <c r="ACD59" s="316"/>
      <c r="ACE59" s="316"/>
      <c r="ACF59" s="316"/>
      <c r="ACG59" s="316"/>
      <c r="ACH59" s="316"/>
      <c r="ACI59" s="316"/>
      <c r="ACJ59" s="316"/>
      <c r="ACK59" s="316"/>
      <c r="ACL59" s="316"/>
      <c r="ACM59" s="316"/>
      <c r="ACN59" s="316"/>
      <c r="ACO59" s="316"/>
      <c r="ACP59" s="316"/>
      <c r="ACQ59" s="316"/>
      <c r="ACR59" s="316"/>
      <c r="ACS59" s="316"/>
      <c r="ACT59" s="316"/>
      <c r="ACU59" s="316"/>
      <c r="ACV59" s="316"/>
      <c r="ACW59" s="316"/>
      <c r="ACX59" s="316"/>
      <c r="ACY59" s="316"/>
      <c r="ACZ59" s="316"/>
      <c r="ADA59" s="316"/>
      <c r="ADB59" s="316"/>
      <c r="ADC59" s="316"/>
      <c r="ADD59" s="316"/>
      <c r="ADE59" s="316"/>
      <c r="ADF59" s="316"/>
      <c r="ADG59" s="316"/>
      <c r="ADH59" s="316"/>
      <c r="ADI59" s="316"/>
      <c r="ADJ59" s="316"/>
      <c r="ADK59" s="316"/>
      <c r="ADL59" s="316"/>
      <c r="ADM59" s="316"/>
      <c r="ADN59" s="316"/>
      <c r="ADO59" s="316"/>
      <c r="ADP59" s="316"/>
      <c r="ADQ59" s="316"/>
      <c r="ADR59" s="316"/>
      <c r="ADS59" s="316"/>
      <c r="ADT59" s="316"/>
      <c r="ADU59" s="316"/>
      <c r="ADV59" s="316"/>
      <c r="ADW59" s="316"/>
      <c r="ADX59" s="316"/>
      <c r="ADY59" s="316"/>
      <c r="ADZ59" s="316"/>
      <c r="AEA59" s="316"/>
      <c r="AEB59" s="316"/>
      <c r="AEC59" s="316"/>
      <c r="AED59" s="316"/>
      <c r="AEE59" s="316"/>
      <c r="AEF59" s="316"/>
      <c r="AEG59" s="316"/>
      <c r="AEH59" s="316"/>
      <c r="AEI59" s="316"/>
      <c r="AEJ59" s="316"/>
      <c r="AEK59" s="316"/>
      <c r="AEL59" s="316"/>
      <c r="AEM59" s="316"/>
      <c r="AEN59" s="316"/>
      <c r="AEO59" s="316"/>
      <c r="AEP59" s="316"/>
      <c r="AEQ59" s="316"/>
      <c r="AER59" s="316"/>
      <c r="AES59" s="316"/>
      <c r="AET59" s="316"/>
      <c r="AEU59" s="316"/>
      <c r="AEV59" s="316"/>
      <c r="AEW59" s="316"/>
      <c r="AEX59" s="316"/>
      <c r="AEY59" s="316"/>
      <c r="AEZ59" s="316"/>
      <c r="AFA59" s="316"/>
      <c r="AFB59" s="316"/>
      <c r="AFC59" s="316"/>
      <c r="AFD59" s="316"/>
      <c r="AFE59" s="316"/>
      <c r="AFF59" s="316"/>
      <c r="AFG59" s="316"/>
      <c r="AFH59" s="316"/>
      <c r="AFI59" s="316"/>
      <c r="AFJ59" s="316"/>
      <c r="AFK59" s="316"/>
      <c r="AFL59" s="316"/>
      <c r="AFM59" s="316"/>
      <c r="AFN59" s="316"/>
      <c r="AFO59" s="316"/>
      <c r="AFP59" s="316"/>
      <c r="AFQ59" s="316"/>
      <c r="AFR59" s="316"/>
      <c r="AFS59" s="316"/>
      <c r="AFT59" s="316"/>
      <c r="AFU59" s="316"/>
      <c r="AFV59" s="316"/>
      <c r="AFW59" s="316"/>
      <c r="AFX59" s="316"/>
      <c r="AFY59" s="316"/>
      <c r="AFZ59" s="316"/>
      <c r="AGA59" s="316"/>
      <c r="AGB59" s="316"/>
      <c r="AGC59" s="316"/>
      <c r="AGD59" s="316"/>
      <c r="AGE59" s="316"/>
      <c r="AGF59" s="316"/>
      <c r="AGG59" s="316"/>
      <c r="AGH59" s="316"/>
      <c r="AGI59" s="316"/>
      <c r="AGJ59" s="316"/>
      <c r="AGK59" s="316"/>
      <c r="AGL59" s="316"/>
      <c r="AGM59" s="316"/>
      <c r="AGN59" s="316"/>
      <c r="AGO59" s="316"/>
      <c r="AGP59" s="316"/>
      <c r="AGQ59" s="316"/>
      <c r="AGR59" s="316"/>
      <c r="AGS59" s="316"/>
      <c r="AGT59" s="316"/>
      <c r="AGU59" s="316"/>
      <c r="AGV59" s="316"/>
      <c r="AGW59" s="316"/>
      <c r="AGX59" s="316"/>
      <c r="AGY59" s="316"/>
      <c r="AGZ59" s="316"/>
      <c r="AHA59" s="316"/>
      <c r="AHB59" s="316"/>
      <c r="AHC59" s="316"/>
      <c r="AHD59" s="316"/>
      <c r="AHE59" s="316"/>
      <c r="AHF59" s="316"/>
      <c r="AHG59" s="316"/>
      <c r="AHH59" s="316"/>
      <c r="AHI59" s="316"/>
      <c r="AHJ59" s="316"/>
      <c r="AHK59" s="316"/>
      <c r="AHL59" s="316"/>
      <c r="AHM59" s="316"/>
      <c r="AHN59" s="316"/>
      <c r="AHO59" s="316"/>
      <c r="AHP59" s="316"/>
      <c r="AHQ59" s="316"/>
      <c r="AHR59" s="316"/>
      <c r="AHS59" s="316"/>
      <c r="AHT59" s="316"/>
      <c r="AHU59" s="316"/>
      <c r="AHV59" s="316"/>
      <c r="AHW59" s="316"/>
      <c r="AHX59" s="316"/>
      <c r="AHY59" s="316"/>
      <c r="AHZ59" s="316"/>
      <c r="AIA59" s="316"/>
      <c r="AIB59" s="316"/>
      <c r="AIC59" s="316"/>
      <c r="AID59" s="316"/>
      <c r="AIE59" s="316"/>
      <c r="AIF59" s="316"/>
      <c r="AIG59" s="316"/>
      <c r="AIH59" s="316"/>
      <c r="AII59" s="316"/>
      <c r="AIJ59" s="316"/>
      <c r="AIK59" s="316"/>
      <c r="AIL59" s="316"/>
      <c r="AIM59" s="316"/>
      <c r="AIN59" s="316"/>
      <c r="AIO59" s="316"/>
      <c r="AIP59" s="316"/>
      <c r="AIQ59" s="316"/>
      <c r="AIR59" s="316"/>
      <c r="AIS59" s="316"/>
      <c r="AIT59" s="316"/>
      <c r="AIU59" s="316"/>
      <c r="AIV59" s="316"/>
      <c r="AIW59" s="316"/>
      <c r="AIX59" s="316"/>
      <c r="AIY59" s="316"/>
      <c r="AIZ59" s="316"/>
      <c r="AJA59" s="316"/>
      <c r="AJB59" s="316"/>
      <c r="AJC59" s="316"/>
      <c r="AJD59" s="316"/>
      <c r="AJE59" s="316"/>
      <c r="AJF59" s="316"/>
      <c r="AJG59" s="316"/>
      <c r="AJH59" s="316"/>
      <c r="AJI59" s="316"/>
      <c r="AJJ59" s="316"/>
      <c r="AJK59" s="316"/>
      <c r="AJL59" s="316"/>
      <c r="AJM59" s="316"/>
      <c r="AJN59" s="316"/>
      <c r="AJO59" s="316"/>
      <c r="AJP59" s="316"/>
      <c r="AJQ59" s="316"/>
      <c r="AJR59" s="316"/>
      <c r="AJS59" s="316"/>
      <c r="AJT59" s="316"/>
      <c r="AJU59" s="316"/>
      <c r="AJV59" s="316"/>
      <c r="AJW59" s="316"/>
      <c r="AJX59" s="316"/>
      <c r="AJY59" s="316"/>
      <c r="AJZ59" s="316"/>
      <c r="AKA59" s="316"/>
      <c r="AKB59" s="316"/>
      <c r="AKC59" s="316"/>
      <c r="AKD59" s="316"/>
      <c r="AKE59" s="316"/>
      <c r="AKF59" s="316"/>
      <c r="AKG59" s="316"/>
      <c r="AKH59" s="316"/>
      <c r="AKI59" s="316"/>
      <c r="AKJ59" s="316"/>
      <c r="AKK59" s="316"/>
      <c r="AKL59" s="316"/>
      <c r="AKM59" s="316"/>
      <c r="AKN59" s="316"/>
      <c r="AKO59" s="316"/>
      <c r="AKP59" s="316"/>
      <c r="AKQ59" s="316"/>
      <c r="AKR59" s="316"/>
      <c r="AKS59" s="316"/>
      <c r="AKT59" s="316"/>
      <c r="AKU59" s="316"/>
      <c r="AKV59" s="316"/>
      <c r="AKW59" s="316"/>
      <c r="AKX59" s="316"/>
      <c r="AKY59" s="316"/>
      <c r="AKZ59" s="316"/>
      <c r="ALA59" s="316"/>
      <c r="ALB59" s="316"/>
      <c r="ALC59" s="316"/>
      <c r="ALD59" s="316"/>
      <c r="ALE59" s="316"/>
      <c r="ALF59" s="316"/>
      <c r="ALG59" s="316"/>
      <c r="ALH59" s="316"/>
      <c r="ALI59" s="316"/>
      <c r="ALJ59" s="316"/>
      <c r="ALK59" s="316"/>
      <c r="ALL59" s="316"/>
      <c r="ALM59" s="316"/>
      <c r="ALN59" s="316"/>
      <c r="ALO59" s="316"/>
      <c r="ALP59" s="316"/>
      <c r="ALQ59" s="316"/>
      <c r="ALR59" s="316"/>
      <c r="ALS59" s="316"/>
      <c r="ALT59" s="316"/>
      <c r="ALU59" s="316"/>
      <c r="ALV59" s="316"/>
      <c r="ALW59" s="316"/>
      <c r="ALX59" s="316"/>
      <c r="ALY59" s="316"/>
      <c r="ALZ59" s="316"/>
      <c r="AMA59" s="316"/>
      <c r="AMB59" s="316"/>
      <c r="AMC59" s="316"/>
      <c r="AMD59" s="316"/>
      <c r="AME59" s="316"/>
      <c r="AMF59" s="316"/>
      <c r="AMG59" s="316"/>
      <c r="AMH59" s="316"/>
      <c r="AMI59" s="316"/>
      <c r="AMJ59" s="316"/>
      <c r="AMK59" s="316"/>
      <c r="AML59" s="316"/>
      <c r="AMM59" s="316"/>
      <c r="AMN59" s="316"/>
      <c r="AMO59" s="316"/>
      <c r="AMP59" s="316"/>
      <c r="AMQ59" s="316"/>
      <c r="AMR59" s="316"/>
      <c r="AMS59" s="316"/>
      <c r="AMT59" s="316"/>
      <c r="AMU59" s="316"/>
      <c r="AMV59" s="316"/>
      <c r="AMW59" s="316"/>
      <c r="AMX59" s="316"/>
      <c r="AMY59" s="316"/>
      <c r="AMZ59" s="316"/>
      <c r="ANA59" s="316"/>
      <c r="ANB59" s="316"/>
      <c r="ANC59" s="316"/>
      <c r="AND59" s="316"/>
      <c r="ANE59" s="316"/>
      <c r="ANF59" s="316"/>
      <c r="ANG59" s="316"/>
      <c r="ANH59" s="316"/>
      <c r="ANI59" s="316"/>
      <c r="ANJ59" s="316"/>
      <c r="ANK59" s="316"/>
      <c r="ANL59" s="316"/>
      <c r="ANM59" s="316"/>
      <c r="ANN59" s="316"/>
      <c r="ANO59" s="316"/>
      <c r="ANP59" s="316"/>
      <c r="ANQ59" s="316"/>
      <c r="ANR59" s="316"/>
      <c r="ANS59" s="316"/>
      <c r="ANT59" s="316"/>
      <c r="ANU59" s="316"/>
      <c r="ANV59" s="316"/>
      <c r="ANW59" s="316"/>
      <c r="ANX59" s="316"/>
      <c r="ANY59" s="316"/>
      <c r="ANZ59" s="316"/>
      <c r="AOA59" s="316"/>
      <c r="AOB59" s="316"/>
      <c r="AOC59" s="316"/>
      <c r="AOD59" s="316"/>
      <c r="AOE59" s="316"/>
      <c r="AOF59" s="316"/>
      <c r="AOG59" s="316"/>
      <c r="AOH59" s="316"/>
      <c r="AOI59" s="316"/>
      <c r="AOJ59" s="316"/>
      <c r="AOK59" s="316"/>
      <c r="AOL59" s="316"/>
      <c r="AOM59" s="316"/>
      <c r="AON59" s="316"/>
      <c r="AOO59" s="316"/>
      <c r="AOP59" s="316"/>
      <c r="AOQ59" s="316"/>
      <c r="AOR59" s="316"/>
      <c r="AOS59" s="316"/>
      <c r="AOT59" s="316"/>
      <c r="AOU59" s="316"/>
      <c r="AOV59" s="316"/>
      <c r="AOW59" s="316"/>
      <c r="AOX59" s="316"/>
      <c r="AOY59" s="316"/>
      <c r="AOZ59" s="316"/>
      <c r="APA59" s="316"/>
      <c r="APB59" s="316"/>
      <c r="APC59" s="316"/>
      <c r="APD59" s="316"/>
      <c r="APE59" s="316"/>
      <c r="APF59" s="316"/>
      <c r="APG59" s="316"/>
      <c r="APH59" s="316"/>
      <c r="API59" s="316"/>
      <c r="APJ59" s="316"/>
      <c r="APK59" s="316"/>
      <c r="APL59" s="316"/>
      <c r="APM59" s="316"/>
      <c r="APN59" s="316"/>
      <c r="APO59" s="316"/>
      <c r="APP59" s="316"/>
      <c r="APQ59" s="316"/>
      <c r="APR59" s="316"/>
      <c r="APS59" s="316"/>
      <c r="APT59" s="316"/>
      <c r="APU59" s="316"/>
      <c r="APV59" s="316"/>
      <c r="APW59" s="316"/>
      <c r="APX59" s="316"/>
      <c r="APY59" s="316"/>
      <c r="APZ59" s="316"/>
      <c r="AQA59" s="316"/>
      <c r="AQB59" s="316"/>
      <c r="AQC59" s="316"/>
      <c r="AQD59" s="316"/>
      <c r="AQE59" s="316"/>
      <c r="AQF59" s="316"/>
      <c r="AQG59" s="316"/>
      <c r="AQH59" s="316"/>
      <c r="AQI59" s="316"/>
      <c r="AQJ59" s="316"/>
      <c r="AQK59" s="316"/>
      <c r="AQL59" s="316"/>
      <c r="AQM59" s="316"/>
      <c r="AQN59" s="316"/>
      <c r="AQO59" s="316"/>
      <c r="AQP59" s="316"/>
      <c r="AQQ59" s="316"/>
      <c r="AQR59" s="316"/>
      <c r="AQS59" s="316"/>
      <c r="AQT59" s="316"/>
      <c r="AQU59" s="316"/>
      <c r="AQV59" s="316"/>
      <c r="AQW59" s="316"/>
      <c r="AQX59" s="316"/>
      <c r="AQY59" s="316"/>
      <c r="AQZ59" s="316"/>
      <c r="ARA59" s="316"/>
      <c r="ARB59" s="316"/>
      <c r="ARC59" s="316"/>
      <c r="ARD59" s="316"/>
      <c r="ARE59" s="316"/>
      <c r="ARF59" s="316"/>
      <c r="ARG59" s="316"/>
      <c r="ARH59" s="316"/>
      <c r="ARI59" s="316"/>
      <c r="ARJ59" s="316"/>
      <c r="ARK59" s="316"/>
      <c r="ARL59" s="316"/>
      <c r="ARM59" s="316"/>
      <c r="ARN59" s="316"/>
      <c r="ARO59" s="316"/>
      <c r="ARP59" s="316"/>
      <c r="ARQ59" s="316"/>
      <c r="ARR59" s="316"/>
      <c r="ARS59" s="316"/>
      <c r="ART59" s="316"/>
      <c r="ARU59" s="316"/>
      <c r="ARV59" s="316"/>
      <c r="ARW59" s="316"/>
      <c r="ARX59" s="316"/>
      <c r="ARY59" s="316"/>
      <c r="ARZ59" s="316"/>
      <c r="ASA59" s="316"/>
      <c r="ASB59" s="316"/>
      <c r="ASC59" s="316"/>
      <c r="ASD59" s="316"/>
      <c r="ASE59" s="316"/>
      <c r="ASF59" s="316"/>
      <c r="ASG59" s="316"/>
      <c r="ASH59" s="316"/>
      <c r="ASI59" s="316"/>
      <c r="ASJ59" s="316"/>
      <c r="ASK59" s="316"/>
      <c r="ASL59" s="316"/>
      <c r="ASM59" s="316"/>
      <c r="ASN59" s="316"/>
      <c r="ASO59" s="316"/>
      <c r="ASP59" s="316"/>
      <c r="ASQ59" s="316"/>
      <c r="ASR59" s="316"/>
      <c r="ASS59" s="316"/>
      <c r="AST59" s="316"/>
      <c r="ASU59" s="316"/>
      <c r="ASV59" s="316"/>
      <c r="ASW59" s="316"/>
      <c r="ASX59" s="316"/>
      <c r="ASY59" s="316"/>
      <c r="ASZ59" s="316"/>
      <c r="ATA59" s="316"/>
      <c r="ATB59" s="316"/>
      <c r="ATC59" s="316"/>
      <c r="ATD59" s="316"/>
      <c r="ATE59" s="316"/>
      <c r="ATF59" s="316"/>
      <c r="ATG59" s="316"/>
      <c r="ATH59" s="316"/>
      <c r="ATI59" s="316"/>
      <c r="ATJ59" s="316"/>
      <c r="ATK59" s="316"/>
      <c r="ATL59" s="316"/>
      <c r="ATM59" s="316"/>
      <c r="ATN59" s="316"/>
      <c r="ATO59" s="316"/>
      <c r="ATP59" s="316"/>
      <c r="ATQ59" s="316"/>
      <c r="ATR59" s="316"/>
      <c r="ATS59" s="316"/>
      <c r="ATT59" s="316"/>
      <c r="ATU59" s="316"/>
      <c r="ATV59" s="316"/>
      <c r="ATW59" s="316"/>
      <c r="ATX59" s="316"/>
      <c r="ATY59" s="316"/>
      <c r="ATZ59" s="316"/>
      <c r="AUA59" s="316"/>
      <c r="AUB59" s="316"/>
      <c r="AUC59" s="316"/>
      <c r="AUD59" s="316"/>
      <c r="AUE59" s="316"/>
      <c r="AUF59" s="316"/>
      <c r="AUG59" s="316"/>
      <c r="AUH59" s="316"/>
      <c r="AUI59" s="316"/>
      <c r="AUJ59" s="316"/>
      <c r="AUK59" s="316"/>
      <c r="AUL59" s="316"/>
      <c r="AUM59" s="316"/>
      <c r="AUN59" s="316"/>
      <c r="AUO59" s="316"/>
      <c r="AUP59" s="316"/>
      <c r="AUQ59" s="316"/>
      <c r="AUR59" s="316"/>
      <c r="AUS59" s="316"/>
      <c r="AUT59" s="316"/>
      <c r="AUU59" s="316"/>
      <c r="AUV59" s="316"/>
      <c r="AUW59" s="316"/>
      <c r="AUX59" s="316"/>
      <c r="AUY59" s="316"/>
      <c r="AUZ59" s="316"/>
      <c r="AVA59" s="316"/>
      <c r="AVB59" s="316"/>
      <c r="AVC59" s="316"/>
      <c r="AVD59" s="316"/>
      <c r="AVE59" s="316"/>
      <c r="AVF59" s="316"/>
      <c r="AVG59" s="316"/>
      <c r="AVH59" s="316"/>
      <c r="AVI59" s="316"/>
      <c r="AVJ59" s="316"/>
      <c r="AVK59" s="316"/>
      <c r="AVL59" s="316"/>
      <c r="AVM59" s="316"/>
      <c r="AVN59" s="316"/>
      <c r="AVO59" s="316"/>
      <c r="AVP59" s="316"/>
      <c r="AVQ59" s="316"/>
      <c r="AVR59" s="316"/>
      <c r="AVS59" s="316"/>
      <c r="AVT59" s="316"/>
      <c r="AVU59" s="316"/>
      <c r="AVV59" s="316"/>
      <c r="AVW59" s="316"/>
      <c r="AVX59" s="316"/>
      <c r="AVY59" s="316"/>
      <c r="AVZ59" s="316"/>
      <c r="AWA59" s="316"/>
      <c r="AWB59" s="316"/>
      <c r="AWC59" s="316"/>
      <c r="AWD59" s="316"/>
      <c r="AWE59" s="316"/>
      <c r="AWF59" s="316"/>
      <c r="AWG59" s="316"/>
      <c r="AWH59" s="316"/>
      <c r="AWI59" s="316"/>
      <c r="AWJ59" s="316"/>
      <c r="AWK59" s="316"/>
      <c r="AWL59" s="316"/>
      <c r="AWM59" s="316"/>
      <c r="AWN59" s="316"/>
      <c r="AWO59" s="316"/>
      <c r="AWP59" s="316"/>
      <c r="AWQ59" s="316"/>
      <c r="AWR59" s="316"/>
      <c r="AWS59" s="316"/>
      <c r="AWT59" s="316"/>
      <c r="AWU59" s="316"/>
      <c r="AWV59" s="316"/>
      <c r="AWW59" s="316"/>
      <c r="AWX59" s="316"/>
      <c r="AWY59" s="316"/>
      <c r="AWZ59" s="316"/>
      <c r="AXA59" s="316"/>
      <c r="AXB59" s="316"/>
      <c r="AXC59" s="316"/>
      <c r="AXD59" s="316"/>
      <c r="AXE59" s="316"/>
      <c r="AXF59" s="316"/>
      <c r="AXG59" s="316"/>
      <c r="AXH59" s="316"/>
      <c r="AXI59" s="316"/>
      <c r="AXJ59" s="316"/>
      <c r="AXK59" s="316"/>
      <c r="AXL59" s="316"/>
      <c r="AXM59" s="316"/>
      <c r="AXN59" s="316"/>
      <c r="AXO59" s="316"/>
      <c r="AXP59" s="316"/>
      <c r="AXQ59" s="316"/>
      <c r="AXR59" s="316"/>
      <c r="AXS59" s="316"/>
      <c r="AXT59" s="316"/>
      <c r="AXU59" s="316"/>
      <c r="AXV59" s="316"/>
      <c r="AXW59" s="316"/>
      <c r="AXX59" s="316"/>
      <c r="AXY59" s="316"/>
      <c r="AXZ59" s="316"/>
      <c r="AYA59" s="316"/>
      <c r="AYB59" s="316"/>
      <c r="AYC59" s="316"/>
      <c r="AYD59" s="316"/>
      <c r="AYE59" s="316"/>
      <c r="AYF59" s="316"/>
      <c r="AYG59" s="316"/>
      <c r="AYH59" s="316"/>
      <c r="AYI59" s="316"/>
      <c r="AYJ59" s="316"/>
      <c r="AYK59" s="316"/>
      <c r="AYL59" s="316"/>
      <c r="AYM59" s="316"/>
      <c r="AYN59" s="316"/>
      <c r="AYO59" s="316"/>
      <c r="AYP59" s="316"/>
      <c r="AYQ59" s="316"/>
      <c r="AYR59" s="316"/>
      <c r="AYS59" s="316"/>
      <c r="AYT59" s="316"/>
      <c r="AYU59" s="316"/>
      <c r="AYV59" s="316"/>
      <c r="AYW59" s="316"/>
      <c r="AYX59" s="316"/>
      <c r="AYY59" s="316"/>
      <c r="AYZ59" s="316"/>
      <c r="AZA59" s="316"/>
      <c r="AZB59" s="316"/>
      <c r="AZC59" s="316"/>
      <c r="AZD59" s="316"/>
      <c r="AZE59" s="316"/>
      <c r="AZF59" s="316"/>
      <c r="AZG59" s="316"/>
      <c r="AZH59" s="316"/>
      <c r="AZI59" s="316"/>
      <c r="AZJ59" s="316"/>
      <c r="AZK59" s="316"/>
      <c r="AZL59" s="316"/>
      <c r="AZM59" s="316"/>
      <c r="AZN59" s="316"/>
      <c r="AZO59" s="316"/>
      <c r="AZP59" s="316"/>
      <c r="AZQ59" s="316"/>
      <c r="AZR59" s="316"/>
      <c r="AZS59" s="316"/>
      <c r="AZT59" s="316"/>
      <c r="AZU59" s="316"/>
      <c r="AZV59" s="316"/>
      <c r="AZW59" s="316"/>
      <c r="AZX59" s="316"/>
      <c r="AZY59" s="316"/>
      <c r="AZZ59" s="316"/>
      <c r="BAA59" s="316"/>
      <c r="BAB59" s="316"/>
      <c r="BAC59" s="316"/>
      <c r="BAD59" s="316"/>
      <c r="BAE59" s="316"/>
      <c r="BAF59" s="316"/>
      <c r="BAG59" s="316"/>
      <c r="BAH59" s="316"/>
      <c r="BAI59" s="316"/>
      <c r="BAJ59" s="316"/>
      <c r="BAK59" s="316"/>
      <c r="BAL59" s="316"/>
      <c r="BAM59" s="316"/>
      <c r="BAN59" s="316"/>
      <c r="BAO59" s="316"/>
      <c r="BAP59" s="316"/>
      <c r="BAQ59" s="316"/>
      <c r="BAR59" s="316"/>
      <c r="BAS59" s="316"/>
      <c r="BAT59" s="316"/>
      <c r="BAU59" s="316"/>
      <c r="BAV59" s="316"/>
      <c r="BAW59" s="316"/>
      <c r="BAX59" s="316"/>
      <c r="BAY59" s="316"/>
      <c r="BAZ59" s="316"/>
      <c r="BBA59" s="316"/>
      <c r="BBB59" s="316"/>
      <c r="BBC59" s="316"/>
      <c r="BBD59" s="316"/>
      <c r="BBE59" s="316"/>
      <c r="BBF59" s="316"/>
      <c r="BBG59" s="316"/>
      <c r="BBH59" s="316"/>
      <c r="BBI59" s="316"/>
      <c r="BBJ59" s="316"/>
      <c r="BBK59" s="316"/>
      <c r="BBL59" s="316"/>
      <c r="BBM59" s="316"/>
      <c r="BBN59" s="316"/>
      <c r="BBO59" s="316"/>
      <c r="BBP59" s="316"/>
      <c r="BBQ59" s="316"/>
      <c r="BBR59" s="316"/>
      <c r="BBS59" s="316"/>
      <c r="BBT59" s="316"/>
      <c r="BBU59" s="316"/>
      <c r="BBV59" s="316"/>
      <c r="BBW59" s="316"/>
      <c r="BBX59" s="316"/>
      <c r="BBY59" s="316"/>
      <c r="BBZ59" s="316"/>
      <c r="BCA59" s="316"/>
      <c r="BCB59" s="316"/>
      <c r="BCC59" s="316"/>
      <c r="BCD59" s="316"/>
      <c r="BCE59" s="316"/>
      <c r="BCF59" s="316"/>
      <c r="BCG59" s="316"/>
      <c r="BCH59" s="316"/>
      <c r="BCI59" s="316"/>
      <c r="BCJ59" s="316"/>
      <c r="BCK59" s="316"/>
      <c r="BCL59" s="316"/>
      <c r="BCM59" s="316"/>
      <c r="BCN59" s="316"/>
      <c r="BCO59" s="316"/>
      <c r="BCP59" s="316"/>
      <c r="BCQ59" s="316"/>
      <c r="BCR59" s="316"/>
      <c r="BCS59" s="316"/>
      <c r="BCT59" s="316"/>
      <c r="BCU59" s="316"/>
      <c r="BCV59" s="316"/>
      <c r="BCW59" s="316"/>
      <c r="BCX59" s="316"/>
      <c r="BCY59" s="316"/>
      <c r="BCZ59" s="316"/>
      <c r="BDA59" s="316"/>
      <c r="BDB59" s="316"/>
      <c r="BDC59" s="316"/>
      <c r="BDD59" s="316"/>
      <c r="BDE59" s="316"/>
      <c r="BDF59" s="316"/>
      <c r="BDG59" s="316"/>
      <c r="BDH59" s="316"/>
      <c r="BDI59" s="316"/>
      <c r="BDJ59" s="316"/>
      <c r="BDK59" s="316"/>
      <c r="BDL59" s="316"/>
      <c r="BDM59" s="316"/>
      <c r="BDN59" s="316"/>
      <c r="BDO59" s="316"/>
      <c r="BDP59" s="316"/>
      <c r="BDQ59" s="316"/>
      <c r="BDR59" s="316"/>
      <c r="BDS59" s="316"/>
      <c r="BDT59" s="316"/>
      <c r="BDU59" s="316"/>
      <c r="BDV59" s="316"/>
      <c r="BDW59" s="316"/>
      <c r="BDX59" s="316"/>
      <c r="BDY59" s="316"/>
      <c r="BDZ59" s="316"/>
      <c r="BEA59" s="316"/>
      <c r="BEB59" s="316"/>
      <c r="BEC59" s="316"/>
      <c r="BED59" s="316"/>
      <c r="BEE59" s="316"/>
      <c r="BEF59" s="316"/>
      <c r="BEG59" s="316"/>
      <c r="BEH59" s="316"/>
      <c r="BEI59" s="316"/>
      <c r="BEJ59" s="316"/>
      <c r="BEK59" s="316"/>
      <c r="BEL59" s="316"/>
      <c r="BEM59" s="316"/>
      <c r="BEN59" s="316"/>
      <c r="BEO59" s="316"/>
      <c r="BEP59" s="316"/>
      <c r="BEQ59" s="316"/>
      <c r="BER59" s="316"/>
      <c r="BES59" s="316"/>
      <c r="BET59" s="316"/>
      <c r="BEU59" s="316"/>
      <c r="BEV59" s="316"/>
      <c r="BEW59" s="316"/>
      <c r="BEX59" s="316"/>
      <c r="BEY59" s="316"/>
      <c r="BEZ59" s="316"/>
      <c r="BFA59" s="316"/>
      <c r="BFB59" s="316"/>
      <c r="BFC59" s="316"/>
      <c r="BFD59" s="316"/>
      <c r="BFE59" s="316"/>
      <c r="BFF59" s="316"/>
      <c r="BFG59" s="316"/>
      <c r="BFH59" s="316"/>
      <c r="BFI59" s="316"/>
      <c r="BFJ59" s="316"/>
      <c r="BFK59" s="316"/>
      <c r="BFL59" s="316"/>
      <c r="BFM59" s="316"/>
      <c r="BFN59" s="316"/>
      <c r="BFO59" s="316"/>
      <c r="BFP59" s="316"/>
      <c r="BFQ59" s="316"/>
      <c r="BFR59" s="316"/>
      <c r="BFS59" s="316"/>
      <c r="BFT59" s="316"/>
      <c r="BFU59" s="316"/>
      <c r="BFV59" s="316"/>
      <c r="BFW59" s="316"/>
      <c r="BFX59" s="316"/>
      <c r="BFY59" s="316"/>
      <c r="BFZ59" s="316"/>
      <c r="BGA59" s="316"/>
      <c r="BGB59" s="316"/>
      <c r="BGC59" s="316"/>
      <c r="BGD59" s="316"/>
      <c r="BGE59" s="316"/>
      <c r="BGF59" s="316"/>
      <c r="BGG59" s="316"/>
      <c r="BGH59" s="316"/>
      <c r="BGI59" s="316"/>
      <c r="BGJ59" s="316"/>
      <c r="BGK59" s="316"/>
      <c r="BGL59" s="316"/>
      <c r="BGM59" s="316"/>
      <c r="BGN59" s="316"/>
      <c r="BGO59" s="316"/>
      <c r="BGP59" s="316"/>
      <c r="BGQ59" s="316"/>
      <c r="BGR59" s="316"/>
      <c r="BGS59" s="316"/>
      <c r="BGT59" s="316"/>
      <c r="BGU59" s="316"/>
      <c r="BGV59" s="316"/>
      <c r="BGW59" s="316"/>
      <c r="BGX59" s="316"/>
      <c r="BGY59" s="316"/>
      <c r="BGZ59" s="316"/>
      <c r="BHA59" s="316"/>
      <c r="BHB59" s="316"/>
      <c r="BHC59" s="316"/>
      <c r="BHD59" s="316"/>
      <c r="BHE59" s="316"/>
      <c r="BHF59" s="316"/>
      <c r="BHG59" s="316"/>
      <c r="BHH59" s="316"/>
      <c r="BHI59" s="316"/>
      <c r="BHJ59" s="316"/>
      <c r="BHK59" s="316"/>
      <c r="BHL59" s="316"/>
      <c r="BHM59" s="316"/>
      <c r="BHN59" s="316"/>
      <c r="BHO59" s="316"/>
      <c r="BHP59" s="316"/>
      <c r="BHQ59" s="316"/>
      <c r="BHR59" s="316"/>
      <c r="BHS59" s="316"/>
      <c r="BHT59" s="316"/>
      <c r="BHU59" s="316"/>
      <c r="BHV59" s="316"/>
      <c r="BHW59" s="316"/>
      <c r="BHX59" s="316"/>
      <c r="BHY59" s="316"/>
      <c r="BHZ59" s="316"/>
      <c r="BIA59" s="316"/>
      <c r="BIB59" s="316"/>
      <c r="BIC59" s="316"/>
      <c r="BID59" s="316"/>
      <c r="BIE59" s="316"/>
      <c r="BIF59" s="316"/>
      <c r="BIG59" s="316"/>
      <c r="BIH59" s="316"/>
      <c r="BII59" s="316"/>
      <c r="BIJ59" s="316"/>
      <c r="BIK59" s="316"/>
      <c r="BIL59" s="316"/>
      <c r="BIM59" s="316"/>
      <c r="BIN59" s="316"/>
      <c r="BIO59" s="316"/>
      <c r="BIP59" s="316"/>
      <c r="BIQ59" s="316"/>
      <c r="BIR59" s="316"/>
      <c r="BIS59" s="316"/>
      <c r="BIT59" s="316"/>
      <c r="BIU59" s="316"/>
      <c r="BIV59" s="316"/>
      <c r="BIW59" s="316"/>
      <c r="BIX59" s="316"/>
      <c r="BIY59" s="316"/>
      <c r="BIZ59" s="316"/>
      <c r="BJA59" s="316"/>
      <c r="BJB59" s="316"/>
      <c r="BJC59" s="316"/>
      <c r="BJD59" s="316"/>
      <c r="BJE59" s="316"/>
      <c r="BJF59" s="316"/>
      <c r="BJG59" s="316"/>
      <c r="BJH59" s="316"/>
      <c r="BJI59" s="316"/>
      <c r="BJJ59" s="316"/>
      <c r="BJK59" s="316"/>
      <c r="BJL59" s="316"/>
      <c r="BJM59" s="316"/>
      <c r="BJN59" s="316"/>
      <c r="BJO59" s="316"/>
      <c r="BJP59" s="316"/>
      <c r="BJQ59" s="316"/>
      <c r="BJR59" s="316"/>
      <c r="BJS59" s="316"/>
      <c r="BJT59" s="316"/>
      <c r="BJU59" s="316"/>
      <c r="BJV59" s="316"/>
      <c r="BJW59" s="316"/>
      <c r="BJX59" s="316"/>
      <c r="BJY59" s="316"/>
      <c r="BJZ59" s="316"/>
      <c r="BKA59" s="316"/>
      <c r="BKB59" s="316"/>
      <c r="BKC59" s="316"/>
      <c r="BKD59" s="316"/>
      <c r="BKE59" s="316"/>
      <c r="BKF59" s="316"/>
      <c r="BKG59" s="316"/>
      <c r="BKH59" s="316"/>
      <c r="BKI59" s="316"/>
      <c r="BKJ59" s="316"/>
      <c r="BKK59" s="316"/>
      <c r="BKL59" s="316"/>
      <c r="BKM59" s="316"/>
      <c r="BKN59" s="316"/>
      <c r="BKO59" s="316"/>
      <c r="BKP59" s="316"/>
      <c r="BKQ59" s="316"/>
      <c r="BKR59" s="316"/>
      <c r="BKS59" s="316"/>
      <c r="BKT59" s="316"/>
      <c r="BKU59" s="316"/>
      <c r="BKV59" s="316"/>
      <c r="BKW59" s="316"/>
      <c r="BKX59" s="316"/>
      <c r="BKY59" s="316"/>
      <c r="BKZ59" s="316"/>
      <c r="BLA59" s="316"/>
      <c r="BLB59" s="316"/>
      <c r="BLC59" s="316"/>
      <c r="BLD59" s="316"/>
      <c r="BLE59" s="316"/>
      <c r="BLF59" s="316"/>
      <c r="BLG59" s="316"/>
      <c r="BLH59" s="316"/>
      <c r="BLI59" s="316"/>
      <c r="BLJ59" s="316"/>
      <c r="BLK59" s="316"/>
      <c r="BLL59" s="316"/>
      <c r="BLM59" s="316"/>
      <c r="BLN59" s="316"/>
      <c r="BLO59" s="316"/>
      <c r="BLP59" s="316"/>
      <c r="BLQ59" s="316"/>
      <c r="BLR59" s="316"/>
      <c r="BLS59" s="316"/>
      <c r="BLT59" s="316"/>
      <c r="BLU59" s="316"/>
      <c r="BLV59" s="316"/>
      <c r="BLW59" s="316"/>
      <c r="BLX59" s="316"/>
      <c r="BLY59" s="316"/>
      <c r="BLZ59" s="316"/>
      <c r="BMA59" s="316"/>
      <c r="BMB59" s="316"/>
      <c r="BMC59" s="316"/>
      <c r="BMD59" s="316"/>
      <c r="BME59" s="316"/>
      <c r="BMF59" s="316"/>
      <c r="BMG59" s="316"/>
      <c r="BMH59" s="316"/>
      <c r="BMI59" s="316"/>
      <c r="BMJ59" s="316"/>
      <c r="BMK59" s="316"/>
      <c r="BML59" s="316"/>
      <c r="BMM59" s="316"/>
      <c r="BMN59" s="316"/>
      <c r="BMO59" s="316"/>
      <c r="BMP59" s="316"/>
      <c r="BMQ59" s="316"/>
      <c r="BMR59" s="316"/>
      <c r="BMS59" s="316"/>
      <c r="BMT59" s="316"/>
      <c r="BMU59" s="316"/>
      <c r="BMV59" s="316"/>
      <c r="BMW59" s="316"/>
      <c r="BMX59" s="316"/>
      <c r="BMY59" s="316"/>
      <c r="BMZ59" s="316"/>
      <c r="BNA59" s="316"/>
      <c r="BNB59" s="316"/>
      <c r="BNC59" s="316"/>
      <c r="BND59" s="316"/>
      <c r="BNE59" s="316"/>
      <c r="BNF59" s="316"/>
      <c r="BNG59" s="316"/>
      <c r="BNH59" s="316"/>
      <c r="BNI59" s="316"/>
      <c r="BNJ59" s="316"/>
      <c r="BNK59" s="316"/>
      <c r="BNL59" s="316"/>
      <c r="BNM59" s="316"/>
      <c r="BNN59" s="316"/>
      <c r="BNO59" s="316"/>
      <c r="BNP59" s="316"/>
      <c r="BNQ59" s="316"/>
      <c r="BNR59" s="316"/>
      <c r="BNS59" s="316"/>
      <c r="BNT59" s="316"/>
      <c r="BNU59" s="316"/>
      <c r="BNV59" s="316"/>
      <c r="BNW59" s="316"/>
      <c r="BNX59" s="316"/>
      <c r="BNY59" s="316"/>
      <c r="BNZ59" s="316"/>
      <c r="BOA59" s="316"/>
      <c r="BOB59" s="316"/>
      <c r="BOC59" s="316"/>
      <c r="BOD59" s="316"/>
      <c r="BOE59" s="316"/>
      <c r="BOF59" s="316"/>
      <c r="BOG59" s="316"/>
      <c r="BOH59" s="316"/>
      <c r="BOI59" s="316"/>
      <c r="BOJ59" s="316"/>
      <c r="BOK59" s="316"/>
      <c r="BOL59" s="316"/>
      <c r="BOM59" s="316"/>
      <c r="BON59" s="316"/>
      <c r="BOO59" s="316"/>
      <c r="BOP59" s="316"/>
      <c r="BOQ59" s="316"/>
      <c r="BOR59" s="316"/>
      <c r="BOS59" s="316"/>
      <c r="BOT59" s="316"/>
      <c r="BOU59" s="316"/>
      <c r="BOV59" s="316"/>
      <c r="BOW59" s="316"/>
      <c r="BOX59" s="316"/>
      <c r="BOY59" s="316"/>
      <c r="BOZ59" s="316"/>
      <c r="BPA59" s="316"/>
      <c r="BPB59" s="316"/>
      <c r="BPC59" s="316"/>
      <c r="BPD59" s="316"/>
      <c r="BPE59" s="316"/>
      <c r="BPF59" s="316"/>
      <c r="BPG59" s="316"/>
      <c r="BPH59" s="316"/>
      <c r="BPI59" s="316"/>
      <c r="BPJ59" s="316"/>
      <c r="BPK59" s="316"/>
      <c r="BPL59" s="316"/>
      <c r="BPM59" s="316"/>
      <c r="BPN59" s="316"/>
      <c r="BPO59" s="316"/>
      <c r="BPP59" s="316"/>
      <c r="BPQ59" s="316"/>
      <c r="BPR59" s="316"/>
      <c r="BPS59" s="316"/>
      <c r="BPT59" s="316"/>
      <c r="BPU59" s="316"/>
      <c r="BPV59" s="316"/>
      <c r="BPW59" s="316"/>
      <c r="BPX59" s="316"/>
      <c r="BPY59" s="316"/>
      <c r="BPZ59" s="316"/>
      <c r="BQA59" s="316"/>
      <c r="BQB59" s="316"/>
      <c r="BQC59" s="316"/>
      <c r="BQD59" s="316"/>
      <c r="BQE59" s="316"/>
      <c r="BQF59" s="316"/>
      <c r="BQG59" s="316"/>
      <c r="BQH59" s="316"/>
      <c r="BQI59" s="316"/>
      <c r="BQJ59" s="316"/>
      <c r="BQK59" s="316"/>
      <c r="BQL59" s="316"/>
      <c r="BQM59" s="316"/>
      <c r="BQN59" s="316"/>
      <c r="BQO59" s="316"/>
      <c r="BQP59" s="316"/>
      <c r="BQQ59" s="316"/>
      <c r="BQR59" s="316"/>
      <c r="BQS59" s="316"/>
      <c r="BQT59" s="316"/>
      <c r="BQU59" s="316"/>
      <c r="BQV59" s="316"/>
      <c r="BQW59" s="316"/>
      <c r="BQX59" s="316"/>
      <c r="BQY59" s="316"/>
      <c r="BQZ59" s="316"/>
      <c r="BRA59" s="316"/>
      <c r="BRB59" s="316"/>
      <c r="BRC59" s="316"/>
      <c r="BRD59" s="316"/>
      <c r="BRE59" s="316"/>
      <c r="BRF59" s="316"/>
      <c r="BRG59" s="316"/>
      <c r="BRH59" s="316"/>
      <c r="BRI59" s="316"/>
      <c r="BRJ59" s="316"/>
      <c r="BRK59" s="316"/>
      <c r="BRL59" s="316"/>
      <c r="BRM59" s="316"/>
      <c r="BRN59" s="316"/>
      <c r="BRO59" s="316"/>
      <c r="BRP59" s="316"/>
      <c r="BRQ59" s="316"/>
      <c r="BRR59" s="316"/>
      <c r="BRS59" s="316"/>
      <c r="BRT59" s="316"/>
      <c r="BRU59" s="316"/>
      <c r="BRV59" s="316"/>
      <c r="BRW59" s="316"/>
      <c r="BRX59" s="316"/>
      <c r="BRY59" s="316"/>
      <c r="BRZ59" s="316"/>
      <c r="BSA59" s="316"/>
      <c r="BSB59" s="316"/>
      <c r="BSC59" s="316"/>
      <c r="BSD59" s="316"/>
      <c r="BSE59" s="316"/>
      <c r="BSF59" s="316"/>
      <c r="BSG59" s="316"/>
      <c r="BSH59" s="316"/>
      <c r="BSI59" s="316"/>
      <c r="BSJ59" s="316"/>
      <c r="BSK59" s="316"/>
      <c r="BSL59" s="316"/>
      <c r="BSM59" s="316"/>
      <c r="BSN59" s="316"/>
      <c r="BSO59" s="316"/>
      <c r="BSP59" s="316"/>
      <c r="BSQ59" s="316"/>
      <c r="BSR59" s="316"/>
      <c r="BSS59" s="316"/>
      <c r="BST59" s="316"/>
      <c r="BSU59" s="316"/>
      <c r="BSV59" s="316"/>
      <c r="BSW59" s="316"/>
      <c r="BSX59" s="316"/>
      <c r="BSY59" s="316"/>
      <c r="BSZ59" s="316"/>
      <c r="BTA59" s="316"/>
      <c r="BTB59" s="316"/>
      <c r="BTC59" s="316"/>
      <c r="BTD59" s="316"/>
      <c r="BTE59" s="316"/>
      <c r="BTF59" s="316"/>
      <c r="BTG59" s="316"/>
      <c r="BTH59" s="316"/>
      <c r="BTI59" s="316"/>
      <c r="BTJ59" s="316"/>
      <c r="BTK59" s="316"/>
      <c r="BTL59" s="316"/>
      <c r="BTM59" s="316"/>
      <c r="BTN59" s="316"/>
      <c r="BTO59" s="316"/>
      <c r="BTP59" s="316"/>
      <c r="BTQ59" s="316"/>
      <c r="BTR59" s="316"/>
      <c r="BTS59" s="316"/>
      <c r="BTT59" s="316"/>
      <c r="BTU59" s="316"/>
      <c r="BTV59" s="316"/>
      <c r="BTW59" s="316"/>
      <c r="BTX59" s="316"/>
      <c r="BTY59" s="316"/>
      <c r="BTZ59" s="316"/>
      <c r="BUA59" s="316"/>
      <c r="BUB59" s="316"/>
      <c r="BUC59" s="316"/>
      <c r="BUD59" s="316"/>
      <c r="BUE59" s="316"/>
      <c r="BUF59" s="316"/>
      <c r="BUG59" s="316"/>
      <c r="BUH59" s="316"/>
      <c r="BUI59" s="316"/>
      <c r="BUJ59" s="316"/>
      <c r="BUK59" s="316"/>
      <c r="BUL59" s="316"/>
      <c r="BUM59" s="316"/>
      <c r="BUN59" s="316"/>
      <c r="BUO59" s="316"/>
      <c r="BUP59" s="316"/>
      <c r="BUQ59" s="316"/>
      <c r="BUR59" s="316"/>
      <c r="BUS59" s="316"/>
      <c r="BUT59" s="316"/>
      <c r="BUU59" s="316"/>
      <c r="BUV59" s="316"/>
      <c r="BUW59" s="316"/>
      <c r="BUX59" s="316"/>
      <c r="BUY59" s="316"/>
      <c r="BUZ59" s="316"/>
      <c r="BVA59" s="316"/>
      <c r="BVB59" s="316"/>
      <c r="BVC59" s="316"/>
      <c r="BVD59" s="316"/>
      <c r="BVE59" s="316"/>
      <c r="BVF59" s="316"/>
      <c r="BVG59" s="316"/>
      <c r="BVH59" s="316"/>
      <c r="BVI59" s="316"/>
      <c r="BVJ59" s="316"/>
      <c r="BVK59" s="316"/>
      <c r="BVL59" s="316"/>
      <c r="BVM59" s="316"/>
      <c r="BVN59" s="316"/>
      <c r="BVO59" s="316"/>
      <c r="BVP59" s="316"/>
      <c r="BVQ59" s="316"/>
      <c r="BVR59" s="316"/>
      <c r="BVS59" s="316"/>
      <c r="BVT59" s="316"/>
      <c r="BVU59" s="316"/>
      <c r="BVV59" s="316"/>
      <c r="BVW59" s="316"/>
      <c r="BVX59" s="316"/>
      <c r="BVY59" s="316"/>
      <c r="BVZ59" s="316"/>
      <c r="BWA59" s="316"/>
      <c r="BWB59" s="316"/>
      <c r="BWC59" s="316"/>
      <c r="BWD59" s="316"/>
      <c r="BWE59" s="316"/>
      <c r="BWF59" s="316"/>
      <c r="BWG59" s="316"/>
      <c r="BWH59" s="316"/>
      <c r="BWI59" s="316"/>
      <c r="BWJ59" s="316"/>
      <c r="BWK59" s="316"/>
      <c r="BWL59" s="316"/>
      <c r="BWM59" s="316"/>
      <c r="BWN59" s="316"/>
      <c r="BWO59" s="316"/>
      <c r="BWP59" s="316"/>
      <c r="BWQ59" s="316"/>
      <c r="BWR59" s="316"/>
      <c r="BWS59" s="316"/>
      <c r="BWT59" s="316"/>
      <c r="BWU59" s="316"/>
      <c r="BWV59" s="316"/>
      <c r="BWW59" s="316"/>
      <c r="BWX59" s="316"/>
      <c r="BWY59" s="316"/>
      <c r="BWZ59" s="316"/>
      <c r="BXA59" s="316"/>
      <c r="BXB59" s="316"/>
      <c r="BXC59" s="316"/>
      <c r="BXD59" s="316"/>
      <c r="BXE59" s="316"/>
      <c r="BXF59" s="316"/>
      <c r="BXG59" s="316"/>
      <c r="BXH59" s="316"/>
      <c r="BXI59" s="316"/>
      <c r="BXJ59" s="316"/>
      <c r="BXK59" s="316"/>
      <c r="BXL59" s="316"/>
      <c r="BXM59" s="316"/>
      <c r="BXN59" s="316"/>
      <c r="BXO59" s="316"/>
      <c r="BXP59" s="316"/>
      <c r="BXQ59" s="316"/>
      <c r="BXR59" s="316"/>
      <c r="BXS59" s="316"/>
      <c r="BXT59" s="316"/>
      <c r="BXU59" s="316"/>
      <c r="BXV59" s="316"/>
      <c r="BXW59" s="316"/>
      <c r="BXX59" s="316"/>
      <c r="BXY59" s="316"/>
      <c r="BXZ59" s="316"/>
      <c r="BYA59" s="316"/>
      <c r="BYB59" s="316"/>
      <c r="BYC59" s="316"/>
      <c r="BYD59" s="316"/>
      <c r="BYE59" s="316"/>
      <c r="BYF59" s="316"/>
      <c r="BYG59" s="316"/>
      <c r="BYH59" s="316"/>
      <c r="BYI59" s="316"/>
      <c r="BYJ59" s="316"/>
      <c r="BYK59" s="316"/>
      <c r="BYL59" s="316"/>
      <c r="BYM59" s="316"/>
      <c r="BYN59" s="316"/>
      <c r="BYO59" s="316"/>
      <c r="BYP59" s="316"/>
      <c r="BYQ59" s="316"/>
      <c r="BYR59" s="316"/>
      <c r="BYS59" s="316"/>
      <c r="BYT59" s="316"/>
      <c r="BYU59" s="316"/>
      <c r="BYV59" s="316"/>
      <c r="BYW59" s="316"/>
      <c r="BYX59" s="316"/>
      <c r="BYY59" s="316"/>
      <c r="BYZ59" s="316"/>
      <c r="BZA59" s="316"/>
      <c r="BZB59" s="316"/>
      <c r="BZC59" s="316"/>
      <c r="BZD59" s="316"/>
      <c r="BZE59" s="316"/>
      <c r="BZF59" s="316"/>
      <c r="BZG59" s="316"/>
      <c r="BZH59" s="316"/>
      <c r="BZI59" s="316"/>
      <c r="BZJ59" s="316"/>
      <c r="BZK59" s="316"/>
      <c r="BZL59" s="316"/>
      <c r="BZM59" s="316"/>
      <c r="BZN59" s="316"/>
      <c r="BZO59" s="316"/>
      <c r="BZP59" s="316"/>
      <c r="BZQ59" s="316"/>
      <c r="BZR59" s="316"/>
      <c r="BZS59" s="316"/>
      <c r="BZT59" s="316"/>
      <c r="BZU59" s="316"/>
      <c r="BZV59" s="316"/>
      <c r="BZW59" s="316"/>
      <c r="BZX59" s="316"/>
      <c r="BZY59" s="316"/>
      <c r="BZZ59" s="316"/>
      <c r="CAA59" s="316"/>
      <c r="CAB59" s="316"/>
      <c r="CAC59" s="316"/>
      <c r="CAD59" s="316"/>
      <c r="CAE59" s="316"/>
      <c r="CAF59" s="316"/>
      <c r="CAG59" s="316"/>
      <c r="CAH59" s="316"/>
      <c r="CAI59" s="316"/>
      <c r="CAJ59" s="316"/>
      <c r="CAK59" s="316"/>
      <c r="CAL59" s="316"/>
      <c r="CAM59" s="316"/>
      <c r="CAN59" s="316"/>
      <c r="CAO59" s="316"/>
      <c r="CAP59" s="316"/>
      <c r="CAQ59" s="316"/>
      <c r="CAR59" s="316"/>
      <c r="CAS59" s="316"/>
      <c r="CAT59" s="316"/>
      <c r="CAU59" s="316"/>
      <c r="CAV59" s="316"/>
      <c r="CAW59" s="316"/>
      <c r="CAX59" s="316"/>
      <c r="CAY59" s="316"/>
      <c r="CAZ59" s="316"/>
      <c r="CBA59" s="316"/>
      <c r="CBB59" s="316"/>
      <c r="CBC59" s="316"/>
      <c r="CBD59" s="316"/>
      <c r="CBE59" s="316"/>
      <c r="CBF59" s="316"/>
      <c r="CBG59" s="316"/>
      <c r="CBH59" s="316"/>
      <c r="CBI59" s="316"/>
      <c r="CBJ59" s="316"/>
      <c r="CBK59" s="316"/>
      <c r="CBL59" s="316"/>
      <c r="CBM59" s="316"/>
      <c r="CBN59" s="316"/>
      <c r="CBO59" s="316"/>
      <c r="CBP59" s="316"/>
      <c r="CBQ59" s="316"/>
      <c r="CBR59" s="316"/>
      <c r="CBS59" s="316"/>
      <c r="CBT59" s="316"/>
      <c r="CBU59" s="316"/>
      <c r="CBV59" s="316"/>
      <c r="CBW59" s="316"/>
      <c r="CBX59" s="316"/>
      <c r="CBY59" s="316"/>
      <c r="CBZ59" s="316"/>
      <c r="CCA59" s="316"/>
      <c r="CCB59" s="316"/>
      <c r="CCC59" s="316"/>
      <c r="CCD59" s="316"/>
      <c r="CCE59" s="316"/>
      <c r="CCF59" s="316"/>
      <c r="CCG59" s="316"/>
      <c r="CCH59" s="316"/>
      <c r="CCI59" s="316"/>
      <c r="CCJ59" s="316"/>
      <c r="CCK59" s="316"/>
      <c r="CCL59" s="316"/>
      <c r="CCM59" s="316"/>
      <c r="CCN59" s="316"/>
      <c r="CCO59" s="316"/>
      <c r="CCP59" s="316"/>
      <c r="CCQ59" s="316"/>
      <c r="CCR59" s="316"/>
      <c r="CCS59" s="316"/>
      <c r="CCT59" s="316"/>
      <c r="CCU59" s="316"/>
      <c r="CCV59" s="316"/>
      <c r="CCW59" s="316"/>
      <c r="CCX59" s="316"/>
      <c r="CCY59" s="316"/>
      <c r="CCZ59" s="316"/>
      <c r="CDA59" s="316"/>
      <c r="CDB59" s="316"/>
      <c r="CDC59" s="316"/>
      <c r="CDD59" s="316"/>
      <c r="CDE59" s="316"/>
      <c r="CDF59" s="316"/>
      <c r="CDG59" s="316"/>
      <c r="CDH59" s="316"/>
      <c r="CDI59" s="316"/>
      <c r="CDJ59" s="316"/>
      <c r="CDK59" s="316"/>
      <c r="CDL59" s="316"/>
      <c r="CDM59" s="316"/>
      <c r="CDN59" s="316"/>
      <c r="CDO59" s="316"/>
      <c r="CDP59" s="316"/>
      <c r="CDQ59" s="316"/>
      <c r="CDR59" s="316"/>
      <c r="CDS59" s="316"/>
      <c r="CDT59" s="316"/>
      <c r="CDU59" s="316"/>
      <c r="CDV59" s="316"/>
      <c r="CDW59" s="316"/>
      <c r="CDX59" s="316"/>
      <c r="CDY59" s="316"/>
      <c r="CDZ59" s="316"/>
      <c r="CEA59" s="316"/>
      <c r="CEB59" s="316"/>
      <c r="CEC59" s="316"/>
      <c r="CED59" s="316"/>
      <c r="CEE59" s="316"/>
      <c r="CEF59" s="316"/>
      <c r="CEG59" s="316"/>
      <c r="CEH59" s="316"/>
      <c r="CEI59" s="316"/>
      <c r="CEJ59" s="316"/>
      <c r="CEK59" s="316"/>
      <c r="CEL59" s="316"/>
      <c r="CEM59" s="316"/>
      <c r="CEN59" s="316"/>
      <c r="CEO59" s="316"/>
      <c r="CEP59" s="316"/>
      <c r="CEQ59" s="316"/>
      <c r="CER59" s="316"/>
      <c r="CES59" s="316"/>
      <c r="CET59" s="316"/>
      <c r="CEU59" s="316"/>
      <c r="CEV59" s="316"/>
      <c r="CEW59" s="316"/>
      <c r="CEX59" s="316"/>
      <c r="CEY59" s="316"/>
      <c r="CEZ59" s="316"/>
      <c r="CFA59" s="316"/>
      <c r="CFB59" s="316"/>
      <c r="CFC59" s="316"/>
      <c r="CFD59" s="316"/>
      <c r="CFE59" s="316"/>
      <c r="CFF59" s="316"/>
      <c r="CFG59" s="316"/>
      <c r="CFH59" s="316"/>
      <c r="CFI59" s="316"/>
      <c r="CFJ59" s="316"/>
      <c r="CFK59" s="316"/>
      <c r="CFL59" s="316"/>
      <c r="CFM59" s="316"/>
      <c r="CFN59" s="316"/>
      <c r="CFO59" s="316"/>
      <c r="CFP59" s="316"/>
      <c r="CFQ59" s="316"/>
      <c r="CFR59" s="316"/>
      <c r="CFS59" s="316"/>
      <c r="CFT59" s="316"/>
      <c r="CFU59" s="316"/>
      <c r="CFV59" s="316"/>
      <c r="CFW59" s="316"/>
      <c r="CFX59" s="316"/>
      <c r="CFY59" s="316"/>
      <c r="CFZ59" s="316"/>
      <c r="CGA59" s="316"/>
      <c r="CGB59" s="316"/>
      <c r="CGC59" s="316"/>
      <c r="CGD59" s="316"/>
      <c r="CGE59" s="316"/>
      <c r="CGF59" s="316"/>
      <c r="CGG59" s="316"/>
      <c r="CGH59" s="316"/>
      <c r="CGI59" s="316"/>
      <c r="CGJ59" s="316"/>
      <c r="CGK59" s="316"/>
      <c r="CGL59" s="316"/>
      <c r="CGM59" s="316"/>
      <c r="CGN59" s="316"/>
      <c r="CGO59" s="316"/>
      <c r="CGP59" s="316"/>
      <c r="CGQ59" s="316"/>
      <c r="CGR59" s="316"/>
      <c r="CGS59" s="316"/>
      <c r="CGT59" s="316"/>
      <c r="CGU59" s="316"/>
      <c r="CGV59" s="316"/>
      <c r="CGW59" s="316"/>
      <c r="CGX59" s="316"/>
      <c r="CGY59" s="316"/>
      <c r="CGZ59" s="316"/>
      <c r="CHA59" s="316"/>
      <c r="CHB59" s="316"/>
      <c r="CHC59" s="316"/>
      <c r="CHD59" s="316"/>
      <c r="CHE59" s="316"/>
      <c r="CHF59" s="316"/>
      <c r="CHG59" s="316"/>
      <c r="CHH59" s="316"/>
      <c r="CHI59" s="316"/>
      <c r="CHJ59" s="316"/>
      <c r="CHK59" s="316"/>
      <c r="CHL59" s="316"/>
      <c r="CHM59" s="316"/>
      <c r="CHN59" s="316"/>
      <c r="CHO59" s="316"/>
      <c r="CHP59" s="316"/>
      <c r="CHQ59" s="316"/>
      <c r="CHR59" s="316"/>
      <c r="CHS59" s="316"/>
      <c r="CHT59" s="316"/>
      <c r="CHU59" s="316"/>
      <c r="CHV59" s="316"/>
      <c r="CHW59" s="316"/>
      <c r="CHX59" s="316"/>
      <c r="CHY59" s="316"/>
      <c r="CHZ59" s="316"/>
      <c r="CIA59" s="316"/>
      <c r="CIB59" s="316"/>
      <c r="CIC59" s="316"/>
      <c r="CID59" s="316"/>
      <c r="CIE59" s="316"/>
      <c r="CIF59" s="316"/>
      <c r="CIG59" s="316"/>
      <c r="CIH59" s="316"/>
      <c r="CII59" s="316"/>
      <c r="CIJ59" s="316"/>
      <c r="CIK59" s="316"/>
      <c r="CIL59" s="316"/>
      <c r="CIM59" s="316"/>
      <c r="CIN59" s="316"/>
      <c r="CIO59" s="316"/>
      <c r="CIP59" s="316"/>
      <c r="CIQ59" s="316"/>
      <c r="CIR59" s="316"/>
      <c r="CIS59" s="316"/>
      <c r="CIT59" s="316"/>
      <c r="CIU59" s="316"/>
      <c r="CIV59" s="316"/>
      <c r="CIW59" s="316"/>
      <c r="CIX59" s="316"/>
      <c r="CIY59" s="316"/>
      <c r="CIZ59" s="316"/>
      <c r="CJA59" s="316"/>
      <c r="CJB59" s="316"/>
      <c r="CJC59" s="316"/>
      <c r="CJD59" s="316"/>
      <c r="CJE59" s="316"/>
      <c r="CJF59" s="316"/>
      <c r="CJG59" s="316"/>
      <c r="CJH59" s="316"/>
      <c r="CJI59" s="316"/>
      <c r="CJJ59" s="316"/>
      <c r="CJK59" s="316"/>
      <c r="CJL59" s="316"/>
      <c r="CJM59" s="316"/>
      <c r="CJN59" s="316"/>
      <c r="CJO59" s="316"/>
      <c r="CJP59" s="316"/>
      <c r="CJQ59" s="316"/>
      <c r="CJR59" s="316"/>
      <c r="CJS59" s="316"/>
      <c r="CJT59" s="316"/>
      <c r="CJU59" s="316"/>
      <c r="CJV59" s="316"/>
      <c r="CJW59" s="316"/>
      <c r="CJX59" s="316"/>
      <c r="CJY59" s="316"/>
      <c r="CJZ59" s="316"/>
      <c r="CKA59" s="316"/>
      <c r="CKB59" s="316"/>
      <c r="CKC59" s="316"/>
      <c r="CKD59" s="316"/>
      <c r="CKE59" s="316"/>
      <c r="CKF59" s="316"/>
      <c r="CKG59" s="316"/>
      <c r="CKH59" s="316"/>
      <c r="CKI59" s="316"/>
      <c r="CKJ59" s="316"/>
      <c r="CKK59" s="316"/>
      <c r="CKL59" s="316"/>
      <c r="CKM59" s="316"/>
      <c r="CKN59" s="316"/>
      <c r="CKO59" s="316"/>
      <c r="CKP59" s="316"/>
      <c r="CKQ59" s="316"/>
      <c r="CKR59" s="316"/>
      <c r="CKS59" s="316"/>
      <c r="CKT59" s="316"/>
      <c r="CKU59" s="316"/>
      <c r="CKV59" s="316"/>
      <c r="CKW59" s="316"/>
      <c r="CKX59" s="316"/>
      <c r="CKY59" s="316"/>
      <c r="CKZ59" s="316"/>
      <c r="CLA59" s="316"/>
      <c r="CLB59" s="316"/>
      <c r="CLC59" s="316"/>
      <c r="CLD59" s="316"/>
      <c r="CLE59" s="316"/>
      <c r="CLF59" s="316"/>
      <c r="CLG59" s="316"/>
      <c r="CLH59" s="316"/>
      <c r="CLI59" s="316"/>
      <c r="CLJ59" s="316"/>
      <c r="CLK59" s="316"/>
      <c r="CLL59" s="316"/>
      <c r="CLM59" s="316"/>
      <c r="CLN59" s="316"/>
      <c r="CLO59" s="316"/>
      <c r="CLP59" s="316"/>
      <c r="CLQ59" s="316"/>
      <c r="CLR59" s="316"/>
      <c r="CLS59" s="316"/>
      <c r="CLT59" s="316"/>
      <c r="CLU59" s="316"/>
      <c r="CLV59" s="316"/>
      <c r="CLW59" s="316"/>
      <c r="CLX59" s="316"/>
      <c r="CLY59" s="316"/>
      <c r="CLZ59" s="316"/>
      <c r="CMA59" s="316"/>
      <c r="CMB59" s="316"/>
      <c r="CMC59" s="316"/>
      <c r="CMD59" s="316"/>
      <c r="CME59" s="316"/>
      <c r="CMF59" s="316"/>
      <c r="CMG59" s="316"/>
      <c r="CMH59" s="316"/>
      <c r="CMI59" s="316"/>
      <c r="CMJ59" s="316"/>
      <c r="CMK59" s="316"/>
      <c r="CML59" s="316"/>
      <c r="CMM59" s="316"/>
      <c r="CMN59" s="316"/>
      <c r="CMO59" s="316"/>
      <c r="CMP59" s="316"/>
      <c r="CMQ59" s="316"/>
      <c r="CMR59" s="316"/>
      <c r="CMS59" s="316"/>
      <c r="CMT59" s="316"/>
      <c r="CMU59" s="316"/>
      <c r="CMV59" s="316"/>
      <c r="CMW59" s="316"/>
      <c r="CMX59" s="316"/>
      <c r="CMY59" s="316"/>
      <c r="CMZ59" s="316"/>
      <c r="CNA59" s="316"/>
      <c r="CNB59" s="316"/>
      <c r="CNC59" s="316"/>
      <c r="CND59" s="316"/>
      <c r="CNE59" s="316"/>
      <c r="CNF59" s="316"/>
      <c r="CNG59" s="316"/>
      <c r="CNH59" s="316"/>
      <c r="CNI59" s="316"/>
      <c r="CNJ59" s="316"/>
      <c r="CNK59" s="316"/>
      <c r="CNL59" s="316"/>
      <c r="CNM59" s="316"/>
      <c r="CNN59" s="316"/>
      <c r="CNO59" s="316"/>
      <c r="CNP59" s="316"/>
      <c r="CNQ59" s="316"/>
      <c r="CNR59" s="316"/>
      <c r="CNS59" s="316"/>
      <c r="CNT59" s="316"/>
      <c r="CNU59" s="316"/>
      <c r="CNV59" s="316"/>
      <c r="CNW59" s="316"/>
      <c r="CNX59" s="316"/>
      <c r="CNY59" s="316"/>
      <c r="CNZ59" s="316"/>
      <c r="COA59" s="316"/>
      <c r="COB59" s="316"/>
      <c r="COC59" s="316"/>
      <c r="COD59" s="316"/>
      <c r="COE59" s="316"/>
      <c r="COF59" s="316"/>
      <c r="COG59" s="316"/>
      <c r="COH59" s="316"/>
      <c r="COI59" s="316"/>
      <c r="COJ59" s="316"/>
      <c r="COK59" s="316"/>
      <c r="COL59" s="316"/>
      <c r="COM59" s="316"/>
      <c r="CON59" s="316"/>
      <c r="COO59" s="316"/>
      <c r="COP59" s="316"/>
      <c r="COQ59" s="316"/>
      <c r="COR59" s="316"/>
      <c r="COS59" s="316"/>
      <c r="COT59" s="316"/>
      <c r="COU59" s="316"/>
      <c r="COV59" s="316"/>
      <c r="COW59" s="316"/>
      <c r="COX59" s="316"/>
      <c r="COY59" s="316"/>
      <c r="COZ59" s="316"/>
      <c r="CPA59" s="316"/>
      <c r="CPB59" s="316"/>
      <c r="CPC59" s="316"/>
      <c r="CPD59" s="316"/>
      <c r="CPE59" s="316"/>
      <c r="CPF59" s="316"/>
      <c r="CPG59" s="316"/>
      <c r="CPH59" s="316"/>
      <c r="CPI59" s="316"/>
      <c r="CPJ59" s="316"/>
      <c r="CPK59" s="316"/>
      <c r="CPL59" s="316"/>
      <c r="CPM59" s="316"/>
      <c r="CPN59" s="316"/>
      <c r="CPO59" s="316"/>
      <c r="CPP59" s="316"/>
      <c r="CPQ59" s="316"/>
      <c r="CPR59" s="316"/>
      <c r="CPS59" s="316"/>
      <c r="CPT59" s="316"/>
      <c r="CPU59" s="316"/>
      <c r="CPV59" s="316"/>
      <c r="CPW59" s="316"/>
      <c r="CPX59" s="316"/>
      <c r="CPY59" s="316"/>
      <c r="CPZ59" s="316"/>
      <c r="CQA59" s="316"/>
      <c r="CQB59" s="316"/>
      <c r="CQC59" s="316"/>
      <c r="CQD59" s="316"/>
      <c r="CQE59" s="316"/>
      <c r="CQF59" s="316"/>
      <c r="CQG59" s="316"/>
      <c r="CQH59" s="316"/>
      <c r="CQI59" s="316"/>
      <c r="CQJ59" s="316"/>
      <c r="CQK59" s="316"/>
      <c r="CQL59" s="316"/>
      <c r="CQM59" s="316"/>
      <c r="CQN59" s="316"/>
      <c r="CQO59" s="316"/>
      <c r="CQP59" s="316"/>
      <c r="CQQ59" s="316"/>
      <c r="CQR59" s="316"/>
      <c r="CQS59" s="316"/>
      <c r="CQT59" s="316"/>
      <c r="CQU59" s="316"/>
      <c r="CQV59" s="316"/>
      <c r="CQW59" s="316"/>
      <c r="CQX59" s="316"/>
      <c r="CQY59" s="316"/>
      <c r="CQZ59" s="316"/>
      <c r="CRA59" s="316"/>
      <c r="CRB59" s="316"/>
      <c r="CRC59" s="316"/>
      <c r="CRD59" s="316"/>
      <c r="CRE59" s="316"/>
      <c r="CRF59" s="316"/>
      <c r="CRG59" s="316"/>
      <c r="CRH59" s="316"/>
      <c r="CRI59" s="316"/>
      <c r="CRJ59" s="316"/>
      <c r="CRK59" s="316"/>
      <c r="CRL59" s="316"/>
      <c r="CRM59" s="316"/>
      <c r="CRN59" s="316"/>
      <c r="CRO59" s="316"/>
      <c r="CRP59" s="316"/>
      <c r="CRQ59" s="316"/>
      <c r="CRR59" s="316"/>
      <c r="CRS59" s="316"/>
      <c r="CRT59" s="316"/>
      <c r="CRU59" s="316"/>
      <c r="CRV59" s="316"/>
      <c r="CRW59" s="316"/>
      <c r="CRX59" s="316"/>
      <c r="CRY59" s="316"/>
      <c r="CRZ59" s="316"/>
      <c r="CSA59" s="316"/>
      <c r="CSB59" s="316"/>
      <c r="CSC59" s="316"/>
      <c r="CSD59" s="316"/>
      <c r="CSE59" s="316"/>
      <c r="CSF59" s="316"/>
      <c r="CSG59" s="316"/>
      <c r="CSH59" s="316"/>
      <c r="CSI59" s="316"/>
      <c r="CSJ59" s="316"/>
      <c r="CSK59" s="316"/>
      <c r="CSL59" s="316"/>
      <c r="CSM59" s="316"/>
      <c r="CSN59" s="316"/>
      <c r="CSO59" s="316"/>
      <c r="CSP59" s="316"/>
      <c r="CSQ59" s="316"/>
      <c r="CSR59" s="316"/>
      <c r="CSS59" s="316"/>
      <c r="CST59" s="316"/>
      <c r="CSU59" s="316"/>
      <c r="CSV59" s="316"/>
      <c r="CSW59" s="316"/>
      <c r="CSX59" s="316"/>
      <c r="CSY59" s="316"/>
      <c r="CSZ59" s="316"/>
      <c r="CTA59" s="316"/>
      <c r="CTB59" s="316"/>
      <c r="CTC59" s="316"/>
      <c r="CTD59" s="316"/>
      <c r="CTE59" s="316"/>
      <c r="CTF59" s="316"/>
      <c r="CTG59" s="316"/>
      <c r="CTH59" s="316"/>
      <c r="CTI59" s="316"/>
      <c r="CTJ59" s="316"/>
      <c r="CTK59" s="316"/>
      <c r="CTL59" s="316"/>
      <c r="CTM59" s="316"/>
      <c r="CTN59" s="316"/>
      <c r="CTO59" s="316"/>
      <c r="CTP59" s="316"/>
      <c r="CTQ59" s="316"/>
      <c r="CTR59" s="316"/>
      <c r="CTS59" s="316"/>
      <c r="CTT59" s="316"/>
      <c r="CTU59" s="316"/>
      <c r="CTV59" s="316"/>
      <c r="CTW59" s="316"/>
      <c r="CTX59" s="316"/>
      <c r="CTY59" s="316"/>
      <c r="CTZ59" s="316"/>
      <c r="CUA59" s="316"/>
      <c r="CUB59" s="316"/>
      <c r="CUC59" s="316"/>
      <c r="CUD59" s="316"/>
      <c r="CUE59" s="316"/>
      <c r="CUF59" s="316"/>
      <c r="CUG59" s="316"/>
      <c r="CUH59" s="316"/>
      <c r="CUI59" s="316"/>
      <c r="CUJ59" s="316"/>
      <c r="CUK59" s="316"/>
      <c r="CUL59" s="316"/>
      <c r="CUM59" s="316"/>
      <c r="CUN59" s="316"/>
      <c r="CUO59" s="316"/>
      <c r="CUP59" s="316"/>
      <c r="CUQ59" s="316"/>
      <c r="CUR59" s="316"/>
      <c r="CUS59" s="316"/>
      <c r="CUT59" s="316"/>
      <c r="CUU59" s="316"/>
      <c r="CUV59" s="316"/>
      <c r="CUW59" s="316"/>
      <c r="CUX59" s="316"/>
      <c r="CUY59" s="316"/>
      <c r="CUZ59" s="316"/>
      <c r="CVA59" s="316"/>
      <c r="CVB59" s="316"/>
      <c r="CVC59" s="316"/>
      <c r="CVD59" s="316"/>
      <c r="CVE59" s="316"/>
      <c r="CVF59" s="316"/>
      <c r="CVG59" s="316"/>
      <c r="CVH59" s="316"/>
      <c r="CVI59" s="316"/>
      <c r="CVJ59" s="316"/>
      <c r="CVK59" s="316"/>
      <c r="CVL59" s="316"/>
      <c r="CVM59" s="316"/>
      <c r="CVN59" s="316"/>
      <c r="CVO59" s="316"/>
      <c r="CVP59" s="316"/>
      <c r="CVQ59" s="316"/>
      <c r="CVR59" s="316"/>
      <c r="CVS59" s="316"/>
      <c r="CVT59" s="316"/>
      <c r="CVU59" s="316"/>
      <c r="CVV59" s="316"/>
      <c r="CVW59" s="316"/>
      <c r="CVX59" s="316"/>
      <c r="CVY59" s="316"/>
      <c r="CVZ59" s="316"/>
      <c r="CWA59" s="316"/>
      <c r="CWB59" s="316"/>
      <c r="CWC59" s="316"/>
      <c r="CWD59" s="316"/>
      <c r="CWE59" s="316"/>
      <c r="CWF59" s="316"/>
      <c r="CWG59" s="316"/>
      <c r="CWH59" s="316"/>
      <c r="CWI59" s="316"/>
      <c r="CWJ59" s="316"/>
      <c r="CWK59" s="316"/>
      <c r="CWL59" s="316"/>
      <c r="CWM59" s="316"/>
      <c r="CWN59" s="316"/>
      <c r="CWO59" s="316"/>
      <c r="CWP59" s="316"/>
      <c r="CWQ59" s="316"/>
      <c r="CWR59" s="316"/>
      <c r="CWS59" s="316"/>
      <c r="CWT59" s="316"/>
      <c r="CWU59" s="316"/>
      <c r="CWV59" s="316"/>
      <c r="CWW59" s="316"/>
      <c r="CWX59" s="316"/>
      <c r="CWY59" s="316"/>
      <c r="CWZ59" s="316"/>
      <c r="CXA59" s="316"/>
      <c r="CXB59" s="316"/>
      <c r="CXC59" s="316"/>
      <c r="CXD59" s="316"/>
      <c r="CXE59" s="316"/>
      <c r="CXF59" s="316"/>
      <c r="CXG59" s="316"/>
      <c r="CXH59" s="316"/>
      <c r="CXI59" s="316"/>
      <c r="CXJ59" s="316"/>
      <c r="CXK59" s="316"/>
      <c r="CXL59" s="316"/>
      <c r="CXM59" s="316"/>
      <c r="CXN59" s="316"/>
      <c r="CXO59" s="316"/>
      <c r="CXP59" s="316"/>
      <c r="CXQ59" s="316"/>
      <c r="CXR59" s="316"/>
      <c r="CXS59" s="316"/>
      <c r="CXT59" s="316"/>
      <c r="CXU59" s="316"/>
      <c r="CXV59" s="316"/>
      <c r="CXW59" s="316"/>
      <c r="CXX59" s="316"/>
      <c r="CXY59" s="316"/>
      <c r="CXZ59" s="316"/>
      <c r="CYA59" s="316"/>
      <c r="CYB59" s="316"/>
      <c r="CYC59" s="316"/>
      <c r="CYD59" s="316"/>
      <c r="CYE59" s="316"/>
      <c r="CYF59" s="316"/>
      <c r="CYG59" s="316"/>
      <c r="CYH59" s="316"/>
      <c r="CYI59" s="316"/>
      <c r="CYJ59" s="316"/>
      <c r="CYK59" s="316"/>
      <c r="CYL59" s="316"/>
      <c r="CYM59" s="316"/>
      <c r="CYN59" s="316"/>
      <c r="CYO59" s="316"/>
      <c r="CYP59" s="316"/>
      <c r="CYQ59" s="316"/>
      <c r="CYR59" s="316"/>
      <c r="CYS59" s="316"/>
      <c r="CYT59" s="316"/>
      <c r="CYU59" s="316"/>
      <c r="CYV59" s="316"/>
      <c r="CYW59" s="316"/>
      <c r="CYX59" s="316"/>
      <c r="CYY59" s="316"/>
      <c r="CYZ59" s="316"/>
      <c r="CZA59" s="316"/>
      <c r="CZB59" s="316"/>
      <c r="CZC59" s="316"/>
      <c r="CZD59" s="316"/>
      <c r="CZE59" s="316"/>
      <c r="CZF59" s="316"/>
      <c r="CZG59" s="316"/>
      <c r="CZH59" s="316"/>
      <c r="CZI59" s="316"/>
      <c r="CZJ59" s="316"/>
      <c r="CZK59" s="316"/>
      <c r="CZL59" s="316"/>
      <c r="CZM59" s="316"/>
      <c r="CZN59" s="316"/>
      <c r="CZO59" s="316"/>
      <c r="CZP59" s="316"/>
      <c r="CZQ59" s="316"/>
      <c r="CZR59" s="316"/>
      <c r="CZS59" s="316"/>
      <c r="CZT59" s="316"/>
      <c r="CZU59" s="316"/>
      <c r="CZV59" s="316"/>
      <c r="CZW59" s="316"/>
      <c r="CZX59" s="316"/>
      <c r="CZY59" s="316"/>
      <c r="CZZ59" s="316"/>
      <c r="DAA59" s="316"/>
      <c r="DAB59" s="316"/>
      <c r="DAC59" s="316"/>
      <c r="DAD59" s="316"/>
      <c r="DAE59" s="316"/>
      <c r="DAF59" s="316"/>
      <c r="DAG59" s="316"/>
      <c r="DAH59" s="316"/>
      <c r="DAI59" s="316"/>
      <c r="DAJ59" s="316"/>
      <c r="DAK59" s="316"/>
      <c r="DAL59" s="316"/>
      <c r="DAM59" s="316"/>
      <c r="DAN59" s="316"/>
      <c r="DAO59" s="316"/>
      <c r="DAP59" s="316"/>
      <c r="DAQ59" s="316"/>
      <c r="DAR59" s="316"/>
      <c r="DAS59" s="316"/>
      <c r="DAT59" s="316"/>
      <c r="DAU59" s="316"/>
      <c r="DAV59" s="316"/>
      <c r="DAW59" s="316"/>
      <c r="DAX59" s="316"/>
      <c r="DAY59" s="316"/>
      <c r="DAZ59" s="316"/>
      <c r="DBA59" s="316"/>
      <c r="DBB59" s="316"/>
      <c r="DBC59" s="316"/>
      <c r="DBD59" s="316"/>
      <c r="DBE59" s="316"/>
      <c r="DBF59" s="316"/>
      <c r="DBG59" s="316"/>
      <c r="DBH59" s="316"/>
      <c r="DBI59" s="316"/>
      <c r="DBJ59" s="316"/>
      <c r="DBK59" s="316"/>
      <c r="DBL59" s="316"/>
      <c r="DBM59" s="316"/>
      <c r="DBN59" s="316"/>
      <c r="DBO59" s="316"/>
      <c r="DBP59" s="316"/>
      <c r="DBQ59" s="316"/>
      <c r="DBR59" s="316"/>
      <c r="DBS59" s="316"/>
      <c r="DBT59" s="316"/>
      <c r="DBU59" s="316"/>
      <c r="DBV59" s="316"/>
      <c r="DBW59" s="316"/>
      <c r="DBX59" s="316"/>
      <c r="DBY59" s="316"/>
      <c r="DBZ59" s="316"/>
      <c r="DCA59" s="316"/>
      <c r="DCB59" s="316"/>
      <c r="DCC59" s="316"/>
      <c r="DCD59" s="316"/>
      <c r="DCE59" s="316"/>
      <c r="DCF59" s="316"/>
      <c r="DCG59" s="316"/>
      <c r="DCH59" s="316"/>
      <c r="DCI59" s="316"/>
      <c r="DCJ59" s="316"/>
      <c r="DCK59" s="316"/>
      <c r="DCL59" s="316"/>
      <c r="DCM59" s="316"/>
      <c r="DCN59" s="316"/>
      <c r="DCO59" s="316"/>
      <c r="DCP59" s="316"/>
      <c r="DCQ59" s="316"/>
      <c r="DCR59" s="316"/>
      <c r="DCS59" s="316"/>
      <c r="DCT59" s="316"/>
      <c r="DCU59" s="316"/>
      <c r="DCV59" s="316"/>
      <c r="DCW59" s="316"/>
      <c r="DCX59" s="316"/>
      <c r="DCY59" s="316"/>
      <c r="DCZ59" s="316"/>
      <c r="DDA59" s="316"/>
      <c r="DDB59" s="316"/>
      <c r="DDC59" s="316"/>
      <c r="DDD59" s="316"/>
      <c r="DDE59" s="316"/>
      <c r="DDF59" s="316"/>
      <c r="DDG59" s="316"/>
      <c r="DDH59" s="316"/>
      <c r="DDI59" s="316"/>
      <c r="DDJ59" s="316"/>
      <c r="DDK59" s="316"/>
      <c r="DDL59" s="316"/>
      <c r="DDM59" s="316"/>
      <c r="DDN59" s="316"/>
      <c r="DDO59" s="316"/>
      <c r="DDP59" s="316"/>
      <c r="DDQ59" s="316"/>
      <c r="DDR59" s="316"/>
      <c r="DDS59" s="316"/>
      <c r="DDT59" s="316"/>
      <c r="DDU59" s="316"/>
      <c r="DDV59" s="316"/>
      <c r="DDW59" s="316"/>
      <c r="DDX59" s="316"/>
      <c r="DDY59" s="316"/>
      <c r="DDZ59" s="316"/>
      <c r="DEA59" s="316"/>
      <c r="DEB59" s="316"/>
      <c r="DEC59" s="316"/>
      <c r="DED59" s="316"/>
      <c r="DEE59" s="316"/>
      <c r="DEF59" s="316"/>
      <c r="DEG59" s="316"/>
      <c r="DEH59" s="316"/>
      <c r="DEI59" s="316"/>
      <c r="DEJ59" s="316"/>
      <c r="DEK59" s="316"/>
      <c r="DEL59" s="316"/>
      <c r="DEM59" s="316"/>
      <c r="DEN59" s="316"/>
      <c r="DEO59" s="316"/>
      <c r="DEP59" s="316"/>
      <c r="DEQ59" s="316"/>
      <c r="DER59" s="316"/>
      <c r="DES59" s="316"/>
      <c r="DET59" s="316"/>
      <c r="DEU59" s="316"/>
      <c r="DEV59" s="316"/>
      <c r="DEW59" s="316"/>
      <c r="DEX59" s="316"/>
      <c r="DEY59" s="316"/>
      <c r="DEZ59" s="316"/>
      <c r="DFA59" s="316"/>
      <c r="DFB59" s="316"/>
      <c r="DFC59" s="316"/>
      <c r="DFD59" s="316"/>
      <c r="DFE59" s="316"/>
      <c r="DFF59" s="316"/>
      <c r="DFG59" s="316"/>
      <c r="DFH59" s="316"/>
      <c r="DFI59" s="316"/>
      <c r="DFJ59" s="316"/>
      <c r="DFK59" s="316"/>
      <c r="DFL59" s="316"/>
      <c r="DFM59" s="316"/>
      <c r="DFN59" s="316"/>
      <c r="DFO59" s="316"/>
      <c r="DFP59" s="316"/>
      <c r="DFQ59" s="316"/>
      <c r="DFR59" s="316"/>
      <c r="DFS59" s="316"/>
      <c r="DFT59" s="316"/>
      <c r="DFU59" s="316"/>
      <c r="DFV59" s="316"/>
      <c r="DFW59" s="316"/>
      <c r="DFX59" s="316"/>
      <c r="DFY59" s="316"/>
      <c r="DFZ59" s="316"/>
      <c r="DGA59" s="316"/>
      <c r="DGB59" s="316"/>
      <c r="DGC59" s="316"/>
      <c r="DGD59" s="316"/>
      <c r="DGE59" s="316"/>
      <c r="DGF59" s="316"/>
      <c r="DGG59" s="316"/>
      <c r="DGH59" s="316"/>
      <c r="DGI59" s="316"/>
      <c r="DGJ59" s="316"/>
      <c r="DGK59" s="316"/>
      <c r="DGL59" s="316"/>
      <c r="DGM59" s="316"/>
      <c r="DGN59" s="316"/>
      <c r="DGO59" s="316"/>
      <c r="DGP59" s="316"/>
      <c r="DGQ59" s="316"/>
      <c r="DGR59" s="316"/>
      <c r="DGS59" s="316"/>
      <c r="DGT59" s="316"/>
      <c r="DGU59" s="316"/>
      <c r="DGV59" s="316"/>
      <c r="DGW59" s="316"/>
      <c r="DGX59" s="316"/>
      <c r="DGY59" s="316"/>
      <c r="DGZ59" s="316"/>
      <c r="DHA59" s="316"/>
      <c r="DHB59" s="316"/>
      <c r="DHC59" s="316"/>
      <c r="DHD59" s="316"/>
      <c r="DHE59" s="316"/>
      <c r="DHF59" s="316"/>
      <c r="DHG59" s="316"/>
      <c r="DHH59" s="316"/>
      <c r="DHI59" s="316"/>
      <c r="DHJ59" s="316"/>
      <c r="DHK59" s="316"/>
      <c r="DHL59" s="316"/>
      <c r="DHM59" s="316"/>
      <c r="DHN59" s="316"/>
      <c r="DHO59" s="316"/>
      <c r="DHP59" s="316"/>
      <c r="DHQ59" s="316"/>
      <c r="DHR59" s="316"/>
      <c r="DHS59" s="316"/>
      <c r="DHT59" s="316"/>
      <c r="DHU59" s="316"/>
      <c r="DHV59" s="316"/>
      <c r="DHW59" s="316"/>
      <c r="DHX59" s="316"/>
      <c r="DHY59" s="316"/>
      <c r="DHZ59" s="316"/>
      <c r="DIA59" s="316"/>
      <c r="DIB59" s="316"/>
      <c r="DIC59" s="316"/>
      <c r="DID59" s="316"/>
      <c r="DIE59" s="316"/>
      <c r="DIF59" s="316"/>
      <c r="DIG59" s="316"/>
      <c r="DIH59" s="316"/>
      <c r="DII59" s="316"/>
      <c r="DIJ59" s="316"/>
      <c r="DIK59" s="316"/>
      <c r="DIL59" s="316"/>
      <c r="DIM59" s="316"/>
      <c r="DIN59" s="316"/>
      <c r="DIO59" s="316"/>
      <c r="DIP59" s="316"/>
      <c r="DIQ59" s="316"/>
      <c r="DIR59" s="316"/>
      <c r="DIS59" s="316"/>
      <c r="DIT59" s="316"/>
      <c r="DIU59" s="316"/>
      <c r="DIV59" s="316"/>
      <c r="DIW59" s="316"/>
      <c r="DIX59" s="316"/>
      <c r="DIY59" s="316"/>
      <c r="DIZ59" s="316"/>
      <c r="DJA59" s="316"/>
      <c r="DJB59" s="316"/>
      <c r="DJC59" s="316"/>
      <c r="DJD59" s="316"/>
      <c r="DJE59" s="316"/>
      <c r="DJF59" s="316"/>
      <c r="DJG59" s="316"/>
      <c r="DJH59" s="316"/>
      <c r="DJI59" s="316"/>
      <c r="DJJ59" s="316"/>
      <c r="DJK59" s="316"/>
      <c r="DJL59" s="316"/>
      <c r="DJM59" s="316"/>
      <c r="DJN59" s="316"/>
      <c r="DJO59" s="316"/>
      <c r="DJP59" s="316"/>
      <c r="DJQ59" s="316"/>
      <c r="DJR59" s="316"/>
      <c r="DJS59" s="316"/>
      <c r="DJT59" s="316"/>
      <c r="DJU59" s="316"/>
      <c r="DJV59" s="316"/>
      <c r="DJW59" s="316"/>
      <c r="DJX59" s="316"/>
      <c r="DJY59" s="316"/>
      <c r="DJZ59" s="316"/>
      <c r="DKA59" s="316"/>
      <c r="DKB59" s="316"/>
      <c r="DKC59" s="316"/>
      <c r="DKD59" s="316"/>
      <c r="DKE59" s="316"/>
      <c r="DKF59" s="316"/>
      <c r="DKG59" s="316"/>
      <c r="DKH59" s="316"/>
      <c r="DKI59" s="316"/>
      <c r="DKJ59" s="316"/>
      <c r="DKK59" s="316"/>
      <c r="DKL59" s="316"/>
      <c r="DKM59" s="316"/>
      <c r="DKN59" s="316"/>
      <c r="DKO59" s="316"/>
      <c r="DKP59" s="316"/>
      <c r="DKQ59" s="316"/>
      <c r="DKR59" s="316"/>
      <c r="DKS59" s="316"/>
      <c r="DKT59" s="316"/>
      <c r="DKU59" s="316"/>
      <c r="DKV59" s="316"/>
      <c r="DKW59" s="316"/>
      <c r="DKX59" s="316"/>
      <c r="DKY59" s="316"/>
      <c r="DKZ59" s="316"/>
      <c r="DLA59" s="316"/>
      <c r="DLB59" s="316"/>
      <c r="DLC59" s="316"/>
      <c r="DLD59" s="316"/>
      <c r="DLE59" s="316"/>
      <c r="DLF59" s="316"/>
      <c r="DLG59" s="316"/>
      <c r="DLH59" s="316"/>
      <c r="DLI59" s="316"/>
      <c r="DLJ59" s="316"/>
      <c r="DLK59" s="316"/>
      <c r="DLL59" s="316"/>
      <c r="DLM59" s="316"/>
      <c r="DLN59" s="316"/>
      <c r="DLO59" s="316"/>
      <c r="DLP59" s="316"/>
      <c r="DLQ59" s="316"/>
      <c r="DLR59" s="316"/>
      <c r="DLS59" s="316"/>
      <c r="DLT59" s="316"/>
      <c r="DLU59" s="316"/>
      <c r="DLV59" s="316"/>
      <c r="DLW59" s="316"/>
      <c r="DLX59" s="316"/>
      <c r="DLY59" s="316"/>
      <c r="DLZ59" s="316"/>
      <c r="DMA59" s="316"/>
      <c r="DMB59" s="316"/>
      <c r="DMC59" s="316"/>
      <c r="DMD59" s="316"/>
      <c r="DME59" s="316"/>
      <c r="DMF59" s="316"/>
      <c r="DMG59" s="316"/>
      <c r="DMH59" s="316"/>
      <c r="DMI59" s="316"/>
      <c r="DMJ59" s="316"/>
      <c r="DMK59" s="316"/>
      <c r="DML59" s="316"/>
      <c r="DMM59" s="316"/>
      <c r="DMN59" s="316"/>
      <c r="DMO59" s="316"/>
      <c r="DMP59" s="316"/>
      <c r="DMQ59" s="316"/>
      <c r="DMR59" s="316"/>
      <c r="DMS59" s="316"/>
      <c r="DMT59" s="316"/>
      <c r="DMU59" s="316"/>
      <c r="DMV59" s="316"/>
      <c r="DMW59" s="316"/>
      <c r="DMX59" s="316"/>
      <c r="DMY59" s="316"/>
      <c r="DMZ59" s="316"/>
      <c r="DNA59" s="316"/>
      <c r="DNB59" s="316"/>
      <c r="DNC59" s="316"/>
      <c r="DND59" s="316"/>
      <c r="DNE59" s="316"/>
      <c r="DNF59" s="316"/>
      <c r="DNG59" s="316"/>
      <c r="DNH59" s="316"/>
      <c r="DNI59" s="316"/>
      <c r="DNJ59" s="316"/>
      <c r="DNK59" s="316"/>
      <c r="DNL59" s="316"/>
      <c r="DNM59" s="316"/>
      <c r="DNN59" s="316"/>
      <c r="DNO59" s="316"/>
      <c r="DNP59" s="316"/>
      <c r="DNQ59" s="316"/>
      <c r="DNR59" s="316"/>
      <c r="DNS59" s="316"/>
      <c r="DNT59" s="316"/>
      <c r="DNU59" s="316"/>
      <c r="DNV59" s="316"/>
      <c r="DNW59" s="316"/>
      <c r="DNX59" s="316"/>
      <c r="DNY59" s="316"/>
      <c r="DNZ59" s="316"/>
      <c r="DOA59" s="316"/>
      <c r="DOB59" s="316"/>
      <c r="DOC59" s="316"/>
      <c r="DOD59" s="316"/>
      <c r="DOE59" s="316"/>
      <c r="DOF59" s="316"/>
      <c r="DOG59" s="316"/>
      <c r="DOH59" s="316"/>
      <c r="DOI59" s="316"/>
      <c r="DOJ59" s="316"/>
      <c r="DOK59" s="316"/>
      <c r="DOL59" s="316"/>
      <c r="DOM59" s="316"/>
      <c r="DON59" s="316"/>
      <c r="DOO59" s="316"/>
      <c r="DOP59" s="316"/>
      <c r="DOQ59" s="316"/>
      <c r="DOR59" s="316"/>
      <c r="DOS59" s="316"/>
      <c r="DOT59" s="316"/>
      <c r="DOU59" s="316"/>
      <c r="DOV59" s="316"/>
      <c r="DOW59" s="316"/>
      <c r="DOX59" s="316"/>
      <c r="DOY59" s="316"/>
      <c r="DOZ59" s="316"/>
      <c r="DPA59" s="316"/>
      <c r="DPB59" s="316"/>
      <c r="DPC59" s="316"/>
      <c r="DPD59" s="316"/>
      <c r="DPE59" s="316"/>
      <c r="DPF59" s="316"/>
      <c r="DPG59" s="316"/>
      <c r="DPH59" s="316"/>
      <c r="DPI59" s="316"/>
      <c r="DPJ59" s="316"/>
      <c r="DPK59" s="316"/>
      <c r="DPL59" s="316"/>
      <c r="DPM59" s="316"/>
      <c r="DPN59" s="316"/>
      <c r="DPO59" s="316"/>
      <c r="DPP59" s="316"/>
      <c r="DPQ59" s="316"/>
      <c r="DPR59" s="316"/>
      <c r="DPS59" s="316"/>
      <c r="DPT59" s="316"/>
      <c r="DPU59" s="316"/>
      <c r="DPV59" s="316"/>
      <c r="DPW59" s="316"/>
      <c r="DPX59" s="316"/>
      <c r="DPY59" s="316"/>
      <c r="DPZ59" s="316"/>
      <c r="DQA59" s="316"/>
      <c r="DQB59" s="316"/>
      <c r="DQC59" s="316"/>
      <c r="DQD59" s="316"/>
      <c r="DQE59" s="316"/>
      <c r="DQF59" s="316"/>
      <c r="DQG59" s="316"/>
      <c r="DQH59" s="316"/>
      <c r="DQI59" s="316"/>
      <c r="DQJ59" s="316"/>
      <c r="DQK59" s="316"/>
      <c r="DQL59" s="316"/>
      <c r="DQM59" s="316"/>
      <c r="DQN59" s="316"/>
      <c r="DQO59" s="316"/>
      <c r="DQP59" s="316"/>
      <c r="DQQ59" s="316"/>
      <c r="DQR59" s="316"/>
      <c r="DQS59" s="316"/>
      <c r="DQT59" s="316"/>
      <c r="DQU59" s="316"/>
      <c r="DQV59" s="316"/>
      <c r="DQW59" s="316"/>
      <c r="DQX59" s="316"/>
      <c r="DQY59" s="316"/>
      <c r="DQZ59" s="316"/>
      <c r="DRA59" s="316"/>
      <c r="DRB59" s="316"/>
      <c r="DRC59" s="316"/>
      <c r="DRD59" s="316"/>
      <c r="DRE59" s="316"/>
      <c r="DRF59" s="316"/>
      <c r="DRG59" s="316"/>
      <c r="DRH59" s="316"/>
      <c r="DRI59" s="316"/>
      <c r="DRJ59" s="316"/>
      <c r="DRK59" s="316"/>
      <c r="DRL59" s="316"/>
      <c r="DRM59" s="316"/>
      <c r="DRN59" s="316"/>
      <c r="DRO59" s="316"/>
      <c r="DRP59" s="316"/>
      <c r="DRQ59" s="316"/>
      <c r="DRR59" s="316"/>
      <c r="DRS59" s="316"/>
      <c r="DRT59" s="316"/>
      <c r="DRU59" s="316"/>
      <c r="DRV59" s="316"/>
      <c r="DRW59" s="316"/>
      <c r="DRX59" s="316"/>
      <c r="DRY59" s="316"/>
      <c r="DRZ59" s="316"/>
      <c r="DSA59" s="316"/>
      <c r="DSB59" s="316"/>
      <c r="DSC59" s="316"/>
      <c r="DSD59" s="316"/>
      <c r="DSE59" s="316"/>
      <c r="DSF59" s="316"/>
      <c r="DSG59" s="316"/>
      <c r="DSH59" s="316"/>
      <c r="DSI59" s="316"/>
      <c r="DSJ59" s="316"/>
      <c r="DSK59" s="316"/>
      <c r="DSL59" s="316"/>
      <c r="DSM59" s="316"/>
      <c r="DSN59" s="316"/>
      <c r="DSO59" s="316"/>
      <c r="DSP59" s="316"/>
      <c r="DSQ59" s="316"/>
      <c r="DSR59" s="316"/>
      <c r="DSS59" s="316"/>
      <c r="DST59" s="316"/>
      <c r="DSU59" s="316"/>
      <c r="DSV59" s="316"/>
      <c r="DSW59" s="316"/>
      <c r="DSX59" s="316"/>
      <c r="DSY59" s="316"/>
      <c r="DSZ59" s="316"/>
      <c r="DTA59" s="316"/>
      <c r="DTB59" s="316"/>
      <c r="DTC59" s="316"/>
      <c r="DTD59" s="316"/>
      <c r="DTE59" s="316"/>
      <c r="DTF59" s="316"/>
      <c r="DTG59" s="316"/>
      <c r="DTH59" s="316"/>
      <c r="DTI59" s="316"/>
      <c r="DTJ59" s="316"/>
      <c r="DTK59" s="316"/>
      <c r="DTL59" s="316"/>
      <c r="DTM59" s="316"/>
      <c r="DTN59" s="316"/>
      <c r="DTO59" s="316"/>
      <c r="DTP59" s="316"/>
      <c r="DTQ59" s="316"/>
      <c r="DTR59" s="316"/>
      <c r="DTS59" s="316"/>
      <c r="DTT59" s="316"/>
      <c r="DTU59" s="316"/>
      <c r="DTV59" s="316"/>
      <c r="DTW59" s="316"/>
      <c r="DTX59" s="316"/>
      <c r="DTY59" s="316"/>
      <c r="DTZ59" s="316"/>
      <c r="DUA59" s="316"/>
      <c r="DUB59" s="316"/>
      <c r="DUC59" s="316"/>
      <c r="DUD59" s="316"/>
      <c r="DUE59" s="316"/>
      <c r="DUF59" s="316"/>
      <c r="DUG59" s="316"/>
      <c r="DUH59" s="316"/>
      <c r="DUI59" s="316"/>
      <c r="DUJ59" s="316"/>
      <c r="DUK59" s="316"/>
      <c r="DUL59" s="316"/>
      <c r="DUM59" s="316"/>
      <c r="DUN59" s="316"/>
      <c r="DUO59" s="316"/>
      <c r="DUP59" s="316"/>
      <c r="DUQ59" s="316"/>
      <c r="DUR59" s="316"/>
      <c r="DUS59" s="316"/>
      <c r="DUT59" s="316"/>
      <c r="DUU59" s="316"/>
      <c r="DUV59" s="316"/>
      <c r="DUW59" s="316"/>
      <c r="DUX59" s="316"/>
      <c r="DUY59" s="316"/>
      <c r="DUZ59" s="316"/>
      <c r="DVA59" s="316"/>
      <c r="DVB59" s="316"/>
      <c r="DVC59" s="316"/>
      <c r="DVD59" s="316"/>
      <c r="DVE59" s="316"/>
      <c r="DVF59" s="316"/>
      <c r="DVG59" s="316"/>
      <c r="DVH59" s="316"/>
      <c r="DVI59" s="316"/>
      <c r="DVJ59" s="316"/>
      <c r="DVK59" s="316"/>
      <c r="DVL59" s="316"/>
      <c r="DVM59" s="316"/>
      <c r="DVN59" s="316"/>
      <c r="DVO59" s="316"/>
      <c r="DVP59" s="316"/>
      <c r="DVQ59" s="316"/>
      <c r="DVR59" s="316"/>
      <c r="DVS59" s="316"/>
      <c r="DVT59" s="316"/>
      <c r="DVU59" s="316"/>
      <c r="DVV59" s="316"/>
      <c r="DVW59" s="316"/>
      <c r="DVX59" s="316"/>
      <c r="DVY59" s="316"/>
      <c r="DVZ59" s="316"/>
      <c r="DWA59" s="316"/>
      <c r="DWB59" s="316"/>
      <c r="DWC59" s="316"/>
      <c r="DWD59" s="316"/>
      <c r="DWE59" s="316"/>
      <c r="DWF59" s="316"/>
      <c r="DWG59" s="316"/>
      <c r="DWH59" s="316"/>
      <c r="DWI59" s="316"/>
      <c r="DWJ59" s="316"/>
      <c r="DWK59" s="316"/>
      <c r="DWL59" s="316"/>
      <c r="DWM59" s="316"/>
      <c r="DWN59" s="316"/>
      <c r="DWO59" s="316"/>
      <c r="DWP59" s="316"/>
      <c r="DWQ59" s="316"/>
      <c r="DWR59" s="316"/>
      <c r="DWS59" s="316"/>
      <c r="DWT59" s="316"/>
      <c r="DWU59" s="316"/>
      <c r="DWV59" s="316"/>
      <c r="DWW59" s="316"/>
      <c r="DWX59" s="316"/>
      <c r="DWY59" s="316"/>
      <c r="DWZ59" s="316"/>
      <c r="DXA59" s="316"/>
      <c r="DXB59" s="316"/>
      <c r="DXC59" s="316"/>
      <c r="DXD59" s="316"/>
      <c r="DXE59" s="316"/>
      <c r="DXF59" s="316"/>
      <c r="DXG59" s="316"/>
      <c r="DXH59" s="316"/>
      <c r="DXI59" s="316"/>
      <c r="DXJ59" s="316"/>
      <c r="DXK59" s="316"/>
      <c r="DXL59" s="316"/>
      <c r="DXM59" s="316"/>
      <c r="DXN59" s="316"/>
      <c r="DXO59" s="316"/>
      <c r="DXP59" s="316"/>
      <c r="DXQ59" s="316"/>
      <c r="DXR59" s="316"/>
      <c r="DXS59" s="316"/>
      <c r="DXT59" s="316"/>
      <c r="DXU59" s="316"/>
      <c r="DXV59" s="316"/>
      <c r="DXW59" s="316"/>
      <c r="DXX59" s="316"/>
      <c r="DXY59" s="316"/>
      <c r="DXZ59" s="316"/>
      <c r="DYA59" s="316"/>
      <c r="DYB59" s="316"/>
      <c r="DYC59" s="316"/>
      <c r="DYD59" s="316"/>
      <c r="DYE59" s="316"/>
      <c r="DYF59" s="316"/>
      <c r="DYG59" s="316"/>
      <c r="DYH59" s="316"/>
      <c r="DYI59" s="316"/>
      <c r="DYJ59" s="316"/>
      <c r="DYK59" s="316"/>
      <c r="DYL59" s="316"/>
      <c r="DYM59" s="316"/>
      <c r="DYN59" s="316"/>
      <c r="DYO59" s="316"/>
      <c r="DYP59" s="316"/>
      <c r="DYQ59" s="316"/>
      <c r="DYR59" s="316"/>
      <c r="DYS59" s="316"/>
      <c r="DYT59" s="316"/>
      <c r="DYU59" s="316"/>
      <c r="DYV59" s="316"/>
      <c r="DYW59" s="316"/>
      <c r="DYX59" s="316"/>
      <c r="DYY59" s="316"/>
      <c r="DYZ59" s="316"/>
      <c r="DZA59" s="316"/>
      <c r="DZB59" s="316"/>
      <c r="DZC59" s="316"/>
      <c r="DZD59" s="316"/>
      <c r="DZE59" s="316"/>
      <c r="DZF59" s="316"/>
      <c r="DZG59" s="316"/>
      <c r="DZH59" s="316"/>
      <c r="DZI59" s="316"/>
      <c r="DZJ59" s="316"/>
      <c r="DZK59" s="316"/>
      <c r="DZL59" s="316"/>
      <c r="DZM59" s="316"/>
      <c r="DZN59" s="316"/>
      <c r="DZO59" s="316"/>
      <c r="DZP59" s="316"/>
      <c r="DZQ59" s="316"/>
      <c r="DZR59" s="316"/>
      <c r="DZS59" s="316"/>
      <c r="DZT59" s="316"/>
      <c r="DZU59" s="316"/>
      <c r="DZV59" s="316"/>
      <c r="DZW59" s="316"/>
      <c r="DZX59" s="316"/>
      <c r="DZY59" s="316"/>
      <c r="DZZ59" s="316"/>
      <c r="EAA59" s="316"/>
      <c r="EAB59" s="316"/>
      <c r="EAC59" s="316"/>
      <c r="EAD59" s="316"/>
      <c r="EAE59" s="316"/>
      <c r="EAF59" s="316"/>
      <c r="EAG59" s="316"/>
      <c r="EAH59" s="316"/>
      <c r="EAI59" s="316"/>
      <c r="EAJ59" s="316"/>
      <c r="EAK59" s="316"/>
      <c r="EAL59" s="316"/>
      <c r="EAM59" s="316"/>
      <c r="EAN59" s="316"/>
      <c r="EAO59" s="316"/>
      <c r="EAP59" s="316"/>
      <c r="EAQ59" s="316"/>
      <c r="EAR59" s="316"/>
      <c r="EAS59" s="316"/>
      <c r="EAT59" s="316"/>
      <c r="EAU59" s="316"/>
      <c r="EAV59" s="316"/>
      <c r="EAW59" s="316"/>
      <c r="EAX59" s="316"/>
      <c r="EAY59" s="316"/>
      <c r="EAZ59" s="316"/>
      <c r="EBA59" s="316"/>
      <c r="EBB59" s="316"/>
      <c r="EBC59" s="316"/>
      <c r="EBD59" s="316"/>
      <c r="EBE59" s="316"/>
      <c r="EBF59" s="316"/>
      <c r="EBG59" s="316"/>
      <c r="EBH59" s="316"/>
      <c r="EBI59" s="316"/>
      <c r="EBJ59" s="316"/>
      <c r="EBK59" s="316"/>
      <c r="EBL59" s="316"/>
      <c r="EBM59" s="316"/>
      <c r="EBN59" s="316"/>
      <c r="EBO59" s="316"/>
      <c r="EBP59" s="316"/>
      <c r="EBQ59" s="316"/>
      <c r="EBR59" s="316"/>
      <c r="EBS59" s="316"/>
      <c r="EBT59" s="316"/>
      <c r="EBU59" s="316"/>
      <c r="EBV59" s="316"/>
      <c r="EBW59" s="316"/>
      <c r="EBX59" s="316"/>
      <c r="EBY59" s="316"/>
      <c r="EBZ59" s="316"/>
      <c r="ECA59" s="316"/>
      <c r="ECB59" s="316"/>
      <c r="ECC59" s="316"/>
      <c r="ECD59" s="316"/>
      <c r="ECE59" s="316"/>
      <c r="ECF59" s="316"/>
      <c r="ECG59" s="316"/>
      <c r="ECH59" s="316"/>
      <c r="ECI59" s="316"/>
      <c r="ECJ59" s="316"/>
      <c r="ECK59" s="316"/>
      <c r="ECL59" s="316"/>
      <c r="ECM59" s="316"/>
      <c r="ECN59" s="316"/>
      <c r="ECO59" s="316"/>
      <c r="ECP59" s="316"/>
      <c r="ECQ59" s="316"/>
      <c r="ECR59" s="316"/>
      <c r="ECS59" s="316"/>
      <c r="ECT59" s="316"/>
      <c r="ECU59" s="316"/>
      <c r="ECV59" s="316"/>
      <c r="ECW59" s="316"/>
      <c r="ECX59" s="316"/>
      <c r="ECY59" s="316"/>
      <c r="ECZ59" s="316"/>
      <c r="EDA59" s="316"/>
      <c r="EDB59" s="316"/>
      <c r="EDC59" s="316"/>
      <c r="EDD59" s="316"/>
      <c r="EDE59" s="316"/>
      <c r="EDF59" s="316"/>
      <c r="EDG59" s="316"/>
      <c r="EDH59" s="316"/>
      <c r="EDI59" s="316"/>
      <c r="EDJ59" s="316"/>
      <c r="EDK59" s="316"/>
      <c r="EDL59" s="316"/>
      <c r="EDM59" s="316"/>
      <c r="EDN59" s="316"/>
      <c r="EDO59" s="316"/>
      <c r="EDP59" s="316"/>
      <c r="EDQ59" s="316"/>
      <c r="EDR59" s="316"/>
      <c r="EDS59" s="316"/>
      <c r="EDT59" s="316"/>
      <c r="EDU59" s="316"/>
      <c r="EDV59" s="316"/>
      <c r="EDW59" s="316"/>
      <c r="EDX59" s="316"/>
      <c r="EDY59" s="316"/>
      <c r="EDZ59" s="316"/>
      <c r="EEA59" s="316"/>
      <c r="EEB59" s="316"/>
      <c r="EEC59" s="316"/>
      <c r="EED59" s="316"/>
      <c r="EEE59" s="316"/>
      <c r="EEF59" s="316"/>
      <c r="EEG59" s="316"/>
      <c r="EEH59" s="316"/>
      <c r="EEI59" s="316"/>
      <c r="EEJ59" s="316"/>
      <c r="EEK59" s="316"/>
      <c r="EEL59" s="316"/>
      <c r="EEM59" s="316"/>
      <c r="EEN59" s="316"/>
      <c r="EEO59" s="316"/>
      <c r="EEP59" s="316"/>
      <c r="EEQ59" s="316"/>
      <c r="EER59" s="316"/>
      <c r="EES59" s="316"/>
      <c r="EET59" s="316"/>
      <c r="EEU59" s="316"/>
      <c r="EEV59" s="316"/>
      <c r="EEW59" s="316"/>
      <c r="EEX59" s="316"/>
      <c r="EEY59" s="316"/>
      <c r="EEZ59" s="316"/>
      <c r="EFA59" s="316"/>
      <c r="EFB59" s="316"/>
      <c r="EFC59" s="316"/>
      <c r="EFD59" s="316"/>
      <c r="EFE59" s="316"/>
      <c r="EFF59" s="316"/>
      <c r="EFG59" s="316"/>
      <c r="EFH59" s="316"/>
      <c r="EFI59" s="316"/>
      <c r="EFJ59" s="316"/>
      <c r="EFK59" s="316"/>
      <c r="EFL59" s="316"/>
      <c r="EFM59" s="316"/>
      <c r="EFN59" s="316"/>
      <c r="EFO59" s="316"/>
      <c r="EFP59" s="316"/>
      <c r="EFQ59" s="316"/>
      <c r="EFR59" s="316"/>
      <c r="EFS59" s="316"/>
      <c r="EFT59" s="316"/>
      <c r="EFU59" s="316"/>
      <c r="EFV59" s="316"/>
      <c r="EFW59" s="316"/>
      <c r="EFX59" s="316"/>
      <c r="EFY59" s="316"/>
      <c r="EFZ59" s="316"/>
      <c r="EGA59" s="316"/>
      <c r="EGB59" s="316"/>
      <c r="EGC59" s="316"/>
      <c r="EGD59" s="316"/>
      <c r="EGE59" s="316"/>
      <c r="EGF59" s="316"/>
      <c r="EGG59" s="316"/>
      <c r="EGH59" s="316"/>
      <c r="EGI59" s="316"/>
      <c r="EGJ59" s="316"/>
      <c r="EGK59" s="316"/>
      <c r="EGL59" s="316"/>
      <c r="EGM59" s="316"/>
      <c r="EGN59" s="316"/>
      <c r="EGO59" s="316"/>
      <c r="EGP59" s="316"/>
      <c r="EGQ59" s="316"/>
      <c r="EGR59" s="316"/>
      <c r="EGS59" s="316"/>
      <c r="EGT59" s="316"/>
      <c r="EGU59" s="316"/>
      <c r="EGV59" s="316"/>
      <c r="EGW59" s="316"/>
      <c r="EGX59" s="316"/>
      <c r="EGY59" s="316"/>
      <c r="EGZ59" s="316"/>
      <c r="EHA59" s="316"/>
      <c r="EHB59" s="316"/>
      <c r="EHC59" s="316"/>
      <c r="EHD59" s="316"/>
      <c r="EHE59" s="316"/>
      <c r="EHF59" s="316"/>
      <c r="EHG59" s="316"/>
      <c r="EHH59" s="316"/>
      <c r="EHI59" s="316"/>
      <c r="EHJ59" s="316"/>
      <c r="EHK59" s="316"/>
      <c r="EHL59" s="316"/>
      <c r="EHM59" s="316"/>
      <c r="EHN59" s="316"/>
      <c r="EHO59" s="316"/>
      <c r="EHP59" s="316"/>
      <c r="EHQ59" s="316"/>
      <c r="EHR59" s="316"/>
      <c r="EHS59" s="316"/>
      <c r="EHT59" s="316"/>
      <c r="EHU59" s="316"/>
      <c r="EHV59" s="316"/>
      <c r="EHW59" s="316"/>
      <c r="EHX59" s="316"/>
      <c r="EHY59" s="316"/>
      <c r="EHZ59" s="316"/>
      <c r="EIA59" s="316"/>
      <c r="EIB59" s="316"/>
      <c r="EIC59" s="316"/>
      <c r="EID59" s="316"/>
      <c r="EIE59" s="316"/>
      <c r="EIF59" s="316"/>
      <c r="EIG59" s="316"/>
      <c r="EIH59" s="316"/>
      <c r="EII59" s="316"/>
      <c r="EIJ59" s="316"/>
      <c r="EIK59" s="316"/>
      <c r="EIL59" s="316"/>
      <c r="EIM59" s="316"/>
      <c r="EIN59" s="316"/>
      <c r="EIO59" s="316"/>
      <c r="EIP59" s="316"/>
      <c r="EIQ59" s="316"/>
      <c r="EIR59" s="316"/>
      <c r="EIS59" s="316"/>
      <c r="EIT59" s="316"/>
      <c r="EIU59" s="316"/>
      <c r="EIV59" s="316"/>
      <c r="EIW59" s="316"/>
      <c r="EIX59" s="316"/>
      <c r="EIY59" s="316"/>
      <c r="EIZ59" s="316"/>
      <c r="EJA59" s="316"/>
      <c r="EJB59" s="316"/>
      <c r="EJC59" s="316"/>
      <c r="EJD59" s="316"/>
      <c r="EJE59" s="316"/>
      <c r="EJF59" s="316"/>
      <c r="EJG59" s="316"/>
      <c r="EJH59" s="316"/>
      <c r="EJI59" s="316"/>
      <c r="EJJ59" s="316"/>
      <c r="EJK59" s="316"/>
      <c r="EJL59" s="316"/>
      <c r="EJM59" s="316"/>
      <c r="EJN59" s="316"/>
      <c r="EJO59" s="316"/>
      <c r="EJP59" s="316"/>
      <c r="EJQ59" s="316"/>
      <c r="EJR59" s="316"/>
      <c r="EJS59" s="316"/>
      <c r="EJT59" s="316"/>
      <c r="EJU59" s="316"/>
      <c r="EJV59" s="316"/>
      <c r="EJW59" s="316"/>
      <c r="EJX59" s="316"/>
      <c r="EJY59" s="316"/>
      <c r="EJZ59" s="316"/>
      <c r="EKA59" s="316"/>
      <c r="EKB59" s="316"/>
      <c r="EKC59" s="316"/>
      <c r="EKD59" s="316"/>
      <c r="EKE59" s="316"/>
      <c r="EKF59" s="316"/>
      <c r="EKG59" s="316"/>
      <c r="EKH59" s="316"/>
      <c r="EKI59" s="316"/>
      <c r="EKJ59" s="316"/>
      <c r="EKK59" s="316"/>
      <c r="EKL59" s="316"/>
      <c r="EKM59" s="316"/>
      <c r="EKN59" s="316"/>
      <c r="EKO59" s="316"/>
      <c r="EKP59" s="316"/>
      <c r="EKQ59" s="316"/>
      <c r="EKR59" s="316"/>
      <c r="EKS59" s="316"/>
      <c r="EKT59" s="316"/>
      <c r="EKU59" s="316"/>
      <c r="EKV59" s="316"/>
      <c r="EKW59" s="316"/>
      <c r="EKX59" s="316"/>
      <c r="EKY59" s="316"/>
      <c r="EKZ59" s="316"/>
      <c r="ELA59" s="316"/>
      <c r="ELB59" s="316"/>
      <c r="ELC59" s="316"/>
      <c r="ELD59" s="316"/>
      <c r="ELE59" s="316"/>
      <c r="ELF59" s="316"/>
      <c r="ELG59" s="316"/>
      <c r="ELH59" s="316"/>
      <c r="ELI59" s="316"/>
      <c r="ELJ59" s="316"/>
      <c r="ELK59" s="316"/>
      <c r="ELL59" s="316"/>
      <c r="ELM59" s="316"/>
      <c r="ELN59" s="316"/>
      <c r="ELO59" s="316"/>
      <c r="ELP59" s="316"/>
      <c r="ELQ59" s="316"/>
      <c r="ELR59" s="316"/>
      <c r="ELS59" s="316"/>
      <c r="ELT59" s="316"/>
      <c r="ELU59" s="316"/>
      <c r="ELV59" s="316"/>
      <c r="ELW59" s="316"/>
      <c r="ELX59" s="316"/>
      <c r="ELY59" s="316"/>
      <c r="ELZ59" s="316"/>
      <c r="EMA59" s="316"/>
      <c r="EMB59" s="316"/>
      <c r="EMC59" s="316"/>
      <c r="EMD59" s="316"/>
      <c r="EME59" s="316"/>
      <c r="EMF59" s="316"/>
      <c r="EMG59" s="316"/>
      <c r="EMH59" s="316"/>
      <c r="EMI59" s="316"/>
      <c r="EMJ59" s="316"/>
      <c r="EMK59" s="316"/>
      <c r="EML59" s="316"/>
      <c r="EMM59" s="316"/>
      <c r="EMN59" s="316"/>
      <c r="EMO59" s="316"/>
      <c r="EMP59" s="316"/>
      <c r="EMQ59" s="316"/>
      <c r="EMR59" s="316"/>
      <c r="EMS59" s="316"/>
      <c r="EMT59" s="316"/>
      <c r="EMU59" s="316"/>
      <c r="EMV59" s="316"/>
      <c r="EMW59" s="316"/>
      <c r="EMX59" s="316"/>
      <c r="EMY59" s="316"/>
      <c r="EMZ59" s="316"/>
      <c r="ENA59" s="316"/>
      <c r="ENB59" s="316"/>
      <c r="ENC59" s="316"/>
      <c r="END59" s="316"/>
      <c r="ENE59" s="316"/>
      <c r="ENF59" s="316"/>
      <c r="ENG59" s="316"/>
      <c r="ENH59" s="316"/>
      <c r="ENI59" s="316"/>
      <c r="ENJ59" s="316"/>
      <c r="ENK59" s="316"/>
      <c r="ENL59" s="316"/>
      <c r="ENM59" s="316"/>
      <c r="ENN59" s="316"/>
      <c r="ENO59" s="316"/>
      <c r="ENP59" s="316"/>
      <c r="ENQ59" s="316"/>
      <c r="ENR59" s="316"/>
      <c r="ENS59" s="316"/>
      <c r="ENT59" s="316"/>
      <c r="ENU59" s="316"/>
      <c r="ENV59" s="316"/>
      <c r="ENW59" s="316"/>
      <c r="ENX59" s="316"/>
      <c r="ENY59" s="316"/>
      <c r="ENZ59" s="316"/>
      <c r="EOA59" s="316"/>
      <c r="EOB59" s="316"/>
      <c r="EOC59" s="316"/>
      <c r="EOD59" s="316"/>
      <c r="EOE59" s="316"/>
      <c r="EOF59" s="316"/>
      <c r="EOG59" s="316"/>
      <c r="EOH59" s="316"/>
      <c r="EOI59" s="316"/>
      <c r="EOJ59" s="316"/>
      <c r="EOK59" s="316"/>
      <c r="EOL59" s="316"/>
      <c r="EOM59" s="316"/>
      <c r="EON59" s="316"/>
      <c r="EOO59" s="316"/>
      <c r="EOP59" s="316"/>
      <c r="EOQ59" s="316"/>
      <c r="EOR59" s="316"/>
      <c r="EOS59" s="316"/>
      <c r="EOT59" s="316"/>
      <c r="EOU59" s="316"/>
      <c r="EOV59" s="316"/>
      <c r="EOW59" s="316"/>
      <c r="EOX59" s="316"/>
      <c r="EOY59" s="316"/>
      <c r="EOZ59" s="316"/>
      <c r="EPA59" s="316"/>
      <c r="EPB59" s="316"/>
      <c r="EPC59" s="316"/>
      <c r="EPD59" s="316"/>
      <c r="EPE59" s="316"/>
      <c r="EPF59" s="316"/>
      <c r="EPG59" s="316"/>
      <c r="EPH59" s="316"/>
      <c r="EPI59" s="316"/>
      <c r="EPJ59" s="316"/>
      <c r="EPK59" s="316"/>
      <c r="EPL59" s="316"/>
      <c r="EPM59" s="316"/>
      <c r="EPN59" s="316"/>
      <c r="EPO59" s="316"/>
      <c r="EPP59" s="316"/>
      <c r="EPQ59" s="316"/>
      <c r="EPR59" s="316"/>
      <c r="EPS59" s="316"/>
      <c r="EPT59" s="316"/>
      <c r="EPU59" s="316"/>
      <c r="EPV59" s="316"/>
      <c r="EPW59" s="316"/>
      <c r="EPX59" s="316"/>
      <c r="EPY59" s="316"/>
      <c r="EPZ59" s="316"/>
      <c r="EQA59" s="316"/>
      <c r="EQB59" s="316"/>
      <c r="EQC59" s="316"/>
      <c r="EQD59" s="316"/>
      <c r="EQE59" s="316"/>
      <c r="EQF59" s="316"/>
      <c r="EQG59" s="316"/>
      <c r="EQH59" s="316"/>
      <c r="EQI59" s="316"/>
      <c r="EQJ59" s="316"/>
      <c r="EQK59" s="316"/>
      <c r="EQL59" s="316"/>
      <c r="EQM59" s="316"/>
      <c r="EQN59" s="316"/>
      <c r="EQO59" s="316"/>
      <c r="EQP59" s="316"/>
      <c r="EQQ59" s="316"/>
      <c r="EQR59" s="316"/>
      <c r="EQS59" s="316"/>
      <c r="EQT59" s="316"/>
      <c r="EQU59" s="316"/>
      <c r="EQV59" s="316"/>
      <c r="EQW59" s="316"/>
      <c r="EQX59" s="316"/>
      <c r="EQY59" s="316"/>
      <c r="EQZ59" s="316"/>
      <c r="ERA59" s="316"/>
      <c r="ERB59" s="316"/>
      <c r="ERC59" s="316"/>
      <c r="ERD59" s="316"/>
      <c r="ERE59" s="316"/>
      <c r="ERF59" s="316"/>
      <c r="ERG59" s="316"/>
      <c r="ERH59" s="316"/>
      <c r="ERI59" s="316"/>
      <c r="ERJ59" s="316"/>
      <c r="ERK59" s="316"/>
      <c r="ERL59" s="316"/>
      <c r="ERM59" s="316"/>
      <c r="ERN59" s="316"/>
      <c r="ERO59" s="316"/>
      <c r="ERP59" s="316"/>
      <c r="ERQ59" s="316"/>
      <c r="ERR59" s="316"/>
      <c r="ERS59" s="316"/>
      <c r="ERT59" s="316"/>
      <c r="ERU59" s="316"/>
      <c r="ERV59" s="316"/>
      <c r="ERW59" s="316"/>
      <c r="ERX59" s="316"/>
      <c r="ERY59" s="316"/>
      <c r="ERZ59" s="316"/>
      <c r="ESA59" s="316"/>
      <c r="ESB59" s="316"/>
      <c r="ESC59" s="316"/>
      <c r="ESD59" s="316"/>
      <c r="ESE59" s="316"/>
      <c r="ESF59" s="316"/>
      <c r="ESG59" s="316"/>
      <c r="ESH59" s="316"/>
      <c r="ESI59" s="316"/>
      <c r="ESJ59" s="316"/>
      <c r="ESK59" s="316"/>
      <c r="ESL59" s="316"/>
      <c r="ESM59" s="316"/>
      <c r="ESN59" s="316"/>
      <c r="ESO59" s="316"/>
      <c r="ESP59" s="316"/>
      <c r="ESQ59" s="316"/>
      <c r="ESR59" s="316"/>
      <c r="ESS59" s="316"/>
      <c r="EST59" s="316"/>
      <c r="ESU59" s="316"/>
      <c r="ESV59" s="316"/>
      <c r="ESW59" s="316"/>
      <c r="ESX59" s="316"/>
      <c r="ESY59" s="316"/>
      <c r="ESZ59" s="316"/>
      <c r="ETA59" s="316"/>
      <c r="ETB59" s="316"/>
      <c r="ETC59" s="316"/>
      <c r="ETD59" s="316"/>
      <c r="ETE59" s="316"/>
      <c r="ETF59" s="316"/>
      <c r="ETG59" s="316"/>
      <c r="ETH59" s="316"/>
      <c r="ETI59" s="316"/>
      <c r="ETJ59" s="316"/>
      <c r="ETK59" s="316"/>
      <c r="ETL59" s="316"/>
      <c r="ETM59" s="316"/>
      <c r="ETN59" s="316"/>
      <c r="ETO59" s="316"/>
      <c r="ETP59" s="316"/>
      <c r="ETQ59" s="316"/>
      <c r="ETR59" s="316"/>
      <c r="ETS59" s="316"/>
      <c r="ETT59" s="316"/>
      <c r="ETU59" s="316"/>
      <c r="ETV59" s="316"/>
      <c r="ETW59" s="316"/>
      <c r="ETX59" s="316"/>
      <c r="ETY59" s="316"/>
      <c r="ETZ59" s="316"/>
      <c r="EUA59" s="316"/>
      <c r="EUB59" s="316"/>
      <c r="EUC59" s="316"/>
      <c r="EUD59" s="316"/>
      <c r="EUE59" s="316"/>
      <c r="EUF59" s="316"/>
      <c r="EUG59" s="316"/>
      <c r="EUH59" s="316"/>
      <c r="EUI59" s="316"/>
      <c r="EUJ59" s="316"/>
      <c r="EUK59" s="316"/>
      <c r="EUL59" s="316"/>
      <c r="EUM59" s="316"/>
      <c r="EUN59" s="316"/>
      <c r="EUO59" s="316"/>
      <c r="EUP59" s="316"/>
      <c r="EUQ59" s="316"/>
      <c r="EUR59" s="316"/>
      <c r="EUS59" s="316"/>
      <c r="EUT59" s="316"/>
      <c r="EUU59" s="316"/>
      <c r="EUV59" s="316"/>
      <c r="EUW59" s="316"/>
      <c r="EUX59" s="316"/>
      <c r="EUY59" s="316"/>
      <c r="EUZ59" s="316"/>
      <c r="EVA59" s="316"/>
      <c r="EVB59" s="316"/>
      <c r="EVC59" s="316"/>
      <c r="EVD59" s="316"/>
      <c r="EVE59" s="316"/>
      <c r="EVF59" s="316"/>
      <c r="EVG59" s="316"/>
      <c r="EVH59" s="316"/>
      <c r="EVI59" s="316"/>
      <c r="EVJ59" s="316"/>
      <c r="EVK59" s="316"/>
      <c r="EVL59" s="316"/>
      <c r="EVM59" s="316"/>
      <c r="EVN59" s="316"/>
      <c r="EVO59" s="316"/>
      <c r="EVP59" s="316"/>
      <c r="EVQ59" s="316"/>
      <c r="EVR59" s="316"/>
      <c r="EVS59" s="316"/>
      <c r="EVT59" s="316"/>
      <c r="EVU59" s="316"/>
      <c r="EVV59" s="316"/>
      <c r="EVW59" s="316"/>
      <c r="EVX59" s="316"/>
      <c r="EVY59" s="316"/>
      <c r="EVZ59" s="316"/>
      <c r="EWA59" s="316"/>
      <c r="EWB59" s="316"/>
      <c r="EWC59" s="316"/>
      <c r="EWD59" s="316"/>
      <c r="EWE59" s="316"/>
      <c r="EWF59" s="316"/>
      <c r="EWG59" s="316"/>
      <c r="EWH59" s="316"/>
      <c r="EWI59" s="316"/>
      <c r="EWJ59" s="316"/>
      <c r="EWK59" s="316"/>
      <c r="EWL59" s="316"/>
      <c r="EWM59" s="316"/>
      <c r="EWN59" s="316"/>
      <c r="EWO59" s="316"/>
      <c r="EWP59" s="316"/>
      <c r="EWQ59" s="316"/>
      <c r="EWR59" s="316"/>
      <c r="EWS59" s="316"/>
      <c r="EWT59" s="316"/>
      <c r="EWU59" s="316"/>
      <c r="EWV59" s="316"/>
      <c r="EWW59" s="316"/>
      <c r="EWX59" s="316"/>
      <c r="EWY59" s="316"/>
      <c r="EWZ59" s="316"/>
      <c r="EXA59" s="316"/>
      <c r="EXB59" s="316"/>
      <c r="EXC59" s="316"/>
      <c r="EXD59" s="316"/>
      <c r="EXE59" s="316"/>
      <c r="EXF59" s="316"/>
      <c r="EXG59" s="316"/>
      <c r="EXH59" s="316"/>
      <c r="EXI59" s="316"/>
      <c r="EXJ59" s="316"/>
      <c r="EXK59" s="316"/>
      <c r="EXL59" s="316"/>
      <c r="EXM59" s="316"/>
      <c r="EXN59" s="316"/>
      <c r="EXO59" s="316"/>
      <c r="EXP59" s="316"/>
      <c r="EXQ59" s="316"/>
      <c r="EXR59" s="316"/>
      <c r="EXS59" s="316"/>
      <c r="EXT59" s="316"/>
      <c r="EXU59" s="316"/>
      <c r="EXV59" s="316"/>
      <c r="EXW59" s="316"/>
      <c r="EXX59" s="316"/>
      <c r="EXY59" s="316"/>
      <c r="EXZ59" s="316"/>
      <c r="EYA59" s="316"/>
      <c r="EYB59" s="316"/>
      <c r="EYC59" s="316"/>
      <c r="EYD59" s="316"/>
      <c r="EYE59" s="316"/>
      <c r="EYF59" s="316"/>
      <c r="EYG59" s="316"/>
      <c r="EYH59" s="316"/>
      <c r="EYI59" s="316"/>
      <c r="EYJ59" s="316"/>
      <c r="EYK59" s="316"/>
      <c r="EYL59" s="316"/>
      <c r="EYM59" s="316"/>
      <c r="EYN59" s="316"/>
      <c r="EYO59" s="316"/>
      <c r="EYP59" s="316"/>
      <c r="EYQ59" s="316"/>
      <c r="EYR59" s="316"/>
      <c r="EYS59" s="316"/>
      <c r="EYT59" s="316"/>
      <c r="EYU59" s="316"/>
      <c r="EYV59" s="316"/>
      <c r="EYW59" s="316"/>
      <c r="EYX59" s="316"/>
      <c r="EYY59" s="316"/>
      <c r="EYZ59" s="316"/>
      <c r="EZA59" s="316"/>
      <c r="EZB59" s="316"/>
      <c r="EZC59" s="316"/>
      <c r="EZD59" s="316"/>
      <c r="EZE59" s="316"/>
      <c r="EZF59" s="316"/>
      <c r="EZG59" s="316"/>
      <c r="EZH59" s="316"/>
      <c r="EZI59" s="316"/>
      <c r="EZJ59" s="316"/>
      <c r="EZK59" s="316"/>
      <c r="EZL59" s="316"/>
      <c r="EZM59" s="316"/>
      <c r="EZN59" s="316"/>
      <c r="EZO59" s="316"/>
      <c r="EZP59" s="316"/>
      <c r="EZQ59" s="316"/>
      <c r="EZR59" s="316"/>
      <c r="EZS59" s="316"/>
      <c r="EZT59" s="316"/>
      <c r="EZU59" s="316"/>
      <c r="EZV59" s="316"/>
      <c r="EZW59" s="316"/>
      <c r="EZX59" s="316"/>
      <c r="EZY59" s="316"/>
      <c r="EZZ59" s="316"/>
      <c r="FAA59" s="316"/>
      <c r="FAB59" s="316"/>
      <c r="FAC59" s="316"/>
      <c r="FAD59" s="316"/>
      <c r="FAE59" s="316"/>
      <c r="FAF59" s="316"/>
      <c r="FAG59" s="316"/>
      <c r="FAH59" s="316"/>
      <c r="FAI59" s="316"/>
      <c r="FAJ59" s="316"/>
      <c r="FAK59" s="316"/>
      <c r="FAL59" s="316"/>
      <c r="FAM59" s="316"/>
      <c r="FAN59" s="316"/>
      <c r="FAO59" s="316"/>
      <c r="FAP59" s="316"/>
      <c r="FAQ59" s="316"/>
      <c r="FAR59" s="316"/>
      <c r="FAS59" s="316"/>
      <c r="FAT59" s="316"/>
      <c r="FAU59" s="316"/>
      <c r="FAV59" s="316"/>
      <c r="FAW59" s="316"/>
      <c r="FAX59" s="316"/>
      <c r="FAY59" s="316"/>
      <c r="FAZ59" s="316"/>
      <c r="FBA59" s="316"/>
      <c r="FBB59" s="316"/>
      <c r="FBC59" s="316"/>
      <c r="FBD59" s="316"/>
      <c r="FBE59" s="316"/>
      <c r="FBF59" s="316"/>
      <c r="FBG59" s="316"/>
      <c r="FBH59" s="316"/>
      <c r="FBI59" s="316"/>
      <c r="FBJ59" s="316"/>
      <c r="FBK59" s="316"/>
      <c r="FBL59" s="316"/>
      <c r="FBM59" s="316"/>
      <c r="FBN59" s="316"/>
      <c r="FBO59" s="316"/>
      <c r="FBP59" s="316"/>
      <c r="FBQ59" s="316"/>
      <c r="FBR59" s="316"/>
      <c r="FBS59" s="316"/>
      <c r="FBT59" s="316"/>
      <c r="FBU59" s="316"/>
      <c r="FBV59" s="316"/>
      <c r="FBW59" s="316"/>
      <c r="FBX59" s="316"/>
      <c r="FBY59" s="316"/>
      <c r="FBZ59" s="316"/>
      <c r="FCA59" s="316"/>
      <c r="FCB59" s="316"/>
      <c r="FCC59" s="316"/>
      <c r="FCD59" s="316"/>
      <c r="FCE59" s="316"/>
      <c r="FCF59" s="316"/>
      <c r="FCG59" s="316"/>
      <c r="FCH59" s="316"/>
      <c r="FCI59" s="316"/>
      <c r="FCJ59" s="316"/>
      <c r="FCK59" s="316"/>
      <c r="FCL59" s="316"/>
      <c r="FCM59" s="316"/>
      <c r="FCN59" s="316"/>
      <c r="FCO59" s="316"/>
      <c r="FCP59" s="316"/>
      <c r="FCQ59" s="316"/>
      <c r="FCR59" s="316"/>
      <c r="FCS59" s="316"/>
      <c r="FCT59" s="316"/>
      <c r="FCU59" s="316"/>
      <c r="FCV59" s="316"/>
      <c r="FCW59" s="316"/>
      <c r="FCX59" s="316"/>
      <c r="FCY59" s="316"/>
      <c r="FCZ59" s="316"/>
      <c r="FDA59" s="316"/>
      <c r="FDB59" s="316"/>
      <c r="FDC59" s="316"/>
      <c r="FDD59" s="316"/>
      <c r="FDE59" s="316"/>
      <c r="FDF59" s="316"/>
      <c r="FDG59" s="316"/>
      <c r="FDH59" s="316"/>
      <c r="FDI59" s="316"/>
      <c r="FDJ59" s="316"/>
      <c r="FDK59" s="316"/>
      <c r="FDL59" s="316"/>
      <c r="FDM59" s="316"/>
      <c r="FDN59" s="316"/>
      <c r="FDO59" s="316"/>
      <c r="FDP59" s="316"/>
      <c r="FDQ59" s="316"/>
      <c r="FDR59" s="316"/>
      <c r="FDS59" s="316"/>
      <c r="FDT59" s="316"/>
      <c r="FDU59" s="316"/>
      <c r="FDV59" s="316"/>
      <c r="FDW59" s="316"/>
      <c r="FDX59" s="316"/>
      <c r="FDY59" s="316"/>
      <c r="FDZ59" s="316"/>
      <c r="FEA59" s="316"/>
      <c r="FEB59" s="316"/>
      <c r="FEC59" s="316"/>
      <c r="FED59" s="316"/>
      <c r="FEE59" s="316"/>
      <c r="FEF59" s="316"/>
      <c r="FEG59" s="316"/>
      <c r="FEH59" s="316"/>
      <c r="FEI59" s="316"/>
      <c r="FEJ59" s="316"/>
      <c r="FEK59" s="316"/>
      <c r="FEL59" s="316"/>
      <c r="FEM59" s="316"/>
      <c r="FEN59" s="316"/>
      <c r="FEO59" s="316"/>
      <c r="FEP59" s="316"/>
      <c r="FEQ59" s="316"/>
      <c r="FER59" s="316"/>
      <c r="FES59" s="316"/>
      <c r="FET59" s="316"/>
      <c r="FEU59" s="316"/>
      <c r="FEV59" s="316"/>
      <c r="FEW59" s="316"/>
      <c r="FEX59" s="316"/>
      <c r="FEY59" s="316"/>
      <c r="FEZ59" s="316"/>
      <c r="FFA59" s="316"/>
      <c r="FFB59" s="316"/>
      <c r="FFC59" s="316"/>
      <c r="FFD59" s="316"/>
      <c r="FFE59" s="316"/>
      <c r="FFF59" s="316"/>
      <c r="FFG59" s="316"/>
      <c r="FFH59" s="316"/>
      <c r="FFI59" s="316"/>
      <c r="FFJ59" s="316"/>
      <c r="FFK59" s="316"/>
      <c r="FFL59" s="316"/>
      <c r="FFM59" s="316"/>
      <c r="FFN59" s="316"/>
      <c r="FFO59" s="316"/>
      <c r="FFP59" s="316"/>
      <c r="FFQ59" s="316"/>
      <c r="FFR59" s="316"/>
      <c r="FFS59" s="316"/>
      <c r="FFT59" s="316"/>
      <c r="FFU59" s="316"/>
      <c r="FFV59" s="316"/>
      <c r="FFW59" s="316"/>
      <c r="FFX59" s="316"/>
      <c r="FFY59" s="316"/>
      <c r="FFZ59" s="316"/>
      <c r="FGA59" s="316"/>
      <c r="FGB59" s="316"/>
      <c r="FGC59" s="316"/>
      <c r="FGD59" s="316"/>
      <c r="FGE59" s="316"/>
      <c r="FGF59" s="316"/>
      <c r="FGG59" s="316"/>
      <c r="FGH59" s="316"/>
      <c r="FGI59" s="316"/>
      <c r="FGJ59" s="316"/>
      <c r="FGK59" s="316"/>
      <c r="FGL59" s="316"/>
      <c r="FGM59" s="316"/>
      <c r="FGN59" s="316"/>
      <c r="FGO59" s="316"/>
      <c r="FGP59" s="316"/>
      <c r="FGQ59" s="316"/>
      <c r="FGR59" s="316"/>
      <c r="FGS59" s="316"/>
      <c r="FGT59" s="316"/>
      <c r="FGU59" s="316"/>
      <c r="FGV59" s="316"/>
      <c r="FGW59" s="316"/>
      <c r="FGX59" s="316"/>
      <c r="FGY59" s="316"/>
      <c r="FGZ59" s="316"/>
      <c r="FHA59" s="316"/>
      <c r="FHB59" s="316"/>
      <c r="FHC59" s="316"/>
      <c r="FHD59" s="316"/>
      <c r="FHE59" s="316"/>
      <c r="FHF59" s="316"/>
      <c r="FHG59" s="316"/>
      <c r="FHH59" s="316"/>
      <c r="FHI59" s="316"/>
      <c r="FHJ59" s="316"/>
      <c r="FHK59" s="316"/>
      <c r="FHL59" s="316"/>
      <c r="FHM59" s="316"/>
      <c r="FHN59" s="316"/>
      <c r="FHO59" s="316"/>
      <c r="FHP59" s="316"/>
      <c r="FHQ59" s="316"/>
      <c r="FHR59" s="316"/>
      <c r="FHS59" s="316"/>
      <c r="FHT59" s="316"/>
      <c r="FHU59" s="316"/>
      <c r="FHV59" s="316"/>
      <c r="FHW59" s="316"/>
      <c r="FHX59" s="316"/>
      <c r="FHY59" s="316"/>
      <c r="FHZ59" s="316"/>
      <c r="FIA59" s="316"/>
      <c r="FIB59" s="316"/>
      <c r="FIC59" s="316"/>
      <c r="FID59" s="316"/>
      <c r="FIE59" s="316"/>
      <c r="FIF59" s="316"/>
      <c r="FIG59" s="316"/>
      <c r="FIH59" s="316"/>
      <c r="FII59" s="316"/>
      <c r="FIJ59" s="316"/>
      <c r="FIK59" s="316"/>
      <c r="FIL59" s="316"/>
      <c r="FIM59" s="316"/>
      <c r="FIN59" s="316"/>
      <c r="FIO59" s="316"/>
      <c r="FIP59" s="316"/>
      <c r="FIQ59" s="316"/>
      <c r="FIR59" s="316"/>
      <c r="FIS59" s="316"/>
      <c r="FIT59" s="316"/>
      <c r="FIU59" s="316"/>
      <c r="FIV59" s="316"/>
      <c r="FIW59" s="316"/>
      <c r="FIX59" s="316"/>
      <c r="FIY59" s="316"/>
      <c r="FIZ59" s="316"/>
      <c r="FJA59" s="316"/>
      <c r="FJB59" s="316"/>
      <c r="FJC59" s="316"/>
      <c r="FJD59" s="316"/>
      <c r="FJE59" s="316"/>
      <c r="FJF59" s="316"/>
      <c r="FJG59" s="316"/>
      <c r="FJH59" s="316"/>
      <c r="FJI59" s="316"/>
      <c r="FJJ59" s="316"/>
      <c r="FJK59" s="316"/>
      <c r="FJL59" s="316"/>
      <c r="FJM59" s="316"/>
      <c r="FJN59" s="316"/>
      <c r="FJO59" s="316"/>
      <c r="FJP59" s="316"/>
      <c r="FJQ59" s="316"/>
      <c r="FJR59" s="316"/>
      <c r="FJS59" s="316"/>
      <c r="FJT59" s="316"/>
      <c r="FJU59" s="316"/>
      <c r="FJV59" s="316"/>
      <c r="FJW59" s="316"/>
      <c r="FJX59" s="316"/>
      <c r="FJY59" s="316"/>
      <c r="FJZ59" s="316"/>
      <c r="FKA59" s="316"/>
      <c r="FKB59" s="316"/>
      <c r="FKC59" s="316"/>
      <c r="FKD59" s="316"/>
      <c r="FKE59" s="316"/>
      <c r="FKF59" s="316"/>
      <c r="FKG59" s="316"/>
      <c r="FKH59" s="316"/>
      <c r="FKI59" s="316"/>
      <c r="FKJ59" s="316"/>
      <c r="FKK59" s="316"/>
      <c r="FKL59" s="316"/>
      <c r="FKM59" s="316"/>
      <c r="FKN59" s="316"/>
      <c r="FKO59" s="316"/>
      <c r="FKP59" s="316"/>
      <c r="FKQ59" s="316"/>
      <c r="FKR59" s="316"/>
      <c r="FKS59" s="316"/>
      <c r="FKT59" s="316"/>
      <c r="FKU59" s="316"/>
      <c r="FKV59" s="316"/>
      <c r="FKW59" s="316"/>
      <c r="FKX59" s="316"/>
      <c r="FKY59" s="316"/>
      <c r="FKZ59" s="316"/>
      <c r="FLA59" s="316"/>
      <c r="FLB59" s="316"/>
      <c r="FLC59" s="316"/>
      <c r="FLD59" s="316"/>
      <c r="FLE59" s="316"/>
      <c r="FLF59" s="316"/>
      <c r="FLG59" s="316"/>
      <c r="FLH59" s="316"/>
      <c r="FLI59" s="316"/>
      <c r="FLJ59" s="316"/>
      <c r="FLK59" s="316"/>
      <c r="FLL59" s="316"/>
      <c r="FLM59" s="316"/>
      <c r="FLN59" s="316"/>
      <c r="FLO59" s="316"/>
      <c r="FLP59" s="316"/>
      <c r="FLQ59" s="316"/>
      <c r="FLR59" s="316"/>
      <c r="FLS59" s="316"/>
      <c r="FLT59" s="316"/>
      <c r="FLU59" s="316"/>
      <c r="FLV59" s="316"/>
      <c r="FLW59" s="316"/>
      <c r="FLX59" s="316"/>
      <c r="FLY59" s="316"/>
      <c r="FLZ59" s="316"/>
      <c r="FMA59" s="316"/>
      <c r="FMB59" s="316"/>
      <c r="FMC59" s="316"/>
      <c r="FMD59" s="316"/>
      <c r="FME59" s="316"/>
      <c r="FMF59" s="316"/>
      <c r="FMG59" s="316"/>
      <c r="FMH59" s="316"/>
      <c r="FMI59" s="316"/>
      <c r="FMJ59" s="316"/>
      <c r="FMK59" s="316"/>
      <c r="FML59" s="316"/>
      <c r="FMM59" s="316"/>
      <c r="FMN59" s="316"/>
      <c r="FMO59" s="316"/>
      <c r="FMP59" s="316"/>
      <c r="FMQ59" s="316"/>
      <c r="FMR59" s="316"/>
      <c r="FMS59" s="316"/>
      <c r="FMT59" s="316"/>
      <c r="FMU59" s="316"/>
      <c r="FMV59" s="316"/>
      <c r="FMW59" s="316"/>
      <c r="FMX59" s="316"/>
      <c r="FMY59" s="316"/>
      <c r="FMZ59" s="316"/>
      <c r="FNA59" s="316"/>
      <c r="FNB59" s="316"/>
      <c r="FNC59" s="316"/>
      <c r="FND59" s="316"/>
      <c r="FNE59" s="316"/>
      <c r="FNF59" s="316"/>
      <c r="FNG59" s="316"/>
      <c r="FNH59" s="316"/>
      <c r="FNI59" s="316"/>
      <c r="FNJ59" s="316"/>
      <c r="FNK59" s="316"/>
      <c r="FNL59" s="316"/>
      <c r="FNM59" s="316"/>
      <c r="FNN59" s="316"/>
      <c r="FNO59" s="316"/>
      <c r="FNP59" s="316"/>
      <c r="FNQ59" s="316"/>
      <c r="FNR59" s="316"/>
      <c r="FNS59" s="316"/>
      <c r="FNT59" s="316"/>
      <c r="FNU59" s="316"/>
      <c r="FNV59" s="316"/>
      <c r="FNW59" s="316"/>
      <c r="FNX59" s="316"/>
      <c r="FNY59" s="316"/>
      <c r="FNZ59" s="316"/>
      <c r="FOA59" s="316"/>
      <c r="FOB59" s="316"/>
      <c r="FOC59" s="316"/>
      <c r="FOD59" s="316"/>
      <c r="FOE59" s="316"/>
      <c r="FOF59" s="316"/>
      <c r="FOG59" s="316"/>
      <c r="FOH59" s="316"/>
      <c r="FOI59" s="316"/>
      <c r="FOJ59" s="316"/>
      <c r="FOK59" s="316"/>
      <c r="FOL59" s="316"/>
      <c r="FOM59" s="316"/>
      <c r="FON59" s="316"/>
      <c r="FOO59" s="316"/>
      <c r="FOP59" s="316"/>
      <c r="FOQ59" s="316"/>
      <c r="FOR59" s="316"/>
      <c r="FOS59" s="316"/>
      <c r="FOT59" s="316"/>
      <c r="FOU59" s="316"/>
      <c r="FOV59" s="316"/>
      <c r="FOW59" s="316"/>
      <c r="FOX59" s="316"/>
      <c r="FOY59" s="316"/>
      <c r="FOZ59" s="316"/>
      <c r="FPA59" s="316"/>
      <c r="FPB59" s="316"/>
      <c r="FPC59" s="316"/>
      <c r="FPD59" s="316"/>
      <c r="FPE59" s="316"/>
      <c r="FPF59" s="316"/>
      <c r="FPG59" s="316"/>
      <c r="FPH59" s="316"/>
      <c r="FPI59" s="316"/>
      <c r="FPJ59" s="316"/>
      <c r="FPK59" s="316"/>
      <c r="FPL59" s="316"/>
      <c r="FPM59" s="316"/>
      <c r="FPN59" s="316"/>
      <c r="FPO59" s="316"/>
      <c r="FPP59" s="316"/>
      <c r="FPQ59" s="316"/>
      <c r="FPR59" s="316"/>
      <c r="FPS59" s="316"/>
      <c r="FPT59" s="316"/>
      <c r="FPU59" s="316"/>
      <c r="FPV59" s="316"/>
      <c r="FPW59" s="316"/>
      <c r="FPX59" s="316"/>
      <c r="FPY59" s="316"/>
      <c r="FPZ59" s="316"/>
      <c r="FQA59" s="316"/>
      <c r="FQB59" s="316"/>
      <c r="FQC59" s="316"/>
      <c r="FQD59" s="316"/>
      <c r="FQE59" s="316"/>
      <c r="FQF59" s="316"/>
      <c r="FQG59" s="316"/>
      <c r="FQH59" s="316"/>
      <c r="FQI59" s="316"/>
      <c r="FQJ59" s="316"/>
      <c r="FQK59" s="316"/>
      <c r="FQL59" s="316"/>
      <c r="FQM59" s="316"/>
      <c r="FQN59" s="316"/>
      <c r="FQO59" s="316"/>
      <c r="FQP59" s="316"/>
      <c r="FQQ59" s="316"/>
      <c r="FQR59" s="316"/>
      <c r="FQS59" s="316"/>
      <c r="FQT59" s="316"/>
      <c r="FQU59" s="316"/>
      <c r="FQV59" s="316"/>
      <c r="FQW59" s="316"/>
      <c r="FQX59" s="316"/>
      <c r="FQY59" s="316"/>
      <c r="FQZ59" s="316"/>
      <c r="FRA59" s="316"/>
      <c r="FRB59" s="316"/>
      <c r="FRC59" s="316"/>
      <c r="FRD59" s="316"/>
      <c r="FRE59" s="316"/>
      <c r="FRF59" s="316"/>
      <c r="FRG59" s="316"/>
      <c r="FRH59" s="316"/>
      <c r="FRI59" s="316"/>
      <c r="FRJ59" s="316"/>
      <c r="FRK59" s="316"/>
      <c r="FRL59" s="316"/>
      <c r="FRM59" s="316"/>
      <c r="FRN59" s="316"/>
      <c r="FRO59" s="316"/>
      <c r="FRP59" s="316"/>
      <c r="FRQ59" s="316"/>
      <c r="FRR59" s="316"/>
      <c r="FRS59" s="316"/>
      <c r="FRT59" s="316"/>
      <c r="FRU59" s="316"/>
      <c r="FRV59" s="316"/>
      <c r="FRW59" s="316"/>
      <c r="FRX59" s="316"/>
      <c r="FRY59" s="316"/>
      <c r="FRZ59" s="316"/>
      <c r="FSA59" s="316"/>
      <c r="FSB59" s="316"/>
      <c r="FSC59" s="316"/>
      <c r="FSD59" s="316"/>
      <c r="FSE59" s="316"/>
      <c r="FSF59" s="316"/>
      <c r="FSG59" s="316"/>
      <c r="FSH59" s="316"/>
      <c r="FSI59" s="316"/>
      <c r="FSJ59" s="316"/>
      <c r="FSK59" s="316"/>
      <c r="FSL59" s="316"/>
      <c r="FSM59" s="316"/>
      <c r="FSN59" s="316"/>
      <c r="FSO59" s="316"/>
      <c r="FSP59" s="316"/>
      <c r="FSQ59" s="316"/>
      <c r="FSR59" s="316"/>
      <c r="FSS59" s="316"/>
      <c r="FST59" s="316"/>
      <c r="FSU59" s="316"/>
      <c r="FSV59" s="316"/>
      <c r="FSW59" s="316"/>
      <c r="FSX59" s="316"/>
      <c r="FSY59" s="316"/>
      <c r="FSZ59" s="316"/>
      <c r="FTA59" s="316"/>
      <c r="FTB59" s="316"/>
      <c r="FTC59" s="316"/>
      <c r="FTD59" s="316"/>
      <c r="FTE59" s="316"/>
      <c r="FTF59" s="316"/>
      <c r="FTG59" s="316"/>
      <c r="FTH59" s="316"/>
      <c r="FTI59" s="316"/>
      <c r="FTJ59" s="316"/>
      <c r="FTK59" s="316"/>
      <c r="FTL59" s="316"/>
      <c r="FTM59" s="316"/>
      <c r="FTN59" s="316"/>
      <c r="FTO59" s="316"/>
      <c r="FTP59" s="316"/>
      <c r="FTQ59" s="316"/>
      <c r="FTR59" s="316"/>
      <c r="FTS59" s="316"/>
      <c r="FTT59" s="316"/>
      <c r="FTU59" s="316"/>
      <c r="FTV59" s="316"/>
      <c r="FTW59" s="316"/>
      <c r="FTX59" s="316"/>
      <c r="FTY59" s="316"/>
      <c r="FTZ59" s="316"/>
      <c r="FUA59" s="316"/>
      <c r="FUB59" s="316"/>
      <c r="FUC59" s="316"/>
      <c r="FUD59" s="316"/>
      <c r="FUE59" s="316"/>
      <c r="FUF59" s="316"/>
      <c r="FUG59" s="316"/>
      <c r="FUH59" s="316"/>
      <c r="FUI59" s="316"/>
      <c r="FUJ59" s="316"/>
      <c r="FUK59" s="316"/>
      <c r="FUL59" s="316"/>
      <c r="FUM59" s="316"/>
      <c r="FUN59" s="316"/>
      <c r="FUO59" s="316"/>
      <c r="FUP59" s="316"/>
      <c r="FUQ59" s="316"/>
      <c r="FUR59" s="316"/>
      <c r="FUS59" s="316"/>
      <c r="FUT59" s="316"/>
      <c r="FUU59" s="316"/>
      <c r="FUV59" s="316"/>
      <c r="FUW59" s="316"/>
      <c r="FUX59" s="316"/>
      <c r="FUY59" s="316"/>
      <c r="FUZ59" s="316"/>
      <c r="FVA59" s="316"/>
      <c r="FVB59" s="316"/>
      <c r="FVC59" s="316"/>
      <c r="FVD59" s="316"/>
      <c r="FVE59" s="316"/>
      <c r="FVF59" s="316"/>
      <c r="FVG59" s="316"/>
      <c r="FVH59" s="316"/>
      <c r="FVI59" s="316"/>
      <c r="FVJ59" s="316"/>
      <c r="FVK59" s="316"/>
      <c r="FVL59" s="316"/>
      <c r="FVM59" s="316"/>
      <c r="FVN59" s="316"/>
      <c r="FVO59" s="316"/>
      <c r="FVP59" s="316"/>
      <c r="FVQ59" s="316"/>
      <c r="FVR59" s="316"/>
      <c r="FVS59" s="316"/>
      <c r="FVT59" s="316"/>
      <c r="FVU59" s="316"/>
      <c r="FVV59" s="316"/>
      <c r="FVW59" s="316"/>
      <c r="FVX59" s="316"/>
      <c r="FVY59" s="316"/>
      <c r="FVZ59" s="316"/>
      <c r="FWA59" s="316"/>
      <c r="FWB59" s="316"/>
      <c r="FWC59" s="316"/>
      <c r="FWD59" s="316"/>
      <c r="FWE59" s="316"/>
      <c r="FWF59" s="316"/>
      <c r="FWG59" s="316"/>
      <c r="FWH59" s="316"/>
      <c r="FWI59" s="316"/>
      <c r="FWJ59" s="316"/>
      <c r="FWK59" s="316"/>
      <c r="FWL59" s="316"/>
      <c r="FWM59" s="316"/>
      <c r="FWN59" s="316"/>
      <c r="FWO59" s="316"/>
      <c r="FWP59" s="316"/>
      <c r="FWQ59" s="316"/>
      <c r="FWR59" s="316"/>
      <c r="FWS59" s="316"/>
      <c r="FWT59" s="316"/>
      <c r="FWU59" s="316"/>
      <c r="FWV59" s="316"/>
      <c r="FWW59" s="316"/>
      <c r="FWX59" s="316"/>
      <c r="FWY59" s="316"/>
      <c r="FWZ59" s="316"/>
      <c r="FXA59" s="316"/>
      <c r="FXB59" s="316"/>
      <c r="FXC59" s="316"/>
      <c r="FXD59" s="316"/>
      <c r="FXE59" s="316"/>
      <c r="FXF59" s="316"/>
      <c r="FXG59" s="316"/>
      <c r="FXH59" s="316"/>
      <c r="FXI59" s="316"/>
      <c r="FXJ59" s="316"/>
      <c r="FXK59" s="316"/>
      <c r="FXL59" s="316"/>
      <c r="FXM59" s="316"/>
      <c r="FXN59" s="316"/>
      <c r="FXO59" s="316"/>
      <c r="FXP59" s="316"/>
      <c r="FXQ59" s="316"/>
      <c r="FXR59" s="316"/>
      <c r="FXS59" s="316"/>
      <c r="FXT59" s="316"/>
      <c r="FXU59" s="316"/>
      <c r="FXV59" s="316"/>
      <c r="FXW59" s="316"/>
      <c r="FXX59" s="316"/>
      <c r="FXY59" s="316"/>
      <c r="FXZ59" s="316"/>
      <c r="FYA59" s="316"/>
      <c r="FYB59" s="316"/>
      <c r="FYC59" s="316"/>
      <c r="FYD59" s="316"/>
      <c r="FYE59" s="316"/>
      <c r="FYF59" s="316"/>
      <c r="FYG59" s="316"/>
      <c r="FYH59" s="316"/>
      <c r="FYI59" s="316"/>
      <c r="FYJ59" s="316"/>
      <c r="FYK59" s="316"/>
      <c r="FYL59" s="316"/>
      <c r="FYM59" s="316"/>
      <c r="FYN59" s="316"/>
      <c r="FYO59" s="316"/>
      <c r="FYP59" s="316"/>
      <c r="FYQ59" s="316"/>
      <c r="FYR59" s="316"/>
      <c r="FYS59" s="316"/>
      <c r="FYT59" s="316"/>
      <c r="FYU59" s="316"/>
      <c r="FYV59" s="316"/>
      <c r="FYW59" s="316"/>
      <c r="FYX59" s="316"/>
      <c r="FYY59" s="316"/>
      <c r="FYZ59" s="316"/>
      <c r="FZA59" s="316"/>
      <c r="FZB59" s="316"/>
      <c r="FZC59" s="316"/>
      <c r="FZD59" s="316"/>
      <c r="FZE59" s="316"/>
      <c r="FZF59" s="316"/>
      <c r="FZG59" s="316"/>
      <c r="FZH59" s="316"/>
      <c r="FZI59" s="316"/>
      <c r="FZJ59" s="316"/>
      <c r="FZK59" s="316"/>
      <c r="FZL59" s="316"/>
      <c r="FZM59" s="316"/>
      <c r="FZN59" s="316"/>
      <c r="FZO59" s="316"/>
      <c r="FZP59" s="316"/>
      <c r="FZQ59" s="316"/>
      <c r="FZR59" s="316"/>
      <c r="FZS59" s="316"/>
      <c r="FZT59" s="316"/>
      <c r="FZU59" s="316"/>
      <c r="FZV59" s="316"/>
      <c r="FZW59" s="316"/>
      <c r="FZX59" s="316"/>
      <c r="FZY59" s="316"/>
      <c r="FZZ59" s="316"/>
      <c r="GAA59" s="316"/>
      <c r="GAB59" s="316"/>
      <c r="GAC59" s="316"/>
      <c r="GAD59" s="316"/>
      <c r="GAE59" s="316"/>
      <c r="GAF59" s="316"/>
      <c r="GAG59" s="316"/>
      <c r="GAH59" s="316"/>
      <c r="GAI59" s="316"/>
      <c r="GAJ59" s="316"/>
      <c r="GAK59" s="316"/>
      <c r="GAL59" s="316"/>
      <c r="GAM59" s="316"/>
      <c r="GAN59" s="316"/>
      <c r="GAO59" s="316"/>
      <c r="GAP59" s="316"/>
      <c r="GAQ59" s="316"/>
      <c r="GAR59" s="316"/>
      <c r="GAS59" s="316"/>
      <c r="GAT59" s="316"/>
      <c r="GAU59" s="316"/>
      <c r="GAV59" s="316"/>
      <c r="GAW59" s="316"/>
      <c r="GAX59" s="316"/>
      <c r="GAY59" s="316"/>
      <c r="GAZ59" s="316"/>
      <c r="GBA59" s="316"/>
      <c r="GBB59" s="316"/>
      <c r="GBC59" s="316"/>
      <c r="GBD59" s="316"/>
      <c r="GBE59" s="316"/>
      <c r="GBF59" s="316"/>
      <c r="GBG59" s="316"/>
      <c r="GBH59" s="316"/>
      <c r="GBI59" s="316"/>
      <c r="GBJ59" s="316"/>
      <c r="GBK59" s="316"/>
      <c r="GBL59" s="316"/>
      <c r="GBM59" s="316"/>
      <c r="GBN59" s="316"/>
      <c r="GBO59" s="316"/>
      <c r="GBP59" s="316"/>
      <c r="GBQ59" s="316"/>
      <c r="GBR59" s="316"/>
      <c r="GBS59" s="316"/>
      <c r="GBT59" s="316"/>
      <c r="GBU59" s="316"/>
      <c r="GBV59" s="316"/>
      <c r="GBW59" s="316"/>
      <c r="GBX59" s="316"/>
      <c r="GBY59" s="316"/>
      <c r="GBZ59" s="316"/>
      <c r="GCA59" s="316"/>
      <c r="GCB59" s="316"/>
      <c r="GCC59" s="316"/>
      <c r="GCD59" s="316"/>
      <c r="GCE59" s="316"/>
      <c r="GCF59" s="316"/>
      <c r="GCG59" s="316"/>
      <c r="GCH59" s="316"/>
      <c r="GCI59" s="316"/>
      <c r="GCJ59" s="316"/>
      <c r="GCK59" s="316"/>
      <c r="GCL59" s="316"/>
      <c r="GCM59" s="316"/>
      <c r="GCN59" s="316"/>
      <c r="GCO59" s="316"/>
      <c r="GCP59" s="316"/>
      <c r="GCQ59" s="316"/>
      <c r="GCR59" s="316"/>
      <c r="GCS59" s="316"/>
      <c r="GCT59" s="316"/>
      <c r="GCU59" s="316"/>
      <c r="GCV59" s="316"/>
      <c r="GCW59" s="316"/>
      <c r="GCX59" s="316"/>
      <c r="GCY59" s="316"/>
      <c r="GCZ59" s="316"/>
      <c r="GDA59" s="316"/>
      <c r="GDB59" s="316"/>
      <c r="GDC59" s="316"/>
      <c r="GDD59" s="316"/>
      <c r="GDE59" s="316"/>
      <c r="GDF59" s="316"/>
      <c r="GDG59" s="316"/>
      <c r="GDH59" s="316"/>
      <c r="GDI59" s="316"/>
      <c r="GDJ59" s="316"/>
      <c r="GDK59" s="316"/>
      <c r="GDL59" s="316"/>
      <c r="GDM59" s="316"/>
      <c r="GDN59" s="316"/>
      <c r="GDO59" s="316"/>
      <c r="GDP59" s="316"/>
      <c r="GDQ59" s="316"/>
      <c r="GDR59" s="316"/>
      <c r="GDS59" s="316"/>
      <c r="GDT59" s="316"/>
      <c r="GDU59" s="316"/>
      <c r="GDV59" s="316"/>
      <c r="GDW59" s="316"/>
      <c r="GDX59" s="316"/>
      <c r="GDY59" s="316"/>
      <c r="GDZ59" s="316"/>
      <c r="GEA59" s="316"/>
      <c r="GEB59" s="316"/>
      <c r="GEC59" s="316"/>
      <c r="GED59" s="316"/>
      <c r="GEE59" s="316"/>
      <c r="GEF59" s="316"/>
      <c r="GEG59" s="316"/>
      <c r="GEH59" s="316"/>
      <c r="GEI59" s="316"/>
      <c r="GEJ59" s="316"/>
      <c r="GEK59" s="316"/>
      <c r="GEL59" s="316"/>
      <c r="GEM59" s="316"/>
      <c r="GEN59" s="316"/>
      <c r="GEO59" s="316"/>
      <c r="GEP59" s="316"/>
      <c r="GEQ59" s="316"/>
      <c r="GER59" s="316"/>
      <c r="GES59" s="316"/>
      <c r="GET59" s="316"/>
      <c r="GEU59" s="316"/>
      <c r="GEV59" s="316"/>
      <c r="GEW59" s="316"/>
      <c r="GEX59" s="316"/>
      <c r="GEY59" s="316"/>
      <c r="GEZ59" s="316"/>
      <c r="GFA59" s="316"/>
      <c r="GFB59" s="316"/>
      <c r="GFC59" s="316"/>
      <c r="GFD59" s="316"/>
      <c r="GFE59" s="316"/>
      <c r="GFF59" s="316"/>
      <c r="GFG59" s="316"/>
      <c r="GFH59" s="316"/>
      <c r="GFI59" s="316"/>
      <c r="GFJ59" s="316"/>
      <c r="GFK59" s="316"/>
      <c r="GFL59" s="316"/>
      <c r="GFM59" s="316"/>
      <c r="GFN59" s="316"/>
      <c r="GFO59" s="316"/>
      <c r="GFP59" s="316"/>
      <c r="GFQ59" s="316"/>
      <c r="GFR59" s="316"/>
      <c r="GFS59" s="316"/>
      <c r="GFT59" s="316"/>
      <c r="GFU59" s="316"/>
      <c r="GFV59" s="316"/>
      <c r="GFW59" s="316"/>
      <c r="GFX59" s="316"/>
      <c r="GFY59" s="316"/>
      <c r="GFZ59" s="316"/>
      <c r="GGA59" s="316"/>
      <c r="GGB59" s="316"/>
      <c r="GGC59" s="316"/>
      <c r="GGD59" s="316"/>
      <c r="GGE59" s="316"/>
      <c r="GGF59" s="316"/>
      <c r="GGG59" s="316"/>
      <c r="GGH59" s="316"/>
      <c r="GGI59" s="316"/>
      <c r="GGJ59" s="316"/>
      <c r="GGK59" s="316"/>
      <c r="GGL59" s="316"/>
      <c r="GGM59" s="316"/>
      <c r="GGN59" s="316"/>
      <c r="GGO59" s="316"/>
      <c r="GGP59" s="316"/>
      <c r="GGQ59" s="316"/>
      <c r="GGR59" s="316"/>
      <c r="GGS59" s="316"/>
      <c r="GGT59" s="316"/>
      <c r="GGU59" s="316"/>
      <c r="GGV59" s="316"/>
      <c r="GGW59" s="316"/>
      <c r="GGX59" s="316"/>
      <c r="GGY59" s="316"/>
      <c r="GGZ59" s="316"/>
      <c r="GHA59" s="316"/>
      <c r="GHB59" s="316"/>
      <c r="GHC59" s="316"/>
      <c r="GHD59" s="316"/>
      <c r="GHE59" s="316"/>
      <c r="GHF59" s="316"/>
      <c r="GHG59" s="316"/>
      <c r="GHH59" s="316"/>
      <c r="GHI59" s="316"/>
      <c r="GHJ59" s="316"/>
      <c r="GHK59" s="316"/>
      <c r="GHL59" s="316"/>
      <c r="GHM59" s="316"/>
      <c r="GHN59" s="316"/>
      <c r="GHO59" s="316"/>
      <c r="GHP59" s="316"/>
      <c r="GHQ59" s="316"/>
      <c r="GHR59" s="316"/>
      <c r="GHS59" s="316"/>
      <c r="GHT59" s="316"/>
      <c r="GHU59" s="316"/>
      <c r="GHV59" s="316"/>
      <c r="GHW59" s="316"/>
      <c r="GHX59" s="316"/>
      <c r="GHY59" s="316"/>
      <c r="GHZ59" s="316"/>
      <c r="GIA59" s="316"/>
      <c r="GIB59" s="316"/>
      <c r="GIC59" s="316"/>
      <c r="GID59" s="316"/>
      <c r="GIE59" s="316"/>
      <c r="GIF59" s="316"/>
      <c r="GIG59" s="316"/>
      <c r="GIH59" s="316"/>
      <c r="GII59" s="316"/>
      <c r="GIJ59" s="316"/>
      <c r="GIK59" s="316"/>
      <c r="GIL59" s="316"/>
      <c r="GIM59" s="316"/>
      <c r="GIN59" s="316"/>
      <c r="GIO59" s="316"/>
      <c r="GIP59" s="316"/>
      <c r="GIQ59" s="316"/>
      <c r="GIR59" s="316"/>
      <c r="GIS59" s="316"/>
      <c r="GIT59" s="316"/>
      <c r="GIU59" s="316"/>
      <c r="GIV59" s="316"/>
      <c r="GIW59" s="316"/>
      <c r="GIX59" s="316"/>
      <c r="GIY59" s="316"/>
      <c r="GIZ59" s="316"/>
      <c r="GJA59" s="316"/>
      <c r="GJB59" s="316"/>
      <c r="GJC59" s="316"/>
      <c r="GJD59" s="316"/>
      <c r="GJE59" s="316"/>
      <c r="GJF59" s="316"/>
      <c r="GJG59" s="316"/>
      <c r="GJH59" s="316"/>
      <c r="GJI59" s="316"/>
      <c r="GJJ59" s="316"/>
      <c r="GJK59" s="316"/>
      <c r="GJL59" s="316"/>
      <c r="GJM59" s="316"/>
      <c r="GJN59" s="316"/>
      <c r="GJO59" s="316"/>
      <c r="GJP59" s="316"/>
      <c r="GJQ59" s="316"/>
      <c r="GJR59" s="316"/>
      <c r="GJS59" s="316"/>
      <c r="GJT59" s="316"/>
      <c r="GJU59" s="316"/>
      <c r="GJV59" s="316"/>
      <c r="GJW59" s="316"/>
      <c r="GJX59" s="316"/>
      <c r="GJY59" s="316"/>
      <c r="GJZ59" s="316"/>
      <c r="GKA59" s="316"/>
      <c r="GKB59" s="316"/>
      <c r="GKC59" s="316"/>
      <c r="GKD59" s="316"/>
      <c r="GKE59" s="316"/>
      <c r="GKF59" s="316"/>
      <c r="GKG59" s="316"/>
      <c r="GKH59" s="316"/>
      <c r="GKI59" s="316"/>
      <c r="GKJ59" s="316"/>
      <c r="GKK59" s="316"/>
      <c r="GKL59" s="316"/>
      <c r="GKM59" s="316"/>
      <c r="GKN59" s="316"/>
      <c r="GKO59" s="316"/>
      <c r="GKP59" s="316"/>
      <c r="GKQ59" s="316"/>
      <c r="GKR59" s="316"/>
      <c r="GKS59" s="316"/>
      <c r="GKT59" s="316"/>
      <c r="GKU59" s="316"/>
      <c r="GKV59" s="316"/>
      <c r="GKW59" s="316"/>
      <c r="GKX59" s="316"/>
      <c r="GKY59" s="316"/>
      <c r="GKZ59" s="316"/>
      <c r="GLA59" s="316"/>
      <c r="GLB59" s="316"/>
      <c r="GLC59" s="316"/>
      <c r="GLD59" s="316"/>
      <c r="GLE59" s="316"/>
      <c r="GLF59" s="316"/>
      <c r="GLG59" s="316"/>
      <c r="GLH59" s="316"/>
      <c r="GLI59" s="316"/>
      <c r="GLJ59" s="316"/>
      <c r="GLK59" s="316"/>
      <c r="GLL59" s="316"/>
      <c r="GLM59" s="316"/>
      <c r="GLN59" s="316"/>
      <c r="GLO59" s="316"/>
      <c r="GLP59" s="316"/>
      <c r="GLQ59" s="316"/>
      <c r="GLR59" s="316"/>
      <c r="GLS59" s="316"/>
      <c r="GLT59" s="316"/>
      <c r="GLU59" s="316"/>
      <c r="GLV59" s="316"/>
      <c r="GLW59" s="316"/>
      <c r="GLX59" s="316"/>
      <c r="GLY59" s="316"/>
      <c r="GLZ59" s="316"/>
      <c r="GMA59" s="316"/>
      <c r="GMB59" s="316"/>
      <c r="GMC59" s="316"/>
      <c r="GMD59" s="316"/>
      <c r="GME59" s="316"/>
      <c r="GMF59" s="316"/>
      <c r="GMG59" s="316"/>
      <c r="GMH59" s="316"/>
      <c r="GMI59" s="316"/>
      <c r="GMJ59" s="316"/>
      <c r="GMK59" s="316"/>
      <c r="GML59" s="316"/>
      <c r="GMM59" s="316"/>
      <c r="GMN59" s="316"/>
      <c r="GMO59" s="316"/>
      <c r="GMP59" s="316"/>
      <c r="GMQ59" s="316"/>
      <c r="GMR59" s="316"/>
      <c r="GMS59" s="316"/>
      <c r="GMT59" s="316"/>
      <c r="GMU59" s="316"/>
      <c r="GMV59" s="316"/>
      <c r="GMW59" s="316"/>
      <c r="GMX59" s="316"/>
      <c r="GMY59" s="316"/>
      <c r="GMZ59" s="316"/>
      <c r="GNA59" s="316"/>
      <c r="GNB59" s="316"/>
      <c r="GNC59" s="316"/>
      <c r="GND59" s="316"/>
      <c r="GNE59" s="316"/>
      <c r="GNF59" s="316"/>
      <c r="GNG59" s="316"/>
      <c r="GNH59" s="316"/>
      <c r="GNI59" s="316"/>
      <c r="GNJ59" s="316"/>
      <c r="GNK59" s="316"/>
      <c r="GNL59" s="316"/>
      <c r="GNM59" s="316"/>
      <c r="GNN59" s="316"/>
      <c r="GNO59" s="316"/>
      <c r="GNP59" s="316"/>
      <c r="GNQ59" s="316"/>
      <c r="GNR59" s="316"/>
      <c r="GNS59" s="316"/>
      <c r="GNT59" s="316"/>
      <c r="GNU59" s="316"/>
      <c r="GNV59" s="316"/>
      <c r="GNW59" s="316"/>
      <c r="GNX59" s="316"/>
      <c r="GNY59" s="316"/>
      <c r="GNZ59" s="316"/>
      <c r="GOA59" s="316"/>
      <c r="GOB59" s="316"/>
      <c r="GOC59" s="316"/>
      <c r="GOD59" s="316"/>
      <c r="GOE59" s="316"/>
      <c r="GOF59" s="316"/>
      <c r="GOG59" s="316"/>
      <c r="GOH59" s="316"/>
      <c r="GOI59" s="316"/>
      <c r="GOJ59" s="316"/>
      <c r="GOK59" s="316"/>
      <c r="GOL59" s="316"/>
      <c r="GOM59" s="316"/>
      <c r="GON59" s="316"/>
      <c r="GOO59" s="316"/>
      <c r="GOP59" s="316"/>
      <c r="GOQ59" s="316"/>
      <c r="GOR59" s="316"/>
      <c r="GOS59" s="316"/>
      <c r="GOT59" s="316"/>
      <c r="GOU59" s="316"/>
      <c r="GOV59" s="316"/>
      <c r="GOW59" s="316"/>
      <c r="GOX59" s="316"/>
      <c r="GOY59" s="316"/>
      <c r="GOZ59" s="316"/>
      <c r="GPA59" s="316"/>
      <c r="GPB59" s="316"/>
      <c r="GPC59" s="316"/>
      <c r="GPD59" s="316"/>
      <c r="GPE59" s="316"/>
      <c r="GPF59" s="316"/>
      <c r="GPG59" s="316"/>
      <c r="GPH59" s="316"/>
      <c r="GPI59" s="316"/>
      <c r="GPJ59" s="316"/>
      <c r="GPK59" s="316"/>
      <c r="GPL59" s="316"/>
      <c r="GPM59" s="316"/>
      <c r="GPN59" s="316"/>
      <c r="GPO59" s="316"/>
      <c r="GPP59" s="316"/>
      <c r="GPQ59" s="316"/>
      <c r="GPR59" s="316"/>
      <c r="GPS59" s="316"/>
      <c r="GPT59" s="316"/>
      <c r="GPU59" s="316"/>
      <c r="GPV59" s="316"/>
      <c r="GPW59" s="316"/>
      <c r="GPX59" s="316"/>
      <c r="GPY59" s="316"/>
      <c r="GPZ59" s="316"/>
      <c r="GQA59" s="316"/>
      <c r="GQB59" s="316"/>
      <c r="GQC59" s="316"/>
      <c r="GQD59" s="316"/>
      <c r="GQE59" s="316"/>
      <c r="GQF59" s="316"/>
      <c r="GQG59" s="316"/>
      <c r="GQH59" s="316"/>
      <c r="GQI59" s="316"/>
      <c r="GQJ59" s="316"/>
      <c r="GQK59" s="316"/>
      <c r="GQL59" s="316"/>
      <c r="GQM59" s="316"/>
      <c r="GQN59" s="316"/>
      <c r="GQO59" s="316"/>
      <c r="GQP59" s="316"/>
      <c r="GQQ59" s="316"/>
      <c r="GQR59" s="316"/>
      <c r="GQS59" s="316"/>
      <c r="GQT59" s="316"/>
      <c r="GQU59" s="316"/>
      <c r="GQV59" s="316"/>
      <c r="GQW59" s="316"/>
      <c r="GQX59" s="316"/>
      <c r="GQY59" s="316"/>
      <c r="GQZ59" s="316"/>
      <c r="GRA59" s="316"/>
      <c r="GRB59" s="316"/>
      <c r="GRC59" s="316"/>
      <c r="GRD59" s="316"/>
      <c r="GRE59" s="316"/>
      <c r="GRF59" s="316"/>
      <c r="GRG59" s="316"/>
      <c r="GRH59" s="316"/>
      <c r="GRI59" s="316"/>
      <c r="GRJ59" s="316"/>
      <c r="GRK59" s="316"/>
      <c r="GRL59" s="316"/>
      <c r="GRM59" s="316"/>
      <c r="GRN59" s="316"/>
      <c r="GRO59" s="316"/>
      <c r="GRP59" s="316"/>
      <c r="GRQ59" s="316"/>
      <c r="GRR59" s="316"/>
      <c r="GRS59" s="316"/>
      <c r="GRT59" s="316"/>
      <c r="GRU59" s="316"/>
      <c r="GRV59" s="316"/>
      <c r="GRW59" s="316"/>
      <c r="GRX59" s="316"/>
      <c r="GRY59" s="316"/>
      <c r="GRZ59" s="316"/>
      <c r="GSA59" s="316"/>
      <c r="GSB59" s="316"/>
      <c r="GSC59" s="316"/>
      <c r="GSD59" s="316"/>
      <c r="GSE59" s="316"/>
      <c r="GSF59" s="316"/>
      <c r="GSG59" s="316"/>
      <c r="GSH59" s="316"/>
      <c r="GSI59" s="316"/>
      <c r="GSJ59" s="316"/>
      <c r="GSK59" s="316"/>
      <c r="GSL59" s="316"/>
      <c r="GSM59" s="316"/>
      <c r="GSN59" s="316"/>
      <c r="GSO59" s="316"/>
      <c r="GSP59" s="316"/>
      <c r="GSQ59" s="316"/>
      <c r="GSR59" s="316"/>
      <c r="GSS59" s="316"/>
      <c r="GST59" s="316"/>
      <c r="GSU59" s="316"/>
      <c r="GSV59" s="316"/>
      <c r="GSW59" s="316"/>
      <c r="GSX59" s="316"/>
      <c r="GSY59" s="316"/>
      <c r="GSZ59" s="316"/>
      <c r="GTA59" s="316"/>
      <c r="GTB59" s="316"/>
      <c r="GTC59" s="316"/>
      <c r="GTD59" s="316"/>
      <c r="GTE59" s="316"/>
      <c r="GTF59" s="316"/>
      <c r="GTG59" s="316"/>
      <c r="GTH59" s="316"/>
      <c r="GTI59" s="316"/>
      <c r="GTJ59" s="316"/>
      <c r="GTK59" s="316"/>
      <c r="GTL59" s="316"/>
      <c r="GTM59" s="316"/>
      <c r="GTN59" s="316"/>
      <c r="GTO59" s="316"/>
      <c r="GTP59" s="316"/>
      <c r="GTQ59" s="316"/>
      <c r="GTR59" s="316"/>
      <c r="GTS59" s="316"/>
      <c r="GTT59" s="316"/>
      <c r="GTU59" s="316"/>
      <c r="GTV59" s="316"/>
      <c r="GTW59" s="316"/>
      <c r="GTX59" s="316"/>
      <c r="GTY59" s="316"/>
      <c r="GTZ59" s="316"/>
      <c r="GUA59" s="316"/>
      <c r="GUB59" s="316"/>
      <c r="GUC59" s="316"/>
      <c r="GUD59" s="316"/>
      <c r="GUE59" s="316"/>
      <c r="GUF59" s="316"/>
      <c r="GUG59" s="316"/>
      <c r="GUH59" s="316"/>
      <c r="GUI59" s="316"/>
      <c r="GUJ59" s="316"/>
      <c r="GUK59" s="316"/>
      <c r="GUL59" s="316"/>
      <c r="GUM59" s="316"/>
      <c r="GUN59" s="316"/>
      <c r="GUO59" s="316"/>
      <c r="GUP59" s="316"/>
      <c r="GUQ59" s="316"/>
      <c r="GUR59" s="316"/>
      <c r="GUS59" s="316"/>
      <c r="GUT59" s="316"/>
      <c r="GUU59" s="316"/>
      <c r="GUV59" s="316"/>
      <c r="GUW59" s="316"/>
      <c r="GUX59" s="316"/>
      <c r="GUY59" s="316"/>
      <c r="GUZ59" s="316"/>
      <c r="GVA59" s="316"/>
      <c r="GVB59" s="316"/>
      <c r="GVC59" s="316"/>
      <c r="GVD59" s="316"/>
      <c r="GVE59" s="316"/>
      <c r="GVF59" s="316"/>
      <c r="GVG59" s="316"/>
      <c r="GVH59" s="316"/>
      <c r="GVI59" s="316"/>
      <c r="GVJ59" s="316"/>
      <c r="GVK59" s="316"/>
      <c r="GVL59" s="316"/>
      <c r="GVM59" s="316"/>
      <c r="GVN59" s="316"/>
      <c r="GVO59" s="316"/>
      <c r="GVP59" s="316"/>
      <c r="GVQ59" s="316"/>
      <c r="GVR59" s="316"/>
      <c r="GVS59" s="316"/>
      <c r="GVT59" s="316"/>
      <c r="GVU59" s="316"/>
      <c r="GVV59" s="316"/>
      <c r="GVW59" s="316"/>
      <c r="GVX59" s="316"/>
      <c r="GVY59" s="316"/>
      <c r="GVZ59" s="316"/>
      <c r="GWA59" s="316"/>
      <c r="GWB59" s="316"/>
      <c r="GWC59" s="316"/>
      <c r="GWD59" s="316"/>
      <c r="GWE59" s="316"/>
      <c r="GWF59" s="316"/>
      <c r="GWG59" s="316"/>
      <c r="GWH59" s="316"/>
      <c r="GWI59" s="316"/>
      <c r="GWJ59" s="316"/>
      <c r="GWK59" s="316"/>
      <c r="GWL59" s="316"/>
      <c r="GWM59" s="316"/>
      <c r="GWN59" s="316"/>
      <c r="GWO59" s="316"/>
      <c r="GWP59" s="316"/>
      <c r="GWQ59" s="316"/>
      <c r="GWR59" s="316"/>
      <c r="GWS59" s="316"/>
      <c r="GWT59" s="316"/>
      <c r="GWU59" s="316"/>
      <c r="GWV59" s="316"/>
      <c r="GWW59" s="316"/>
      <c r="GWX59" s="316"/>
      <c r="GWY59" s="316"/>
      <c r="GWZ59" s="316"/>
      <c r="GXA59" s="316"/>
      <c r="GXB59" s="316"/>
      <c r="GXC59" s="316"/>
      <c r="GXD59" s="316"/>
      <c r="GXE59" s="316"/>
      <c r="GXF59" s="316"/>
      <c r="GXG59" s="316"/>
      <c r="GXH59" s="316"/>
      <c r="GXI59" s="316"/>
      <c r="GXJ59" s="316"/>
      <c r="GXK59" s="316"/>
      <c r="GXL59" s="316"/>
      <c r="GXM59" s="316"/>
      <c r="GXN59" s="316"/>
      <c r="GXO59" s="316"/>
      <c r="GXP59" s="316"/>
      <c r="GXQ59" s="316"/>
      <c r="GXR59" s="316"/>
      <c r="GXS59" s="316"/>
      <c r="GXT59" s="316"/>
      <c r="GXU59" s="316"/>
      <c r="GXV59" s="316"/>
      <c r="GXW59" s="316"/>
      <c r="GXX59" s="316"/>
      <c r="GXY59" s="316"/>
      <c r="GXZ59" s="316"/>
      <c r="GYA59" s="316"/>
      <c r="GYB59" s="316"/>
      <c r="GYC59" s="316"/>
      <c r="GYD59" s="316"/>
      <c r="GYE59" s="316"/>
      <c r="GYF59" s="316"/>
      <c r="GYG59" s="316"/>
      <c r="GYH59" s="316"/>
      <c r="GYI59" s="316"/>
      <c r="GYJ59" s="316"/>
      <c r="GYK59" s="316"/>
      <c r="GYL59" s="316"/>
      <c r="GYM59" s="316"/>
      <c r="GYN59" s="316"/>
      <c r="GYO59" s="316"/>
      <c r="GYP59" s="316"/>
      <c r="GYQ59" s="316"/>
      <c r="GYR59" s="316"/>
      <c r="GYS59" s="316"/>
      <c r="GYT59" s="316"/>
      <c r="GYU59" s="316"/>
      <c r="GYV59" s="316"/>
      <c r="GYW59" s="316"/>
      <c r="GYX59" s="316"/>
      <c r="GYY59" s="316"/>
      <c r="GYZ59" s="316"/>
      <c r="GZA59" s="316"/>
      <c r="GZB59" s="316"/>
      <c r="GZC59" s="316"/>
      <c r="GZD59" s="316"/>
      <c r="GZE59" s="316"/>
      <c r="GZF59" s="316"/>
      <c r="GZG59" s="316"/>
      <c r="GZH59" s="316"/>
      <c r="GZI59" s="316"/>
      <c r="GZJ59" s="316"/>
      <c r="GZK59" s="316"/>
      <c r="GZL59" s="316"/>
      <c r="GZM59" s="316"/>
      <c r="GZN59" s="316"/>
      <c r="GZO59" s="316"/>
      <c r="GZP59" s="316"/>
      <c r="GZQ59" s="316"/>
      <c r="GZR59" s="316"/>
      <c r="GZS59" s="316"/>
      <c r="GZT59" s="316"/>
      <c r="GZU59" s="316"/>
      <c r="GZV59" s="316"/>
      <c r="GZW59" s="316"/>
      <c r="GZX59" s="316"/>
      <c r="GZY59" s="316"/>
      <c r="GZZ59" s="316"/>
      <c r="HAA59" s="316"/>
      <c r="HAB59" s="316"/>
      <c r="HAC59" s="316"/>
      <c r="HAD59" s="316"/>
      <c r="HAE59" s="316"/>
      <c r="HAF59" s="316"/>
      <c r="HAG59" s="316"/>
      <c r="HAH59" s="316"/>
      <c r="HAI59" s="316"/>
      <c r="HAJ59" s="316"/>
      <c r="HAK59" s="316"/>
      <c r="HAL59" s="316"/>
      <c r="HAM59" s="316"/>
      <c r="HAN59" s="316"/>
      <c r="HAO59" s="316"/>
      <c r="HAP59" s="316"/>
      <c r="HAQ59" s="316"/>
      <c r="HAR59" s="316"/>
      <c r="HAS59" s="316"/>
      <c r="HAT59" s="316"/>
      <c r="HAU59" s="316"/>
      <c r="HAV59" s="316"/>
      <c r="HAW59" s="316"/>
      <c r="HAX59" s="316"/>
      <c r="HAY59" s="316"/>
      <c r="HAZ59" s="316"/>
      <c r="HBA59" s="316"/>
      <c r="HBB59" s="316"/>
      <c r="HBC59" s="316"/>
      <c r="HBD59" s="316"/>
      <c r="HBE59" s="316"/>
      <c r="HBF59" s="316"/>
      <c r="HBG59" s="316"/>
      <c r="HBH59" s="316"/>
      <c r="HBI59" s="316"/>
      <c r="HBJ59" s="316"/>
      <c r="HBK59" s="316"/>
      <c r="HBL59" s="316"/>
      <c r="HBM59" s="316"/>
      <c r="HBN59" s="316"/>
      <c r="HBO59" s="316"/>
      <c r="HBP59" s="316"/>
      <c r="HBQ59" s="316"/>
      <c r="HBR59" s="316"/>
      <c r="HBS59" s="316"/>
      <c r="HBT59" s="316"/>
      <c r="HBU59" s="316"/>
      <c r="HBV59" s="316"/>
      <c r="HBW59" s="316"/>
      <c r="HBX59" s="316"/>
      <c r="HBY59" s="316"/>
      <c r="HBZ59" s="316"/>
      <c r="HCA59" s="316"/>
      <c r="HCB59" s="316"/>
      <c r="HCC59" s="316"/>
      <c r="HCD59" s="316"/>
      <c r="HCE59" s="316"/>
      <c r="HCF59" s="316"/>
      <c r="HCG59" s="316"/>
      <c r="HCH59" s="316"/>
      <c r="HCI59" s="316"/>
      <c r="HCJ59" s="316"/>
      <c r="HCK59" s="316"/>
      <c r="HCL59" s="316"/>
      <c r="HCM59" s="316"/>
      <c r="HCN59" s="316"/>
      <c r="HCO59" s="316"/>
      <c r="HCP59" s="316"/>
      <c r="HCQ59" s="316"/>
      <c r="HCR59" s="316"/>
      <c r="HCS59" s="316"/>
      <c r="HCT59" s="316"/>
      <c r="HCU59" s="316"/>
      <c r="HCV59" s="316"/>
      <c r="HCW59" s="316"/>
      <c r="HCX59" s="316"/>
      <c r="HCY59" s="316"/>
      <c r="HCZ59" s="316"/>
      <c r="HDA59" s="316"/>
      <c r="HDB59" s="316"/>
      <c r="HDC59" s="316"/>
      <c r="HDD59" s="316"/>
      <c r="HDE59" s="316"/>
      <c r="HDF59" s="316"/>
      <c r="HDG59" s="316"/>
      <c r="HDH59" s="316"/>
      <c r="HDI59" s="316"/>
      <c r="HDJ59" s="316"/>
      <c r="HDK59" s="316"/>
      <c r="HDL59" s="316"/>
      <c r="HDM59" s="316"/>
      <c r="HDN59" s="316"/>
      <c r="HDO59" s="316"/>
      <c r="HDP59" s="316"/>
      <c r="HDQ59" s="316"/>
      <c r="HDR59" s="316"/>
      <c r="HDS59" s="316"/>
      <c r="HDT59" s="316"/>
      <c r="HDU59" s="316"/>
      <c r="HDV59" s="316"/>
      <c r="HDW59" s="316"/>
      <c r="HDX59" s="316"/>
      <c r="HDY59" s="316"/>
      <c r="HDZ59" s="316"/>
      <c r="HEA59" s="316"/>
      <c r="HEB59" s="316"/>
      <c r="HEC59" s="316"/>
      <c r="HED59" s="316"/>
      <c r="HEE59" s="316"/>
      <c r="HEF59" s="316"/>
      <c r="HEG59" s="316"/>
      <c r="HEH59" s="316"/>
      <c r="HEI59" s="316"/>
      <c r="HEJ59" s="316"/>
      <c r="HEK59" s="316"/>
      <c r="HEL59" s="316"/>
      <c r="HEM59" s="316"/>
      <c r="HEN59" s="316"/>
      <c r="HEO59" s="316"/>
      <c r="HEP59" s="316"/>
      <c r="HEQ59" s="316"/>
      <c r="HER59" s="316"/>
      <c r="HES59" s="316"/>
      <c r="HET59" s="316"/>
      <c r="HEU59" s="316"/>
      <c r="HEV59" s="316"/>
      <c r="HEW59" s="316"/>
      <c r="HEX59" s="316"/>
      <c r="HEY59" s="316"/>
      <c r="HEZ59" s="316"/>
      <c r="HFA59" s="316"/>
      <c r="HFB59" s="316"/>
      <c r="HFC59" s="316"/>
      <c r="HFD59" s="316"/>
      <c r="HFE59" s="316"/>
      <c r="HFF59" s="316"/>
      <c r="HFG59" s="316"/>
      <c r="HFH59" s="316"/>
      <c r="HFI59" s="316"/>
      <c r="HFJ59" s="316"/>
      <c r="HFK59" s="316"/>
      <c r="HFL59" s="316"/>
      <c r="HFM59" s="316"/>
      <c r="HFN59" s="316"/>
      <c r="HFO59" s="316"/>
      <c r="HFP59" s="316"/>
      <c r="HFQ59" s="316"/>
      <c r="HFR59" s="316"/>
      <c r="HFS59" s="316"/>
      <c r="HFT59" s="316"/>
      <c r="HFU59" s="316"/>
      <c r="HFV59" s="316"/>
      <c r="HFW59" s="316"/>
      <c r="HFX59" s="316"/>
      <c r="HFY59" s="316"/>
      <c r="HFZ59" s="316"/>
      <c r="HGA59" s="316"/>
      <c r="HGB59" s="316"/>
      <c r="HGC59" s="316"/>
      <c r="HGD59" s="316"/>
      <c r="HGE59" s="316"/>
      <c r="HGF59" s="316"/>
      <c r="HGG59" s="316"/>
      <c r="HGH59" s="316"/>
      <c r="HGI59" s="316"/>
      <c r="HGJ59" s="316"/>
      <c r="HGK59" s="316"/>
      <c r="HGL59" s="316"/>
      <c r="HGM59" s="316"/>
      <c r="HGN59" s="316"/>
      <c r="HGO59" s="316"/>
      <c r="HGP59" s="316"/>
      <c r="HGQ59" s="316"/>
      <c r="HGR59" s="316"/>
      <c r="HGS59" s="316"/>
      <c r="HGT59" s="316"/>
      <c r="HGU59" s="316"/>
      <c r="HGV59" s="316"/>
      <c r="HGW59" s="316"/>
      <c r="HGX59" s="316"/>
      <c r="HGY59" s="316"/>
      <c r="HGZ59" s="316"/>
      <c r="HHA59" s="316"/>
      <c r="HHB59" s="316"/>
      <c r="HHC59" s="316"/>
      <c r="HHD59" s="316"/>
      <c r="HHE59" s="316"/>
      <c r="HHF59" s="316"/>
      <c r="HHG59" s="316"/>
      <c r="HHH59" s="316"/>
      <c r="HHI59" s="316"/>
      <c r="HHJ59" s="316"/>
      <c r="HHK59" s="316"/>
      <c r="HHL59" s="316"/>
      <c r="HHM59" s="316"/>
      <c r="HHN59" s="316"/>
      <c r="HHO59" s="316"/>
      <c r="HHP59" s="316"/>
      <c r="HHQ59" s="316"/>
      <c r="HHR59" s="316"/>
      <c r="HHS59" s="316"/>
      <c r="HHT59" s="316"/>
      <c r="HHU59" s="316"/>
      <c r="HHV59" s="316"/>
      <c r="HHW59" s="316"/>
      <c r="HHX59" s="316"/>
      <c r="HHY59" s="316"/>
      <c r="HHZ59" s="316"/>
      <c r="HIA59" s="316"/>
      <c r="HIB59" s="316"/>
      <c r="HIC59" s="316"/>
      <c r="HID59" s="316"/>
      <c r="HIE59" s="316"/>
      <c r="HIF59" s="316"/>
      <c r="HIG59" s="316"/>
      <c r="HIH59" s="316"/>
      <c r="HII59" s="316"/>
      <c r="HIJ59" s="316"/>
      <c r="HIK59" s="316"/>
      <c r="HIL59" s="316"/>
      <c r="HIM59" s="316"/>
      <c r="HIN59" s="316"/>
      <c r="HIO59" s="316"/>
      <c r="HIP59" s="316"/>
      <c r="HIQ59" s="316"/>
      <c r="HIR59" s="316"/>
      <c r="HIS59" s="316"/>
      <c r="HIT59" s="316"/>
      <c r="HIU59" s="316"/>
      <c r="HIV59" s="316"/>
      <c r="HIW59" s="316"/>
      <c r="HIX59" s="316"/>
      <c r="HIY59" s="316"/>
      <c r="HIZ59" s="316"/>
      <c r="HJA59" s="316"/>
      <c r="HJB59" s="316"/>
      <c r="HJC59" s="316"/>
      <c r="HJD59" s="316"/>
      <c r="HJE59" s="316"/>
      <c r="HJF59" s="316"/>
      <c r="HJG59" s="316"/>
      <c r="HJH59" s="316"/>
      <c r="HJI59" s="316"/>
      <c r="HJJ59" s="316"/>
      <c r="HJK59" s="316"/>
      <c r="HJL59" s="316"/>
      <c r="HJM59" s="316"/>
      <c r="HJN59" s="316"/>
      <c r="HJO59" s="316"/>
      <c r="HJP59" s="316"/>
      <c r="HJQ59" s="316"/>
      <c r="HJR59" s="316"/>
      <c r="HJS59" s="316"/>
      <c r="HJT59" s="316"/>
      <c r="HJU59" s="316"/>
      <c r="HJV59" s="316"/>
      <c r="HJW59" s="316"/>
      <c r="HJX59" s="316"/>
      <c r="HJY59" s="316"/>
      <c r="HJZ59" s="316"/>
      <c r="HKA59" s="316"/>
      <c r="HKB59" s="316"/>
      <c r="HKC59" s="316"/>
      <c r="HKD59" s="316"/>
      <c r="HKE59" s="316"/>
      <c r="HKF59" s="316"/>
      <c r="HKG59" s="316"/>
      <c r="HKH59" s="316"/>
      <c r="HKI59" s="316"/>
      <c r="HKJ59" s="316"/>
      <c r="HKK59" s="316"/>
      <c r="HKL59" s="316"/>
      <c r="HKM59" s="316"/>
      <c r="HKN59" s="316"/>
      <c r="HKO59" s="316"/>
      <c r="HKP59" s="316"/>
      <c r="HKQ59" s="316"/>
      <c r="HKR59" s="316"/>
      <c r="HKS59" s="316"/>
      <c r="HKT59" s="316"/>
      <c r="HKU59" s="316"/>
      <c r="HKV59" s="316"/>
      <c r="HKW59" s="316"/>
      <c r="HKX59" s="316"/>
      <c r="HKY59" s="316"/>
      <c r="HKZ59" s="316"/>
      <c r="HLA59" s="316"/>
      <c r="HLB59" s="316"/>
      <c r="HLC59" s="316"/>
      <c r="HLD59" s="316"/>
      <c r="HLE59" s="316"/>
      <c r="HLF59" s="316"/>
      <c r="HLG59" s="316"/>
      <c r="HLH59" s="316"/>
      <c r="HLI59" s="316"/>
      <c r="HLJ59" s="316"/>
      <c r="HLK59" s="316"/>
      <c r="HLL59" s="316"/>
      <c r="HLM59" s="316"/>
      <c r="HLN59" s="316"/>
      <c r="HLO59" s="316"/>
      <c r="HLP59" s="316"/>
      <c r="HLQ59" s="316"/>
      <c r="HLR59" s="316"/>
      <c r="HLS59" s="316"/>
      <c r="HLT59" s="316"/>
      <c r="HLU59" s="316"/>
      <c r="HLV59" s="316"/>
      <c r="HLW59" s="316"/>
      <c r="HLX59" s="316"/>
      <c r="HLY59" s="316"/>
      <c r="HLZ59" s="316"/>
      <c r="HMA59" s="316"/>
      <c r="HMB59" s="316"/>
      <c r="HMC59" s="316"/>
      <c r="HMD59" s="316"/>
      <c r="HME59" s="316"/>
      <c r="HMF59" s="316"/>
      <c r="HMG59" s="316"/>
      <c r="HMH59" s="316"/>
      <c r="HMI59" s="316"/>
      <c r="HMJ59" s="316"/>
      <c r="HMK59" s="316"/>
      <c r="HML59" s="316"/>
      <c r="HMM59" s="316"/>
      <c r="HMN59" s="316"/>
      <c r="HMO59" s="316"/>
      <c r="HMP59" s="316"/>
      <c r="HMQ59" s="316"/>
      <c r="HMR59" s="316"/>
      <c r="HMS59" s="316"/>
      <c r="HMT59" s="316"/>
      <c r="HMU59" s="316"/>
      <c r="HMV59" s="316"/>
      <c r="HMW59" s="316"/>
      <c r="HMX59" s="316"/>
      <c r="HMY59" s="316"/>
      <c r="HMZ59" s="316"/>
      <c r="HNA59" s="316"/>
      <c r="HNB59" s="316"/>
      <c r="HNC59" s="316"/>
      <c r="HND59" s="316"/>
      <c r="HNE59" s="316"/>
      <c r="HNF59" s="316"/>
      <c r="HNG59" s="316"/>
      <c r="HNH59" s="316"/>
      <c r="HNI59" s="316"/>
      <c r="HNJ59" s="316"/>
      <c r="HNK59" s="316"/>
      <c r="HNL59" s="316"/>
      <c r="HNM59" s="316"/>
      <c r="HNN59" s="316"/>
      <c r="HNO59" s="316"/>
      <c r="HNP59" s="316"/>
      <c r="HNQ59" s="316"/>
      <c r="HNR59" s="316"/>
      <c r="HNS59" s="316"/>
      <c r="HNT59" s="316"/>
      <c r="HNU59" s="316"/>
      <c r="HNV59" s="316"/>
      <c r="HNW59" s="316"/>
      <c r="HNX59" s="316"/>
      <c r="HNY59" s="316"/>
      <c r="HNZ59" s="316"/>
      <c r="HOA59" s="316"/>
      <c r="HOB59" s="316"/>
      <c r="HOC59" s="316"/>
      <c r="HOD59" s="316"/>
      <c r="HOE59" s="316"/>
      <c r="HOF59" s="316"/>
      <c r="HOG59" s="316"/>
      <c r="HOH59" s="316"/>
      <c r="HOI59" s="316"/>
      <c r="HOJ59" s="316"/>
      <c r="HOK59" s="316"/>
      <c r="HOL59" s="316"/>
      <c r="HOM59" s="316"/>
      <c r="HON59" s="316"/>
      <c r="HOO59" s="316"/>
      <c r="HOP59" s="316"/>
      <c r="HOQ59" s="316"/>
      <c r="HOR59" s="316"/>
      <c r="HOS59" s="316"/>
      <c r="HOT59" s="316"/>
      <c r="HOU59" s="316"/>
      <c r="HOV59" s="316"/>
      <c r="HOW59" s="316"/>
      <c r="HOX59" s="316"/>
      <c r="HOY59" s="316"/>
      <c r="HOZ59" s="316"/>
      <c r="HPA59" s="316"/>
      <c r="HPB59" s="316"/>
      <c r="HPC59" s="316"/>
      <c r="HPD59" s="316"/>
      <c r="HPE59" s="316"/>
      <c r="HPF59" s="316"/>
      <c r="HPG59" s="316"/>
      <c r="HPH59" s="316"/>
      <c r="HPI59" s="316"/>
      <c r="HPJ59" s="316"/>
      <c r="HPK59" s="316"/>
      <c r="HPL59" s="316"/>
      <c r="HPM59" s="316"/>
      <c r="HPN59" s="316"/>
      <c r="HPO59" s="316"/>
      <c r="HPP59" s="316"/>
      <c r="HPQ59" s="316"/>
      <c r="HPR59" s="316"/>
      <c r="HPS59" s="316"/>
      <c r="HPT59" s="316"/>
      <c r="HPU59" s="316"/>
      <c r="HPV59" s="316"/>
      <c r="HPW59" s="316"/>
      <c r="HPX59" s="316"/>
      <c r="HPY59" s="316"/>
      <c r="HPZ59" s="316"/>
      <c r="HQA59" s="316"/>
      <c r="HQB59" s="316"/>
      <c r="HQC59" s="316"/>
      <c r="HQD59" s="316"/>
      <c r="HQE59" s="316"/>
      <c r="HQF59" s="316"/>
      <c r="HQG59" s="316"/>
      <c r="HQH59" s="316"/>
      <c r="HQI59" s="316"/>
      <c r="HQJ59" s="316"/>
      <c r="HQK59" s="316"/>
      <c r="HQL59" s="316"/>
      <c r="HQM59" s="316"/>
      <c r="HQN59" s="316"/>
      <c r="HQO59" s="316"/>
      <c r="HQP59" s="316"/>
      <c r="HQQ59" s="316"/>
      <c r="HQR59" s="316"/>
      <c r="HQS59" s="316"/>
      <c r="HQT59" s="316"/>
      <c r="HQU59" s="316"/>
      <c r="HQV59" s="316"/>
      <c r="HQW59" s="316"/>
      <c r="HQX59" s="316"/>
      <c r="HQY59" s="316"/>
      <c r="HQZ59" s="316"/>
      <c r="HRA59" s="316"/>
      <c r="HRB59" s="316"/>
      <c r="HRC59" s="316"/>
      <c r="HRD59" s="316"/>
      <c r="HRE59" s="316"/>
      <c r="HRF59" s="316"/>
      <c r="HRG59" s="316"/>
      <c r="HRH59" s="316"/>
      <c r="HRI59" s="316"/>
      <c r="HRJ59" s="316"/>
      <c r="HRK59" s="316"/>
      <c r="HRL59" s="316"/>
      <c r="HRM59" s="316"/>
      <c r="HRN59" s="316"/>
      <c r="HRO59" s="316"/>
      <c r="HRP59" s="316"/>
      <c r="HRQ59" s="316"/>
      <c r="HRR59" s="316"/>
      <c r="HRS59" s="316"/>
      <c r="HRT59" s="316"/>
      <c r="HRU59" s="316"/>
      <c r="HRV59" s="316"/>
      <c r="HRW59" s="316"/>
      <c r="HRX59" s="316"/>
      <c r="HRY59" s="316"/>
      <c r="HRZ59" s="316"/>
      <c r="HSA59" s="316"/>
      <c r="HSB59" s="316"/>
      <c r="HSC59" s="316"/>
      <c r="HSD59" s="316"/>
      <c r="HSE59" s="316"/>
      <c r="HSF59" s="316"/>
      <c r="HSG59" s="316"/>
      <c r="HSH59" s="316"/>
      <c r="HSI59" s="316"/>
      <c r="HSJ59" s="316"/>
      <c r="HSK59" s="316"/>
      <c r="HSL59" s="316"/>
      <c r="HSM59" s="316"/>
      <c r="HSN59" s="316"/>
      <c r="HSO59" s="316"/>
      <c r="HSP59" s="316"/>
      <c r="HSQ59" s="316"/>
      <c r="HSR59" s="316"/>
      <c r="HSS59" s="316"/>
      <c r="HST59" s="316"/>
      <c r="HSU59" s="316"/>
      <c r="HSV59" s="316"/>
      <c r="HSW59" s="316"/>
      <c r="HSX59" s="316"/>
      <c r="HSY59" s="316"/>
      <c r="HSZ59" s="316"/>
      <c r="HTA59" s="316"/>
      <c r="HTB59" s="316"/>
      <c r="HTC59" s="316"/>
      <c r="HTD59" s="316"/>
      <c r="HTE59" s="316"/>
      <c r="HTF59" s="316"/>
      <c r="HTG59" s="316"/>
      <c r="HTH59" s="316"/>
      <c r="HTI59" s="316"/>
      <c r="HTJ59" s="316"/>
      <c r="HTK59" s="316"/>
      <c r="HTL59" s="316"/>
      <c r="HTM59" s="316"/>
      <c r="HTN59" s="316"/>
      <c r="HTO59" s="316"/>
      <c r="HTP59" s="316"/>
      <c r="HTQ59" s="316"/>
      <c r="HTR59" s="316"/>
      <c r="HTS59" s="316"/>
      <c r="HTT59" s="316"/>
      <c r="HTU59" s="316"/>
      <c r="HTV59" s="316"/>
      <c r="HTW59" s="316"/>
      <c r="HTX59" s="316"/>
      <c r="HTY59" s="316"/>
      <c r="HTZ59" s="316"/>
      <c r="HUA59" s="316"/>
      <c r="HUB59" s="316"/>
      <c r="HUC59" s="316"/>
      <c r="HUD59" s="316"/>
      <c r="HUE59" s="316"/>
      <c r="HUF59" s="316"/>
      <c r="HUG59" s="316"/>
      <c r="HUH59" s="316"/>
      <c r="HUI59" s="316"/>
      <c r="HUJ59" s="316"/>
      <c r="HUK59" s="316"/>
      <c r="HUL59" s="316"/>
      <c r="HUM59" s="316"/>
      <c r="HUN59" s="316"/>
      <c r="HUO59" s="316"/>
      <c r="HUP59" s="316"/>
      <c r="HUQ59" s="316"/>
      <c r="HUR59" s="316"/>
      <c r="HUS59" s="316"/>
      <c r="HUT59" s="316"/>
      <c r="HUU59" s="316"/>
      <c r="HUV59" s="316"/>
      <c r="HUW59" s="316"/>
      <c r="HUX59" s="316"/>
      <c r="HUY59" s="316"/>
      <c r="HUZ59" s="316"/>
      <c r="HVA59" s="316"/>
      <c r="HVB59" s="316"/>
      <c r="HVC59" s="316"/>
      <c r="HVD59" s="316"/>
      <c r="HVE59" s="316"/>
      <c r="HVF59" s="316"/>
      <c r="HVG59" s="316"/>
      <c r="HVH59" s="316"/>
      <c r="HVI59" s="316"/>
      <c r="HVJ59" s="316"/>
      <c r="HVK59" s="316"/>
      <c r="HVL59" s="316"/>
      <c r="HVM59" s="316"/>
      <c r="HVN59" s="316"/>
      <c r="HVO59" s="316"/>
      <c r="HVP59" s="316"/>
      <c r="HVQ59" s="316"/>
      <c r="HVR59" s="316"/>
      <c r="HVS59" s="316"/>
      <c r="HVT59" s="316"/>
      <c r="HVU59" s="316"/>
      <c r="HVV59" s="316"/>
      <c r="HVW59" s="316"/>
      <c r="HVX59" s="316"/>
      <c r="HVY59" s="316"/>
      <c r="HVZ59" s="316"/>
      <c r="HWA59" s="316"/>
      <c r="HWB59" s="316"/>
      <c r="HWC59" s="316"/>
      <c r="HWD59" s="316"/>
      <c r="HWE59" s="316"/>
      <c r="HWF59" s="316"/>
      <c r="HWG59" s="316"/>
      <c r="HWH59" s="316"/>
      <c r="HWI59" s="316"/>
      <c r="HWJ59" s="316"/>
      <c r="HWK59" s="316"/>
      <c r="HWL59" s="316"/>
      <c r="HWM59" s="316"/>
      <c r="HWN59" s="316"/>
      <c r="HWO59" s="316"/>
      <c r="HWP59" s="316"/>
      <c r="HWQ59" s="316"/>
      <c r="HWR59" s="316"/>
      <c r="HWS59" s="316"/>
      <c r="HWT59" s="316"/>
      <c r="HWU59" s="316"/>
      <c r="HWV59" s="316"/>
      <c r="HWW59" s="316"/>
      <c r="HWX59" s="316"/>
      <c r="HWY59" s="316"/>
      <c r="HWZ59" s="316"/>
      <c r="HXA59" s="316"/>
      <c r="HXB59" s="316"/>
      <c r="HXC59" s="316"/>
      <c r="HXD59" s="316"/>
      <c r="HXE59" s="316"/>
      <c r="HXF59" s="316"/>
      <c r="HXG59" s="316"/>
      <c r="HXH59" s="316"/>
      <c r="HXI59" s="316"/>
      <c r="HXJ59" s="316"/>
      <c r="HXK59" s="316"/>
      <c r="HXL59" s="316"/>
      <c r="HXM59" s="316"/>
      <c r="HXN59" s="316"/>
      <c r="HXO59" s="316"/>
      <c r="HXP59" s="316"/>
      <c r="HXQ59" s="316"/>
      <c r="HXR59" s="316"/>
      <c r="HXS59" s="316"/>
      <c r="HXT59" s="316"/>
      <c r="HXU59" s="316"/>
      <c r="HXV59" s="316"/>
      <c r="HXW59" s="316"/>
      <c r="HXX59" s="316"/>
      <c r="HXY59" s="316"/>
      <c r="HXZ59" s="316"/>
      <c r="HYA59" s="316"/>
      <c r="HYB59" s="316"/>
      <c r="HYC59" s="316"/>
      <c r="HYD59" s="316"/>
      <c r="HYE59" s="316"/>
      <c r="HYF59" s="316"/>
      <c r="HYG59" s="316"/>
      <c r="HYH59" s="316"/>
      <c r="HYI59" s="316"/>
      <c r="HYJ59" s="316"/>
      <c r="HYK59" s="316"/>
      <c r="HYL59" s="316"/>
      <c r="HYM59" s="316"/>
      <c r="HYN59" s="316"/>
      <c r="HYO59" s="316"/>
      <c r="HYP59" s="316"/>
      <c r="HYQ59" s="316"/>
      <c r="HYR59" s="316"/>
      <c r="HYS59" s="316"/>
      <c r="HYT59" s="316"/>
      <c r="HYU59" s="316"/>
      <c r="HYV59" s="316"/>
      <c r="HYW59" s="316"/>
      <c r="HYX59" s="316"/>
      <c r="HYY59" s="316"/>
      <c r="HYZ59" s="316"/>
      <c r="HZA59" s="316"/>
      <c r="HZB59" s="316"/>
      <c r="HZC59" s="316"/>
      <c r="HZD59" s="316"/>
      <c r="HZE59" s="316"/>
      <c r="HZF59" s="316"/>
      <c r="HZG59" s="316"/>
      <c r="HZH59" s="316"/>
      <c r="HZI59" s="316"/>
      <c r="HZJ59" s="316"/>
      <c r="HZK59" s="316"/>
      <c r="HZL59" s="316"/>
      <c r="HZM59" s="316"/>
      <c r="HZN59" s="316"/>
      <c r="HZO59" s="316"/>
      <c r="HZP59" s="316"/>
      <c r="HZQ59" s="316"/>
      <c r="HZR59" s="316"/>
      <c r="HZS59" s="316"/>
      <c r="HZT59" s="316"/>
      <c r="HZU59" s="316"/>
      <c r="HZV59" s="316"/>
      <c r="HZW59" s="316"/>
      <c r="HZX59" s="316"/>
      <c r="HZY59" s="316"/>
      <c r="HZZ59" s="316"/>
      <c r="IAA59" s="316"/>
      <c r="IAB59" s="316"/>
      <c r="IAC59" s="316"/>
      <c r="IAD59" s="316"/>
      <c r="IAE59" s="316"/>
      <c r="IAF59" s="316"/>
      <c r="IAG59" s="316"/>
      <c r="IAH59" s="316"/>
      <c r="IAI59" s="316"/>
      <c r="IAJ59" s="316"/>
      <c r="IAK59" s="316"/>
      <c r="IAL59" s="316"/>
      <c r="IAM59" s="316"/>
      <c r="IAN59" s="316"/>
      <c r="IAO59" s="316"/>
      <c r="IAP59" s="316"/>
      <c r="IAQ59" s="316"/>
      <c r="IAR59" s="316"/>
      <c r="IAS59" s="316"/>
      <c r="IAT59" s="316"/>
      <c r="IAU59" s="316"/>
      <c r="IAV59" s="316"/>
      <c r="IAW59" s="316"/>
      <c r="IAX59" s="316"/>
      <c r="IAY59" s="316"/>
      <c r="IAZ59" s="316"/>
      <c r="IBA59" s="316"/>
      <c r="IBB59" s="316"/>
      <c r="IBC59" s="316"/>
      <c r="IBD59" s="316"/>
      <c r="IBE59" s="316"/>
      <c r="IBF59" s="316"/>
      <c r="IBG59" s="316"/>
      <c r="IBH59" s="316"/>
      <c r="IBI59" s="316"/>
      <c r="IBJ59" s="316"/>
      <c r="IBK59" s="316"/>
      <c r="IBL59" s="316"/>
      <c r="IBM59" s="316"/>
      <c r="IBN59" s="316"/>
      <c r="IBO59" s="316"/>
      <c r="IBP59" s="316"/>
      <c r="IBQ59" s="316"/>
      <c r="IBR59" s="316"/>
      <c r="IBS59" s="316"/>
      <c r="IBT59" s="316"/>
      <c r="IBU59" s="316"/>
      <c r="IBV59" s="316"/>
      <c r="IBW59" s="316"/>
      <c r="IBX59" s="316"/>
      <c r="IBY59" s="316"/>
      <c r="IBZ59" s="316"/>
      <c r="ICA59" s="316"/>
      <c r="ICB59" s="316"/>
      <c r="ICC59" s="316"/>
      <c r="ICD59" s="316"/>
      <c r="ICE59" s="316"/>
      <c r="ICF59" s="316"/>
      <c r="ICG59" s="316"/>
      <c r="ICH59" s="316"/>
      <c r="ICI59" s="316"/>
      <c r="ICJ59" s="316"/>
      <c r="ICK59" s="316"/>
      <c r="ICL59" s="316"/>
      <c r="ICM59" s="316"/>
      <c r="ICN59" s="316"/>
      <c r="ICO59" s="316"/>
      <c r="ICP59" s="316"/>
      <c r="ICQ59" s="316"/>
      <c r="ICR59" s="316"/>
      <c r="ICS59" s="316"/>
      <c r="ICT59" s="316"/>
      <c r="ICU59" s="316"/>
      <c r="ICV59" s="316"/>
      <c r="ICW59" s="316"/>
      <c r="ICX59" s="316"/>
      <c r="ICY59" s="316"/>
      <c r="ICZ59" s="316"/>
      <c r="IDA59" s="316"/>
      <c r="IDB59" s="316"/>
      <c r="IDC59" s="316"/>
      <c r="IDD59" s="316"/>
      <c r="IDE59" s="316"/>
      <c r="IDF59" s="316"/>
      <c r="IDG59" s="316"/>
      <c r="IDH59" s="316"/>
      <c r="IDI59" s="316"/>
      <c r="IDJ59" s="316"/>
      <c r="IDK59" s="316"/>
      <c r="IDL59" s="316"/>
      <c r="IDM59" s="316"/>
      <c r="IDN59" s="316"/>
      <c r="IDO59" s="316"/>
      <c r="IDP59" s="316"/>
      <c r="IDQ59" s="316"/>
      <c r="IDR59" s="316"/>
      <c r="IDS59" s="316"/>
      <c r="IDT59" s="316"/>
      <c r="IDU59" s="316"/>
      <c r="IDV59" s="316"/>
      <c r="IDW59" s="316"/>
      <c r="IDX59" s="316"/>
      <c r="IDY59" s="316"/>
      <c r="IDZ59" s="316"/>
      <c r="IEA59" s="316"/>
      <c r="IEB59" s="316"/>
      <c r="IEC59" s="316"/>
      <c r="IED59" s="316"/>
      <c r="IEE59" s="316"/>
      <c r="IEF59" s="316"/>
      <c r="IEG59" s="316"/>
      <c r="IEH59" s="316"/>
      <c r="IEI59" s="316"/>
      <c r="IEJ59" s="316"/>
      <c r="IEK59" s="316"/>
      <c r="IEL59" s="316"/>
      <c r="IEM59" s="316"/>
      <c r="IEN59" s="316"/>
      <c r="IEO59" s="316"/>
      <c r="IEP59" s="316"/>
      <c r="IEQ59" s="316"/>
      <c r="IER59" s="316"/>
      <c r="IES59" s="316"/>
      <c r="IET59" s="316"/>
      <c r="IEU59" s="316"/>
      <c r="IEV59" s="316"/>
      <c r="IEW59" s="316"/>
      <c r="IEX59" s="316"/>
      <c r="IEY59" s="316"/>
      <c r="IEZ59" s="316"/>
      <c r="IFA59" s="316"/>
      <c r="IFB59" s="316"/>
      <c r="IFC59" s="316"/>
      <c r="IFD59" s="316"/>
      <c r="IFE59" s="316"/>
      <c r="IFF59" s="316"/>
      <c r="IFG59" s="316"/>
      <c r="IFH59" s="316"/>
      <c r="IFI59" s="316"/>
      <c r="IFJ59" s="316"/>
      <c r="IFK59" s="316"/>
      <c r="IFL59" s="316"/>
      <c r="IFM59" s="316"/>
      <c r="IFN59" s="316"/>
      <c r="IFO59" s="316"/>
      <c r="IFP59" s="316"/>
      <c r="IFQ59" s="316"/>
      <c r="IFR59" s="316"/>
      <c r="IFS59" s="316"/>
      <c r="IFT59" s="316"/>
      <c r="IFU59" s="316"/>
      <c r="IFV59" s="316"/>
      <c r="IFW59" s="316"/>
      <c r="IFX59" s="316"/>
      <c r="IFY59" s="316"/>
      <c r="IFZ59" s="316"/>
      <c r="IGA59" s="316"/>
      <c r="IGB59" s="316"/>
      <c r="IGC59" s="316"/>
      <c r="IGD59" s="316"/>
      <c r="IGE59" s="316"/>
      <c r="IGF59" s="316"/>
      <c r="IGG59" s="316"/>
      <c r="IGH59" s="316"/>
      <c r="IGI59" s="316"/>
      <c r="IGJ59" s="316"/>
      <c r="IGK59" s="316"/>
      <c r="IGL59" s="316"/>
      <c r="IGM59" s="316"/>
      <c r="IGN59" s="316"/>
      <c r="IGO59" s="316"/>
      <c r="IGP59" s="316"/>
      <c r="IGQ59" s="316"/>
      <c r="IGR59" s="316"/>
      <c r="IGS59" s="316"/>
      <c r="IGT59" s="316"/>
      <c r="IGU59" s="316"/>
      <c r="IGV59" s="316"/>
      <c r="IGW59" s="316"/>
      <c r="IGX59" s="316"/>
      <c r="IGY59" s="316"/>
      <c r="IGZ59" s="316"/>
      <c r="IHA59" s="316"/>
      <c r="IHB59" s="316"/>
      <c r="IHC59" s="316"/>
      <c r="IHD59" s="316"/>
      <c r="IHE59" s="316"/>
      <c r="IHF59" s="316"/>
      <c r="IHG59" s="316"/>
      <c r="IHH59" s="316"/>
      <c r="IHI59" s="316"/>
      <c r="IHJ59" s="316"/>
      <c r="IHK59" s="316"/>
      <c r="IHL59" s="316"/>
      <c r="IHM59" s="316"/>
      <c r="IHN59" s="316"/>
      <c r="IHO59" s="316"/>
      <c r="IHP59" s="316"/>
      <c r="IHQ59" s="316"/>
      <c r="IHR59" s="316"/>
      <c r="IHS59" s="316"/>
      <c r="IHT59" s="316"/>
      <c r="IHU59" s="316"/>
      <c r="IHV59" s="316"/>
      <c r="IHW59" s="316"/>
      <c r="IHX59" s="316"/>
      <c r="IHY59" s="316"/>
      <c r="IHZ59" s="316"/>
      <c r="IIA59" s="316"/>
      <c r="IIB59" s="316"/>
      <c r="IIC59" s="316"/>
      <c r="IID59" s="316"/>
      <c r="IIE59" s="316"/>
      <c r="IIF59" s="316"/>
      <c r="IIG59" s="316"/>
      <c r="IIH59" s="316"/>
      <c r="III59" s="316"/>
      <c r="IIJ59" s="316"/>
      <c r="IIK59" s="316"/>
      <c r="IIL59" s="316"/>
      <c r="IIM59" s="316"/>
      <c r="IIN59" s="316"/>
      <c r="IIO59" s="316"/>
      <c r="IIP59" s="316"/>
      <c r="IIQ59" s="316"/>
      <c r="IIR59" s="316"/>
      <c r="IIS59" s="316"/>
      <c r="IIT59" s="316"/>
      <c r="IIU59" s="316"/>
      <c r="IIV59" s="316"/>
      <c r="IIW59" s="316"/>
      <c r="IIX59" s="316"/>
      <c r="IIY59" s="316"/>
      <c r="IIZ59" s="316"/>
      <c r="IJA59" s="316"/>
      <c r="IJB59" s="316"/>
      <c r="IJC59" s="316"/>
      <c r="IJD59" s="316"/>
      <c r="IJE59" s="316"/>
      <c r="IJF59" s="316"/>
      <c r="IJG59" s="316"/>
      <c r="IJH59" s="316"/>
      <c r="IJI59" s="316"/>
      <c r="IJJ59" s="316"/>
      <c r="IJK59" s="316"/>
      <c r="IJL59" s="316"/>
      <c r="IJM59" s="316"/>
      <c r="IJN59" s="316"/>
      <c r="IJO59" s="316"/>
      <c r="IJP59" s="316"/>
      <c r="IJQ59" s="316"/>
      <c r="IJR59" s="316"/>
      <c r="IJS59" s="316"/>
      <c r="IJT59" s="316"/>
      <c r="IJU59" s="316"/>
      <c r="IJV59" s="316"/>
      <c r="IJW59" s="316"/>
      <c r="IJX59" s="316"/>
      <c r="IJY59" s="316"/>
      <c r="IJZ59" s="316"/>
      <c r="IKA59" s="316"/>
      <c r="IKB59" s="316"/>
      <c r="IKC59" s="316"/>
      <c r="IKD59" s="316"/>
      <c r="IKE59" s="316"/>
      <c r="IKF59" s="316"/>
      <c r="IKG59" s="316"/>
      <c r="IKH59" s="316"/>
      <c r="IKI59" s="316"/>
      <c r="IKJ59" s="316"/>
      <c r="IKK59" s="316"/>
      <c r="IKL59" s="316"/>
      <c r="IKM59" s="316"/>
      <c r="IKN59" s="316"/>
      <c r="IKO59" s="316"/>
      <c r="IKP59" s="316"/>
      <c r="IKQ59" s="316"/>
      <c r="IKR59" s="316"/>
      <c r="IKS59" s="316"/>
      <c r="IKT59" s="316"/>
      <c r="IKU59" s="316"/>
      <c r="IKV59" s="316"/>
      <c r="IKW59" s="316"/>
      <c r="IKX59" s="316"/>
      <c r="IKY59" s="316"/>
      <c r="IKZ59" s="316"/>
      <c r="ILA59" s="316"/>
      <c r="ILB59" s="316"/>
      <c r="ILC59" s="316"/>
      <c r="ILD59" s="316"/>
      <c r="ILE59" s="316"/>
      <c r="ILF59" s="316"/>
      <c r="ILG59" s="316"/>
      <c r="ILH59" s="316"/>
      <c r="ILI59" s="316"/>
      <c r="ILJ59" s="316"/>
      <c r="ILK59" s="316"/>
      <c r="ILL59" s="316"/>
      <c r="ILM59" s="316"/>
      <c r="ILN59" s="316"/>
      <c r="ILO59" s="316"/>
      <c r="ILP59" s="316"/>
      <c r="ILQ59" s="316"/>
      <c r="ILR59" s="316"/>
      <c r="ILS59" s="316"/>
      <c r="ILT59" s="316"/>
      <c r="ILU59" s="316"/>
      <c r="ILV59" s="316"/>
      <c r="ILW59" s="316"/>
      <c r="ILX59" s="316"/>
      <c r="ILY59" s="316"/>
      <c r="ILZ59" s="316"/>
      <c r="IMA59" s="316"/>
      <c r="IMB59" s="316"/>
      <c r="IMC59" s="316"/>
      <c r="IMD59" s="316"/>
      <c r="IME59" s="316"/>
      <c r="IMF59" s="316"/>
      <c r="IMG59" s="316"/>
      <c r="IMH59" s="316"/>
      <c r="IMI59" s="316"/>
      <c r="IMJ59" s="316"/>
      <c r="IMK59" s="316"/>
      <c r="IML59" s="316"/>
      <c r="IMM59" s="316"/>
      <c r="IMN59" s="316"/>
      <c r="IMO59" s="316"/>
      <c r="IMP59" s="316"/>
      <c r="IMQ59" s="316"/>
      <c r="IMR59" s="316"/>
      <c r="IMS59" s="316"/>
      <c r="IMT59" s="316"/>
      <c r="IMU59" s="316"/>
      <c r="IMV59" s="316"/>
      <c r="IMW59" s="316"/>
      <c r="IMX59" s="316"/>
      <c r="IMY59" s="316"/>
      <c r="IMZ59" s="316"/>
      <c r="INA59" s="316"/>
      <c r="INB59" s="316"/>
      <c r="INC59" s="316"/>
      <c r="IND59" s="316"/>
      <c r="INE59" s="316"/>
      <c r="INF59" s="316"/>
      <c r="ING59" s="316"/>
      <c r="INH59" s="316"/>
      <c r="INI59" s="316"/>
      <c r="INJ59" s="316"/>
      <c r="INK59" s="316"/>
      <c r="INL59" s="316"/>
      <c r="INM59" s="316"/>
      <c r="INN59" s="316"/>
      <c r="INO59" s="316"/>
      <c r="INP59" s="316"/>
      <c r="INQ59" s="316"/>
      <c r="INR59" s="316"/>
      <c r="INS59" s="316"/>
      <c r="INT59" s="316"/>
      <c r="INU59" s="316"/>
      <c r="INV59" s="316"/>
      <c r="INW59" s="316"/>
      <c r="INX59" s="316"/>
      <c r="INY59" s="316"/>
      <c r="INZ59" s="316"/>
      <c r="IOA59" s="316"/>
      <c r="IOB59" s="316"/>
      <c r="IOC59" s="316"/>
      <c r="IOD59" s="316"/>
      <c r="IOE59" s="316"/>
      <c r="IOF59" s="316"/>
      <c r="IOG59" s="316"/>
      <c r="IOH59" s="316"/>
      <c r="IOI59" s="316"/>
      <c r="IOJ59" s="316"/>
      <c r="IOK59" s="316"/>
      <c r="IOL59" s="316"/>
      <c r="IOM59" s="316"/>
      <c r="ION59" s="316"/>
      <c r="IOO59" s="316"/>
      <c r="IOP59" s="316"/>
      <c r="IOQ59" s="316"/>
      <c r="IOR59" s="316"/>
      <c r="IOS59" s="316"/>
      <c r="IOT59" s="316"/>
      <c r="IOU59" s="316"/>
      <c r="IOV59" s="316"/>
      <c r="IOW59" s="316"/>
      <c r="IOX59" s="316"/>
      <c r="IOY59" s="316"/>
      <c r="IOZ59" s="316"/>
      <c r="IPA59" s="316"/>
      <c r="IPB59" s="316"/>
      <c r="IPC59" s="316"/>
      <c r="IPD59" s="316"/>
      <c r="IPE59" s="316"/>
      <c r="IPF59" s="316"/>
      <c r="IPG59" s="316"/>
      <c r="IPH59" s="316"/>
      <c r="IPI59" s="316"/>
      <c r="IPJ59" s="316"/>
      <c r="IPK59" s="316"/>
      <c r="IPL59" s="316"/>
      <c r="IPM59" s="316"/>
      <c r="IPN59" s="316"/>
      <c r="IPO59" s="316"/>
      <c r="IPP59" s="316"/>
      <c r="IPQ59" s="316"/>
      <c r="IPR59" s="316"/>
      <c r="IPS59" s="316"/>
      <c r="IPT59" s="316"/>
      <c r="IPU59" s="316"/>
      <c r="IPV59" s="316"/>
      <c r="IPW59" s="316"/>
      <c r="IPX59" s="316"/>
      <c r="IPY59" s="316"/>
      <c r="IPZ59" s="316"/>
      <c r="IQA59" s="316"/>
      <c r="IQB59" s="316"/>
      <c r="IQC59" s="316"/>
      <c r="IQD59" s="316"/>
      <c r="IQE59" s="316"/>
      <c r="IQF59" s="316"/>
      <c r="IQG59" s="316"/>
      <c r="IQH59" s="316"/>
      <c r="IQI59" s="316"/>
      <c r="IQJ59" s="316"/>
      <c r="IQK59" s="316"/>
      <c r="IQL59" s="316"/>
      <c r="IQM59" s="316"/>
      <c r="IQN59" s="316"/>
      <c r="IQO59" s="316"/>
      <c r="IQP59" s="316"/>
      <c r="IQQ59" s="316"/>
      <c r="IQR59" s="316"/>
      <c r="IQS59" s="316"/>
      <c r="IQT59" s="316"/>
      <c r="IQU59" s="316"/>
      <c r="IQV59" s="316"/>
      <c r="IQW59" s="316"/>
      <c r="IQX59" s="316"/>
      <c r="IQY59" s="316"/>
      <c r="IQZ59" s="316"/>
      <c r="IRA59" s="316"/>
      <c r="IRB59" s="316"/>
      <c r="IRC59" s="316"/>
      <c r="IRD59" s="316"/>
      <c r="IRE59" s="316"/>
      <c r="IRF59" s="316"/>
      <c r="IRG59" s="316"/>
      <c r="IRH59" s="316"/>
      <c r="IRI59" s="316"/>
      <c r="IRJ59" s="316"/>
      <c r="IRK59" s="316"/>
      <c r="IRL59" s="316"/>
      <c r="IRM59" s="316"/>
      <c r="IRN59" s="316"/>
      <c r="IRO59" s="316"/>
      <c r="IRP59" s="316"/>
      <c r="IRQ59" s="316"/>
      <c r="IRR59" s="316"/>
      <c r="IRS59" s="316"/>
      <c r="IRT59" s="316"/>
      <c r="IRU59" s="316"/>
      <c r="IRV59" s="316"/>
      <c r="IRW59" s="316"/>
      <c r="IRX59" s="316"/>
      <c r="IRY59" s="316"/>
      <c r="IRZ59" s="316"/>
      <c r="ISA59" s="316"/>
      <c r="ISB59" s="316"/>
      <c r="ISC59" s="316"/>
      <c r="ISD59" s="316"/>
      <c r="ISE59" s="316"/>
      <c r="ISF59" s="316"/>
      <c r="ISG59" s="316"/>
      <c r="ISH59" s="316"/>
      <c r="ISI59" s="316"/>
      <c r="ISJ59" s="316"/>
      <c r="ISK59" s="316"/>
      <c r="ISL59" s="316"/>
      <c r="ISM59" s="316"/>
      <c r="ISN59" s="316"/>
      <c r="ISO59" s="316"/>
      <c r="ISP59" s="316"/>
      <c r="ISQ59" s="316"/>
      <c r="ISR59" s="316"/>
      <c r="ISS59" s="316"/>
      <c r="IST59" s="316"/>
      <c r="ISU59" s="316"/>
      <c r="ISV59" s="316"/>
      <c r="ISW59" s="316"/>
      <c r="ISX59" s="316"/>
      <c r="ISY59" s="316"/>
      <c r="ISZ59" s="316"/>
      <c r="ITA59" s="316"/>
      <c r="ITB59" s="316"/>
      <c r="ITC59" s="316"/>
      <c r="ITD59" s="316"/>
      <c r="ITE59" s="316"/>
      <c r="ITF59" s="316"/>
      <c r="ITG59" s="316"/>
      <c r="ITH59" s="316"/>
      <c r="ITI59" s="316"/>
      <c r="ITJ59" s="316"/>
      <c r="ITK59" s="316"/>
      <c r="ITL59" s="316"/>
      <c r="ITM59" s="316"/>
      <c r="ITN59" s="316"/>
      <c r="ITO59" s="316"/>
      <c r="ITP59" s="316"/>
      <c r="ITQ59" s="316"/>
      <c r="ITR59" s="316"/>
      <c r="ITS59" s="316"/>
      <c r="ITT59" s="316"/>
      <c r="ITU59" s="316"/>
      <c r="ITV59" s="316"/>
      <c r="ITW59" s="316"/>
      <c r="ITX59" s="316"/>
      <c r="ITY59" s="316"/>
      <c r="ITZ59" s="316"/>
      <c r="IUA59" s="316"/>
      <c r="IUB59" s="316"/>
      <c r="IUC59" s="316"/>
      <c r="IUD59" s="316"/>
      <c r="IUE59" s="316"/>
      <c r="IUF59" s="316"/>
      <c r="IUG59" s="316"/>
      <c r="IUH59" s="316"/>
      <c r="IUI59" s="316"/>
      <c r="IUJ59" s="316"/>
      <c r="IUK59" s="316"/>
      <c r="IUL59" s="316"/>
      <c r="IUM59" s="316"/>
      <c r="IUN59" s="316"/>
      <c r="IUO59" s="316"/>
      <c r="IUP59" s="316"/>
      <c r="IUQ59" s="316"/>
      <c r="IUR59" s="316"/>
      <c r="IUS59" s="316"/>
      <c r="IUT59" s="316"/>
      <c r="IUU59" s="316"/>
      <c r="IUV59" s="316"/>
      <c r="IUW59" s="316"/>
      <c r="IUX59" s="316"/>
      <c r="IUY59" s="316"/>
      <c r="IUZ59" s="316"/>
      <c r="IVA59" s="316"/>
      <c r="IVB59" s="316"/>
      <c r="IVC59" s="316"/>
      <c r="IVD59" s="316"/>
      <c r="IVE59" s="316"/>
      <c r="IVF59" s="316"/>
      <c r="IVG59" s="316"/>
      <c r="IVH59" s="316"/>
      <c r="IVI59" s="316"/>
      <c r="IVJ59" s="316"/>
      <c r="IVK59" s="316"/>
      <c r="IVL59" s="316"/>
      <c r="IVM59" s="316"/>
      <c r="IVN59" s="316"/>
      <c r="IVO59" s="316"/>
      <c r="IVP59" s="316"/>
      <c r="IVQ59" s="316"/>
      <c r="IVR59" s="316"/>
      <c r="IVS59" s="316"/>
      <c r="IVT59" s="316"/>
      <c r="IVU59" s="316"/>
      <c r="IVV59" s="316"/>
      <c r="IVW59" s="316"/>
      <c r="IVX59" s="316"/>
      <c r="IVY59" s="316"/>
      <c r="IVZ59" s="316"/>
      <c r="IWA59" s="316"/>
      <c r="IWB59" s="316"/>
      <c r="IWC59" s="316"/>
      <c r="IWD59" s="316"/>
      <c r="IWE59" s="316"/>
      <c r="IWF59" s="316"/>
      <c r="IWG59" s="316"/>
      <c r="IWH59" s="316"/>
      <c r="IWI59" s="316"/>
      <c r="IWJ59" s="316"/>
      <c r="IWK59" s="316"/>
      <c r="IWL59" s="316"/>
      <c r="IWM59" s="316"/>
      <c r="IWN59" s="316"/>
      <c r="IWO59" s="316"/>
      <c r="IWP59" s="316"/>
      <c r="IWQ59" s="316"/>
      <c r="IWR59" s="316"/>
      <c r="IWS59" s="316"/>
      <c r="IWT59" s="316"/>
      <c r="IWU59" s="316"/>
      <c r="IWV59" s="316"/>
      <c r="IWW59" s="316"/>
      <c r="IWX59" s="316"/>
      <c r="IWY59" s="316"/>
      <c r="IWZ59" s="316"/>
      <c r="IXA59" s="316"/>
      <c r="IXB59" s="316"/>
      <c r="IXC59" s="316"/>
      <c r="IXD59" s="316"/>
      <c r="IXE59" s="316"/>
      <c r="IXF59" s="316"/>
      <c r="IXG59" s="316"/>
      <c r="IXH59" s="316"/>
      <c r="IXI59" s="316"/>
      <c r="IXJ59" s="316"/>
      <c r="IXK59" s="316"/>
      <c r="IXL59" s="316"/>
      <c r="IXM59" s="316"/>
      <c r="IXN59" s="316"/>
      <c r="IXO59" s="316"/>
      <c r="IXP59" s="316"/>
      <c r="IXQ59" s="316"/>
      <c r="IXR59" s="316"/>
      <c r="IXS59" s="316"/>
      <c r="IXT59" s="316"/>
      <c r="IXU59" s="316"/>
      <c r="IXV59" s="316"/>
      <c r="IXW59" s="316"/>
      <c r="IXX59" s="316"/>
      <c r="IXY59" s="316"/>
      <c r="IXZ59" s="316"/>
      <c r="IYA59" s="316"/>
      <c r="IYB59" s="316"/>
      <c r="IYC59" s="316"/>
      <c r="IYD59" s="316"/>
      <c r="IYE59" s="316"/>
      <c r="IYF59" s="316"/>
      <c r="IYG59" s="316"/>
      <c r="IYH59" s="316"/>
      <c r="IYI59" s="316"/>
      <c r="IYJ59" s="316"/>
      <c r="IYK59" s="316"/>
      <c r="IYL59" s="316"/>
      <c r="IYM59" s="316"/>
      <c r="IYN59" s="316"/>
      <c r="IYO59" s="316"/>
      <c r="IYP59" s="316"/>
      <c r="IYQ59" s="316"/>
      <c r="IYR59" s="316"/>
      <c r="IYS59" s="316"/>
      <c r="IYT59" s="316"/>
      <c r="IYU59" s="316"/>
      <c r="IYV59" s="316"/>
      <c r="IYW59" s="316"/>
      <c r="IYX59" s="316"/>
      <c r="IYY59" s="316"/>
      <c r="IYZ59" s="316"/>
      <c r="IZA59" s="316"/>
      <c r="IZB59" s="316"/>
      <c r="IZC59" s="316"/>
      <c r="IZD59" s="316"/>
      <c r="IZE59" s="316"/>
      <c r="IZF59" s="316"/>
      <c r="IZG59" s="316"/>
      <c r="IZH59" s="316"/>
      <c r="IZI59" s="316"/>
      <c r="IZJ59" s="316"/>
      <c r="IZK59" s="316"/>
      <c r="IZL59" s="316"/>
      <c r="IZM59" s="316"/>
      <c r="IZN59" s="316"/>
      <c r="IZO59" s="316"/>
      <c r="IZP59" s="316"/>
      <c r="IZQ59" s="316"/>
      <c r="IZR59" s="316"/>
      <c r="IZS59" s="316"/>
      <c r="IZT59" s="316"/>
      <c r="IZU59" s="316"/>
      <c r="IZV59" s="316"/>
      <c r="IZW59" s="316"/>
      <c r="IZX59" s="316"/>
      <c r="IZY59" s="316"/>
      <c r="IZZ59" s="316"/>
      <c r="JAA59" s="316"/>
      <c r="JAB59" s="316"/>
      <c r="JAC59" s="316"/>
      <c r="JAD59" s="316"/>
      <c r="JAE59" s="316"/>
      <c r="JAF59" s="316"/>
      <c r="JAG59" s="316"/>
      <c r="JAH59" s="316"/>
      <c r="JAI59" s="316"/>
      <c r="JAJ59" s="316"/>
      <c r="JAK59" s="316"/>
      <c r="JAL59" s="316"/>
      <c r="JAM59" s="316"/>
      <c r="JAN59" s="316"/>
      <c r="JAO59" s="316"/>
      <c r="JAP59" s="316"/>
      <c r="JAQ59" s="316"/>
      <c r="JAR59" s="316"/>
      <c r="JAS59" s="316"/>
      <c r="JAT59" s="316"/>
      <c r="JAU59" s="316"/>
      <c r="JAV59" s="316"/>
      <c r="JAW59" s="316"/>
      <c r="JAX59" s="316"/>
      <c r="JAY59" s="316"/>
      <c r="JAZ59" s="316"/>
      <c r="JBA59" s="316"/>
      <c r="JBB59" s="316"/>
      <c r="JBC59" s="316"/>
      <c r="JBD59" s="316"/>
      <c r="JBE59" s="316"/>
      <c r="JBF59" s="316"/>
      <c r="JBG59" s="316"/>
      <c r="JBH59" s="316"/>
      <c r="JBI59" s="316"/>
      <c r="JBJ59" s="316"/>
      <c r="JBK59" s="316"/>
      <c r="JBL59" s="316"/>
      <c r="JBM59" s="316"/>
      <c r="JBN59" s="316"/>
      <c r="JBO59" s="316"/>
      <c r="JBP59" s="316"/>
      <c r="JBQ59" s="316"/>
      <c r="JBR59" s="316"/>
      <c r="JBS59" s="316"/>
      <c r="JBT59" s="316"/>
      <c r="JBU59" s="316"/>
      <c r="JBV59" s="316"/>
      <c r="JBW59" s="316"/>
      <c r="JBX59" s="316"/>
      <c r="JBY59" s="316"/>
      <c r="JBZ59" s="316"/>
      <c r="JCA59" s="316"/>
      <c r="JCB59" s="316"/>
      <c r="JCC59" s="316"/>
      <c r="JCD59" s="316"/>
      <c r="JCE59" s="316"/>
      <c r="JCF59" s="316"/>
      <c r="JCG59" s="316"/>
      <c r="JCH59" s="316"/>
      <c r="JCI59" s="316"/>
      <c r="JCJ59" s="316"/>
      <c r="JCK59" s="316"/>
      <c r="JCL59" s="316"/>
      <c r="JCM59" s="316"/>
      <c r="JCN59" s="316"/>
      <c r="JCO59" s="316"/>
      <c r="JCP59" s="316"/>
      <c r="JCQ59" s="316"/>
      <c r="JCR59" s="316"/>
      <c r="JCS59" s="316"/>
      <c r="JCT59" s="316"/>
      <c r="JCU59" s="316"/>
      <c r="JCV59" s="316"/>
      <c r="JCW59" s="316"/>
      <c r="JCX59" s="316"/>
      <c r="JCY59" s="316"/>
      <c r="JCZ59" s="316"/>
      <c r="JDA59" s="316"/>
      <c r="JDB59" s="316"/>
      <c r="JDC59" s="316"/>
      <c r="JDD59" s="316"/>
      <c r="JDE59" s="316"/>
      <c r="JDF59" s="316"/>
      <c r="JDG59" s="316"/>
      <c r="JDH59" s="316"/>
      <c r="JDI59" s="316"/>
      <c r="JDJ59" s="316"/>
      <c r="JDK59" s="316"/>
      <c r="JDL59" s="316"/>
      <c r="JDM59" s="316"/>
      <c r="JDN59" s="316"/>
      <c r="JDO59" s="316"/>
      <c r="JDP59" s="316"/>
      <c r="JDQ59" s="316"/>
      <c r="JDR59" s="316"/>
      <c r="JDS59" s="316"/>
      <c r="JDT59" s="316"/>
      <c r="JDU59" s="316"/>
      <c r="JDV59" s="316"/>
      <c r="JDW59" s="316"/>
      <c r="JDX59" s="316"/>
      <c r="JDY59" s="316"/>
      <c r="JDZ59" s="316"/>
      <c r="JEA59" s="316"/>
      <c r="JEB59" s="316"/>
      <c r="JEC59" s="316"/>
      <c r="JED59" s="316"/>
      <c r="JEE59" s="316"/>
      <c r="JEF59" s="316"/>
      <c r="JEG59" s="316"/>
      <c r="JEH59" s="316"/>
      <c r="JEI59" s="316"/>
      <c r="JEJ59" s="316"/>
      <c r="JEK59" s="316"/>
      <c r="JEL59" s="316"/>
      <c r="JEM59" s="316"/>
      <c r="JEN59" s="316"/>
      <c r="JEO59" s="316"/>
      <c r="JEP59" s="316"/>
      <c r="JEQ59" s="316"/>
      <c r="JER59" s="316"/>
      <c r="JES59" s="316"/>
      <c r="JET59" s="316"/>
      <c r="JEU59" s="316"/>
      <c r="JEV59" s="316"/>
      <c r="JEW59" s="316"/>
      <c r="JEX59" s="316"/>
      <c r="JEY59" s="316"/>
      <c r="JEZ59" s="316"/>
      <c r="JFA59" s="316"/>
      <c r="JFB59" s="316"/>
      <c r="JFC59" s="316"/>
      <c r="JFD59" s="316"/>
      <c r="JFE59" s="316"/>
      <c r="JFF59" s="316"/>
      <c r="JFG59" s="316"/>
      <c r="JFH59" s="316"/>
      <c r="JFI59" s="316"/>
      <c r="JFJ59" s="316"/>
      <c r="JFK59" s="316"/>
      <c r="JFL59" s="316"/>
      <c r="JFM59" s="316"/>
      <c r="JFN59" s="316"/>
      <c r="JFO59" s="316"/>
      <c r="JFP59" s="316"/>
      <c r="JFQ59" s="316"/>
      <c r="JFR59" s="316"/>
      <c r="JFS59" s="316"/>
      <c r="JFT59" s="316"/>
      <c r="JFU59" s="316"/>
      <c r="JFV59" s="316"/>
      <c r="JFW59" s="316"/>
      <c r="JFX59" s="316"/>
      <c r="JFY59" s="316"/>
      <c r="JFZ59" s="316"/>
      <c r="JGA59" s="316"/>
      <c r="JGB59" s="316"/>
      <c r="JGC59" s="316"/>
      <c r="JGD59" s="316"/>
      <c r="JGE59" s="316"/>
      <c r="JGF59" s="316"/>
      <c r="JGG59" s="316"/>
      <c r="JGH59" s="316"/>
      <c r="JGI59" s="316"/>
      <c r="JGJ59" s="316"/>
      <c r="JGK59" s="316"/>
      <c r="JGL59" s="316"/>
      <c r="JGM59" s="316"/>
      <c r="JGN59" s="316"/>
      <c r="JGO59" s="316"/>
      <c r="JGP59" s="316"/>
      <c r="JGQ59" s="316"/>
      <c r="JGR59" s="316"/>
      <c r="JGS59" s="316"/>
      <c r="JGT59" s="316"/>
      <c r="JGU59" s="316"/>
      <c r="JGV59" s="316"/>
      <c r="JGW59" s="316"/>
      <c r="JGX59" s="316"/>
      <c r="JGY59" s="316"/>
      <c r="JGZ59" s="316"/>
      <c r="JHA59" s="316"/>
      <c r="JHB59" s="316"/>
      <c r="JHC59" s="316"/>
      <c r="JHD59" s="316"/>
      <c r="JHE59" s="316"/>
      <c r="JHF59" s="316"/>
      <c r="JHG59" s="316"/>
      <c r="JHH59" s="316"/>
      <c r="JHI59" s="316"/>
      <c r="JHJ59" s="316"/>
      <c r="JHK59" s="316"/>
      <c r="JHL59" s="316"/>
      <c r="JHM59" s="316"/>
      <c r="JHN59" s="316"/>
      <c r="JHO59" s="316"/>
      <c r="JHP59" s="316"/>
      <c r="JHQ59" s="316"/>
      <c r="JHR59" s="316"/>
      <c r="JHS59" s="316"/>
      <c r="JHT59" s="316"/>
      <c r="JHU59" s="316"/>
      <c r="JHV59" s="316"/>
      <c r="JHW59" s="316"/>
      <c r="JHX59" s="316"/>
      <c r="JHY59" s="316"/>
      <c r="JHZ59" s="316"/>
      <c r="JIA59" s="316"/>
      <c r="JIB59" s="316"/>
      <c r="JIC59" s="316"/>
      <c r="JID59" s="316"/>
      <c r="JIE59" s="316"/>
      <c r="JIF59" s="316"/>
      <c r="JIG59" s="316"/>
      <c r="JIH59" s="316"/>
      <c r="JII59" s="316"/>
      <c r="JIJ59" s="316"/>
      <c r="JIK59" s="316"/>
      <c r="JIL59" s="316"/>
      <c r="JIM59" s="316"/>
      <c r="JIN59" s="316"/>
      <c r="JIO59" s="316"/>
      <c r="JIP59" s="316"/>
      <c r="JIQ59" s="316"/>
      <c r="JIR59" s="316"/>
      <c r="JIS59" s="316"/>
      <c r="JIT59" s="316"/>
      <c r="JIU59" s="316"/>
      <c r="JIV59" s="316"/>
      <c r="JIW59" s="316"/>
      <c r="JIX59" s="316"/>
      <c r="JIY59" s="316"/>
      <c r="JIZ59" s="316"/>
      <c r="JJA59" s="316"/>
      <c r="JJB59" s="316"/>
      <c r="JJC59" s="316"/>
      <c r="JJD59" s="316"/>
      <c r="JJE59" s="316"/>
      <c r="JJF59" s="316"/>
      <c r="JJG59" s="316"/>
      <c r="JJH59" s="316"/>
      <c r="JJI59" s="316"/>
      <c r="JJJ59" s="316"/>
      <c r="JJK59" s="316"/>
      <c r="JJL59" s="316"/>
      <c r="JJM59" s="316"/>
      <c r="JJN59" s="316"/>
      <c r="JJO59" s="316"/>
      <c r="JJP59" s="316"/>
      <c r="JJQ59" s="316"/>
      <c r="JJR59" s="316"/>
      <c r="JJS59" s="316"/>
      <c r="JJT59" s="316"/>
      <c r="JJU59" s="316"/>
      <c r="JJV59" s="316"/>
      <c r="JJW59" s="316"/>
      <c r="JJX59" s="316"/>
      <c r="JJY59" s="316"/>
      <c r="JJZ59" s="316"/>
      <c r="JKA59" s="316"/>
      <c r="JKB59" s="316"/>
      <c r="JKC59" s="316"/>
      <c r="JKD59" s="316"/>
      <c r="JKE59" s="316"/>
      <c r="JKF59" s="316"/>
      <c r="JKG59" s="316"/>
      <c r="JKH59" s="316"/>
      <c r="JKI59" s="316"/>
      <c r="JKJ59" s="316"/>
      <c r="JKK59" s="316"/>
      <c r="JKL59" s="316"/>
      <c r="JKM59" s="316"/>
      <c r="JKN59" s="316"/>
      <c r="JKO59" s="316"/>
      <c r="JKP59" s="316"/>
      <c r="JKQ59" s="316"/>
      <c r="JKR59" s="316"/>
      <c r="JKS59" s="316"/>
      <c r="JKT59" s="316"/>
      <c r="JKU59" s="316"/>
      <c r="JKV59" s="316"/>
      <c r="JKW59" s="316"/>
      <c r="JKX59" s="316"/>
      <c r="JKY59" s="316"/>
      <c r="JKZ59" s="316"/>
      <c r="JLA59" s="316"/>
      <c r="JLB59" s="316"/>
      <c r="JLC59" s="316"/>
      <c r="JLD59" s="316"/>
      <c r="JLE59" s="316"/>
      <c r="JLF59" s="316"/>
      <c r="JLG59" s="316"/>
      <c r="JLH59" s="316"/>
      <c r="JLI59" s="316"/>
      <c r="JLJ59" s="316"/>
      <c r="JLK59" s="316"/>
      <c r="JLL59" s="316"/>
      <c r="JLM59" s="316"/>
      <c r="JLN59" s="316"/>
      <c r="JLO59" s="316"/>
      <c r="JLP59" s="316"/>
      <c r="JLQ59" s="316"/>
      <c r="JLR59" s="316"/>
      <c r="JLS59" s="316"/>
      <c r="JLT59" s="316"/>
      <c r="JLU59" s="316"/>
      <c r="JLV59" s="316"/>
      <c r="JLW59" s="316"/>
      <c r="JLX59" s="316"/>
      <c r="JLY59" s="316"/>
      <c r="JLZ59" s="316"/>
      <c r="JMA59" s="316"/>
      <c r="JMB59" s="316"/>
      <c r="JMC59" s="316"/>
      <c r="JMD59" s="316"/>
      <c r="JME59" s="316"/>
      <c r="JMF59" s="316"/>
      <c r="JMG59" s="316"/>
      <c r="JMH59" s="316"/>
      <c r="JMI59" s="316"/>
      <c r="JMJ59" s="316"/>
      <c r="JMK59" s="316"/>
      <c r="JML59" s="316"/>
      <c r="JMM59" s="316"/>
      <c r="JMN59" s="316"/>
      <c r="JMO59" s="316"/>
      <c r="JMP59" s="316"/>
      <c r="JMQ59" s="316"/>
      <c r="JMR59" s="316"/>
      <c r="JMS59" s="316"/>
      <c r="JMT59" s="316"/>
      <c r="JMU59" s="316"/>
      <c r="JMV59" s="316"/>
      <c r="JMW59" s="316"/>
      <c r="JMX59" s="316"/>
      <c r="JMY59" s="316"/>
      <c r="JMZ59" s="316"/>
      <c r="JNA59" s="316"/>
      <c r="JNB59" s="316"/>
      <c r="JNC59" s="316"/>
      <c r="JND59" s="316"/>
      <c r="JNE59" s="316"/>
      <c r="JNF59" s="316"/>
      <c r="JNG59" s="316"/>
      <c r="JNH59" s="316"/>
      <c r="JNI59" s="316"/>
      <c r="JNJ59" s="316"/>
      <c r="JNK59" s="316"/>
      <c r="JNL59" s="316"/>
      <c r="JNM59" s="316"/>
      <c r="JNN59" s="316"/>
      <c r="JNO59" s="316"/>
      <c r="JNP59" s="316"/>
      <c r="JNQ59" s="316"/>
      <c r="JNR59" s="316"/>
      <c r="JNS59" s="316"/>
      <c r="JNT59" s="316"/>
      <c r="JNU59" s="316"/>
      <c r="JNV59" s="316"/>
      <c r="JNW59" s="316"/>
      <c r="JNX59" s="316"/>
      <c r="JNY59" s="316"/>
      <c r="JNZ59" s="316"/>
      <c r="JOA59" s="316"/>
      <c r="JOB59" s="316"/>
      <c r="JOC59" s="316"/>
      <c r="JOD59" s="316"/>
      <c r="JOE59" s="316"/>
      <c r="JOF59" s="316"/>
      <c r="JOG59" s="316"/>
      <c r="JOH59" s="316"/>
      <c r="JOI59" s="316"/>
      <c r="JOJ59" s="316"/>
      <c r="JOK59" s="316"/>
      <c r="JOL59" s="316"/>
      <c r="JOM59" s="316"/>
      <c r="JON59" s="316"/>
      <c r="JOO59" s="316"/>
      <c r="JOP59" s="316"/>
      <c r="JOQ59" s="316"/>
      <c r="JOR59" s="316"/>
      <c r="JOS59" s="316"/>
      <c r="JOT59" s="316"/>
      <c r="JOU59" s="316"/>
      <c r="JOV59" s="316"/>
      <c r="JOW59" s="316"/>
      <c r="JOX59" s="316"/>
      <c r="JOY59" s="316"/>
      <c r="JOZ59" s="316"/>
      <c r="JPA59" s="316"/>
      <c r="JPB59" s="316"/>
      <c r="JPC59" s="316"/>
      <c r="JPD59" s="316"/>
      <c r="JPE59" s="316"/>
      <c r="JPF59" s="316"/>
      <c r="JPG59" s="316"/>
      <c r="JPH59" s="316"/>
      <c r="JPI59" s="316"/>
      <c r="JPJ59" s="316"/>
      <c r="JPK59" s="316"/>
      <c r="JPL59" s="316"/>
      <c r="JPM59" s="316"/>
      <c r="JPN59" s="316"/>
      <c r="JPO59" s="316"/>
      <c r="JPP59" s="316"/>
      <c r="JPQ59" s="316"/>
      <c r="JPR59" s="316"/>
      <c r="JPS59" s="316"/>
      <c r="JPT59" s="316"/>
      <c r="JPU59" s="316"/>
      <c r="JPV59" s="316"/>
      <c r="JPW59" s="316"/>
      <c r="JPX59" s="316"/>
      <c r="JPY59" s="316"/>
      <c r="JPZ59" s="316"/>
      <c r="JQA59" s="316"/>
      <c r="JQB59" s="316"/>
      <c r="JQC59" s="316"/>
      <c r="JQD59" s="316"/>
      <c r="JQE59" s="316"/>
      <c r="JQF59" s="316"/>
      <c r="JQG59" s="316"/>
      <c r="JQH59" s="316"/>
      <c r="JQI59" s="316"/>
      <c r="JQJ59" s="316"/>
      <c r="JQK59" s="316"/>
      <c r="JQL59" s="316"/>
      <c r="JQM59" s="316"/>
      <c r="JQN59" s="316"/>
      <c r="JQO59" s="316"/>
      <c r="JQP59" s="316"/>
      <c r="JQQ59" s="316"/>
      <c r="JQR59" s="316"/>
      <c r="JQS59" s="316"/>
      <c r="JQT59" s="316"/>
      <c r="JQU59" s="316"/>
      <c r="JQV59" s="316"/>
      <c r="JQW59" s="316"/>
      <c r="JQX59" s="316"/>
      <c r="JQY59" s="316"/>
      <c r="JQZ59" s="316"/>
      <c r="JRA59" s="316"/>
      <c r="JRB59" s="316"/>
      <c r="JRC59" s="316"/>
      <c r="JRD59" s="316"/>
      <c r="JRE59" s="316"/>
      <c r="JRF59" s="316"/>
      <c r="JRG59" s="316"/>
      <c r="JRH59" s="316"/>
      <c r="JRI59" s="316"/>
      <c r="JRJ59" s="316"/>
      <c r="JRK59" s="316"/>
      <c r="JRL59" s="316"/>
      <c r="JRM59" s="316"/>
      <c r="JRN59" s="316"/>
      <c r="JRO59" s="316"/>
      <c r="JRP59" s="316"/>
      <c r="JRQ59" s="316"/>
      <c r="JRR59" s="316"/>
      <c r="JRS59" s="316"/>
      <c r="JRT59" s="316"/>
      <c r="JRU59" s="316"/>
      <c r="JRV59" s="316"/>
      <c r="JRW59" s="316"/>
      <c r="JRX59" s="316"/>
      <c r="JRY59" s="316"/>
      <c r="JRZ59" s="316"/>
      <c r="JSA59" s="316"/>
      <c r="JSB59" s="316"/>
      <c r="JSC59" s="316"/>
      <c r="JSD59" s="316"/>
      <c r="JSE59" s="316"/>
      <c r="JSF59" s="316"/>
      <c r="JSG59" s="316"/>
      <c r="JSH59" s="316"/>
      <c r="JSI59" s="316"/>
      <c r="JSJ59" s="316"/>
      <c r="JSK59" s="316"/>
      <c r="JSL59" s="316"/>
      <c r="JSM59" s="316"/>
      <c r="JSN59" s="316"/>
      <c r="JSO59" s="316"/>
      <c r="JSP59" s="316"/>
      <c r="JSQ59" s="316"/>
      <c r="JSR59" s="316"/>
      <c r="JSS59" s="316"/>
      <c r="JST59" s="316"/>
      <c r="JSU59" s="316"/>
      <c r="JSV59" s="316"/>
      <c r="JSW59" s="316"/>
      <c r="JSX59" s="316"/>
      <c r="JSY59" s="316"/>
      <c r="JSZ59" s="316"/>
      <c r="JTA59" s="316"/>
      <c r="JTB59" s="316"/>
      <c r="JTC59" s="316"/>
      <c r="JTD59" s="316"/>
      <c r="JTE59" s="316"/>
      <c r="JTF59" s="316"/>
      <c r="JTG59" s="316"/>
      <c r="JTH59" s="316"/>
      <c r="JTI59" s="316"/>
      <c r="JTJ59" s="316"/>
      <c r="JTK59" s="316"/>
      <c r="JTL59" s="316"/>
      <c r="JTM59" s="316"/>
      <c r="JTN59" s="316"/>
      <c r="JTO59" s="316"/>
      <c r="JTP59" s="316"/>
      <c r="JTQ59" s="316"/>
      <c r="JTR59" s="316"/>
      <c r="JTS59" s="316"/>
      <c r="JTT59" s="316"/>
      <c r="JTU59" s="316"/>
      <c r="JTV59" s="316"/>
      <c r="JTW59" s="316"/>
      <c r="JTX59" s="316"/>
      <c r="JTY59" s="316"/>
      <c r="JTZ59" s="316"/>
      <c r="JUA59" s="316"/>
      <c r="JUB59" s="316"/>
      <c r="JUC59" s="316"/>
      <c r="JUD59" s="316"/>
      <c r="JUE59" s="316"/>
      <c r="JUF59" s="316"/>
      <c r="JUG59" s="316"/>
      <c r="JUH59" s="316"/>
      <c r="JUI59" s="316"/>
      <c r="JUJ59" s="316"/>
      <c r="JUK59" s="316"/>
      <c r="JUL59" s="316"/>
      <c r="JUM59" s="316"/>
      <c r="JUN59" s="316"/>
      <c r="JUO59" s="316"/>
      <c r="JUP59" s="316"/>
      <c r="JUQ59" s="316"/>
      <c r="JUR59" s="316"/>
      <c r="JUS59" s="316"/>
      <c r="JUT59" s="316"/>
      <c r="JUU59" s="316"/>
      <c r="JUV59" s="316"/>
      <c r="JUW59" s="316"/>
      <c r="JUX59" s="316"/>
      <c r="JUY59" s="316"/>
      <c r="JUZ59" s="316"/>
      <c r="JVA59" s="316"/>
      <c r="JVB59" s="316"/>
      <c r="JVC59" s="316"/>
      <c r="JVD59" s="316"/>
      <c r="JVE59" s="316"/>
      <c r="JVF59" s="316"/>
      <c r="JVG59" s="316"/>
      <c r="JVH59" s="316"/>
      <c r="JVI59" s="316"/>
      <c r="JVJ59" s="316"/>
      <c r="JVK59" s="316"/>
      <c r="JVL59" s="316"/>
      <c r="JVM59" s="316"/>
      <c r="JVN59" s="316"/>
      <c r="JVO59" s="316"/>
      <c r="JVP59" s="316"/>
      <c r="JVQ59" s="316"/>
      <c r="JVR59" s="316"/>
      <c r="JVS59" s="316"/>
      <c r="JVT59" s="316"/>
      <c r="JVU59" s="316"/>
      <c r="JVV59" s="316"/>
      <c r="JVW59" s="316"/>
      <c r="JVX59" s="316"/>
      <c r="JVY59" s="316"/>
      <c r="JVZ59" s="316"/>
      <c r="JWA59" s="316"/>
      <c r="JWB59" s="316"/>
      <c r="JWC59" s="316"/>
      <c r="JWD59" s="316"/>
      <c r="JWE59" s="316"/>
      <c r="JWF59" s="316"/>
      <c r="JWG59" s="316"/>
      <c r="JWH59" s="316"/>
      <c r="JWI59" s="316"/>
      <c r="JWJ59" s="316"/>
      <c r="JWK59" s="316"/>
      <c r="JWL59" s="316"/>
      <c r="JWM59" s="316"/>
      <c r="JWN59" s="316"/>
      <c r="JWO59" s="316"/>
      <c r="JWP59" s="316"/>
      <c r="JWQ59" s="316"/>
      <c r="JWR59" s="316"/>
      <c r="JWS59" s="316"/>
      <c r="JWT59" s="316"/>
      <c r="JWU59" s="316"/>
      <c r="JWV59" s="316"/>
      <c r="JWW59" s="316"/>
      <c r="JWX59" s="316"/>
      <c r="JWY59" s="316"/>
      <c r="JWZ59" s="316"/>
      <c r="JXA59" s="316"/>
      <c r="JXB59" s="316"/>
      <c r="JXC59" s="316"/>
      <c r="JXD59" s="316"/>
      <c r="JXE59" s="316"/>
      <c r="JXF59" s="316"/>
      <c r="JXG59" s="316"/>
      <c r="JXH59" s="316"/>
      <c r="JXI59" s="316"/>
      <c r="JXJ59" s="316"/>
      <c r="JXK59" s="316"/>
      <c r="JXL59" s="316"/>
      <c r="JXM59" s="316"/>
      <c r="JXN59" s="316"/>
      <c r="JXO59" s="316"/>
      <c r="JXP59" s="316"/>
      <c r="JXQ59" s="316"/>
      <c r="JXR59" s="316"/>
      <c r="JXS59" s="316"/>
      <c r="JXT59" s="316"/>
      <c r="JXU59" s="316"/>
      <c r="JXV59" s="316"/>
      <c r="JXW59" s="316"/>
      <c r="JXX59" s="316"/>
      <c r="JXY59" s="316"/>
      <c r="JXZ59" s="316"/>
      <c r="JYA59" s="316"/>
      <c r="JYB59" s="316"/>
      <c r="JYC59" s="316"/>
      <c r="JYD59" s="316"/>
      <c r="JYE59" s="316"/>
      <c r="JYF59" s="316"/>
      <c r="JYG59" s="316"/>
      <c r="JYH59" s="316"/>
      <c r="JYI59" s="316"/>
      <c r="JYJ59" s="316"/>
      <c r="JYK59" s="316"/>
      <c r="JYL59" s="316"/>
      <c r="JYM59" s="316"/>
      <c r="JYN59" s="316"/>
      <c r="JYO59" s="316"/>
      <c r="JYP59" s="316"/>
      <c r="JYQ59" s="316"/>
      <c r="JYR59" s="316"/>
      <c r="JYS59" s="316"/>
      <c r="JYT59" s="316"/>
      <c r="JYU59" s="316"/>
      <c r="JYV59" s="316"/>
      <c r="JYW59" s="316"/>
      <c r="JYX59" s="316"/>
      <c r="JYY59" s="316"/>
      <c r="JYZ59" s="316"/>
      <c r="JZA59" s="316"/>
      <c r="JZB59" s="316"/>
      <c r="JZC59" s="316"/>
      <c r="JZD59" s="316"/>
      <c r="JZE59" s="316"/>
      <c r="JZF59" s="316"/>
      <c r="JZG59" s="316"/>
      <c r="JZH59" s="316"/>
      <c r="JZI59" s="316"/>
      <c r="JZJ59" s="316"/>
      <c r="JZK59" s="316"/>
      <c r="JZL59" s="316"/>
      <c r="JZM59" s="316"/>
      <c r="JZN59" s="316"/>
      <c r="JZO59" s="316"/>
      <c r="JZP59" s="316"/>
      <c r="JZQ59" s="316"/>
      <c r="JZR59" s="316"/>
      <c r="JZS59" s="316"/>
      <c r="JZT59" s="316"/>
      <c r="JZU59" s="316"/>
      <c r="JZV59" s="316"/>
      <c r="JZW59" s="316"/>
      <c r="JZX59" s="316"/>
      <c r="JZY59" s="316"/>
      <c r="JZZ59" s="316"/>
      <c r="KAA59" s="316"/>
      <c r="KAB59" s="316"/>
      <c r="KAC59" s="316"/>
      <c r="KAD59" s="316"/>
      <c r="KAE59" s="316"/>
      <c r="KAF59" s="316"/>
      <c r="KAG59" s="316"/>
      <c r="KAH59" s="316"/>
      <c r="KAI59" s="316"/>
      <c r="KAJ59" s="316"/>
      <c r="KAK59" s="316"/>
      <c r="KAL59" s="316"/>
      <c r="KAM59" s="316"/>
      <c r="KAN59" s="316"/>
      <c r="KAO59" s="316"/>
      <c r="KAP59" s="316"/>
      <c r="KAQ59" s="316"/>
      <c r="KAR59" s="316"/>
      <c r="KAS59" s="316"/>
      <c r="KAT59" s="316"/>
      <c r="KAU59" s="316"/>
      <c r="KAV59" s="316"/>
      <c r="KAW59" s="316"/>
      <c r="KAX59" s="316"/>
      <c r="KAY59" s="316"/>
      <c r="KAZ59" s="316"/>
      <c r="KBA59" s="316"/>
      <c r="KBB59" s="316"/>
      <c r="KBC59" s="316"/>
      <c r="KBD59" s="316"/>
      <c r="KBE59" s="316"/>
      <c r="KBF59" s="316"/>
      <c r="KBG59" s="316"/>
      <c r="KBH59" s="316"/>
      <c r="KBI59" s="316"/>
      <c r="KBJ59" s="316"/>
      <c r="KBK59" s="316"/>
      <c r="KBL59" s="316"/>
      <c r="KBM59" s="316"/>
      <c r="KBN59" s="316"/>
      <c r="KBO59" s="316"/>
      <c r="KBP59" s="316"/>
      <c r="KBQ59" s="316"/>
      <c r="KBR59" s="316"/>
      <c r="KBS59" s="316"/>
      <c r="KBT59" s="316"/>
      <c r="KBU59" s="316"/>
      <c r="KBV59" s="316"/>
      <c r="KBW59" s="316"/>
      <c r="KBX59" s="316"/>
      <c r="KBY59" s="316"/>
      <c r="KBZ59" s="316"/>
      <c r="KCA59" s="316"/>
      <c r="KCB59" s="316"/>
      <c r="KCC59" s="316"/>
      <c r="KCD59" s="316"/>
      <c r="KCE59" s="316"/>
      <c r="KCF59" s="316"/>
      <c r="KCG59" s="316"/>
      <c r="KCH59" s="316"/>
      <c r="KCI59" s="316"/>
      <c r="KCJ59" s="316"/>
      <c r="KCK59" s="316"/>
      <c r="KCL59" s="316"/>
      <c r="KCM59" s="316"/>
      <c r="KCN59" s="316"/>
      <c r="KCO59" s="316"/>
      <c r="KCP59" s="316"/>
      <c r="KCQ59" s="316"/>
      <c r="KCR59" s="316"/>
      <c r="KCS59" s="316"/>
      <c r="KCT59" s="316"/>
      <c r="KCU59" s="316"/>
      <c r="KCV59" s="316"/>
      <c r="KCW59" s="316"/>
      <c r="KCX59" s="316"/>
      <c r="KCY59" s="316"/>
      <c r="KCZ59" s="316"/>
      <c r="KDA59" s="316"/>
      <c r="KDB59" s="316"/>
      <c r="KDC59" s="316"/>
      <c r="KDD59" s="316"/>
      <c r="KDE59" s="316"/>
      <c r="KDF59" s="316"/>
      <c r="KDG59" s="316"/>
      <c r="KDH59" s="316"/>
      <c r="KDI59" s="316"/>
      <c r="KDJ59" s="316"/>
      <c r="KDK59" s="316"/>
      <c r="KDL59" s="316"/>
      <c r="KDM59" s="316"/>
      <c r="KDN59" s="316"/>
      <c r="KDO59" s="316"/>
      <c r="KDP59" s="316"/>
      <c r="KDQ59" s="316"/>
      <c r="KDR59" s="316"/>
      <c r="KDS59" s="316"/>
      <c r="KDT59" s="316"/>
      <c r="KDU59" s="316"/>
      <c r="KDV59" s="316"/>
      <c r="KDW59" s="316"/>
      <c r="KDX59" s="316"/>
      <c r="KDY59" s="316"/>
      <c r="KDZ59" s="316"/>
      <c r="KEA59" s="316"/>
      <c r="KEB59" s="316"/>
      <c r="KEC59" s="316"/>
      <c r="KED59" s="316"/>
      <c r="KEE59" s="316"/>
      <c r="KEF59" s="316"/>
      <c r="KEG59" s="316"/>
      <c r="KEH59" s="316"/>
      <c r="KEI59" s="316"/>
      <c r="KEJ59" s="316"/>
      <c r="KEK59" s="316"/>
      <c r="KEL59" s="316"/>
      <c r="KEM59" s="316"/>
      <c r="KEN59" s="316"/>
      <c r="KEO59" s="316"/>
      <c r="KEP59" s="316"/>
      <c r="KEQ59" s="316"/>
      <c r="KER59" s="316"/>
      <c r="KES59" s="316"/>
      <c r="KET59" s="316"/>
      <c r="KEU59" s="316"/>
      <c r="KEV59" s="316"/>
      <c r="KEW59" s="316"/>
      <c r="KEX59" s="316"/>
      <c r="KEY59" s="316"/>
      <c r="KEZ59" s="316"/>
      <c r="KFA59" s="316"/>
      <c r="KFB59" s="316"/>
      <c r="KFC59" s="316"/>
      <c r="KFD59" s="316"/>
      <c r="KFE59" s="316"/>
      <c r="KFF59" s="316"/>
      <c r="KFG59" s="316"/>
      <c r="KFH59" s="316"/>
      <c r="KFI59" s="316"/>
      <c r="KFJ59" s="316"/>
      <c r="KFK59" s="316"/>
      <c r="KFL59" s="316"/>
      <c r="KFM59" s="316"/>
      <c r="KFN59" s="316"/>
      <c r="KFO59" s="316"/>
      <c r="KFP59" s="316"/>
      <c r="KFQ59" s="316"/>
      <c r="KFR59" s="316"/>
      <c r="KFS59" s="316"/>
      <c r="KFT59" s="316"/>
      <c r="KFU59" s="316"/>
      <c r="KFV59" s="316"/>
      <c r="KFW59" s="316"/>
      <c r="KFX59" s="316"/>
      <c r="KFY59" s="316"/>
      <c r="KFZ59" s="316"/>
      <c r="KGA59" s="316"/>
      <c r="KGB59" s="316"/>
      <c r="KGC59" s="316"/>
      <c r="KGD59" s="316"/>
      <c r="KGE59" s="316"/>
      <c r="KGF59" s="316"/>
      <c r="KGG59" s="316"/>
      <c r="KGH59" s="316"/>
      <c r="KGI59" s="316"/>
      <c r="KGJ59" s="316"/>
      <c r="KGK59" s="316"/>
      <c r="KGL59" s="316"/>
      <c r="KGM59" s="316"/>
      <c r="KGN59" s="316"/>
      <c r="KGO59" s="316"/>
      <c r="KGP59" s="316"/>
      <c r="KGQ59" s="316"/>
      <c r="KGR59" s="316"/>
      <c r="KGS59" s="316"/>
      <c r="KGT59" s="316"/>
      <c r="KGU59" s="316"/>
      <c r="KGV59" s="316"/>
      <c r="KGW59" s="316"/>
      <c r="KGX59" s="316"/>
      <c r="KGY59" s="316"/>
      <c r="KGZ59" s="316"/>
      <c r="KHA59" s="316"/>
      <c r="KHB59" s="316"/>
      <c r="KHC59" s="316"/>
      <c r="KHD59" s="316"/>
      <c r="KHE59" s="316"/>
      <c r="KHF59" s="316"/>
      <c r="KHG59" s="316"/>
      <c r="KHH59" s="316"/>
      <c r="KHI59" s="316"/>
      <c r="KHJ59" s="316"/>
      <c r="KHK59" s="316"/>
      <c r="KHL59" s="316"/>
      <c r="KHM59" s="316"/>
      <c r="KHN59" s="316"/>
      <c r="KHO59" s="316"/>
      <c r="KHP59" s="316"/>
      <c r="KHQ59" s="316"/>
      <c r="KHR59" s="316"/>
      <c r="KHS59" s="316"/>
      <c r="KHT59" s="316"/>
      <c r="KHU59" s="316"/>
      <c r="KHV59" s="316"/>
      <c r="KHW59" s="316"/>
      <c r="KHX59" s="316"/>
      <c r="KHY59" s="316"/>
      <c r="KHZ59" s="316"/>
      <c r="KIA59" s="316"/>
      <c r="KIB59" s="316"/>
      <c r="KIC59" s="316"/>
      <c r="KID59" s="316"/>
      <c r="KIE59" s="316"/>
      <c r="KIF59" s="316"/>
      <c r="KIG59" s="316"/>
      <c r="KIH59" s="316"/>
      <c r="KII59" s="316"/>
      <c r="KIJ59" s="316"/>
      <c r="KIK59" s="316"/>
      <c r="KIL59" s="316"/>
      <c r="KIM59" s="316"/>
      <c r="KIN59" s="316"/>
      <c r="KIO59" s="316"/>
      <c r="KIP59" s="316"/>
      <c r="KIQ59" s="316"/>
      <c r="KIR59" s="316"/>
      <c r="KIS59" s="316"/>
      <c r="KIT59" s="316"/>
      <c r="KIU59" s="316"/>
      <c r="KIV59" s="316"/>
      <c r="KIW59" s="316"/>
      <c r="KIX59" s="316"/>
      <c r="KIY59" s="316"/>
      <c r="KIZ59" s="316"/>
      <c r="KJA59" s="316"/>
      <c r="KJB59" s="316"/>
      <c r="KJC59" s="316"/>
      <c r="KJD59" s="316"/>
      <c r="KJE59" s="316"/>
      <c r="KJF59" s="316"/>
      <c r="KJG59" s="316"/>
      <c r="KJH59" s="316"/>
      <c r="KJI59" s="316"/>
      <c r="KJJ59" s="316"/>
      <c r="KJK59" s="316"/>
      <c r="KJL59" s="316"/>
      <c r="KJM59" s="316"/>
      <c r="KJN59" s="316"/>
      <c r="KJO59" s="316"/>
      <c r="KJP59" s="316"/>
      <c r="KJQ59" s="316"/>
      <c r="KJR59" s="316"/>
      <c r="KJS59" s="316"/>
      <c r="KJT59" s="316"/>
      <c r="KJU59" s="316"/>
      <c r="KJV59" s="316"/>
      <c r="KJW59" s="316"/>
      <c r="KJX59" s="316"/>
      <c r="KJY59" s="316"/>
      <c r="KJZ59" s="316"/>
      <c r="KKA59" s="316"/>
      <c r="KKB59" s="316"/>
      <c r="KKC59" s="316"/>
      <c r="KKD59" s="316"/>
      <c r="KKE59" s="316"/>
      <c r="KKF59" s="316"/>
      <c r="KKG59" s="316"/>
      <c r="KKH59" s="316"/>
      <c r="KKI59" s="316"/>
      <c r="KKJ59" s="316"/>
      <c r="KKK59" s="316"/>
      <c r="KKL59" s="316"/>
      <c r="KKM59" s="316"/>
      <c r="KKN59" s="316"/>
      <c r="KKO59" s="316"/>
      <c r="KKP59" s="316"/>
      <c r="KKQ59" s="316"/>
      <c r="KKR59" s="316"/>
      <c r="KKS59" s="316"/>
      <c r="KKT59" s="316"/>
      <c r="KKU59" s="316"/>
      <c r="KKV59" s="316"/>
      <c r="KKW59" s="316"/>
      <c r="KKX59" s="316"/>
      <c r="KKY59" s="316"/>
      <c r="KKZ59" s="316"/>
      <c r="KLA59" s="316"/>
      <c r="KLB59" s="316"/>
      <c r="KLC59" s="316"/>
      <c r="KLD59" s="316"/>
      <c r="KLE59" s="316"/>
      <c r="KLF59" s="316"/>
      <c r="KLG59" s="316"/>
      <c r="KLH59" s="316"/>
      <c r="KLI59" s="316"/>
      <c r="KLJ59" s="316"/>
      <c r="KLK59" s="316"/>
      <c r="KLL59" s="316"/>
      <c r="KLM59" s="316"/>
      <c r="KLN59" s="316"/>
      <c r="KLO59" s="316"/>
      <c r="KLP59" s="316"/>
      <c r="KLQ59" s="316"/>
      <c r="KLR59" s="316"/>
      <c r="KLS59" s="316"/>
      <c r="KLT59" s="316"/>
      <c r="KLU59" s="316"/>
      <c r="KLV59" s="316"/>
      <c r="KLW59" s="316"/>
      <c r="KLX59" s="316"/>
      <c r="KLY59" s="316"/>
      <c r="KLZ59" s="316"/>
      <c r="KMA59" s="316"/>
      <c r="KMB59" s="316"/>
      <c r="KMC59" s="316"/>
      <c r="KMD59" s="316"/>
      <c r="KME59" s="316"/>
      <c r="KMF59" s="316"/>
      <c r="KMG59" s="316"/>
      <c r="KMH59" s="316"/>
      <c r="KMI59" s="316"/>
      <c r="KMJ59" s="316"/>
      <c r="KMK59" s="316"/>
      <c r="KML59" s="316"/>
      <c r="KMM59" s="316"/>
      <c r="KMN59" s="316"/>
      <c r="KMO59" s="316"/>
      <c r="KMP59" s="316"/>
      <c r="KMQ59" s="316"/>
      <c r="KMR59" s="316"/>
      <c r="KMS59" s="316"/>
      <c r="KMT59" s="316"/>
      <c r="KMU59" s="316"/>
      <c r="KMV59" s="316"/>
      <c r="KMW59" s="316"/>
      <c r="KMX59" s="316"/>
      <c r="KMY59" s="316"/>
      <c r="KMZ59" s="316"/>
      <c r="KNA59" s="316"/>
      <c r="KNB59" s="316"/>
      <c r="KNC59" s="316"/>
      <c r="KND59" s="316"/>
      <c r="KNE59" s="316"/>
      <c r="KNF59" s="316"/>
      <c r="KNG59" s="316"/>
      <c r="KNH59" s="316"/>
      <c r="KNI59" s="316"/>
      <c r="KNJ59" s="316"/>
      <c r="KNK59" s="316"/>
      <c r="KNL59" s="316"/>
      <c r="KNM59" s="316"/>
      <c r="KNN59" s="316"/>
      <c r="KNO59" s="316"/>
      <c r="KNP59" s="316"/>
      <c r="KNQ59" s="316"/>
      <c r="KNR59" s="316"/>
      <c r="KNS59" s="316"/>
      <c r="KNT59" s="316"/>
      <c r="KNU59" s="316"/>
      <c r="KNV59" s="316"/>
      <c r="KNW59" s="316"/>
      <c r="KNX59" s="316"/>
      <c r="KNY59" s="316"/>
      <c r="KNZ59" s="316"/>
      <c r="KOA59" s="316"/>
      <c r="KOB59" s="316"/>
      <c r="KOC59" s="316"/>
      <c r="KOD59" s="316"/>
      <c r="KOE59" s="316"/>
      <c r="KOF59" s="316"/>
      <c r="KOG59" s="316"/>
      <c r="KOH59" s="316"/>
      <c r="KOI59" s="316"/>
      <c r="KOJ59" s="316"/>
      <c r="KOK59" s="316"/>
      <c r="KOL59" s="316"/>
      <c r="KOM59" s="316"/>
      <c r="KON59" s="316"/>
      <c r="KOO59" s="316"/>
      <c r="KOP59" s="316"/>
      <c r="KOQ59" s="316"/>
      <c r="KOR59" s="316"/>
      <c r="KOS59" s="316"/>
      <c r="KOT59" s="316"/>
      <c r="KOU59" s="316"/>
      <c r="KOV59" s="316"/>
      <c r="KOW59" s="316"/>
      <c r="KOX59" s="316"/>
      <c r="KOY59" s="316"/>
      <c r="KOZ59" s="316"/>
      <c r="KPA59" s="316"/>
      <c r="KPB59" s="316"/>
      <c r="KPC59" s="316"/>
      <c r="KPD59" s="316"/>
      <c r="KPE59" s="316"/>
      <c r="KPF59" s="316"/>
      <c r="KPG59" s="316"/>
      <c r="KPH59" s="316"/>
      <c r="KPI59" s="316"/>
      <c r="KPJ59" s="316"/>
      <c r="KPK59" s="316"/>
      <c r="KPL59" s="316"/>
      <c r="KPM59" s="316"/>
      <c r="KPN59" s="316"/>
      <c r="KPO59" s="316"/>
      <c r="KPP59" s="316"/>
      <c r="KPQ59" s="316"/>
      <c r="KPR59" s="316"/>
      <c r="KPS59" s="316"/>
      <c r="KPT59" s="316"/>
      <c r="KPU59" s="316"/>
      <c r="KPV59" s="316"/>
      <c r="KPW59" s="316"/>
      <c r="KPX59" s="316"/>
      <c r="KPY59" s="316"/>
      <c r="KPZ59" s="316"/>
      <c r="KQA59" s="316"/>
      <c r="KQB59" s="316"/>
      <c r="KQC59" s="316"/>
      <c r="KQD59" s="316"/>
      <c r="KQE59" s="316"/>
      <c r="KQF59" s="316"/>
      <c r="KQG59" s="316"/>
      <c r="KQH59" s="316"/>
      <c r="KQI59" s="316"/>
      <c r="KQJ59" s="316"/>
      <c r="KQK59" s="316"/>
      <c r="KQL59" s="316"/>
      <c r="KQM59" s="316"/>
      <c r="KQN59" s="316"/>
      <c r="KQO59" s="316"/>
      <c r="KQP59" s="316"/>
      <c r="KQQ59" s="316"/>
      <c r="KQR59" s="316"/>
      <c r="KQS59" s="316"/>
      <c r="KQT59" s="316"/>
      <c r="KQU59" s="316"/>
      <c r="KQV59" s="316"/>
      <c r="KQW59" s="316"/>
      <c r="KQX59" s="316"/>
      <c r="KQY59" s="316"/>
      <c r="KQZ59" s="316"/>
      <c r="KRA59" s="316"/>
      <c r="KRB59" s="316"/>
      <c r="KRC59" s="316"/>
      <c r="KRD59" s="316"/>
      <c r="KRE59" s="316"/>
      <c r="KRF59" s="316"/>
      <c r="KRG59" s="316"/>
      <c r="KRH59" s="316"/>
      <c r="KRI59" s="316"/>
      <c r="KRJ59" s="316"/>
      <c r="KRK59" s="316"/>
      <c r="KRL59" s="316"/>
      <c r="KRM59" s="316"/>
      <c r="KRN59" s="316"/>
      <c r="KRO59" s="316"/>
      <c r="KRP59" s="316"/>
      <c r="KRQ59" s="316"/>
      <c r="KRR59" s="316"/>
      <c r="KRS59" s="316"/>
      <c r="KRT59" s="316"/>
      <c r="KRU59" s="316"/>
      <c r="KRV59" s="316"/>
      <c r="KRW59" s="316"/>
      <c r="KRX59" s="316"/>
      <c r="KRY59" s="316"/>
      <c r="KRZ59" s="316"/>
      <c r="KSA59" s="316"/>
      <c r="KSB59" s="316"/>
      <c r="KSC59" s="316"/>
      <c r="KSD59" s="316"/>
      <c r="KSE59" s="316"/>
      <c r="KSF59" s="316"/>
      <c r="KSG59" s="316"/>
      <c r="KSH59" s="316"/>
      <c r="KSI59" s="316"/>
      <c r="KSJ59" s="316"/>
      <c r="KSK59" s="316"/>
      <c r="KSL59" s="316"/>
      <c r="KSM59" s="316"/>
      <c r="KSN59" s="316"/>
      <c r="KSO59" s="316"/>
      <c r="KSP59" s="316"/>
      <c r="KSQ59" s="316"/>
      <c r="KSR59" s="316"/>
      <c r="KSS59" s="316"/>
      <c r="KST59" s="316"/>
      <c r="KSU59" s="316"/>
      <c r="KSV59" s="316"/>
      <c r="KSW59" s="316"/>
      <c r="KSX59" s="316"/>
      <c r="KSY59" s="316"/>
      <c r="KSZ59" s="316"/>
      <c r="KTA59" s="316"/>
      <c r="KTB59" s="316"/>
      <c r="KTC59" s="316"/>
      <c r="KTD59" s="316"/>
      <c r="KTE59" s="316"/>
      <c r="KTF59" s="316"/>
      <c r="KTG59" s="316"/>
      <c r="KTH59" s="316"/>
      <c r="KTI59" s="316"/>
      <c r="KTJ59" s="316"/>
      <c r="KTK59" s="316"/>
      <c r="KTL59" s="316"/>
      <c r="KTM59" s="316"/>
      <c r="KTN59" s="316"/>
      <c r="KTO59" s="316"/>
      <c r="KTP59" s="316"/>
      <c r="KTQ59" s="316"/>
      <c r="KTR59" s="316"/>
      <c r="KTS59" s="316"/>
      <c r="KTT59" s="316"/>
      <c r="KTU59" s="316"/>
      <c r="KTV59" s="316"/>
      <c r="KTW59" s="316"/>
      <c r="KTX59" s="316"/>
      <c r="KTY59" s="316"/>
      <c r="KTZ59" s="316"/>
      <c r="KUA59" s="316"/>
      <c r="KUB59" s="316"/>
      <c r="KUC59" s="316"/>
      <c r="KUD59" s="316"/>
      <c r="KUE59" s="316"/>
      <c r="KUF59" s="316"/>
      <c r="KUG59" s="316"/>
      <c r="KUH59" s="316"/>
      <c r="KUI59" s="316"/>
      <c r="KUJ59" s="316"/>
      <c r="KUK59" s="316"/>
      <c r="KUL59" s="316"/>
      <c r="KUM59" s="316"/>
      <c r="KUN59" s="316"/>
      <c r="KUO59" s="316"/>
      <c r="KUP59" s="316"/>
      <c r="KUQ59" s="316"/>
      <c r="KUR59" s="316"/>
      <c r="KUS59" s="316"/>
      <c r="KUT59" s="316"/>
      <c r="KUU59" s="316"/>
      <c r="KUV59" s="316"/>
      <c r="KUW59" s="316"/>
      <c r="KUX59" s="316"/>
      <c r="KUY59" s="316"/>
      <c r="KUZ59" s="316"/>
      <c r="KVA59" s="316"/>
      <c r="KVB59" s="316"/>
      <c r="KVC59" s="316"/>
      <c r="KVD59" s="316"/>
      <c r="KVE59" s="316"/>
      <c r="KVF59" s="316"/>
      <c r="KVG59" s="316"/>
      <c r="KVH59" s="316"/>
      <c r="KVI59" s="316"/>
      <c r="KVJ59" s="316"/>
      <c r="KVK59" s="316"/>
      <c r="KVL59" s="316"/>
      <c r="KVM59" s="316"/>
      <c r="KVN59" s="316"/>
      <c r="KVO59" s="316"/>
      <c r="KVP59" s="316"/>
      <c r="KVQ59" s="316"/>
      <c r="KVR59" s="316"/>
      <c r="KVS59" s="316"/>
      <c r="KVT59" s="316"/>
      <c r="KVU59" s="316"/>
      <c r="KVV59" s="316"/>
      <c r="KVW59" s="316"/>
      <c r="KVX59" s="316"/>
      <c r="KVY59" s="316"/>
      <c r="KVZ59" s="316"/>
      <c r="KWA59" s="316"/>
      <c r="KWB59" s="316"/>
      <c r="KWC59" s="316"/>
      <c r="KWD59" s="316"/>
      <c r="KWE59" s="316"/>
      <c r="KWF59" s="316"/>
      <c r="KWG59" s="316"/>
      <c r="KWH59" s="316"/>
      <c r="KWI59" s="316"/>
      <c r="KWJ59" s="316"/>
      <c r="KWK59" s="316"/>
      <c r="KWL59" s="316"/>
      <c r="KWM59" s="316"/>
      <c r="KWN59" s="316"/>
      <c r="KWO59" s="316"/>
      <c r="KWP59" s="316"/>
      <c r="KWQ59" s="316"/>
      <c r="KWR59" s="316"/>
      <c r="KWS59" s="316"/>
      <c r="KWT59" s="316"/>
      <c r="KWU59" s="316"/>
      <c r="KWV59" s="316"/>
      <c r="KWW59" s="316"/>
      <c r="KWX59" s="316"/>
      <c r="KWY59" s="316"/>
      <c r="KWZ59" s="316"/>
      <c r="KXA59" s="316"/>
      <c r="KXB59" s="316"/>
      <c r="KXC59" s="316"/>
      <c r="KXD59" s="316"/>
      <c r="KXE59" s="316"/>
      <c r="KXF59" s="316"/>
      <c r="KXG59" s="316"/>
      <c r="KXH59" s="316"/>
      <c r="KXI59" s="316"/>
      <c r="KXJ59" s="316"/>
      <c r="KXK59" s="316"/>
      <c r="KXL59" s="316"/>
      <c r="KXM59" s="316"/>
      <c r="KXN59" s="316"/>
      <c r="KXO59" s="316"/>
      <c r="KXP59" s="316"/>
      <c r="KXQ59" s="316"/>
      <c r="KXR59" s="316"/>
      <c r="KXS59" s="316"/>
      <c r="KXT59" s="316"/>
      <c r="KXU59" s="316"/>
      <c r="KXV59" s="316"/>
      <c r="KXW59" s="316"/>
      <c r="KXX59" s="316"/>
      <c r="KXY59" s="316"/>
      <c r="KXZ59" s="316"/>
      <c r="KYA59" s="316"/>
      <c r="KYB59" s="316"/>
      <c r="KYC59" s="316"/>
      <c r="KYD59" s="316"/>
      <c r="KYE59" s="316"/>
      <c r="KYF59" s="316"/>
      <c r="KYG59" s="316"/>
      <c r="KYH59" s="316"/>
      <c r="KYI59" s="316"/>
      <c r="KYJ59" s="316"/>
      <c r="KYK59" s="316"/>
      <c r="KYL59" s="316"/>
      <c r="KYM59" s="316"/>
      <c r="KYN59" s="316"/>
      <c r="KYO59" s="316"/>
      <c r="KYP59" s="316"/>
      <c r="KYQ59" s="316"/>
      <c r="KYR59" s="316"/>
      <c r="KYS59" s="316"/>
      <c r="KYT59" s="316"/>
      <c r="KYU59" s="316"/>
      <c r="KYV59" s="316"/>
      <c r="KYW59" s="316"/>
      <c r="KYX59" s="316"/>
      <c r="KYY59" s="316"/>
      <c r="KYZ59" s="316"/>
      <c r="KZA59" s="316"/>
      <c r="KZB59" s="316"/>
      <c r="KZC59" s="316"/>
      <c r="KZD59" s="316"/>
      <c r="KZE59" s="316"/>
      <c r="KZF59" s="316"/>
      <c r="KZG59" s="316"/>
      <c r="KZH59" s="316"/>
      <c r="KZI59" s="316"/>
      <c r="KZJ59" s="316"/>
      <c r="KZK59" s="316"/>
      <c r="KZL59" s="316"/>
      <c r="KZM59" s="316"/>
      <c r="KZN59" s="316"/>
      <c r="KZO59" s="316"/>
      <c r="KZP59" s="316"/>
      <c r="KZQ59" s="316"/>
      <c r="KZR59" s="316"/>
      <c r="KZS59" s="316"/>
      <c r="KZT59" s="316"/>
      <c r="KZU59" s="316"/>
      <c r="KZV59" s="316"/>
      <c r="KZW59" s="316"/>
      <c r="KZX59" s="316"/>
      <c r="KZY59" s="316"/>
      <c r="KZZ59" s="316"/>
      <c r="LAA59" s="316"/>
      <c r="LAB59" s="316"/>
      <c r="LAC59" s="316"/>
      <c r="LAD59" s="316"/>
      <c r="LAE59" s="316"/>
      <c r="LAF59" s="316"/>
      <c r="LAG59" s="316"/>
      <c r="LAH59" s="316"/>
      <c r="LAI59" s="316"/>
      <c r="LAJ59" s="316"/>
      <c r="LAK59" s="316"/>
      <c r="LAL59" s="316"/>
      <c r="LAM59" s="316"/>
      <c r="LAN59" s="316"/>
      <c r="LAO59" s="316"/>
      <c r="LAP59" s="316"/>
      <c r="LAQ59" s="316"/>
      <c r="LAR59" s="316"/>
      <c r="LAS59" s="316"/>
      <c r="LAT59" s="316"/>
      <c r="LAU59" s="316"/>
      <c r="LAV59" s="316"/>
      <c r="LAW59" s="316"/>
      <c r="LAX59" s="316"/>
      <c r="LAY59" s="316"/>
      <c r="LAZ59" s="316"/>
      <c r="LBA59" s="316"/>
      <c r="LBB59" s="316"/>
      <c r="LBC59" s="316"/>
      <c r="LBD59" s="316"/>
      <c r="LBE59" s="316"/>
      <c r="LBF59" s="316"/>
      <c r="LBG59" s="316"/>
      <c r="LBH59" s="316"/>
      <c r="LBI59" s="316"/>
      <c r="LBJ59" s="316"/>
      <c r="LBK59" s="316"/>
      <c r="LBL59" s="316"/>
      <c r="LBM59" s="316"/>
      <c r="LBN59" s="316"/>
      <c r="LBO59" s="316"/>
      <c r="LBP59" s="316"/>
      <c r="LBQ59" s="316"/>
      <c r="LBR59" s="316"/>
      <c r="LBS59" s="316"/>
      <c r="LBT59" s="316"/>
      <c r="LBU59" s="316"/>
      <c r="LBV59" s="316"/>
      <c r="LBW59" s="316"/>
      <c r="LBX59" s="316"/>
      <c r="LBY59" s="316"/>
      <c r="LBZ59" s="316"/>
      <c r="LCA59" s="316"/>
      <c r="LCB59" s="316"/>
      <c r="LCC59" s="316"/>
      <c r="LCD59" s="316"/>
      <c r="LCE59" s="316"/>
      <c r="LCF59" s="316"/>
      <c r="LCG59" s="316"/>
      <c r="LCH59" s="316"/>
      <c r="LCI59" s="316"/>
      <c r="LCJ59" s="316"/>
      <c r="LCK59" s="316"/>
      <c r="LCL59" s="316"/>
      <c r="LCM59" s="316"/>
      <c r="LCN59" s="316"/>
      <c r="LCO59" s="316"/>
      <c r="LCP59" s="316"/>
      <c r="LCQ59" s="316"/>
      <c r="LCR59" s="316"/>
      <c r="LCS59" s="316"/>
      <c r="LCT59" s="316"/>
      <c r="LCU59" s="316"/>
      <c r="LCV59" s="316"/>
      <c r="LCW59" s="316"/>
      <c r="LCX59" s="316"/>
      <c r="LCY59" s="316"/>
      <c r="LCZ59" s="316"/>
      <c r="LDA59" s="316"/>
      <c r="LDB59" s="316"/>
      <c r="LDC59" s="316"/>
      <c r="LDD59" s="316"/>
      <c r="LDE59" s="316"/>
      <c r="LDF59" s="316"/>
      <c r="LDG59" s="316"/>
      <c r="LDH59" s="316"/>
      <c r="LDI59" s="316"/>
      <c r="LDJ59" s="316"/>
      <c r="LDK59" s="316"/>
      <c r="LDL59" s="316"/>
      <c r="LDM59" s="316"/>
      <c r="LDN59" s="316"/>
      <c r="LDO59" s="316"/>
      <c r="LDP59" s="316"/>
      <c r="LDQ59" s="316"/>
      <c r="LDR59" s="316"/>
      <c r="LDS59" s="316"/>
      <c r="LDT59" s="316"/>
      <c r="LDU59" s="316"/>
      <c r="LDV59" s="316"/>
      <c r="LDW59" s="316"/>
      <c r="LDX59" s="316"/>
      <c r="LDY59" s="316"/>
      <c r="LDZ59" s="316"/>
      <c r="LEA59" s="316"/>
      <c r="LEB59" s="316"/>
      <c r="LEC59" s="316"/>
      <c r="LED59" s="316"/>
      <c r="LEE59" s="316"/>
      <c r="LEF59" s="316"/>
      <c r="LEG59" s="316"/>
      <c r="LEH59" s="316"/>
      <c r="LEI59" s="316"/>
      <c r="LEJ59" s="316"/>
      <c r="LEK59" s="316"/>
      <c r="LEL59" s="316"/>
      <c r="LEM59" s="316"/>
      <c r="LEN59" s="316"/>
      <c r="LEO59" s="316"/>
      <c r="LEP59" s="316"/>
      <c r="LEQ59" s="316"/>
      <c r="LER59" s="316"/>
      <c r="LES59" s="316"/>
      <c r="LET59" s="316"/>
      <c r="LEU59" s="316"/>
      <c r="LEV59" s="316"/>
      <c r="LEW59" s="316"/>
      <c r="LEX59" s="316"/>
      <c r="LEY59" s="316"/>
      <c r="LEZ59" s="316"/>
      <c r="LFA59" s="316"/>
      <c r="LFB59" s="316"/>
      <c r="LFC59" s="316"/>
      <c r="LFD59" s="316"/>
      <c r="LFE59" s="316"/>
      <c r="LFF59" s="316"/>
      <c r="LFG59" s="316"/>
      <c r="LFH59" s="316"/>
      <c r="LFI59" s="316"/>
      <c r="LFJ59" s="316"/>
      <c r="LFK59" s="316"/>
      <c r="LFL59" s="316"/>
      <c r="LFM59" s="316"/>
      <c r="LFN59" s="316"/>
      <c r="LFO59" s="316"/>
      <c r="LFP59" s="316"/>
      <c r="LFQ59" s="316"/>
      <c r="LFR59" s="316"/>
      <c r="LFS59" s="316"/>
      <c r="LFT59" s="316"/>
      <c r="LFU59" s="316"/>
      <c r="LFV59" s="316"/>
      <c r="LFW59" s="316"/>
      <c r="LFX59" s="316"/>
      <c r="LFY59" s="316"/>
      <c r="LFZ59" s="316"/>
      <c r="LGA59" s="316"/>
      <c r="LGB59" s="316"/>
      <c r="LGC59" s="316"/>
      <c r="LGD59" s="316"/>
      <c r="LGE59" s="316"/>
      <c r="LGF59" s="316"/>
      <c r="LGG59" s="316"/>
      <c r="LGH59" s="316"/>
      <c r="LGI59" s="316"/>
      <c r="LGJ59" s="316"/>
      <c r="LGK59" s="316"/>
      <c r="LGL59" s="316"/>
      <c r="LGM59" s="316"/>
      <c r="LGN59" s="316"/>
      <c r="LGO59" s="316"/>
      <c r="LGP59" s="316"/>
      <c r="LGQ59" s="316"/>
      <c r="LGR59" s="316"/>
      <c r="LGS59" s="316"/>
      <c r="LGT59" s="316"/>
      <c r="LGU59" s="316"/>
      <c r="LGV59" s="316"/>
      <c r="LGW59" s="316"/>
      <c r="LGX59" s="316"/>
      <c r="LGY59" s="316"/>
      <c r="LGZ59" s="316"/>
      <c r="LHA59" s="316"/>
      <c r="LHB59" s="316"/>
      <c r="LHC59" s="316"/>
      <c r="LHD59" s="316"/>
      <c r="LHE59" s="316"/>
      <c r="LHF59" s="316"/>
      <c r="LHG59" s="316"/>
      <c r="LHH59" s="316"/>
      <c r="LHI59" s="316"/>
      <c r="LHJ59" s="316"/>
      <c r="LHK59" s="316"/>
      <c r="LHL59" s="316"/>
      <c r="LHM59" s="316"/>
      <c r="LHN59" s="316"/>
      <c r="LHO59" s="316"/>
      <c r="LHP59" s="316"/>
      <c r="LHQ59" s="316"/>
      <c r="LHR59" s="316"/>
      <c r="LHS59" s="316"/>
      <c r="LHT59" s="316"/>
      <c r="LHU59" s="316"/>
      <c r="LHV59" s="316"/>
      <c r="LHW59" s="316"/>
      <c r="LHX59" s="316"/>
      <c r="LHY59" s="316"/>
      <c r="LHZ59" s="316"/>
      <c r="LIA59" s="316"/>
      <c r="LIB59" s="316"/>
      <c r="LIC59" s="316"/>
      <c r="LID59" s="316"/>
      <c r="LIE59" s="316"/>
      <c r="LIF59" s="316"/>
      <c r="LIG59" s="316"/>
      <c r="LIH59" s="316"/>
      <c r="LII59" s="316"/>
      <c r="LIJ59" s="316"/>
      <c r="LIK59" s="316"/>
      <c r="LIL59" s="316"/>
      <c r="LIM59" s="316"/>
      <c r="LIN59" s="316"/>
      <c r="LIO59" s="316"/>
      <c r="LIP59" s="316"/>
      <c r="LIQ59" s="316"/>
      <c r="LIR59" s="316"/>
      <c r="LIS59" s="316"/>
      <c r="LIT59" s="316"/>
      <c r="LIU59" s="316"/>
      <c r="LIV59" s="316"/>
      <c r="LIW59" s="316"/>
      <c r="LIX59" s="316"/>
      <c r="LIY59" s="316"/>
      <c r="LIZ59" s="316"/>
      <c r="LJA59" s="316"/>
      <c r="LJB59" s="316"/>
      <c r="LJC59" s="316"/>
      <c r="LJD59" s="316"/>
      <c r="LJE59" s="316"/>
      <c r="LJF59" s="316"/>
      <c r="LJG59" s="316"/>
      <c r="LJH59" s="316"/>
      <c r="LJI59" s="316"/>
      <c r="LJJ59" s="316"/>
      <c r="LJK59" s="316"/>
      <c r="LJL59" s="316"/>
      <c r="LJM59" s="316"/>
      <c r="LJN59" s="316"/>
      <c r="LJO59" s="316"/>
      <c r="LJP59" s="316"/>
      <c r="LJQ59" s="316"/>
      <c r="LJR59" s="316"/>
      <c r="LJS59" s="316"/>
      <c r="LJT59" s="316"/>
      <c r="LJU59" s="316"/>
      <c r="LJV59" s="316"/>
      <c r="LJW59" s="316"/>
      <c r="LJX59" s="316"/>
      <c r="LJY59" s="316"/>
      <c r="LJZ59" s="316"/>
      <c r="LKA59" s="316"/>
      <c r="LKB59" s="316"/>
      <c r="LKC59" s="316"/>
      <c r="LKD59" s="316"/>
      <c r="LKE59" s="316"/>
      <c r="LKF59" s="316"/>
      <c r="LKG59" s="316"/>
      <c r="LKH59" s="316"/>
      <c r="LKI59" s="316"/>
      <c r="LKJ59" s="316"/>
      <c r="LKK59" s="316"/>
      <c r="LKL59" s="316"/>
      <c r="LKM59" s="316"/>
      <c r="LKN59" s="316"/>
      <c r="LKO59" s="316"/>
      <c r="LKP59" s="316"/>
      <c r="LKQ59" s="316"/>
      <c r="LKR59" s="316"/>
      <c r="LKS59" s="316"/>
      <c r="LKT59" s="316"/>
      <c r="LKU59" s="316"/>
      <c r="LKV59" s="316"/>
      <c r="LKW59" s="316"/>
      <c r="LKX59" s="316"/>
      <c r="LKY59" s="316"/>
      <c r="LKZ59" s="316"/>
      <c r="LLA59" s="316"/>
      <c r="LLB59" s="316"/>
      <c r="LLC59" s="316"/>
      <c r="LLD59" s="316"/>
      <c r="LLE59" s="316"/>
      <c r="LLF59" s="316"/>
      <c r="LLG59" s="316"/>
      <c r="LLH59" s="316"/>
      <c r="LLI59" s="316"/>
      <c r="LLJ59" s="316"/>
      <c r="LLK59" s="316"/>
      <c r="LLL59" s="316"/>
      <c r="LLM59" s="316"/>
      <c r="LLN59" s="316"/>
      <c r="LLO59" s="316"/>
      <c r="LLP59" s="316"/>
      <c r="LLQ59" s="316"/>
      <c r="LLR59" s="316"/>
      <c r="LLS59" s="316"/>
      <c r="LLT59" s="316"/>
      <c r="LLU59" s="316"/>
      <c r="LLV59" s="316"/>
      <c r="LLW59" s="316"/>
      <c r="LLX59" s="316"/>
      <c r="LLY59" s="316"/>
      <c r="LLZ59" s="316"/>
      <c r="LMA59" s="316"/>
      <c r="LMB59" s="316"/>
      <c r="LMC59" s="316"/>
      <c r="LMD59" s="316"/>
      <c r="LME59" s="316"/>
      <c r="LMF59" s="316"/>
      <c r="LMG59" s="316"/>
      <c r="LMH59" s="316"/>
      <c r="LMI59" s="316"/>
      <c r="LMJ59" s="316"/>
      <c r="LMK59" s="316"/>
      <c r="LML59" s="316"/>
      <c r="LMM59" s="316"/>
      <c r="LMN59" s="316"/>
      <c r="LMO59" s="316"/>
      <c r="LMP59" s="316"/>
      <c r="LMQ59" s="316"/>
      <c r="LMR59" s="316"/>
      <c r="LMS59" s="316"/>
      <c r="LMT59" s="316"/>
      <c r="LMU59" s="316"/>
      <c r="LMV59" s="316"/>
      <c r="LMW59" s="316"/>
      <c r="LMX59" s="316"/>
      <c r="LMY59" s="316"/>
      <c r="LMZ59" s="316"/>
      <c r="LNA59" s="316"/>
      <c r="LNB59" s="316"/>
      <c r="LNC59" s="316"/>
      <c r="LND59" s="316"/>
      <c r="LNE59" s="316"/>
      <c r="LNF59" s="316"/>
      <c r="LNG59" s="316"/>
      <c r="LNH59" s="316"/>
      <c r="LNI59" s="316"/>
      <c r="LNJ59" s="316"/>
      <c r="LNK59" s="316"/>
      <c r="LNL59" s="316"/>
      <c r="LNM59" s="316"/>
      <c r="LNN59" s="316"/>
      <c r="LNO59" s="316"/>
      <c r="LNP59" s="316"/>
      <c r="LNQ59" s="316"/>
      <c r="LNR59" s="316"/>
      <c r="LNS59" s="316"/>
      <c r="LNT59" s="316"/>
      <c r="LNU59" s="316"/>
      <c r="LNV59" s="316"/>
      <c r="LNW59" s="316"/>
      <c r="LNX59" s="316"/>
      <c r="LNY59" s="316"/>
      <c r="LNZ59" s="316"/>
      <c r="LOA59" s="316"/>
      <c r="LOB59" s="316"/>
      <c r="LOC59" s="316"/>
      <c r="LOD59" s="316"/>
      <c r="LOE59" s="316"/>
      <c r="LOF59" s="316"/>
      <c r="LOG59" s="316"/>
      <c r="LOH59" s="316"/>
      <c r="LOI59" s="316"/>
      <c r="LOJ59" s="316"/>
      <c r="LOK59" s="316"/>
      <c r="LOL59" s="316"/>
      <c r="LOM59" s="316"/>
      <c r="LON59" s="316"/>
      <c r="LOO59" s="316"/>
      <c r="LOP59" s="316"/>
      <c r="LOQ59" s="316"/>
      <c r="LOR59" s="316"/>
      <c r="LOS59" s="316"/>
      <c r="LOT59" s="316"/>
      <c r="LOU59" s="316"/>
      <c r="LOV59" s="316"/>
      <c r="LOW59" s="316"/>
      <c r="LOX59" s="316"/>
      <c r="LOY59" s="316"/>
      <c r="LOZ59" s="316"/>
      <c r="LPA59" s="316"/>
      <c r="LPB59" s="316"/>
      <c r="LPC59" s="316"/>
      <c r="LPD59" s="316"/>
      <c r="LPE59" s="316"/>
      <c r="LPF59" s="316"/>
      <c r="LPG59" s="316"/>
      <c r="LPH59" s="316"/>
      <c r="LPI59" s="316"/>
      <c r="LPJ59" s="316"/>
      <c r="LPK59" s="316"/>
      <c r="LPL59" s="316"/>
      <c r="LPM59" s="316"/>
      <c r="LPN59" s="316"/>
      <c r="LPO59" s="316"/>
      <c r="LPP59" s="316"/>
      <c r="LPQ59" s="316"/>
      <c r="LPR59" s="316"/>
      <c r="LPS59" s="316"/>
      <c r="LPT59" s="316"/>
      <c r="LPU59" s="316"/>
      <c r="LPV59" s="316"/>
      <c r="LPW59" s="316"/>
      <c r="LPX59" s="316"/>
      <c r="LPY59" s="316"/>
      <c r="LPZ59" s="316"/>
      <c r="LQA59" s="316"/>
      <c r="LQB59" s="316"/>
      <c r="LQC59" s="316"/>
      <c r="LQD59" s="316"/>
      <c r="LQE59" s="316"/>
      <c r="LQF59" s="316"/>
      <c r="LQG59" s="316"/>
      <c r="LQH59" s="316"/>
      <c r="LQI59" s="316"/>
      <c r="LQJ59" s="316"/>
      <c r="LQK59" s="316"/>
      <c r="LQL59" s="316"/>
      <c r="LQM59" s="316"/>
      <c r="LQN59" s="316"/>
      <c r="LQO59" s="316"/>
      <c r="LQP59" s="316"/>
      <c r="LQQ59" s="316"/>
      <c r="LQR59" s="316"/>
      <c r="LQS59" s="316"/>
      <c r="LQT59" s="316"/>
      <c r="LQU59" s="316"/>
      <c r="LQV59" s="316"/>
      <c r="LQW59" s="316"/>
      <c r="LQX59" s="316"/>
      <c r="LQY59" s="316"/>
      <c r="LQZ59" s="316"/>
      <c r="LRA59" s="316"/>
      <c r="LRB59" s="316"/>
      <c r="LRC59" s="316"/>
      <c r="LRD59" s="316"/>
      <c r="LRE59" s="316"/>
      <c r="LRF59" s="316"/>
      <c r="LRG59" s="316"/>
      <c r="LRH59" s="316"/>
      <c r="LRI59" s="316"/>
      <c r="LRJ59" s="316"/>
      <c r="LRK59" s="316"/>
      <c r="LRL59" s="316"/>
      <c r="LRM59" s="316"/>
      <c r="LRN59" s="316"/>
      <c r="LRO59" s="316"/>
      <c r="LRP59" s="316"/>
      <c r="LRQ59" s="316"/>
      <c r="LRR59" s="316"/>
      <c r="LRS59" s="316"/>
      <c r="LRT59" s="316"/>
      <c r="LRU59" s="316"/>
      <c r="LRV59" s="316"/>
      <c r="LRW59" s="316"/>
      <c r="LRX59" s="316"/>
      <c r="LRY59" s="316"/>
      <c r="LRZ59" s="316"/>
      <c r="LSA59" s="316"/>
      <c r="LSB59" s="316"/>
      <c r="LSC59" s="316"/>
      <c r="LSD59" s="316"/>
      <c r="LSE59" s="316"/>
      <c r="LSF59" s="316"/>
      <c r="LSG59" s="316"/>
      <c r="LSH59" s="316"/>
      <c r="LSI59" s="316"/>
      <c r="LSJ59" s="316"/>
      <c r="LSK59" s="316"/>
      <c r="LSL59" s="316"/>
      <c r="LSM59" s="316"/>
      <c r="LSN59" s="316"/>
      <c r="LSO59" s="316"/>
      <c r="LSP59" s="316"/>
      <c r="LSQ59" s="316"/>
      <c r="LSR59" s="316"/>
      <c r="LSS59" s="316"/>
      <c r="LST59" s="316"/>
      <c r="LSU59" s="316"/>
      <c r="LSV59" s="316"/>
      <c r="LSW59" s="316"/>
      <c r="LSX59" s="316"/>
      <c r="LSY59" s="316"/>
      <c r="LSZ59" s="316"/>
      <c r="LTA59" s="316"/>
      <c r="LTB59" s="316"/>
      <c r="LTC59" s="316"/>
      <c r="LTD59" s="316"/>
      <c r="LTE59" s="316"/>
      <c r="LTF59" s="316"/>
      <c r="LTG59" s="316"/>
      <c r="LTH59" s="316"/>
      <c r="LTI59" s="316"/>
      <c r="LTJ59" s="316"/>
      <c r="LTK59" s="316"/>
      <c r="LTL59" s="316"/>
      <c r="LTM59" s="316"/>
      <c r="LTN59" s="316"/>
      <c r="LTO59" s="316"/>
      <c r="LTP59" s="316"/>
      <c r="LTQ59" s="316"/>
      <c r="LTR59" s="316"/>
      <c r="LTS59" s="316"/>
      <c r="LTT59" s="316"/>
      <c r="LTU59" s="316"/>
      <c r="LTV59" s="316"/>
      <c r="LTW59" s="316"/>
      <c r="LTX59" s="316"/>
      <c r="LTY59" s="316"/>
      <c r="LTZ59" s="316"/>
      <c r="LUA59" s="316"/>
      <c r="LUB59" s="316"/>
      <c r="LUC59" s="316"/>
      <c r="LUD59" s="316"/>
      <c r="LUE59" s="316"/>
      <c r="LUF59" s="316"/>
      <c r="LUG59" s="316"/>
      <c r="LUH59" s="316"/>
      <c r="LUI59" s="316"/>
      <c r="LUJ59" s="316"/>
      <c r="LUK59" s="316"/>
      <c r="LUL59" s="316"/>
      <c r="LUM59" s="316"/>
      <c r="LUN59" s="316"/>
      <c r="LUO59" s="316"/>
      <c r="LUP59" s="316"/>
      <c r="LUQ59" s="316"/>
      <c r="LUR59" s="316"/>
      <c r="LUS59" s="316"/>
      <c r="LUT59" s="316"/>
      <c r="LUU59" s="316"/>
      <c r="LUV59" s="316"/>
      <c r="LUW59" s="316"/>
      <c r="LUX59" s="316"/>
      <c r="LUY59" s="316"/>
      <c r="LUZ59" s="316"/>
      <c r="LVA59" s="316"/>
      <c r="LVB59" s="316"/>
      <c r="LVC59" s="316"/>
      <c r="LVD59" s="316"/>
      <c r="LVE59" s="316"/>
      <c r="LVF59" s="316"/>
      <c r="LVG59" s="316"/>
      <c r="LVH59" s="316"/>
      <c r="LVI59" s="316"/>
      <c r="LVJ59" s="316"/>
      <c r="LVK59" s="316"/>
      <c r="LVL59" s="316"/>
      <c r="LVM59" s="316"/>
      <c r="LVN59" s="316"/>
      <c r="LVO59" s="316"/>
      <c r="LVP59" s="316"/>
      <c r="LVQ59" s="316"/>
      <c r="LVR59" s="316"/>
      <c r="LVS59" s="316"/>
      <c r="LVT59" s="316"/>
      <c r="LVU59" s="316"/>
      <c r="LVV59" s="316"/>
      <c r="LVW59" s="316"/>
      <c r="LVX59" s="316"/>
      <c r="LVY59" s="316"/>
      <c r="LVZ59" s="316"/>
      <c r="LWA59" s="316"/>
      <c r="LWB59" s="316"/>
      <c r="LWC59" s="316"/>
      <c r="LWD59" s="316"/>
      <c r="LWE59" s="316"/>
      <c r="LWF59" s="316"/>
      <c r="LWG59" s="316"/>
      <c r="LWH59" s="316"/>
      <c r="LWI59" s="316"/>
      <c r="LWJ59" s="316"/>
      <c r="LWK59" s="316"/>
      <c r="LWL59" s="316"/>
      <c r="LWM59" s="316"/>
      <c r="LWN59" s="316"/>
      <c r="LWO59" s="316"/>
      <c r="LWP59" s="316"/>
      <c r="LWQ59" s="316"/>
      <c r="LWR59" s="316"/>
      <c r="LWS59" s="316"/>
      <c r="LWT59" s="316"/>
      <c r="LWU59" s="316"/>
      <c r="LWV59" s="316"/>
      <c r="LWW59" s="316"/>
      <c r="LWX59" s="316"/>
      <c r="LWY59" s="316"/>
      <c r="LWZ59" s="316"/>
      <c r="LXA59" s="316"/>
      <c r="LXB59" s="316"/>
      <c r="LXC59" s="316"/>
      <c r="LXD59" s="316"/>
      <c r="LXE59" s="316"/>
      <c r="LXF59" s="316"/>
      <c r="LXG59" s="316"/>
      <c r="LXH59" s="316"/>
      <c r="LXI59" s="316"/>
      <c r="LXJ59" s="316"/>
      <c r="LXK59" s="316"/>
      <c r="LXL59" s="316"/>
      <c r="LXM59" s="316"/>
      <c r="LXN59" s="316"/>
      <c r="LXO59" s="316"/>
      <c r="LXP59" s="316"/>
      <c r="LXQ59" s="316"/>
      <c r="LXR59" s="316"/>
      <c r="LXS59" s="316"/>
      <c r="LXT59" s="316"/>
      <c r="LXU59" s="316"/>
      <c r="LXV59" s="316"/>
      <c r="LXW59" s="316"/>
      <c r="LXX59" s="316"/>
      <c r="LXY59" s="316"/>
      <c r="LXZ59" s="316"/>
      <c r="LYA59" s="316"/>
      <c r="LYB59" s="316"/>
      <c r="LYC59" s="316"/>
      <c r="LYD59" s="316"/>
      <c r="LYE59" s="316"/>
      <c r="LYF59" s="316"/>
      <c r="LYG59" s="316"/>
      <c r="LYH59" s="316"/>
      <c r="LYI59" s="316"/>
      <c r="LYJ59" s="316"/>
      <c r="LYK59" s="316"/>
      <c r="LYL59" s="316"/>
      <c r="LYM59" s="316"/>
      <c r="LYN59" s="316"/>
      <c r="LYO59" s="316"/>
      <c r="LYP59" s="316"/>
      <c r="LYQ59" s="316"/>
      <c r="LYR59" s="316"/>
      <c r="LYS59" s="316"/>
      <c r="LYT59" s="316"/>
      <c r="LYU59" s="316"/>
      <c r="LYV59" s="316"/>
      <c r="LYW59" s="316"/>
      <c r="LYX59" s="316"/>
      <c r="LYY59" s="316"/>
      <c r="LYZ59" s="316"/>
      <c r="LZA59" s="316"/>
      <c r="LZB59" s="316"/>
      <c r="LZC59" s="316"/>
      <c r="LZD59" s="316"/>
      <c r="LZE59" s="316"/>
      <c r="LZF59" s="316"/>
      <c r="LZG59" s="316"/>
      <c r="LZH59" s="316"/>
      <c r="LZI59" s="316"/>
      <c r="LZJ59" s="316"/>
      <c r="LZK59" s="316"/>
      <c r="LZL59" s="316"/>
      <c r="LZM59" s="316"/>
      <c r="LZN59" s="316"/>
      <c r="LZO59" s="316"/>
      <c r="LZP59" s="316"/>
      <c r="LZQ59" s="316"/>
      <c r="LZR59" s="316"/>
      <c r="LZS59" s="316"/>
      <c r="LZT59" s="316"/>
      <c r="LZU59" s="316"/>
      <c r="LZV59" s="316"/>
      <c r="LZW59" s="316"/>
      <c r="LZX59" s="316"/>
      <c r="LZY59" s="316"/>
      <c r="LZZ59" s="316"/>
      <c r="MAA59" s="316"/>
      <c r="MAB59" s="316"/>
      <c r="MAC59" s="316"/>
      <c r="MAD59" s="316"/>
      <c r="MAE59" s="316"/>
      <c r="MAF59" s="316"/>
      <c r="MAG59" s="316"/>
      <c r="MAH59" s="316"/>
      <c r="MAI59" s="316"/>
      <c r="MAJ59" s="316"/>
      <c r="MAK59" s="316"/>
      <c r="MAL59" s="316"/>
      <c r="MAM59" s="316"/>
      <c r="MAN59" s="316"/>
      <c r="MAO59" s="316"/>
      <c r="MAP59" s="316"/>
      <c r="MAQ59" s="316"/>
      <c r="MAR59" s="316"/>
      <c r="MAS59" s="316"/>
      <c r="MAT59" s="316"/>
      <c r="MAU59" s="316"/>
      <c r="MAV59" s="316"/>
      <c r="MAW59" s="316"/>
      <c r="MAX59" s="316"/>
      <c r="MAY59" s="316"/>
      <c r="MAZ59" s="316"/>
      <c r="MBA59" s="316"/>
      <c r="MBB59" s="316"/>
      <c r="MBC59" s="316"/>
      <c r="MBD59" s="316"/>
      <c r="MBE59" s="316"/>
      <c r="MBF59" s="316"/>
      <c r="MBG59" s="316"/>
      <c r="MBH59" s="316"/>
      <c r="MBI59" s="316"/>
      <c r="MBJ59" s="316"/>
      <c r="MBK59" s="316"/>
      <c r="MBL59" s="316"/>
      <c r="MBM59" s="316"/>
      <c r="MBN59" s="316"/>
      <c r="MBO59" s="316"/>
      <c r="MBP59" s="316"/>
      <c r="MBQ59" s="316"/>
      <c r="MBR59" s="316"/>
      <c r="MBS59" s="316"/>
      <c r="MBT59" s="316"/>
      <c r="MBU59" s="316"/>
      <c r="MBV59" s="316"/>
      <c r="MBW59" s="316"/>
      <c r="MBX59" s="316"/>
      <c r="MBY59" s="316"/>
      <c r="MBZ59" s="316"/>
      <c r="MCA59" s="316"/>
      <c r="MCB59" s="316"/>
      <c r="MCC59" s="316"/>
      <c r="MCD59" s="316"/>
      <c r="MCE59" s="316"/>
      <c r="MCF59" s="316"/>
      <c r="MCG59" s="316"/>
      <c r="MCH59" s="316"/>
      <c r="MCI59" s="316"/>
      <c r="MCJ59" s="316"/>
      <c r="MCK59" s="316"/>
      <c r="MCL59" s="316"/>
      <c r="MCM59" s="316"/>
      <c r="MCN59" s="316"/>
      <c r="MCO59" s="316"/>
      <c r="MCP59" s="316"/>
      <c r="MCQ59" s="316"/>
      <c r="MCR59" s="316"/>
      <c r="MCS59" s="316"/>
      <c r="MCT59" s="316"/>
      <c r="MCU59" s="316"/>
      <c r="MCV59" s="316"/>
      <c r="MCW59" s="316"/>
      <c r="MCX59" s="316"/>
      <c r="MCY59" s="316"/>
      <c r="MCZ59" s="316"/>
      <c r="MDA59" s="316"/>
      <c r="MDB59" s="316"/>
      <c r="MDC59" s="316"/>
      <c r="MDD59" s="316"/>
      <c r="MDE59" s="316"/>
      <c r="MDF59" s="316"/>
      <c r="MDG59" s="316"/>
      <c r="MDH59" s="316"/>
      <c r="MDI59" s="316"/>
      <c r="MDJ59" s="316"/>
      <c r="MDK59" s="316"/>
      <c r="MDL59" s="316"/>
      <c r="MDM59" s="316"/>
      <c r="MDN59" s="316"/>
      <c r="MDO59" s="316"/>
      <c r="MDP59" s="316"/>
      <c r="MDQ59" s="316"/>
      <c r="MDR59" s="316"/>
      <c r="MDS59" s="316"/>
      <c r="MDT59" s="316"/>
      <c r="MDU59" s="316"/>
      <c r="MDV59" s="316"/>
      <c r="MDW59" s="316"/>
      <c r="MDX59" s="316"/>
      <c r="MDY59" s="316"/>
      <c r="MDZ59" s="316"/>
      <c r="MEA59" s="316"/>
      <c r="MEB59" s="316"/>
      <c r="MEC59" s="316"/>
      <c r="MED59" s="316"/>
      <c r="MEE59" s="316"/>
      <c r="MEF59" s="316"/>
      <c r="MEG59" s="316"/>
      <c r="MEH59" s="316"/>
      <c r="MEI59" s="316"/>
      <c r="MEJ59" s="316"/>
      <c r="MEK59" s="316"/>
      <c r="MEL59" s="316"/>
      <c r="MEM59" s="316"/>
      <c r="MEN59" s="316"/>
      <c r="MEO59" s="316"/>
      <c r="MEP59" s="316"/>
      <c r="MEQ59" s="316"/>
      <c r="MER59" s="316"/>
      <c r="MES59" s="316"/>
      <c r="MET59" s="316"/>
      <c r="MEU59" s="316"/>
      <c r="MEV59" s="316"/>
      <c r="MEW59" s="316"/>
      <c r="MEX59" s="316"/>
      <c r="MEY59" s="316"/>
      <c r="MEZ59" s="316"/>
      <c r="MFA59" s="316"/>
      <c r="MFB59" s="316"/>
      <c r="MFC59" s="316"/>
      <c r="MFD59" s="316"/>
      <c r="MFE59" s="316"/>
      <c r="MFF59" s="316"/>
      <c r="MFG59" s="316"/>
      <c r="MFH59" s="316"/>
      <c r="MFI59" s="316"/>
      <c r="MFJ59" s="316"/>
      <c r="MFK59" s="316"/>
      <c r="MFL59" s="316"/>
      <c r="MFM59" s="316"/>
      <c r="MFN59" s="316"/>
      <c r="MFO59" s="316"/>
      <c r="MFP59" s="316"/>
      <c r="MFQ59" s="316"/>
      <c r="MFR59" s="316"/>
      <c r="MFS59" s="316"/>
      <c r="MFT59" s="316"/>
      <c r="MFU59" s="316"/>
      <c r="MFV59" s="316"/>
      <c r="MFW59" s="316"/>
      <c r="MFX59" s="316"/>
      <c r="MFY59" s="316"/>
      <c r="MFZ59" s="316"/>
      <c r="MGA59" s="316"/>
      <c r="MGB59" s="316"/>
      <c r="MGC59" s="316"/>
      <c r="MGD59" s="316"/>
      <c r="MGE59" s="316"/>
      <c r="MGF59" s="316"/>
      <c r="MGG59" s="316"/>
      <c r="MGH59" s="316"/>
      <c r="MGI59" s="316"/>
      <c r="MGJ59" s="316"/>
      <c r="MGK59" s="316"/>
      <c r="MGL59" s="316"/>
      <c r="MGM59" s="316"/>
      <c r="MGN59" s="316"/>
      <c r="MGO59" s="316"/>
      <c r="MGP59" s="316"/>
      <c r="MGQ59" s="316"/>
      <c r="MGR59" s="316"/>
      <c r="MGS59" s="316"/>
      <c r="MGT59" s="316"/>
      <c r="MGU59" s="316"/>
      <c r="MGV59" s="316"/>
      <c r="MGW59" s="316"/>
      <c r="MGX59" s="316"/>
      <c r="MGY59" s="316"/>
      <c r="MGZ59" s="316"/>
      <c r="MHA59" s="316"/>
      <c r="MHB59" s="316"/>
      <c r="MHC59" s="316"/>
      <c r="MHD59" s="316"/>
      <c r="MHE59" s="316"/>
      <c r="MHF59" s="316"/>
      <c r="MHG59" s="316"/>
      <c r="MHH59" s="316"/>
      <c r="MHI59" s="316"/>
      <c r="MHJ59" s="316"/>
      <c r="MHK59" s="316"/>
      <c r="MHL59" s="316"/>
      <c r="MHM59" s="316"/>
      <c r="MHN59" s="316"/>
      <c r="MHO59" s="316"/>
      <c r="MHP59" s="316"/>
      <c r="MHQ59" s="316"/>
      <c r="MHR59" s="316"/>
      <c r="MHS59" s="316"/>
      <c r="MHT59" s="316"/>
      <c r="MHU59" s="316"/>
      <c r="MHV59" s="316"/>
      <c r="MHW59" s="316"/>
      <c r="MHX59" s="316"/>
      <c r="MHY59" s="316"/>
      <c r="MHZ59" s="316"/>
      <c r="MIA59" s="316"/>
      <c r="MIB59" s="316"/>
      <c r="MIC59" s="316"/>
      <c r="MID59" s="316"/>
      <c r="MIE59" s="316"/>
      <c r="MIF59" s="316"/>
      <c r="MIG59" s="316"/>
      <c r="MIH59" s="316"/>
      <c r="MII59" s="316"/>
      <c r="MIJ59" s="316"/>
      <c r="MIK59" s="316"/>
      <c r="MIL59" s="316"/>
      <c r="MIM59" s="316"/>
      <c r="MIN59" s="316"/>
      <c r="MIO59" s="316"/>
      <c r="MIP59" s="316"/>
      <c r="MIQ59" s="316"/>
      <c r="MIR59" s="316"/>
      <c r="MIS59" s="316"/>
      <c r="MIT59" s="316"/>
      <c r="MIU59" s="316"/>
      <c r="MIV59" s="316"/>
      <c r="MIW59" s="316"/>
      <c r="MIX59" s="316"/>
      <c r="MIY59" s="316"/>
      <c r="MIZ59" s="316"/>
      <c r="MJA59" s="316"/>
      <c r="MJB59" s="316"/>
      <c r="MJC59" s="316"/>
      <c r="MJD59" s="316"/>
      <c r="MJE59" s="316"/>
      <c r="MJF59" s="316"/>
      <c r="MJG59" s="316"/>
      <c r="MJH59" s="316"/>
      <c r="MJI59" s="316"/>
      <c r="MJJ59" s="316"/>
      <c r="MJK59" s="316"/>
      <c r="MJL59" s="316"/>
      <c r="MJM59" s="316"/>
      <c r="MJN59" s="316"/>
      <c r="MJO59" s="316"/>
      <c r="MJP59" s="316"/>
      <c r="MJQ59" s="316"/>
      <c r="MJR59" s="316"/>
      <c r="MJS59" s="316"/>
      <c r="MJT59" s="316"/>
      <c r="MJU59" s="316"/>
      <c r="MJV59" s="316"/>
      <c r="MJW59" s="316"/>
      <c r="MJX59" s="316"/>
      <c r="MJY59" s="316"/>
      <c r="MJZ59" s="316"/>
      <c r="MKA59" s="316"/>
      <c r="MKB59" s="316"/>
      <c r="MKC59" s="316"/>
      <c r="MKD59" s="316"/>
      <c r="MKE59" s="316"/>
      <c r="MKF59" s="316"/>
      <c r="MKG59" s="316"/>
      <c r="MKH59" s="316"/>
      <c r="MKI59" s="316"/>
      <c r="MKJ59" s="316"/>
      <c r="MKK59" s="316"/>
      <c r="MKL59" s="316"/>
      <c r="MKM59" s="316"/>
      <c r="MKN59" s="316"/>
      <c r="MKO59" s="316"/>
      <c r="MKP59" s="316"/>
      <c r="MKQ59" s="316"/>
      <c r="MKR59" s="316"/>
      <c r="MKS59" s="316"/>
      <c r="MKT59" s="316"/>
      <c r="MKU59" s="316"/>
      <c r="MKV59" s="316"/>
      <c r="MKW59" s="316"/>
      <c r="MKX59" s="316"/>
      <c r="MKY59" s="316"/>
      <c r="MKZ59" s="316"/>
      <c r="MLA59" s="316"/>
      <c r="MLB59" s="316"/>
      <c r="MLC59" s="316"/>
      <c r="MLD59" s="316"/>
      <c r="MLE59" s="316"/>
      <c r="MLF59" s="316"/>
      <c r="MLG59" s="316"/>
      <c r="MLH59" s="316"/>
      <c r="MLI59" s="316"/>
      <c r="MLJ59" s="316"/>
      <c r="MLK59" s="316"/>
      <c r="MLL59" s="316"/>
      <c r="MLM59" s="316"/>
      <c r="MLN59" s="316"/>
      <c r="MLO59" s="316"/>
      <c r="MLP59" s="316"/>
      <c r="MLQ59" s="316"/>
      <c r="MLR59" s="316"/>
      <c r="MLS59" s="316"/>
      <c r="MLT59" s="316"/>
      <c r="MLU59" s="316"/>
      <c r="MLV59" s="316"/>
      <c r="MLW59" s="316"/>
      <c r="MLX59" s="316"/>
      <c r="MLY59" s="316"/>
      <c r="MLZ59" s="316"/>
      <c r="MMA59" s="316"/>
      <c r="MMB59" s="316"/>
      <c r="MMC59" s="316"/>
      <c r="MMD59" s="316"/>
      <c r="MME59" s="316"/>
      <c r="MMF59" s="316"/>
      <c r="MMG59" s="316"/>
      <c r="MMH59" s="316"/>
      <c r="MMI59" s="316"/>
      <c r="MMJ59" s="316"/>
      <c r="MMK59" s="316"/>
      <c r="MML59" s="316"/>
      <c r="MMM59" s="316"/>
      <c r="MMN59" s="316"/>
      <c r="MMO59" s="316"/>
      <c r="MMP59" s="316"/>
      <c r="MMQ59" s="316"/>
      <c r="MMR59" s="316"/>
      <c r="MMS59" s="316"/>
      <c r="MMT59" s="316"/>
      <c r="MMU59" s="316"/>
      <c r="MMV59" s="316"/>
      <c r="MMW59" s="316"/>
      <c r="MMX59" s="316"/>
      <c r="MMY59" s="316"/>
      <c r="MMZ59" s="316"/>
      <c r="MNA59" s="316"/>
      <c r="MNB59" s="316"/>
      <c r="MNC59" s="316"/>
      <c r="MND59" s="316"/>
      <c r="MNE59" s="316"/>
      <c r="MNF59" s="316"/>
      <c r="MNG59" s="316"/>
      <c r="MNH59" s="316"/>
      <c r="MNI59" s="316"/>
      <c r="MNJ59" s="316"/>
      <c r="MNK59" s="316"/>
      <c r="MNL59" s="316"/>
      <c r="MNM59" s="316"/>
      <c r="MNN59" s="316"/>
      <c r="MNO59" s="316"/>
      <c r="MNP59" s="316"/>
      <c r="MNQ59" s="316"/>
      <c r="MNR59" s="316"/>
      <c r="MNS59" s="316"/>
      <c r="MNT59" s="316"/>
      <c r="MNU59" s="316"/>
      <c r="MNV59" s="316"/>
      <c r="MNW59" s="316"/>
      <c r="MNX59" s="316"/>
      <c r="MNY59" s="316"/>
      <c r="MNZ59" s="316"/>
      <c r="MOA59" s="316"/>
      <c r="MOB59" s="316"/>
      <c r="MOC59" s="316"/>
      <c r="MOD59" s="316"/>
      <c r="MOE59" s="316"/>
      <c r="MOF59" s="316"/>
      <c r="MOG59" s="316"/>
      <c r="MOH59" s="316"/>
      <c r="MOI59" s="316"/>
      <c r="MOJ59" s="316"/>
      <c r="MOK59" s="316"/>
      <c r="MOL59" s="316"/>
      <c r="MOM59" s="316"/>
      <c r="MON59" s="316"/>
      <c r="MOO59" s="316"/>
      <c r="MOP59" s="316"/>
      <c r="MOQ59" s="316"/>
      <c r="MOR59" s="316"/>
      <c r="MOS59" s="316"/>
      <c r="MOT59" s="316"/>
      <c r="MOU59" s="316"/>
      <c r="MOV59" s="316"/>
      <c r="MOW59" s="316"/>
      <c r="MOX59" s="316"/>
      <c r="MOY59" s="316"/>
      <c r="MOZ59" s="316"/>
      <c r="MPA59" s="316"/>
      <c r="MPB59" s="316"/>
      <c r="MPC59" s="316"/>
      <c r="MPD59" s="316"/>
      <c r="MPE59" s="316"/>
      <c r="MPF59" s="316"/>
      <c r="MPG59" s="316"/>
      <c r="MPH59" s="316"/>
      <c r="MPI59" s="316"/>
      <c r="MPJ59" s="316"/>
      <c r="MPK59" s="316"/>
      <c r="MPL59" s="316"/>
      <c r="MPM59" s="316"/>
      <c r="MPN59" s="316"/>
      <c r="MPO59" s="316"/>
      <c r="MPP59" s="316"/>
      <c r="MPQ59" s="316"/>
      <c r="MPR59" s="316"/>
      <c r="MPS59" s="316"/>
      <c r="MPT59" s="316"/>
      <c r="MPU59" s="316"/>
      <c r="MPV59" s="316"/>
      <c r="MPW59" s="316"/>
      <c r="MPX59" s="316"/>
      <c r="MPY59" s="316"/>
      <c r="MPZ59" s="316"/>
      <c r="MQA59" s="316"/>
      <c r="MQB59" s="316"/>
      <c r="MQC59" s="316"/>
      <c r="MQD59" s="316"/>
      <c r="MQE59" s="316"/>
      <c r="MQF59" s="316"/>
      <c r="MQG59" s="316"/>
      <c r="MQH59" s="316"/>
      <c r="MQI59" s="316"/>
      <c r="MQJ59" s="316"/>
      <c r="MQK59" s="316"/>
      <c r="MQL59" s="316"/>
      <c r="MQM59" s="316"/>
      <c r="MQN59" s="316"/>
      <c r="MQO59" s="316"/>
      <c r="MQP59" s="316"/>
      <c r="MQQ59" s="316"/>
      <c r="MQR59" s="316"/>
      <c r="MQS59" s="316"/>
      <c r="MQT59" s="316"/>
      <c r="MQU59" s="316"/>
      <c r="MQV59" s="316"/>
      <c r="MQW59" s="316"/>
      <c r="MQX59" s="316"/>
      <c r="MQY59" s="316"/>
      <c r="MQZ59" s="316"/>
      <c r="MRA59" s="316"/>
      <c r="MRB59" s="316"/>
      <c r="MRC59" s="316"/>
      <c r="MRD59" s="316"/>
      <c r="MRE59" s="316"/>
      <c r="MRF59" s="316"/>
      <c r="MRG59" s="316"/>
      <c r="MRH59" s="316"/>
      <c r="MRI59" s="316"/>
      <c r="MRJ59" s="316"/>
      <c r="MRK59" s="316"/>
      <c r="MRL59" s="316"/>
      <c r="MRM59" s="316"/>
      <c r="MRN59" s="316"/>
      <c r="MRO59" s="316"/>
      <c r="MRP59" s="316"/>
      <c r="MRQ59" s="316"/>
      <c r="MRR59" s="316"/>
      <c r="MRS59" s="316"/>
      <c r="MRT59" s="316"/>
      <c r="MRU59" s="316"/>
      <c r="MRV59" s="316"/>
      <c r="MRW59" s="316"/>
      <c r="MRX59" s="316"/>
      <c r="MRY59" s="316"/>
      <c r="MRZ59" s="316"/>
      <c r="MSA59" s="316"/>
      <c r="MSB59" s="316"/>
      <c r="MSC59" s="316"/>
      <c r="MSD59" s="316"/>
      <c r="MSE59" s="316"/>
      <c r="MSF59" s="316"/>
      <c r="MSG59" s="316"/>
      <c r="MSH59" s="316"/>
      <c r="MSI59" s="316"/>
      <c r="MSJ59" s="316"/>
      <c r="MSK59" s="316"/>
      <c r="MSL59" s="316"/>
      <c r="MSM59" s="316"/>
      <c r="MSN59" s="316"/>
      <c r="MSO59" s="316"/>
      <c r="MSP59" s="316"/>
      <c r="MSQ59" s="316"/>
      <c r="MSR59" s="316"/>
      <c r="MSS59" s="316"/>
      <c r="MST59" s="316"/>
      <c r="MSU59" s="316"/>
      <c r="MSV59" s="316"/>
      <c r="MSW59" s="316"/>
      <c r="MSX59" s="316"/>
      <c r="MSY59" s="316"/>
      <c r="MSZ59" s="316"/>
      <c r="MTA59" s="316"/>
      <c r="MTB59" s="316"/>
      <c r="MTC59" s="316"/>
      <c r="MTD59" s="316"/>
      <c r="MTE59" s="316"/>
      <c r="MTF59" s="316"/>
      <c r="MTG59" s="316"/>
      <c r="MTH59" s="316"/>
      <c r="MTI59" s="316"/>
      <c r="MTJ59" s="316"/>
      <c r="MTK59" s="316"/>
      <c r="MTL59" s="316"/>
      <c r="MTM59" s="316"/>
      <c r="MTN59" s="316"/>
      <c r="MTO59" s="316"/>
      <c r="MTP59" s="316"/>
      <c r="MTQ59" s="316"/>
      <c r="MTR59" s="316"/>
      <c r="MTS59" s="316"/>
      <c r="MTT59" s="316"/>
      <c r="MTU59" s="316"/>
      <c r="MTV59" s="316"/>
      <c r="MTW59" s="316"/>
      <c r="MTX59" s="316"/>
      <c r="MTY59" s="316"/>
      <c r="MTZ59" s="316"/>
      <c r="MUA59" s="316"/>
      <c r="MUB59" s="316"/>
      <c r="MUC59" s="316"/>
      <c r="MUD59" s="316"/>
      <c r="MUE59" s="316"/>
      <c r="MUF59" s="316"/>
      <c r="MUG59" s="316"/>
      <c r="MUH59" s="316"/>
      <c r="MUI59" s="316"/>
      <c r="MUJ59" s="316"/>
      <c r="MUK59" s="316"/>
      <c r="MUL59" s="316"/>
      <c r="MUM59" s="316"/>
      <c r="MUN59" s="316"/>
      <c r="MUO59" s="316"/>
      <c r="MUP59" s="316"/>
      <c r="MUQ59" s="316"/>
      <c r="MUR59" s="316"/>
      <c r="MUS59" s="316"/>
      <c r="MUT59" s="316"/>
      <c r="MUU59" s="316"/>
      <c r="MUV59" s="316"/>
      <c r="MUW59" s="316"/>
      <c r="MUX59" s="316"/>
      <c r="MUY59" s="316"/>
      <c r="MUZ59" s="316"/>
      <c r="MVA59" s="316"/>
      <c r="MVB59" s="316"/>
      <c r="MVC59" s="316"/>
      <c r="MVD59" s="316"/>
      <c r="MVE59" s="316"/>
      <c r="MVF59" s="316"/>
      <c r="MVG59" s="316"/>
      <c r="MVH59" s="316"/>
      <c r="MVI59" s="316"/>
      <c r="MVJ59" s="316"/>
      <c r="MVK59" s="316"/>
      <c r="MVL59" s="316"/>
      <c r="MVM59" s="316"/>
      <c r="MVN59" s="316"/>
      <c r="MVO59" s="316"/>
      <c r="MVP59" s="316"/>
      <c r="MVQ59" s="316"/>
      <c r="MVR59" s="316"/>
      <c r="MVS59" s="316"/>
      <c r="MVT59" s="316"/>
      <c r="MVU59" s="316"/>
      <c r="MVV59" s="316"/>
      <c r="MVW59" s="316"/>
      <c r="MVX59" s="316"/>
      <c r="MVY59" s="316"/>
      <c r="MVZ59" s="316"/>
      <c r="MWA59" s="316"/>
      <c r="MWB59" s="316"/>
      <c r="MWC59" s="316"/>
      <c r="MWD59" s="316"/>
      <c r="MWE59" s="316"/>
      <c r="MWF59" s="316"/>
      <c r="MWG59" s="316"/>
      <c r="MWH59" s="316"/>
      <c r="MWI59" s="316"/>
      <c r="MWJ59" s="316"/>
      <c r="MWK59" s="316"/>
      <c r="MWL59" s="316"/>
      <c r="MWM59" s="316"/>
      <c r="MWN59" s="316"/>
      <c r="MWO59" s="316"/>
      <c r="MWP59" s="316"/>
      <c r="MWQ59" s="316"/>
      <c r="MWR59" s="316"/>
      <c r="MWS59" s="316"/>
      <c r="MWT59" s="316"/>
      <c r="MWU59" s="316"/>
      <c r="MWV59" s="316"/>
      <c r="MWW59" s="316"/>
      <c r="MWX59" s="316"/>
      <c r="MWY59" s="316"/>
      <c r="MWZ59" s="316"/>
      <c r="MXA59" s="316"/>
      <c r="MXB59" s="316"/>
      <c r="MXC59" s="316"/>
      <c r="MXD59" s="316"/>
      <c r="MXE59" s="316"/>
      <c r="MXF59" s="316"/>
      <c r="MXG59" s="316"/>
      <c r="MXH59" s="316"/>
      <c r="MXI59" s="316"/>
      <c r="MXJ59" s="316"/>
      <c r="MXK59" s="316"/>
      <c r="MXL59" s="316"/>
      <c r="MXM59" s="316"/>
      <c r="MXN59" s="316"/>
      <c r="MXO59" s="316"/>
      <c r="MXP59" s="316"/>
      <c r="MXQ59" s="316"/>
      <c r="MXR59" s="316"/>
      <c r="MXS59" s="316"/>
      <c r="MXT59" s="316"/>
      <c r="MXU59" s="316"/>
      <c r="MXV59" s="316"/>
      <c r="MXW59" s="316"/>
      <c r="MXX59" s="316"/>
      <c r="MXY59" s="316"/>
      <c r="MXZ59" s="316"/>
      <c r="MYA59" s="316"/>
      <c r="MYB59" s="316"/>
      <c r="MYC59" s="316"/>
      <c r="MYD59" s="316"/>
      <c r="MYE59" s="316"/>
      <c r="MYF59" s="316"/>
      <c r="MYG59" s="316"/>
      <c r="MYH59" s="316"/>
      <c r="MYI59" s="316"/>
      <c r="MYJ59" s="316"/>
      <c r="MYK59" s="316"/>
      <c r="MYL59" s="316"/>
      <c r="MYM59" s="316"/>
      <c r="MYN59" s="316"/>
      <c r="MYO59" s="316"/>
      <c r="MYP59" s="316"/>
      <c r="MYQ59" s="316"/>
      <c r="MYR59" s="316"/>
      <c r="MYS59" s="316"/>
      <c r="MYT59" s="316"/>
      <c r="MYU59" s="316"/>
      <c r="MYV59" s="316"/>
      <c r="MYW59" s="316"/>
      <c r="MYX59" s="316"/>
      <c r="MYY59" s="316"/>
      <c r="MYZ59" s="316"/>
      <c r="MZA59" s="316"/>
      <c r="MZB59" s="316"/>
      <c r="MZC59" s="316"/>
      <c r="MZD59" s="316"/>
      <c r="MZE59" s="316"/>
      <c r="MZF59" s="316"/>
      <c r="MZG59" s="316"/>
      <c r="MZH59" s="316"/>
      <c r="MZI59" s="316"/>
      <c r="MZJ59" s="316"/>
      <c r="MZK59" s="316"/>
      <c r="MZL59" s="316"/>
      <c r="MZM59" s="316"/>
      <c r="MZN59" s="316"/>
      <c r="MZO59" s="316"/>
      <c r="MZP59" s="316"/>
      <c r="MZQ59" s="316"/>
      <c r="MZR59" s="316"/>
      <c r="MZS59" s="316"/>
      <c r="MZT59" s="316"/>
      <c r="MZU59" s="316"/>
      <c r="MZV59" s="316"/>
      <c r="MZW59" s="316"/>
      <c r="MZX59" s="316"/>
      <c r="MZY59" s="316"/>
      <c r="MZZ59" s="316"/>
      <c r="NAA59" s="316"/>
      <c r="NAB59" s="316"/>
      <c r="NAC59" s="316"/>
      <c r="NAD59" s="316"/>
      <c r="NAE59" s="316"/>
      <c r="NAF59" s="316"/>
      <c r="NAG59" s="316"/>
      <c r="NAH59" s="316"/>
      <c r="NAI59" s="316"/>
      <c r="NAJ59" s="316"/>
      <c r="NAK59" s="316"/>
      <c r="NAL59" s="316"/>
      <c r="NAM59" s="316"/>
      <c r="NAN59" s="316"/>
      <c r="NAO59" s="316"/>
      <c r="NAP59" s="316"/>
      <c r="NAQ59" s="316"/>
      <c r="NAR59" s="316"/>
      <c r="NAS59" s="316"/>
      <c r="NAT59" s="316"/>
      <c r="NAU59" s="316"/>
      <c r="NAV59" s="316"/>
      <c r="NAW59" s="316"/>
      <c r="NAX59" s="316"/>
      <c r="NAY59" s="316"/>
      <c r="NAZ59" s="316"/>
      <c r="NBA59" s="316"/>
      <c r="NBB59" s="316"/>
      <c r="NBC59" s="316"/>
      <c r="NBD59" s="316"/>
      <c r="NBE59" s="316"/>
      <c r="NBF59" s="316"/>
      <c r="NBG59" s="316"/>
      <c r="NBH59" s="316"/>
      <c r="NBI59" s="316"/>
      <c r="NBJ59" s="316"/>
      <c r="NBK59" s="316"/>
      <c r="NBL59" s="316"/>
      <c r="NBM59" s="316"/>
      <c r="NBN59" s="316"/>
      <c r="NBO59" s="316"/>
      <c r="NBP59" s="316"/>
      <c r="NBQ59" s="316"/>
      <c r="NBR59" s="316"/>
      <c r="NBS59" s="316"/>
      <c r="NBT59" s="316"/>
      <c r="NBU59" s="316"/>
      <c r="NBV59" s="316"/>
      <c r="NBW59" s="316"/>
      <c r="NBX59" s="316"/>
      <c r="NBY59" s="316"/>
      <c r="NBZ59" s="316"/>
      <c r="NCA59" s="316"/>
      <c r="NCB59" s="316"/>
      <c r="NCC59" s="316"/>
      <c r="NCD59" s="316"/>
      <c r="NCE59" s="316"/>
      <c r="NCF59" s="316"/>
      <c r="NCG59" s="316"/>
      <c r="NCH59" s="316"/>
      <c r="NCI59" s="316"/>
      <c r="NCJ59" s="316"/>
      <c r="NCK59" s="316"/>
      <c r="NCL59" s="316"/>
      <c r="NCM59" s="316"/>
      <c r="NCN59" s="316"/>
      <c r="NCO59" s="316"/>
      <c r="NCP59" s="316"/>
      <c r="NCQ59" s="316"/>
      <c r="NCR59" s="316"/>
      <c r="NCS59" s="316"/>
      <c r="NCT59" s="316"/>
      <c r="NCU59" s="316"/>
      <c r="NCV59" s="316"/>
      <c r="NCW59" s="316"/>
      <c r="NCX59" s="316"/>
      <c r="NCY59" s="316"/>
      <c r="NCZ59" s="316"/>
      <c r="NDA59" s="316"/>
      <c r="NDB59" s="316"/>
      <c r="NDC59" s="316"/>
      <c r="NDD59" s="316"/>
      <c r="NDE59" s="316"/>
      <c r="NDF59" s="316"/>
      <c r="NDG59" s="316"/>
      <c r="NDH59" s="316"/>
      <c r="NDI59" s="316"/>
      <c r="NDJ59" s="316"/>
      <c r="NDK59" s="316"/>
      <c r="NDL59" s="316"/>
      <c r="NDM59" s="316"/>
      <c r="NDN59" s="316"/>
      <c r="NDO59" s="316"/>
      <c r="NDP59" s="316"/>
      <c r="NDQ59" s="316"/>
      <c r="NDR59" s="316"/>
      <c r="NDS59" s="316"/>
      <c r="NDT59" s="316"/>
      <c r="NDU59" s="316"/>
      <c r="NDV59" s="316"/>
      <c r="NDW59" s="316"/>
      <c r="NDX59" s="316"/>
      <c r="NDY59" s="316"/>
      <c r="NDZ59" s="316"/>
      <c r="NEA59" s="316"/>
      <c r="NEB59" s="316"/>
      <c r="NEC59" s="316"/>
      <c r="NED59" s="316"/>
      <c r="NEE59" s="316"/>
      <c r="NEF59" s="316"/>
      <c r="NEG59" s="316"/>
      <c r="NEH59" s="316"/>
      <c r="NEI59" s="316"/>
      <c r="NEJ59" s="316"/>
      <c r="NEK59" s="316"/>
      <c r="NEL59" s="316"/>
      <c r="NEM59" s="316"/>
      <c r="NEN59" s="316"/>
      <c r="NEO59" s="316"/>
      <c r="NEP59" s="316"/>
      <c r="NEQ59" s="316"/>
      <c r="NER59" s="316"/>
      <c r="NES59" s="316"/>
      <c r="NET59" s="316"/>
      <c r="NEU59" s="316"/>
      <c r="NEV59" s="316"/>
      <c r="NEW59" s="316"/>
      <c r="NEX59" s="316"/>
      <c r="NEY59" s="316"/>
      <c r="NEZ59" s="316"/>
      <c r="NFA59" s="316"/>
      <c r="NFB59" s="316"/>
      <c r="NFC59" s="316"/>
      <c r="NFD59" s="316"/>
      <c r="NFE59" s="316"/>
      <c r="NFF59" s="316"/>
      <c r="NFG59" s="316"/>
      <c r="NFH59" s="316"/>
      <c r="NFI59" s="316"/>
      <c r="NFJ59" s="316"/>
      <c r="NFK59" s="316"/>
      <c r="NFL59" s="316"/>
      <c r="NFM59" s="316"/>
      <c r="NFN59" s="316"/>
      <c r="NFO59" s="316"/>
      <c r="NFP59" s="316"/>
      <c r="NFQ59" s="316"/>
      <c r="NFR59" s="316"/>
      <c r="NFS59" s="316"/>
      <c r="NFT59" s="316"/>
      <c r="NFU59" s="316"/>
      <c r="NFV59" s="316"/>
      <c r="NFW59" s="316"/>
      <c r="NFX59" s="316"/>
      <c r="NFY59" s="316"/>
      <c r="NFZ59" s="316"/>
      <c r="NGA59" s="316"/>
      <c r="NGB59" s="316"/>
      <c r="NGC59" s="316"/>
      <c r="NGD59" s="316"/>
      <c r="NGE59" s="316"/>
      <c r="NGF59" s="316"/>
      <c r="NGG59" s="316"/>
      <c r="NGH59" s="316"/>
      <c r="NGI59" s="316"/>
      <c r="NGJ59" s="316"/>
      <c r="NGK59" s="316"/>
      <c r="NGL59" s="316"/>
      <c r="NGM59" s="316"/>
      <c r="NGN59" s="316"/>
      <c r="NGO59" s="316"/>
      <c r="NGP59" s="316"/>
      <c r="NGQ59" s="316"/>
      <c r="NGR59" s="316"/>
      <c r="NGS59" s="316"/>
      <c r="NGT59" s="316"/>
      <c r="NGU59" s="316"/>
      <c r="NGV59" s="316"/>
      <c r="NGW59" s="316"/>
      <c r="NGX59" s="316"/>
      <c r="NGY59" s="316"/>
      <c r="NGZ59" s="316"/>
      <c r="NHA59" s="316"/>
      <c r="NHB59" s="316"/>
      <c r="NHC59" s="316"/>
      <c r="NHD59" s="316"/>
      <c r="NHE59" s="316"/>
      <c r="NHF59" s="316"/>
      <c r="NHG59" s="316"/>
      <c r="NHH59" s="316"/>
      <c r="NHI59" s="316"/>
      <c r="NHJ59" s="316"/>
      <c r="NHK59" s="316"/>
      <c r="NHL59" s="316"/>
      <c r="NHM59" s="316"/>
      <c r="NHN59" s="316"/>
      <c r="NHO59" s="316"/>
      <c r="NHP59" s="316"/>
      <c r="NHQ59" s="316"/>
      <c r="NHR59" s="316"/>
      <c r="NHS59" s="316"/>
      <c r="NHT59" s="316"/>
      <c r="NHU59" s="316"/>
      <c r="NHV59" s="316"/>
      <c r="NHW59" s="316"/>
      <c r="NHX59" s="316"/>
      <c r="NHY59" s="316"/>
      <c r="NHZ59" s="316"/>
      <c r="NIA59" s="316"/>
      <c r="NIB59" s="316"/>
      <c r="NIC59" s="316"/>
      <c r="NID59" s="316"/>
      <c r="NIE59" s="316"/>
      <c r="NIF59" s="316"/>
      <c r="NIG59" s="316"/>
      <c r="NIH59" s="316"/>
      <c r="NII59" s="316"/>
      <c r="NIJ59" s="316"/>
      <c r="NIK59" s="316"/>
      <c r="NIL59" s="316"/>
      <c r="NIM59" s="316"/>
      <c r="NIN59" s="316"/>
      <c r="NIO59" s="316"/>
      <c r="NIP59" s="316"/>
      <c r="NIQ59" s="316"/>
      <c r="NIR59" s="316"/>
      <c r="NIS59" s="316"/>
      <c r="NIT59" s="316"/>
      <c r="NIU59" s="316"/>
      <c r="NIV59" s="316"/>
      <c r="NIW59" s="316"/>
      <c r="NIX59" s="316"/>
      <c r="NIY59" s="316"/>
      <c r="NIZ59" s="316"/>
      <c r="NJA59" s="316"/>
      <c r="NJB59" s="316"/>
      <c r="NJC59" s="316"/>
      <c r="NJD59" s="316"/>
      <c r="NJE59" s="316"/>
      <c r="NJF59" s="316"/>
      <c r="NJG59" s="316"/>
      <c r="NJH59" s="316"/>
      <c r="NJI59" s="316"/>
      <c r="NJJ59" s="316"/>
      <c r="NJK59" s="316"/>
      <c r="NJL59" s="316"/>
      <c r="NJM59" s="316"/>
      <c r="NJN59" s="316"/>
      <c r="NJO59" s="316"/>
      <c r="NJP59" s="316"/>
      <c r="NJQ59" s="316"/>
      <c r="NJR59" s="316"/>
      <c r="NJS59" s="316"/>
      <c r="NJT59" s="316"/>
      <c r="NJU59" s="316"/>
      <c r="NJV59" s="316"/>
      <c r="NJW59" s="316"/>
      <c r="NJX59" s="316"/>
      <c r="NJY59" s="316"/>
      <c r="NJZ59" s="316"/>
      <c r="NKA59" s="316"/>
      <c r="NKB59" s="316"/>
      <c r="NKC59" s="316"/>
      <c r="NKD59" s="316"/>
      <c r="NKE59" s="316"/>
      <c r="NKF59" s="316"/>
      <c r="NKG59" s="316"/>
      <c r="NKH59" s="316"/>
      <c r="NKI59" s="316"/>
      <c r="NKJ59" s="316"/>
      <c r="NKK59" s="316"/>
      <c r="NKL59" s="316"/>
      <c r="NKM59" s="316"/>
      <c r="NKN59" s="316"/>
      <c r="NKO59" s="316"/>
      <c r="NKP59" s="316"/>
      <c r="NKQ59" s="316"/>
      <c r="NKR59" s="316"/>
      <c r="NKS59" s="316"/>
      <c r="NKT59" s="316"/>
      <c r="NKU59" s="316"/>
      <c r="NKV59" s="316"/>
      <c r="NKW59" s="316"/>
      <c r="NKX59" s="316"/>
      <c r="NKY59" s="316"/>
      <c r="NKZ59" s="316"/>
      <c r="NLA59" s="316"/>
      <c r="NLB59" s="316"/>
      <c r="NLC59" s="316"/>
      <c r="NLD59" s="316"/>
      <c r="NLE59" s="316"/>
      <c r="NLF59" s="316"/>
      <c r="NLG59" s="316"/>
      <c r="NLH59" s="316"/>
      <c r="NLI59" s="316"/>
      <c r="NLJ59" s="316"/>
      <c r="NLK59" s="316"/>
      <c r="NLL59" s="316"/>
      <c r="NLM59" s="316"/>
      <c r="NLN59" s="316"/>
      <c r="NLO59" s="316"/>
      <c r="NLP59" s="316"/>
      <c r="NLQ59" s="316"/>
      <c r="NLR59" s="316"/>
      <c r="NLS59" s="316"/>
      <c r="NLT59" s="316"/>
      <c r="NLU59" s="316"/>
      <c r="NLV59" s="316"/>
      <c r="NLW59" s="316"/>
      <c r="NLX59" s="316"/>
      <c r="NLY59" s="316"/>
      <c r="NLZ59" s="316"/>
      <c r="NMA59" s="316"/>
      <c r="NMB59" s="316"/>
      <c r="NMC59" s="316"/>
      <c r="NMD59" s="316"/>
      <c r="NME59" s="316"/>
      <c r="NMF59" s="316"/>
      <c r="NMG59" s="316"/>
      <c r="NMH59" s="316"/>
      <c r="NMI59" s="316"/>
      <c r="NMJ59" s="316"/>
      <c r="NMK59" s="316"/>
      <c r="NML59" s="316"/>
      <c r="NMM59" s="316"/>
      <c r="NMN59" s="316"/>
      <c r="NMO59" s="316"/>
      <c r="NMP59" s="316"/>
      <c r="NMQ59" s="316"/>
      <c r="NMR59" s="316"/>
      <c r="NMS59" s="316"/>
      <c r="NMT59" s="316"/>
      <c r="NMU59" s="316"/>
      <c r="NMV59" s="316"/>
      <c r="NMW59" s="316"/>
      <c r="NMX59" s="316"/>
      <c r="NMY59" s="316"/>
      <c r="NMZ59" s="316"/>
      <c r="NNA59" s="316"/>
      <c r="NNB59" s="316"/>
      <c r="NNC59" s="316"/>
      <c r="NND59" s="316"/>
      <c r="NNE59" s="316"/>
      <c r="NNF59" s="316"/>
      <c r="NNG59" s="316"/>
      <c r="NNH59" s="316"/>
      <c r="NNI59" s="316"/>
      <c r="NNJ59" s="316"/>
      <c r="NNK59" s="316"/>
      <c r="NNL59" s="316"/>
      <c r="NNM59" s="316"/>
      <c r="NNN59" s="316"/>
      <c r="NNO59" s="316"/>
      <c r="NNP59" s="316"/>
      <c r="NNQ59" s="316"/>
      <c r="NNR59" s="316"/>
      <c r="NNS59" s="316"/>
      <c r="NNT59" s="316"/>
      <c r="NNU59" s="316"/>
      <c r="NNV59" s="316"/>
      <c r="NNW59" s="316"/>
      <c r="NNX59" s="316"/>
      <c r="NNY59" s="316"/>
      <c r="NNZ59" s="316"/>
      <c r="NOA59" s="316"/>
      <c r="NOB59" s="316"/>
      <c r="NOC59" s="316"/>
      <c r="NOD59" s="316"/>
      <c r="NOE59" s="316"/>
      <c r="NOF59" s="316"/>
      <c r="NOG59" s="316"/>
      <c r="NOH59" s="316"/>
      <c r="NOI59" s="316"/>
      <c r="NOJ59" s="316"/>
      <c r="NOK59" s="316"/>
      <c r="NOL59" s="316"/>
      <c r="NOM59" s="316"/>
      <c r="NON59" s="316"/>
      <c r="NOO59" s="316"/>
      <c r="NOP59" s="316"/>
      <c r="NOQ59" s="316"/>
      <c r="NOR59" s="316"/>
      <c r="NOS59" s="316"/>
      <c r="NOT59" s="316"/>
      <c r="NOU59" s="316"/>
      <c r="NOV59" s="316"/>
      <c r="NOW59" s="316"/>
      <c r="NOX59" s="316"/>
      <c r="NOY59" s="316"/>
      <c r="NOZ59" s="316"/>
      <c r="NPA59" s="316"/>
      <c r="NPB59" s="316"/>
      <c r="NPC59" s="316"/>
      <c r="NPD59" s="316"/>
      <c r="NPE59" s="316"/>
      <c r="NPF59" s="316"/>
      <c r="NPG59" s="316"/>
      <c r="NPH59" s="316"/>
      <c r="NPI59" s="316"/>
      <c r="NPJ59" s="316"/>
      <c r="NPK59" s="316"/>
      <c r="NPL59" s="316"/>
      <c r="NPM59" s="316"/>
      <c r="NPN59" s="316"/>
      <c r="NPO59" s="316"/>
      <c r="NPP59" s="316"/>
      <c r="NPQ59" s="316"/>
      <c r="NPR59" s="316"/>
      <c r="NPS59" s="316"/>
      <c r="NPT59" s="316"/>
      <c r="NPU59" s="316"/>
      <c r="NPV59" s="316"/>
      <c r="NPW59" s="316"/>
      <c r="NPX59" s="316"/>
      <c r="NPY59" s="316"/>
      <c r="NPZ59" s="316"/>
      <c r="NQA59" s="316"/>
      <c r="NQB59" s="316"/>
      <c r="NQC59" s="316"/>
      <c r="NQD59" s="316"/>
      <c r="NQE59" s="316"/>
      <c r="NQF59" s="316"/>
      <c r="NQG59" s="316"/>
      <c r="NQH59" s="316"/>
      <c r="NQI59" s="316"/>
      <c r="NQJ59" s="316"/>
      <c r="NQK59" s="316"/>
      <c r="NQL59" s="316"/>
      <c r="NQM59" s="316"/>
      <c r="NQN59" s="316"/>
      <c r="NQO59" s="316"/>
      <c r="NQP59" s="316"/>
      <c r="NQQ59" s="316"/>
      <c r="NQR59" s="316"/>
      <c r="NQS59" s="316"/>
      <c r="NQT59" s="316"/>
      <c r="NQU59" s="316"/>
      <c r="NQV59" s="316"/>
      <c r="NQW59" s="316"/>
      <c r="NQX59" s="316"/>
      <c r="NQY59" s="316"/>
      <c r="NQZ59" s="316"/>
      <c r="NRA59" s="316"/>
      <c r="NRB59" s="316"/>
      <c r="NRC59" s="316"/>
      <c r="NRD59" s="316"/>
      <c r="NRE59" s="316"/>
      <c r="NRF59" s="316"/>
      <c r="NRG59" s="316"/>
      <c r="NRH59" s="316"/>
      <c r="NRI59" s="316"/>
      <c r="NRJ59" s="316"/>
      <c r="NRK59" s="316"/>
      <c r="NRL59" s="316"/>
      <c r="NRM59" s="316"/>
      <c r="NRN59" s="316"/>
      <c r="NRO59" s="316"/>
      <c r="NRP59" s="316"/>
      <c r="NRQ59" s="316"/>
      <c r="NRR59" s="316"/>
      <c r="NRS59" s="316"/>
      <c r="NRT59" s="316"/>
      <c r="NRU59" s="316"/>
      <c r="NRV59" s="316"/>
      <c r="NRW59" s="316"/>
      <c r="NRX59" s="316"/>
      <c r="NRY59" s="316"/>
      <c r="NRZ59" s="316"/>
      <c r="NSA59" s="316"/>
      <c r="NSB59" s="316"/>
      <c r="NSC59" s="316"/>
      <c r="NSD59" s="316"/>
      <c r="NSE59" s="316"/>
      <c r="NSF59" s="316"/>
      <c r="NSG59" s="316"/>
      <c r="NSH59" s="316"/>
      <c r="NSI59" s="316"/>
      <c r="NSJ59" s="316"/>
      <c r="NSK59" s="316"/>
      <c r="NSL59" s="316"/>
      <c r="NSM59" s="316"/>
      <c r="NSN59" s="316"/>
      <c r="NSO59" s="316"/>
      <c r="NSP59" s="316"/>
      <c r="NSQ59" s="316"/>
      <c r="NSR59" s="316"/>
      <c r="NSS59" s="316"/>
      <c r="NST59" s="316"/>
      <c r="NSU59" s="316"/>
      <c r="NSV59" s="316"/>
      <c r="NSW59" s="316"/>
      <c r="NSX59" s="316"/>
      <c r="NSY59" s="316"/>
      <c r="NSZ59" s="316"/>
      <c r="NTA59" s="316"/>
      <c r="NTB59" s="316"/>
      <c r="NTC59" s="316"/>
      <c r="NTD59" s="316"/>
      <c r="NTE59" s="316"/>
      <c r="NTF59" s="316"/>
      <c r="NTG59" s="316"/>
      <c r="NTH59" s="316"/>
      <c r="NTI59" s="316"/>
      <c r="NTJ59" s="316"/>
      <c r="NTK59" s="316"/>
      <c r="NTL59" s="316"/>
      <c r="NTM59" s="316"/>
      <c r="NTN59" s="316"/>
      <c r="NTO59" s="316"/>
      <c r="NTP59" s="316"/>
      <c r="NTQ59" s="316"/>
      <c r="NTR59" s="316"/>
      <c r="NTS59" s="316"/>
      <c r="NTT59" s="316"/>
      <c r="NTU59" s="316"/>
      <c r="NTV59" s="316"/>
      <c r="NTW59" s="316"/>
      <c r="NTX59" s="316"/>
      <c r="NTY59" s="316"/>
      <c r="NTZ59" s="316"/>
      <c r="NUA59" s="316"/>
      <c r="NUB59" s="316"/>
      <c r="NUC59" s="316"/>
      <c r="NUD59" s="316"/>
      <c r="NUE59" s="316"/>
      <c r="NUF59" s="316"/>
      <c r="NUG59" s="316"/>
      <c r="NUH59" s="316"/>
      <c r="NUI59" s="316"/>
      <c r="NUJ59" s="316"/>
      <c r="NUK59" s="316"/>
      <c r="NUL59" s="316"/>
      <c r="NUM59" s="316"/>
      <c r="NUN59" s="316"/>
      <c r="NUO59" s="316"/>
      <c r="NUP59" s="316"/>
      <c r="NUQ59" s="316"/>
      <c r="NUR59" s="316"/>
      <c r="NUS59" s="316"/>
      <c r="NUT59" s="316"/>
      <c r="NUU59" s="316"/>
      <c r="NUV59" s="316"/>
      <c r="NUW59" s="316"/>
      <c r="NUX59" s="316"/>
      <c r="NUY59" s="316"/>
      <c r="NUZ59" s="316"/>
      <c r="NVA59" s="316"/>
      <c r="NVB59" s="316"/>
      <c r="NVC59" s="316"/>
      <c r="NVD59" s="316"/>
      <c r="NVE59" s="316"/>
      <c r="NVF59" s="316"/>
      <c r="NVG59" s="316"/>
      <c r="NVH59" s="316"/>
      <c r="NVI59" s="316"/>
      <c r="NVJ59" s="316"/>
      <c r="NVK59" s="316"/>
      <c r="NVL59" s="316"/>
      <c r="NVM59" s="316"/>
      <c r="NVN59" s="316"/>
      <c r="NVO59" s="316"/>
      <c r="NVP59" s="316"/>
      <c r="NVQ59" s="316"/>
      <c r="NVR59" s="316"/>
      <c r="NVS59" s="316"/>
      <c r="NVT59" s="316"/>
      <c r="NVU59" s="316"/>
      <c r="NVV59" s="316"/>
      <c r="NVW59" s="316"/>
      <c r="NVX59" s="316"/>
      <c r="NVY59" s="316"/>
      <c r="NVZ59" s="316"/>
      <c r="NWA59" s="316"/>
      <c r="NWB59" s="316"/>
      <c r="NWC59" s="316"/>
      <c r="NWD59" s="316"/>
      <c r="NWE59" s="316"/>
      <c r="NWF59" s="316"/>
      <c r="NWG59" s="316"/>
      <c r="NWH59" s="316"/>
      <c r="NWI59" s="316"/>
      <c r="NWJ59" s="316"/>
      <c r="NWK59" s="316"/>
      <c r="NWL59" s="316"/>
      <c r="NWM59" s="316"/>
      <c r="NWN59" s="316"/>
      <c r="NWO59" s="316"/>
      <c r="NWP59" s="316"/>
      <c r="NWQ59" s="316"/>
      <c r="NWR59" s="316"/>
      <c r="NWS59" s="316"/>
      <c r="NWT59" s="316"/>
      <c r="NWU59" s="316"/>
      <c r="NWV59" s="316"/>
      <c r="NWW59" s="316"/>
      <c r="NWX59" s="316"/>
      <c r="NWY59" s="316"/>
      <c r="NWZ59" s="316"/>
      <c r="NXA59" s="316"/>
      <c r="NXB59" s="316"/>
      <c r="NXC59" s="316"/>
      <c r="NXD59" s="316"/>
      <c r="NXE59" s="316"/>
      <c r="NXF59" s="316"/>
      <c r="NXG59" s="316"/>
      <c r="NXH59" s="316"/>
      <c r="NXI59" s="316"/>
      <c r="NXJ59" s="316"/>
      <c r="NXK59" s="316"/>
      <c r="NXL59" s="316"/>
      <c r="NXM59" s="316"/>
      <c r="NXN59" s="316"/>
      <c r="NXO59" s="316"/>
      <c r="NXP59" s="316"/>
      <c r="NXQ59" s="316"/>
      <c r="NXR59" s="316"/>
      <c r="NXS59" s="316"/>
      <c r="NXT59" s="316"/>
      <c r="NXU59" s="316"/>
      <c r="NXV59" s="316"/>
      <c r="NXW59" s="316"/>
      <c r="NXX59" s="316"/>
      <c r="NXY59" s="316"/>
      <c r="NXZ59" s="316"/>
      <c r="NYA59" s="316"/>
      <c r="NYB59" s="316"/>
      <c r="NYC59" s="316"/>
      <c r="NYD59" s="316"/>
      <c r="NYE59" s="316"/>
      <c r="NYF59" s="316"/>
      <c r="NYG59" s="316"/>
      <c r="NYH59" s="316"/>
      <c r="NYI59" s="316"/>
      <c r="NYJ59" s="316"/>
      <c r="NYK59" s="316"/>
      <c r="NYL59" s="316"/>
      <c r="NYM59" s="316"/>
      <c r="NYN59" s="316"/>
      <c r="NYO59" s="316"/>
      <c r="NYP59" s="316"/>
      <c r="NYQ59" s="316"/>
      <c r="NYR59" s="316"/>
      <c r="NYS59" s="316"/>
      <c r="NYT59" s="316"/>
      <c r="NYU59" s="316"/>
      <c r="NYV59" s="316"/>
      <c r="NYW59" s="316"/>
      <c r="NYX59" s="316"/>
      <c r="NYY59" s="316"/>
      <c r="NYZ59" s="316"/>
      <c r="NZA59" s="316"/>
      <c r="NZB59" s="316"/>
      <c r="NZC59" s="316"/>
      <c r="NZD59" s="316"/>
      <c r="NZE59" s="316"/>
      <c r="NZF59" s="316"/>
      <c r="NZG59" s="316"/>
      <c r="NZH59" s="316"/>
      <c r="NZI59" s="316"/>
      <c r="NZJ59" s="316"/>
      <c r="NZK59" s="316"/>
      <c r="NZL59" s="316"/>
      <c r="NZM59" s="316"/>
      <c r="NZN59" s="316"/>
      <c r="NZO59" s="316"/>
      <c r="NZP59" s="316"/>
      <c r="NZQ59" s="316"/>
      <c r="NZR59" s="316"/>
      <c r="NZS59" s="316"/>
      <c r="NZT59" s="316"/>
      <c r="NZU59" s="316"/>
      <c r="NZV59" s="316"/>
      <c r="NZW59" s="316"/>
      <c r="NZX59" s="316"/>
      <c r="NZY59" s="316"/>
      <c r="NZZ59" s="316"/>
      <c r="OAA59" s="316"/>
      <c r="OAB59" s="316"/>
      <c r="OAC59" s="316"/>
      <c r="OAD59" s="316"/>
      <c r="OAE59" s="316"/>
      <c r="OAF59" s="316"/>
      <c r="OAG59" s="316"/>
      <c r="OAH59" s="316"/>
      <c r="OAI59" s="316"/>
      <c r="OAJ59" s="316"/>
      <c r="OAK59" s="316"/>
      <c r="OAL59" s="316"/>
      <c r="OAM59" s="316"/>
      <c r="OAN59" s="316"/>
      <c r="OAO59" s="316"/>
      <c r="OAP59" s="316"/>
      <c r="OAQ59" s="316"/>
      <c r="OAR59" s="316"/>
      <c r="OAS59" s="316"/>
      <c r="OAT59" s="316"/>
      <c r="OAU59" s="316"/>
      <c r="OAV59" s="316"/>
      <c r="OAW59" s="316"/>
      <c r="OAX59" s="316"/>
      <c r="OAY59" s="316"/>
      <c r="OAZ59" s="316"/>
      <c r="OBA59" s="316"/>
      <c r="OBB59" s="316"/>
      <c r="OBC59" s="316"/>
      <c r="OBD59" s="316"/>
      <c r="OBE59" s="316"/>
      <c r="OBF59" s="316"/>
      <c r="OBG59" s="316"/>
      <c r="OBH59" s="316"/>
      <c r="OBI59" s="316"/>
      <c r="OBJ59" s="316"/>
      <c r="OBK59" s="316"/>
      <c r="OBL59" s="316"/>
      <c r="OBM59" s="316"/>
      <c r="OBN59" s="316"/>
      <c r="OBO59" s="316"/>
      <c r="OBP59" s="316"/>
      <c r="OBQ59" s="316"/>
      <c r="OBR59" s="316"/>
      <c r="OBS59" s="316"/>
      <c r="OBT59" s="316"/>
      <c r="OBU59" s="316"/>
      <c r="OBV59" s="316"/>
      <c r="OBW59" s="316"/>
      <c r="OBX59" s="316"/>
      <c r="OBY59" s="316"/>
      <c r="OBZ59" s="316"/>
      <c r="OCA59" s="316"/>
      <c r="OCB59" s="316"/>
      <c r="OCC59" s="316"/>
      <c r="OCD59" s="316"/>
      <c r="OCE59" s="316"/>
      <c r="OCF59" s="316"/>
      <c r="OCG59" s="316"/>
      <c r="OCH59" s="316"/>
      <c r="OCI59" s="316"/>
      <c r="OCJ59" s="316"/>
      <c r="OCK59" s="316"/>
      <c r="OCL59" s="316"/>
      <c r="OCM59" s="316"/>
      <c r="OCN59" s="316"/>
      <c r="OCO59" s="316"/>
      <c r="OCP59" s="316"/>
      <c r="OCQ59" s="316"/>
      <c r="OCR59" s="316"/>
      <c r="OCS59" s="316"/>
      <c r="OCT59" s="316"/>
      <c r="OCU59" s="316"/>
      <c r="OCV59" s="316"/>
      <c r="OCW59" s="316"/>
      <c r="OCX59" s="316"/>
      <c r="OCY59" s="316"/>
      <c r="OCZ59" s="316"/>
      <c r="ODA59" s="316"/>
      <c r="ODB59" s="316"/>
      <c r="ODC59" s="316"/>
      <c r="ODD59" s="316"/>
      <c r="ODE59" s="316"/>
      <c r="ODF59" s="316"/>
      <c r="ODG59" s="316"/>
      <c r="ODH59" s="316"/>
      <c r="ODI59" s="316"/>
      <c r="ODJ59" s="316"/>
      <c r="ODK59" s="316"/>
      <c r="ODL59" s="316"/>
      <c r="ODM59" s="316"/>
      <c r="ODN59" s="316"/>
      <c r="ODO59" s="316"/>
      <c r="ODP59" s="316"/>
      <c r="ODQ59" s="316"/>
      <c r="ODR59" s="316"/>
      <c r="ODS59" s="316"/>
      <c r="ODT59" s="316"/>
      <c r="ODU59" s="316"/>
      <c r="ODV59" s="316"/>
      <c r="ODW59" s="316"/>
      <c r="ODX59" s="316"/>
      <c r="ODY59" s="316"/>
      <c r="ODZ59" s="316"/>
      <c r="OEA59" s="316"/>
      <c r="OEB59" s="316"/>
      <c r="OEC59" s="316"/>
      <c r="OED59" s="316"/>
      <c r="OEE59" s="316"/>
      <c r="OEF59" s="316"/>
      <c r="OEG59" s="316"/>
      <c r="OEH59" s="316"/>
      <c r="OEI59" s="316"/>
      <c r="OEJ59" s="316"/>
      <c r="OEK59" s="316"/>
      <c r="OEL59" s="316"/>
      <c r="OEM59" s="316"/>
      <c r="OEN59" s="316"/>
      <c r="OEO59" s="316"/>
      <c r="OEP59" s="316"/>
      <c r="OEQ59" s="316"/>
      <c r="OER59" s="316"/>
      <c r="OES59" s="316"/>
      <c r="OET59" s="316"/>
      <c r="OEU59" s="316"/>
      <c r="OEV59" s="316"/>
      <c r="OEW59" s="316"/>
      <c r="OEX59" s="316"/>
      <c r="OEY59" s="316"/>
      <c r="OEZ59" s="316"/>
      <c r="OFA59" s="316"/>
      <c r="OFB59" s="316"/>
      <c r="OFC59" s="316"/>
      <c r="OFD59" s="316"/>
      <c r="OFE59" s="316"/>
      <c r="OFF59" s="316"/>
      <c r="OFG59" s="316"/>
      <c r="OFH59" s="316"/>
      <c r="OFI59" s="316"/>
      <c r="OFJ59" s="316"/>
      <c r="OFK59" s="316"/>
      <c r="OFL59" s="316"/>
      <c r="OFM59" s="316"/>
      <c r="OFN59" s="316"/>
      <c r="OFO59" s="316"/>
      <c r="OFP59" s="316"/>
      <c r="OFQ59" s="316"/>
      <c r="OFR59" s="316"/>
      <c r="OFS59" s="316"/>
      <c r="OFT59" s="316"/>
      <c r="OFU59" s="316"/>
      <c r="OFV59" s="316"/>
      <c r="OFW59" s="316"/>
      <c r="OFX59" s="316"/>
      <c r="OFY59" s="316"/>
      <c r="OFZ59" s="316"/>
      <c r="OGA59" s="316"/>
      <c r="OGB59" s="316"/>
      <c r="OGC59" s="316"/>
      <c r="OGD59" s="316"/>
      <c r="OGE59" s="316"/>
      <c r="OGF59" s="316"/>
      <c r="OGG59" s="316"/>
      <c r="OGH59" s="316"/>
      <c r="OGI59" s="316"/>
      <c r="OGJ59" s="316"/>
      <c r="OGK59" s="316"/>
      <c r="OGL59" s="316"/>
      <c r="OGM59" s="316"/>
      <c r="OGN59" s="316"/>
      <c r="OGO59" s="316"/>
      <c r="OGP59" s="316"/>
      <c r="OGQ59" s="316"/>
      <c r="OGR59" s="316"/>
      <c r="OGS59" s="316"/>
      <c r="OGT59" s="316"/>
      <c r="OGU59" s="316"/>
      <c r="OGV59" s="316"/>
      <c r="OGW59" s="316"/>
      <c r="OGX59" s="316"/>
      <c r="OGY59" s="316"/>
      <c r="OGZ59" s="316"/>
      <c r="OHA59" s="316"/>
      <c r="OHB59" s="316"/>
      <c r="OHC59" s="316"/>
      <c r="OHD59" s="316"/>
      <c r="OHE59" s="316"/>
      <c r="OHF59" s="316"/>
      <c r="OHG59" s="316"/>
      <c r="OHH59" s="316"/>
      <c r="OHI59" s="316"/>
      <c r="OHJ59" s="316"/>
      <c r="OHK59" s="316"/>
      <c r="OHL59" s="316"/>
      <c r="OHM59" s="316"/>
      <c r="OHN59" s="316"/>
      <c r="OHO59" s="316"/>
      <c r="OHP59" s="316"/>
      <c r="OHQ59" s="316"/>
      <c r="OHR59" s="316"/>
      <c r="OHS59" s="316"/>
      <c r="OHT59" s="316"/>
      <c r="OHU59" s="316"/>
      <c r="OHV59" s="316"/>
      <c r="OHW59" s="316"/>
      <c r="OHX59" s="316"/>
      <c r="OHY59" s="316"/>
      <c r="OHZ59" s="316"/>
      <c r="OIA59" s="316"/>
      <c r="OIB59" s="316"/>
      <c r="OIC59" s="316"/>
      <c r="OID59" s="316"/>
      <c r="OIE59" s="316"/>
      <c r="OIF59" s="316"/>
      <c r="OIG59" s="316"/>
      <c r="OIH59" s="316"/>
      <c r="OII59" s="316"/>
      <c r="OIJ59" s="316"/>
      <c r="OIK59" s="316"/>
      <c r="OIL59" s="316"/>
      <c r="OIM59" s="316"/>
      <c r="OIN59" s="316"/>
      <c r="OIO59" s="316"/>
      <c r="OIP59" s="316"/>
      <c r="OIQ59" s="316"/>
      <c r="OIR59" s="316"/>
      <c r="OIS59" s="316"/>
      <c r="OIT59" s="316"/>
      <c r="OIU59" s="316"/>
      <c r="OIV59" s="316"/>
      <c r="OIW59" s="316"/>
      <c r="OIX59" s="316"/>
      <c r="OIY59" s="316"/>
      <c r="OIZ59" s="316"/>
      <c r="OJA59" s="316"/>
      <c r="OJB59" s="316"/>
      <c r="OJC59" s="316"/>
      <c r="OJD59" s="316"/>
      <c r="OJE59" s="316"/>
      <c r="OJF59" s="316"/>
      <c r="OJG59" s="316"/>
      <c r="OJH59" s="316"/>
      <c r="OJI59" s="316"/>
      <c r="OJJ59" s="316"/>
      <c r="OJK59" s="316"/>
      <c r="OJL59" s="316"/>
      <c r="OJM59" s="316"/>
      <c r="OJN59" s="316"/>
      <c r="OJO59" s="316"/>
      <c r="OJP59" s="316"/>
      <c r="OJQ59" s="316"/>
      <c r="OJR59" s="316"/>
      <c r="OJS59" s="316"/>
      <c r="OJT59" s="316"/>
      <c r="OJU59" s="316"/>
      <c r="OJV59" s="316"/>
      <c r="OJW59" s="316"/>
      <c r="OJX59" s="316"/>
      <c r="OJY59" s="316"/>
      <c r="OJZ59" s="316"/>
      <c r="OKA59" s="316"/>
      <c r="OKB59" s="316"/>
      <c r="OKC59" s="316"/>
      <c r="OKD59" s="316"/>
      <c r="OKE59" s="316"/>
      <c r="OKF59" s="316"/>
      <c r="OKG59" s="316"/>
      <c r="OKH59" s="316"/>
      <c r="OKI59" s="316"/>
      <c r="OKJ59" s="316"/>
      <c r="OKK59" s="316"/>
      <c r="OKL59" s="316"/>
      <c r="OKM59" s="316"/>
      <c r="OKN59" s="316"/>
      <c r="OKO59" s="316"/>
      <c r="OKP59" s="316"/>
      <c r="OKQ59" s="316"/>
      <c r="OKR59" s="316"/>
      <c r="OKS59" s="316"/>
      <c r="OKT59" s="316"/>
      <c r="OKU59" s="316"/>
      <c r="OKV59" s="316"/>
      <c r="OKW59" s="316"/>
      <c r="OKX59" s="316"/>
      <c r="OKY59" s="316"/>
      <c r="OKZ59" s="316"/>
      <c r="OLA59" s="316"/>
      <c r="OLB59" s="316"/>
      <c r="OLC59" s="316"/>
      <c r="OLD59" s="316"/>
      <c r="OLE59" s="316"/>
      <c r="OLF59" s="316"/>
      <c r="OLG59" s="316"/>
      <c r="OLH59" s="316"/>
      <c r="OLI59" s="316"/>
      <c r="OLJ59" s="316"/>
      <c r="OLK59" s="316"/>
      <c r="OLL59" s="316"/>
      <c r="OLM59" s="316"/>
      <c r="OLN59" s="316"/>
      <c r="OLO59" s="316"/>
      <c r="OLP59" s="316"/>
      <c r="OLQ59" s="316"/>
      <c r="OLR59" s="316"/>
      <c r="OLS59" s="316"/>
      <c r="OLT59" s="316"/>
      <c r="OLU59" s="316"/>
      <c r="OLV59" s="316"/>
      <c r="OLW59" s="316"/>
      <c r="OLX59" s="316"/>
      <c r="OLY59" s="316"/>
      <c r="OLZ59" s="316"/>
      <c r="OMA59" s="316"/>
      <c r="OMB59" s="316"/>
      <c r="OMC59" s="316"/>
      <c r="OMD59" s="316"/>
      <c r="OME59" s="316"/>
      <c r="OMF59" s="316"/>
      <c r="OMG59" s="316"/>
      <c r="OMH59" s="316"/>
      <c r="OMI59" s="316"/>
      <c r="OMJ59" s="316"/>
      <c r="OMK59" s="316"/>
      <c r="OML59" s="316"/>
      <c r="OMM59" s="316"/>
      <c r="OMN59" s="316"/>
      <c r="OMO59" s="316"/>
      <c r="OMP59" s="316"/>
      <c r="OMQ59" s="316"/>
      <c r="OMR59" s="316"/>
      <c r="OMS59" s="316"/>
      <c r="OMT59" s="316"/>
      <c r="OMU59" s="316"/>
      <c r="OMV59" s="316"/>
      <c r="OMW59" s="316"/>
      <c r="OMX59" s="316"/>
      <c r="OMY59" s="316"/>
      <c r="OMZ59" s="316"/>
      <c r="ONA59" s="316"/>
      <c r="ONB59" s="316"/>
      <c r="ONC59" s="316"/>
      <c r="OND59" s="316"/>
      <c r="ONE59" s="316"/>
      <c r="ONF59" s="316"/>
      <c r="ONG59" s="316"/>
      <c r="ONH59" s="316"/>
      <c r="ONI59" s="316"/>
      <c r="ONJ59" s="316"/>
      <c r="ONK59" s="316"/>
      <c r="ONL59" s="316"/>
      <c r="ONM59" s="316"/>
      <c r="ONN59" s="316"/>
      <c r="ONO59" s="316"/>
      <c r="ONP59" s="316"/>
      <c r="ONQ59" s="316"/>
      <c r="ONR59" s="316"/>
      <c r="ONS59" s="316"/>
      <c r="ONT59" s="316"/>
      <c r="ONU59" s="316"/>
      <c r="ONV59" s="316"/>
      <c r="ONW59" s="316"/>
      <c r="ONX59" s="316"/>
      <c r="ONY59" s="316"/>
      <c r="ONZ59" s="316"/>
      <c r="OOA59" s="316"/>
      <c r="OOB59" s="316"/>
      <c r="OOC59" s="316"/>
      <c r="OOD59" s="316"/>
      <c r="OOE59" s="316"/>
      <c r="OOF59" s="316"/>
      <c r="OOG59" s="316"/>
      <c r="OOH59" s="316"/>
      <c r="OOI59" s="316"/>
      <c r="OOJ59" s="316"/>
      <c r="OOK59" s="316"/>
      <c r="OOL59" s="316"/>
      <c r="OOM59" s="316"/>
      <c r="OON59" s="316"/>
      <c r="OOO59" s="316"/>
      <c r="OOP59" s="316"/>
      <c r="OOQ59" s="316"/>
      <c r="OOR59" s="316"/>
      <c r="OOS59" s="316"/>
      <c r="OOT59" s="316"/>
      <c r="OOU59" s="316"/>
      <c r="OOV59" s="316"/>
      <c r="OOW59" s="316"/>
      <c r="OOX59" s="316"/>
      <c r="OOY59" s="316"/>
      <c r="OOZ59" s="316"/>
      <c r="OPA59" s="316"/>
      <c r="OPB59" s="316"/>
      <c r="OPC59" s="316"/>
      <c r="OPD59" s="316"/>
      <c r="OPE59" s="316"/>
      <c r="OPF59" s="316"/>
      <c r="OPG59" s="316"/>
      <c r="OPH59" s="316"/>
      <c r="OPI59" s="316"/>
      <c r="OPJ59" s="316"/>
      <c r="OPK59" s="316"/>
      <c r="OPL59" s="316"/>
      <c r="OPM59" s="316"/>
      <c r="OPN59" s="316"/>
      <c r="OPO59" s="316"/>
      <c r="OPP59" s="316"/>
      <c r="OPQ59" s="316"/>
      <c r="OPR59" s="316"/>
      <c r="OPS59" s="316"/>
      <c r="OPT59" s="316"/>
      <c r="OPU59" s="316"/>
      <c r="OPV59" s="316"/>
      <c r="OPW59" s="316"/>
      <c r="OPX59" s="316"/>
      <c r="OPY59" s="316"/>
      <c r="OPZ59" s="316"/>
      <c r="OQA59" s="316"/>
      <c r="OQB59" s="316"/>
      <c r="OQC59" s="316"/>
      <c r="OQD59" s="316"/>
      <c r="OQE59" s="316"/>
      <c r="OQF59" s="316"/>
      <c r="OQG59" s="316"/>
      <c r="OQH59" s="316"/>
      <c r="OQI59" s="316"/>
      <c r="OQJ59" s="316"/>
      <c r="OQK59" s="316"/>
      <c r="OQL59" s="316"/>
      <c r="OQM59" s="316"/>
      <c r="OQN59" s="316"/>
      <c r="OQO59" s="316"/>
      <c r="OQP59" s="316"/>
      <c r="OQQ59" s="316"/>
      <c r="OQR59" s="316"/>
      <c r="OQS59" s="316"/>
      <c r="OQT59" s="316"/>
      <c r="OQU59" s="316"/>
      <c r="OQV59" s="316"/>
      <c r="OQW59" s="316"/>
      <c r="OQX59" s="316"/>
      <c r="OQY59" s="316"/>
      <c r="OQZ59" s="316"/>
      <c r="ORA59" s="316"/>
      <c r="ORB59" s="316"/>
      <c r="ORC59" s="316"/>
      <c r="ORD59" s="316"/>
      <c r="ORE59" s="316"/>
      <c r="ORF59" s="316"/>
      <c r="ORG59" s="316"/>
      <c r="ORH59" s="316"/>
      <c r="ORI59" s="316"/>
      <c r="ORJ59" s="316"/>
      <c r="ORK59" s="316"/>
      <c r="ORL59" s="316"/>
      <c r="ORM59" s="316"/>
      <c r="ORN59" s="316"/>
      <c r="ORO59" s="316"/>
      <c r="ORP59" s="316"/>
      <c r="ORQ59" s="316"/>
      <c r="ORR59" s="316"/>
      <c r="ORS59" s="316"/>
      <c r="ORT59" s="316"/>
      <c r="ORU59" s="316"/>
      <c r="ORV59" s="316"/>
      <c r="ORW59" s="316"/>
      <c r="ORX59" s="316"/>
      <c r="ORY59" s="316"/>
      <c r="ORZ59" s="316"/>
      <c r="OSA59" s="316"/>
      <c r="OSB59" s="316"/>
      <c r="OSC59" s="316"/>
      <c r="OSD59" s="316"/>
      <c r="OSE59" s="316"/>
      <c r="OSF59" s="316"/>
      <c r="OSG59" s="316"/>
      <c r="OSH59" s="316"/>
      <c r="OSI59" s="316"/>
      <c r="OSJ59" s="316"/>
      <c r="OSK59" s="316"/>
      <c r="OSL59" s="316"/>
      <c r="OSM59" s="316"/>
      <c r="OSN59" s="316"/>
      <c r="OSO59" s="316"/>
      <c r="OSP59" s="316"/>
      <c r="OSQ59" s="316"/>
      <c r="OSR59" s="316"/>
      <c r="OSS59" s="316"/>
      <c r="OST59" s="316"/>
      <c r="OSU59" s="316"/>
      <c r="OSV59" s="316"/>
      <c r="OSW59" s="316"/>
      <c r="OSX59" s="316"/>
      <c r="OSY59" s="316"/>
      <c r="OSZ59" s="316"/>
      <c r="OTA59" s="316"/>
      <c r="OTB59" s="316"/>
      <c r="OTC59" s="316"/>
      <c r="OTD59" s="316"/>
      <c r="OTE59" s="316"/>
      <c r="OTF59" s="316"/>
      <c r="OTG59" s="316"/>
      <c r="OTH59" s="316"/>
      <c r="OTI59" s="316"/>
      <c r="OTJ59" s="316"/>
      <c r="OTK59" s="316"/>
      <c r="OTL59" s="316"/>
      <c r="OTM59" s="316"/>
      <c r="OTN59" s="316"/>
      <c r="OTO59" s="316"/>
      <c r="OTP59" s="316"/>
      <c r="OTQ59" s="316"/>
      <c r="OTR59" s="316"/>
      <c r="OTS59" s="316"/>
      <c r="OTT59" s="316"/>
      <c r="OTU59" s="316"/>
      <c r="OTV59" s="316"/>
      <c r="OTW59" s="316"/>
      <c r="OTX59" s="316"/>
      <c r="OTY59" s="316"/>
      <c r="OTZ59" s="316"/>
      <c r="OUA59" s="316"/>
      <c r="OUB59" s="316"/>
      <c r="OUC59" s="316"/>
      <c r="OUD59" s="316"/>
      <c r="OUE59" s="316"/>
      <c r="OUF59" s="316"/>
      <c r="OUG59" s="316"/>
      <c r="OUH59" s="316"/>
      <c r="OUI59" s="316"/>
      <c r="OUJ59" s="316"/>
      <c r="OUK59" s="316"/>
      <c r="OUL59" s="316"/>
      <c r="OUM59" s="316"/>
      <c r="OUN59" s="316"/>
      <c r="OUO59" s="316"/>
      <c r="OUP59" s="316"/>
      <c r="OUQ59" s="316"/>
      <c r="OUR59" s="316"/>
      <c r="OUS59" s="316"/>
      <c r="OUT59" s="316"/>
      <c r="OUU59" s="316"/>
      <c r="OUV59" s="316"/>
      <c r="OUW59" s="316"/>
      <c r="OUX59" s="316"/>
      <c r="OUY59" s="316"/>
      <c r="OUZ59" s="316"/>
      <c r="OVA59" s="316"/>
      <c r="OVB59" s="316"/>
      <c r="OVC59" s="316"/>
      <c r="OVD59" s="316"/>
      <c r="OVE59" s="316"/>
      <c r="OVF59" s="316"/>
      <c r="OVG59" s="316"/>
      <c r="OVH59" s="316"/>
      <c r="OVI59" s="316"/>
      <c r="OVJ59" s="316"/>
      <c r="OVK59" s="316"/>
      <c r="OVL59" s="316"/>
      <c r="OVM59" s="316"/>
      <c r="OVN59" s="316"/>
      <c r="OVO59" s="316"/>
      <c r="OVP59" s="316"/>
      <c r="OVQ59" s="316"/>
      <c r="OVR59" s="316"/>
      <c r="OVS59" s="316"/>
      <c r="OVT59" s="316"/>
      <c r="OVU59" s="316"/>
      <c r="OVV59" s="316"/>
      <c r="OVW59" s="316"/>
      <c r="OVX59" s="316"/>
      <c r="OVY59" s="316"/>
      <c r="OVZ59" s="316"/>
      <c r="OWA59" s="316"/>
      <c r="OWB59" s="316"/>
      <c r="OWC59" s="316"/>
      <c r="OWD59" s="316"/>
      <c r="OWE59" s="316"/>
      <c r="OWF59" s="316"/>
      <c r="OWG59" s="316"/>
      <c r="OWH59" s="316"/>
      <c r="OWI59" s="316"/>
      <c r="OWJ59" s="316"/>
      <c r="OWK59" s="316"/>
      <c r="OWL59" s="316"/>
      <c r="OWM59" s="316"/>
      <c r="OWN59" s="316"/>
      <c r="OWO59" s="316"/>
      <c r="OWP59" s="316"/>
      <c r="OWQ59" s="316"/>
      <c r="OWR59" s="316"/>
      <c r="OWS59" s="316"/>
      <c r="OWT59" s="316"/>
      <c r="OWU59" s="316"/>
      <c r="OWV59" s="316"/>
      <c r="OWW59" s="316"/>
      <c r="OWX59" s="316"/>
      <c r="OWY59" s="316"/>
      <c r="OWZ59" s="316"/>
      <c r="OXA59" s="316"/>
      <c r="OXB59" s="316"/>
      <c r="OXC59" s="316"/>
      <c r="OXD59" s="316"/>
      <c r="OXE59" s="316"/>
      <c r="OXF59" s="316"/>
      <c r="OXG59" s="316"/>
      <c r="OXH59" s="316"/>
      <c r="OXI59" s="316"/>
      <c r="OXJ59" s="316"/>
      <c r="OXK59" s="316"/>
      <c r="OXL59" s="316"/>
      <c r="OXM59" s="316"/>
      <c r="OXN59" s="316"/>
      <c r="OXO59" s="316"/>
      <c r="OXP59" s="316"/>
      <c r="OXQ59" s="316"/>
      <c r="OXR59" s="316"/>
      <c r="OXS59" s="316"/>
      <c r="OXT59" s="316"/>
      <c r="OXU59" s="316"/>
      <c r="OXV59" s="316"/>
      <c r="OXW59" s="316"/>
      <c r="OXX59" s="316"/>
      <c r="OXY59" s="316"/>
      <c r="OXZ59" s="316"/>
      <c r="OYA59" s="316"/>
      <c r="OYB59" s="316"/>
      <c r="OYC59" s="316"/>
      <c r="OYD59" s="316"/>
      <c r="OYE59" s="316"/>
      <c r="OYF59" s="316"/>
      <c r="OYG59" s="316"/>
      <c r="OYH59" s="316"/>
      <c r="OYI59" s="316"/>
      <c r="OYJ59" s="316"/>
      <c r="OYK59" s="316"/>
      <c r="OYL59" s="316"/>
      <c r="OYM59" s="316"/>
      <c r="OYN59" s="316"/>
      <c r="OYO59" s="316"/>
      <c r="OYP59" s="316"/>
      <c r="OYQ59" s="316"/>
      <c r="OYR59" s="316"/>
      <c r="OYS59" s="316"/>
      <c r="OYT59" s="316"/>
      <c r="OYU59" s="316"/>
      <c r="OYV59" s="316"/>
      <c r="OYW59" s="316"/>
      <c r="OYX59" s="316"/>
      <c r="OYY59" s="316"/>
      <c r="OYZ59" s="316"/>
      <c r="OZA59" s="316"/>
      <c r="OZB59" s="316"/>
      <c r="OZC59" s="316"/>
      <c r="OZD59" s="316"/>
      <c r="OZE59" s="316"/>
      <c r="OZF59" s="316"/>
      <c r="OZG59" s="316"/>
      <c r="OZH59" s="316"/>
      <c r="OZI59" s="316"/>
      <c r="OZJ59" s="316"/>
      <c r="OZK59" s="316"/>
      <c r="OZL59" s="316"/>
      <c r="OZM59" s="316"/>
      <c r="OZN59" s="316"/>
      <c r="OZO59" s="316"/>
      <c r="OZP59" s="316"/>
      <c r="OZQ59" s="316"/>
      <c r="OZR59" s="316"/>
      <c r="OZS59" s="316"/>
      <c r="OZT59" s="316"/>
      <c r="OZU59" s="316"/>
      <c r="OZV59" s="316"/>
      <c r="OZW59" s="316"/>
      <c r="OZX59" s="316"/>
      <c r="OZY59" s="316"/>
      <c r="OZZ59" s="316"/>
      <c r="PAA59" s="316"/>
      <c r="PAB59" s="316"/>
      <c r="PAC59" s="316"/>
      <c r="PAD59" s="316"/>
      <c r="PAE59" s="316"/>
      <c r="PAF59" s="316"/>
      <c r="PAG59" s="316"/>
      <c r="PAH59" s="316"/>
      <c r="PAI59" s="316"/>
      <c r="PAJ59" s="316"/>
      <c r="PAK59" s="316"/>
      <c r="PAL59" s="316"/>
      <c r="PAM59" s="316"/>
      <c r="PAN59" s="316"/>
      <c r="PAO59" s="316"/>
      <c r="PAP59" s="316"/>
      <c r="PAQ59" s="316"/>
      <c r="PAR59" s="316"/>
      <c r="PAS59" s="316"/>
      <c r="PAT59" s="316"/>
      <c r="PAU59" s="316"/>
      <c r="PAV59" s="316"/>
      <c r="PAW59" s="316"/>
      <c r="PAX59" s="316"/>
      <c r="PAY59" s="316"/>
      <c r="PAZ59" s="316"/>
      <c r="PBA59" s="316"/>
      <c r="PBB59" s="316"/>
      <c r="PBC59" s="316"/>
      <c r="PBD59" s="316"/>
      <c r="PBE59" s="316"/>
      <c r="PBF59" s="316"/>
      <c r="PBG59" s="316"/>
      <c r="PBH59" s="316"/>
      <c r="PBI59" s="316"/>
      <c r="PBJ59" s="316"/>
      <c r="PBK59" s="316"/>
      <c r="PBL59" s="316"/>
      <c r="PBM59" s="316"/>
      <c r="PBN59" s="316"/>
      <c r="PBO59" s="316"/>
      <c r="PBP59" s="316"/>
      <c r="PBQ59" s="316"/>
      <c r="PBR59" s="316"/>
      <c r="PBS59" s="316"/>
      <c r="PBT59" s="316"/>
      <c r="PBU59" s="316"/>
      <c r="PBV59" s="316"/>
      <c r="PBW59" s="316"/>
      <c r="PBX59" s="316"/>
      <c r="PBY59" s="316"/>
      <c r="PBZ59" s="316"/>
      <c r="PCA59" s="316"/>
      <c r="PCB59" s="316"/>
      <c r="PCC59" s="316"/>
      <c r="PCD59" s="316"/>
      <c r="PCE59" s="316"/>
      <c r="PCF59" s="316"/>
      <c r="PCG59" s="316"/>
      <c r="PCH59" s="316"/>
      <c r="PCI59" s="316"/>
      <c r="PCJ59" s="316"/>
      <c r="PCK59" s="316"/>
      <c r="PCL59" s="316"/>
      <c r="PCM59" s="316"/>
      <c r="PCN59" s="316"/>
      <c r="PCO59" s="316"/>
      <c r="PCP59" s="316"/>
      <c r="PCQ59" s="316"/>
      <c r="PCR59" s="316"/>
      <c r="PCS59" s="316"/>
      <c r="PCT59" s="316"/>
      <c r="PCU59" s="316"/>
      <c r="PCV59" s="316"/>
      <c r="PCW59" s="316"/>
      <c r="PCX59" s="316"/>
      <c r="PCY59" s="316"/>
      <c r="PCZ59" s="316"/>
      <c r="PDA59" s="316"/>
      <c r="PDB59" s="316"/>
      <c r="PDC59" s="316"/>
      <c r="PDD59" s="316"/>
      <c r="PDE59" s="316"/>
      <c r="PDF59" s="316"/>
      <c r="PDG59" s="316"/>
      <c r="PDH59" s="316"/>
      <c r="PDI59" s="316"/>
      <c r="PDJ59" s="316"/>
      <c r="PDK59" s="316"/>
      <c r="PDL59" s="316"/>
      <c r="PDM59" s="316"/>
      <c r="PDN59" s="316"/>
      <c r="PDO59" s="316"/>
      <c r="PDP59" s="316"/>
      <c r="PDQ59" s="316"/>
      <c r="PDR59" s="316"/>
      <c r="PDS59" s="316"/>
      <c r="PDT59" s="316"/>
      <c r="PDU59" s="316"/>
      <c r="PDV59" s="316"/>
      <c r="PDW59" s="316"/>
      <c r="PDX59" s="316"/>
      <c r="PDY59" s="316"/>
      <c r="PDZ59" s="316"/>
      <c r="PEA59" s="316"/>
      <c r="PEB59" s="316"/>
      <c r="PEC59" s="316"/>
      <c r="PED59" s="316"/>
      <c r="PEE59" s="316"/>
      <c r="PEF59" s="316"/>
      <c r="PEG59" s="316"/>
      <c r="PEH59" s="316"/>
      <c r="PEI59" s="316"/>
      <c r="PEJ59" s="316"/>
      <c r="PEK59" s="316"/>
      <c r="PEL59" s="316"/>
      <c r="PEM59" s="316"/>
      <c r="PEN59" s="316"/>
      <c r="PEO59" s="316"/>
      <c r="PEP59" s="316"/>
      <c r="PEQ59" s="316"/>
      <c r="PER59" s="316"/>
      <c r="PES59" s="316"/>
      <c r="PET59" s="316"/>
      <c r="PEU59" s="316"/>
      <c r="PEV59" s="316"/>
      <c r="PEW59" s="316"/>
      <c r="PEX59" s="316"/>
      <c r="PEY59" s="316"/>
      <c r="PEZ59" s="316"/>
      <c r="PFA59" s="316"/>
      <c r="PFB59" s="316"/>
      <c r="PFC59" s="316"/>
      <c r="PFD59" s="316"/>
      <c r="PFE59" s="316"/>
      <c r="PFF59" s="316"/>
      <c r="PFG59" s="316"/>
      <c r="PFH59" s="316"/>
      <c r="PFI59" s="316"/>
      <c r="PFJ59" s="316"/>
      <c r="PFK59" s="316"/>
      <c r="PFL59" s="316"/>
      <c r="PFM59" s="316"/>
      <c r="PFN59" s="316"/>
      <c r="PFO59" s="316"/>
      <c r="PFP59" s="316"/>
      <c r="PFQ59" s="316"/>
      <c r="PFR59" s="316"/>
      <c r="PFS59" s="316"/>
      <c r="PFT59" s="316"/>
      <c r="PFU59" s="316"/>
      <c r="PFV59" s="316"/>
      <c r="PFW59" s="316"/>
      <c r="PFX59" s="316"/>
      <c r="PFY59" s="316"/>
      <c r="PFZ59" s="316"/>
      <c r="PGA59" s="316"/>
      <c r="PGB59" s="316"/>
      <c r="PGC59" s="316"/>
      <c r="PGD59" s="316"/>
      <c r="PGE59" s="316"/>
      <c r="PGF59" s="316"/>
      <c r="PGG59" s="316"/>
      <c r="PGH59" s="316"/>
      <c r="PGI59" s="316"/>
      <c r="PGJ59" s="316"/>
      <c r="PGK59" s="316"/>
      <c r="PGL59" s="316"/>
      <c r="PGM59" s="316"/>
      <c r="PGN59" s="316"/>
      <c r="PGO59" s="316"/>
      <c r="PGP59" s="316"/>
      <c r="PGQ59" s="316"/>
      <c r="PGR59" s="316"/>
      <c r="PGS59" s="316"/>
      <c r="PGT59" s="316"/>
      <c r="PGU59" s="316"/>
      <c r="PGV59" s="316"/>
      <c r="PGW59" s="316"/>
      <c r="PGX59" s="316"/>
      <c r="PGY59" s="316"/>
      <c r="PGZ59" s="316"/>
      <c r="PHA59" s="316"/>
      <c r="PHB59" s="316"/>
      <c r="PHC59" s="316"/>
      <c r="PHD59" s="316"/>
      <c r="PHE59" s="316"/>
      <c r="PHF59" s="316"/>
      <c r="PHG59" s="316"/>
      <c r="PHH59" s="316"/>
      <c r="PHI59" s="316"/>
      <c r="PHJ59" s="316"/>
      <c r="PHK59" s="316"/>
      <c r="PHL59" s="316"/>
      <c r="PHM59" s="316"/>
      <c r="PHN59" s="316"/>
      <c r="PHO59" s="316"/>
      <c r="PHP59" s="316"/>
      <c r="PHQ59" s="316"/>
      <c r="PHR59" s="316"/>
      <c r="PHS59" s="316"/>
      <c r="PHT59" s="316"/>
      <c r="PHU59" s="316"/>
      <c r="PHV59" s="316"/>
      <c r="PHW59" s="316"/>
      <c r="PHX59" s="316"/>
      <c r="PHY59" s="316"/>
      <c r="PHZ59" s="316"/>
      <c r="PIA59" s="316"/>
      <c r="PIB59" s="316"/>
      <c r="PIC59" s="316"/>
      <c r="PID59" s="316"/>
      <c r="PIE59" s="316"/>
      <c r="PIF59" s="316"/>
      <c r="PIG59" s="316"/>
      <c r="PIH59" s="316"/>
      <c r="PII59" s="316"/>
      <c r="PIJ59" s="316"/>
      <c r="PIK59" s="316"/>
      <c r="PIL59" s="316"/>
      <c r="PIM59" s="316"/>
      <c r="PIN59" s="316"/>
      <c r="PIO59" s="316"/>
      <c r="PIP59" s="316"/>
      <c r="PIQ59" s="316"/>
      <c r="PIR59" s="316"/>
      <c r="PIS59" s="316"/>
      <c r="PIT59" s="316"/>
      <c r="PIU59" s="316"/>
      <c r="PIV59" s="316"/>
      <c r="PIW59" s="316"/>
      <c r="PIX59" s="316"/>
      <c r="PIY59" s="316"/>
      <c r="PIZ59" s="316"/>
      <c r="PJA59" s="316"/>
      <c r="PJB59" s="316"/>
      <c r="PJC59" s="316"/>
      <c r="PJD59" s="316"/>
      <c r="PJE59" s="316"/>
      <c r="PJF59" s="316"/>
      <c r="PJG59" s="316"/>
      <c r="PJH59" s="316"/>
      <c r="PJI59" s="316"/>
      <c r="PJJ59" s="316"/>
      <c r="PJK59" s="316"/>
      <c r="PJL59" s="316"/>
      <c r="PJM59" s="316"/>
      <c r="PJN59" s="316"/>
      <c r="PJO59" s="316"/>
      <c r="PJP59" s="316"/>
      <c r="PJQ59" s="316"/>
      <c r="PJR59" s="316"/>
      <c r="PJS59" s="316"/>
      <c r="PJT59" s="316"/>
      <c r="PJU59" s="316"/>
      <c r="PJV59" s="316"/>
      <c r="PJW59" s="316"/>
      <c r="PJX59" s="316"/>
      <c r="PJY59" s="316"/>
      <c r="PJZ59" s="316"/>
      <c r="PKA59" s="316"/>
      <c r="PKB59" s="316"/>
      <c r="PKC59" s="316"/>
      <c r="PKD59" s="316"/>
      <c r="PKE59" s="316"/>
      <c r="PKF59" s="316"/>
      <c r="PKG59" s="316"/>
      <c r="PKH59" s="316"/>
      <c r="PKI59" s="316"/>
      <c r="PKJ59" s="316"/>
      <c r="PKK59" s="316"/>
      <c r="PKL59" s="316"/>
      <c r="PKM59" s="316"/>
      <c r="PKN59" s="316"/>
      <c r="PKO59" s="316"/>
      <c r="PKP59" s="316"/>
      <c r="PKQ59" s="316"/>
      <c r="PKR59" s="316"/>
      <c r="PKS59" s="316"/>
      <c r="PKT59" s="316"/>
      <c r="PKU59" s="316"/>
      <c r="PKV59" s="316"/>
      <c r="PKW59" s="316"/>
      <c r="PKX59" s="316"/>
      <c r="PKY59" s="316"/>
      <c r="PKZ59" s="316"/>
      <c r="PLA59" s="316"/>
      <c r="PLB59" s="316"/>
      <c r="PLC59" s="316"/>
      <c r="PLD59" s="316"/>
      <c r="PLE59" s="316"/>
      <c r="PLF59" s="316"/>
      <c r="PLG59" s="316"/>
      <c r="PLH59" s="316"/>
      <c r="PLI59" s="316"/>
      <c r="PLJ59" s="316"/>
      <c r="PLK59" s="316"/>
      <c r="PLL59" s="316"/>
      <c r="PLM59" s="316"/>
      <c r="PLN59" s="316"/>
      <c r="PLO59" s="316"/>
      <c r="PLP59" s="316"/>
      <c r="PLQ59" s="316"/>
      <c r="PLR59" s="316"/>
      <c r="PLS59" s="316"/>
      <c r="PLT59" s="316"/>
      <c r="PLU59" s="316"/>
      <c r="PLV59" s="316"/>
      <c r="PLW59" s="316"/>
      <c r="PLX59" s="316"/>
      <c r="PLY59" s="316"/>
      <c r="PLZ59" s="316"/>
      <c r="PMA59" s="316"/>
      <c r="PMB59" s="316"/>
      <c r="PMC59" s="316"/>
      <c r="PMD59" s="316"/>
      <c r="PME59" s="316"/>
      <c r="PMF59" s="316"/>
      <c r="PMG59" s="316"/>
      <c r="PMH59" s="316"/>
      <c r="PMI59" s="316"/>
      <c r="PMJ59" s="316"/>
      <c r="PMK59" s="316"/>
      <c r="PML59" s="316"/>
      <c r="PMM59" s="316"/>
      <c r="PMN59" s="316"/>
      <c r="PMO59" s="316"/>
      <c r="PMP59" s="316"/>
      <c r="PMQ59" s="316"/>
      <c r="PMR59" s="316"/>
      <c r="PMS59" s="316"/>
      <c r="PMT59" s="316"/>
      <c r="PMU59" s="316"/>
      <c r="PMV59" s="316"/>
      <c r="PMW59" s="316"/>
      <c r="PMX59" s="316"/>
      <c r="PMY59" s="316"/>
      <c r="PMZ59" s="316"/>
      <c r="PNA59" s="316"/>
      <c r="PNB59" s="316"/>
      <c r="PNC59" s="316"/>
      <c r="PND59" s="316"/>
      <c r="PNE59" s="316"/>
      <c r="PNF59" s="316"/>
      <c r="PNG59" s="316"/>
      <c r="PNH59" s="316"/>
      <c r="PNI59" s="316"/>
      <c r="PNJ59" s="316"/>
      <c r="PNK59" s="316"/>
      <c r="PNL59" s="316"/>
      <c r="PNM59" s="316"/>
      <c r="PNN59" s="316"/>
      <c r="PNO59" s="316"/>
      <c r="PNP59" s="316"/>
      <c r="PNQ59" s="316"/>
      <c r="PNR59" s="316"/>
      <c r="PNS59" s="316"/>
      <c r="PNT59" s="316"/>
      <c r="PNU59" s="316"/>
      <c r="PNV59" s="316"/>
      <c r="PNW59" s="316"/>
      <c r="PNX59" s="316"/>
      <c r="PNY59" s="316"/>
      <c r="PNZ59" s="316"/>
      <c r="POA59" s="316"/>
      <c r="POB59" s="316"/>
      <c r="POC59" s="316"/>
      <c r="POD59" s="316"/>
      <c r="POE59" s="316"/>
      <c r="POF59" s="316"/>
      <c r="POG59" s="316"/>
      <c r="POH59" s="316"/>
      <c r="POI59" s="316"/>
      <c r="POJ59" s="316"/>
      <c r="POK59" s="316"/>
      <c r="POL59" s="316"/>
      <c r="POM59" s="316"/>
      <c r="PON59" s="316"/>
      <c r="POO59" s="316"/>
      <c r="POP59" s="316"/>
      <c r="POQ59" s="316"/>
      <c r="POR59" s="316"/>
      <c r="POS59" s="316"/>
      <c r="POT59" s="316"/>
      <c r="POU59" s="316"/>
      <c r="POV59" s="316"/>
      <c r="POW59" s="316"/>
      <c r="POX59" s="316"/>
      <c r="POY59" s="316"/>
      <c r="POZ59" s="316"/>
      <c r="PPA59" s="316"/>
      <c r="PPB59" s="316"/>
      <c r="PPC59" s="316"/>
      <c r="PPD59" s="316"/>
      <c r="PPE59" s="316"/>
      <c r="PPF59" s="316"/>
      <c r="PPG59" s="316"/>
      <c r="PPH59" s="316"/>
      <c r="PPI59" s="316"/>
      <c r="PPJ59" s="316"/>
      <c r="PPK59" s="316"/>
      <c r="PPL59" s="316"/>
      <c r="PPM59" s="316"/>
      <c r="PPN59" s="316"/>
      <c r="PPO59" s="316"/>
      <c r="PPP59" s="316"/>
      <c r="PPQ59" s="316"/>
      <c r="PPR59" s="316"/>
      <c r="PPS59" s="316"/>
      <c r="PPT59" s="316"/>
      <c r="PPU59" s="316"/>
      <c r="PPV59" s="316"/>
      <c r="PPW59" s="316"/>
      <c r="PPX59" s="316"/>
      <c r="PPY59" s="316"/>
      <c r="PPZ59" s="316"/>
      <c r="PQA59" s="316"/>
      <c r="PQB59" s="316"/>
      <c r="PQC59" s="316"/>
      <c r="PQD59" s="316"/>
      <c r="PQE59" s="316"/>
      <c r="PQF59" s="316"/>
      <c r="PQG59" s="316"/>
      <c r="PQH59" s="316"/>
      <c r="PQI59" s="316"/>
      <c r="PQJ59" s="316"/>
      <c r="PQK59" s="316"/>
      <c r="PQL59" s="316"/>
      <c r="PQM59" s="316"/>
      <c r="PQN59" s="316"/>
      <c r="PQO59" s="316"/>
      <c r="PQP59" s="316"/>
      <c r="PQQ59" s="316"/>
      <c r="PQR59" s="316"/>
      <c r="PQS59" s="316"/>
      <c r="PQT59" s="316"/>
      <c r="PQU59" s="316"/>
      <c r="PQV59" s="316"/>
      <c r="PQW59" s="316"/>
      <c r="PQX59" s="316"/>
      <c r="PQY59" s="316"/>
      <c r="PQZ59" s="316"/>
      <c r="PRA59" s="316"/>
      <c r="PRB59" s="316"/>
      <c r="PRC59" s="316"/>
      <c r="PRD59" s="316"/>
      <c r="PRE59" s="316"/>
      <c r="PRF59" s="316"/>
      <c r="PRG59" s="316"/>
      <c r="PRH59" s="316"/>
      <c r="PRI59" s="316"/>
      <c r="PRJ59" s="316"/>
      <c r="PRK59" s="316"/>
      <c r="PRL59" s="316"/>
      <c r="PRM59" s="316"/>
      <c r="PRN59" s="316"/>
      <c r="PRO59" s="316"/>
      <c r="PRP59" s="316"/>
      <c r="PRQ59" s="316"/>
      <c r="PRR59" s="316"/>
      <c r="PRS59" s="316"/>
      <c r="PRT59" s="316"/>
      <c r="PRU59" s="316"/>
      <c r="PRV59" s="316"/>
      <c r="PRW59" s="316"/>
      <c r="PRX59" s="316"/>
      <c r="PRY59" s="316"/>
      <c r="PRZ59" s="316"/>
      <c r="PSA59" s="316"/>
      <c r="PSB59" s="316"/>
      <c r="PSC59" s="316"/>
      <c r="PSD59" s="316"/>
      <c r="PSE59" s="316"/>
      <c r="PSF59" s="316"/>
      <c r="PSG59" s="316"/>
      <c r="PSH59" s="316"/>
      <c r="PSI59" s="316"/>
      <c r="PSJ59" s="316"/>
      <c r="PSK59" s="316"/>
      <c r="PSL59" s="316"/>
      <c r="PSM59" s="316"/>
      <c r="PSN59" s="316"/>
      <c r="PSO59" s="316"/>
      <c r="PSP59" s="316"/>
      <c r="PSQ59" s="316"/>
      <c r="PSR59" s="316"/>
      <c r="PSS59" s="316"/>
      <c r="PST59" s="316"/>
      <c r="PSU59" s="316"/>
      <c r="PSV59" s="316"/>
      <c r="PSW59" s="316"/>
      <c r="PSX59" s="316"/>
      <c r="PSY59" s="316"/>
      <c r="PSZ59" s="316"/>
      <c r="PTA59" s="316"/>
      <c r="PTB59" s="316"/>
      <c r="PTC59" s="316"/>
      <c r="PTD59" s="316"/>
      <c r="PTE59" s="316"/>
      <c r="PTF59" s="316"/>
      <c r="PTG59" s="316"/>
      <c r="PTH59" s="316"/>
      <c r="PTI59" s="316"/>
      <c r="PTJ59" s="316"/>
      <c r="PTK59" s="316"/>
      <c r="PTL59" s="316"/>
      <c r="PTM59" s="316"/>
      <c r="PTN59" s="316"/>
      <c r="PTO59" s="316"/>
      <c r="PTP59" s="316"/>
      <c r="PTQ59" s="316"/>
      <c r="PTR59" s="316"/>
      <c r="PTS59" s="316"/>
      <c r="PTT59" s="316"/>
      <c r="PTU59" s="316"/>
      <c r="PTV59" s="316"/>
      <c r="PTW59" s="316"/>
      <c r="PTX59" s="316"/>
      <c r="PTY59" s="316"/>
      <c r="PTZ59" s="316"/>
      <c r="PUA59" s="316"/>
      <c r="PUB59" s="316"/>
      <c r="PUC59" s="316"/>
      <c r="PUD59" s="316"/>
      <c r="PUE59" s="316"/>
      <c r="PUF59" s="316"/>
      <c r="PUG59" s="316"/>
      <c r="PUH59" s="316"/>
      <c r="PUI59" s="316"/>
      <c r="PUJ59" s="316"/>
      <c r="PUK59" s="316"/>
      <c r="PUL59" s="316"/>
      <c r="PUM59" s="316"/>
      <c r="PUN59" s="316"/>
      <c r="PUO59" s="316"/>
      <c r="PUP59" s="316"/>
      <c r="PUQ59" s="316"/>
      <c r="PUR59" s="316"/>
      <c r="PUS59" s="316"/>
      <c r="PUT59" s="316"/>
      <c r="PUU59" s="316"/>
      <c r="PUV59" s="316"/>
      <c r="PUW59" s="316"/>
      <c r="PUX59" s="316"/>
      <c r="PUY59" s="316"/>
      <c r="PUZ59" s="316"/>
      <c r="PVA59" s="316"/>
      <c r="PVB59" s="316"/>
      <c r="PVC59" s="316"/>
      <c r="PVD59" s="316"/>
      <c r="PVE59" s="316"/>
      <c r="PVF59" s="316"/>
      <c r="PVG59" s="316"/>
      <c r="PVH59" s="316"/>
      <c r="PVI59" s="316"/>
      <c r="PVJ59" s="316"/>
      <c r="PVK59" s="316"/>
      <c r="PVL59" s="316"/>
      <c r="PVM59" s="316"/>
      <c r="PVN59" s="316"/>
      <c r="PVO59" s="316"/>
      <c r="PVP59" s="316"/>
      <c r="PVQ59" s="316"/>
      <c r="PVR59" s="316"/>
      <c r="PVS59" s="316"/>
      <c r="PVT59" s="316"/>
      <c r="PVU59" s="316"/>
      <c r="PVV59" s="316"/>
      <c r="PVW59" s="316"/>
      <c r="PVX59" s="316"/>
      <c r="PVY59" s="316"/>
      <c r="PVZ59" s="316"/>
      <c r="PWA59" s="316"/>
      <c r="PWB59" s="316"/>
      <c r="PWC59" s="316"/>
      <c r="PWD59" s="316"/>
      <c r="PWE59" s="316"/>
      <c r="PWF59" s="316"/>
      <c r="PWG59" s="316"/>
      <c r="PWH59" s="316"/>
      <c r="PWI59" s="316"/>
      <c r="PWJ59" s="316"/>
      <c r="PWK59" s="316"/>
      <c r="PWL59" s="316"/>
      <c r="PWM59" s="316"/>
      <c r="PWN59" s="316"/>
      <c r="PWO59" s="316"/>
      <c r="PWP59" s="316"/>
      <c r="PWQ59" s="316"/>
      <c r="PWR59" s="316"/>
      <c r="PWS59" s="316"/>
      <c r="PWT59" s="316"/>
      <c r="PWU59" s="316"/>
      <c r="PWV59" s="316"/>
      <c r="PWW59" s="316"/>
      <c r="PWX59" s="316"/>
      <c r="PWY59" s="316"/>
      <c r="PWZ59" s="316"/>
      <c r="PXA59" s="316"/>
      <c r="PXB59" s="316"/>
      <c r="PXC59" s="316"/>
      <c r="PXD59" s="316"/>
      <c r="PXE59" s="316"/>
      <c r="PXF59" s="316"/>
      <c r="PXG59" s="316"/>
      <c r="PXH59" s="316"/>
      <c r="PXI59" s="316"/>
      <c r="PXJ59" s="316"/>
      <c r="PXK59" s="316"/>
      <c r="PXL59" s="316"/>
      <c r="PXM59" s="316"/>
      <c r="PXN59" s="316"/>
      <c r="PXO59" s="316"/>
      <c r="PXP59" s="316"/>
      <c r="PXQ59" s="316"/>
      <c r="PXR59" s="316"/>
      <c r="PXS59" s="316"/>
      <c r="PXT59" s="316"/>
      <c r="PXU59" s="316"/>
      <c r="PXV59" s="316"/>
      <c r="PXW59" s="316"/>
      <c r="PXX59" s="316"/>
      <c r="PXY59" s="316"/>
      <c r="PXZ59" s="316"/>
      <c r="PYA59" s="316"/>
      <c r="PYB59" s="316"/>
      <c r="PYC59" s="316"/>
      <c r="PYD59" s="316"/>
      <c r="PYE59" s="316"/>
      <c r="PYF59" s="316"/>
      <c r="PYG59" s="316"/>
      <c r="PYH59" s="316"/>
      <c r="PYI59" s="316"/>
      <c r="PYJ59" s="316"/>
      <c r="PYK59" s="316"/>
      <c r="PYL59" s="316"/>
      <c r="PYM59" s="316"/>
      <c r="PYN59" s="316"/>
      <c r="PYO59" s="316"/>
      <c r="PYP59" s="316"/>
      <c r="PYQ59" s="316"/>
      <c r="PYR59" s="316"/>
      <c r="PYS59" s="316"/>
      <c r="PYT59" s="316"/>
      <c r="PYU59" s="316"/>
      <c r="PYV59" s="316"/>
      <c r="PYW59" s="316"/>
      <c r="PYX59" s="316"/>
      <c r="PYY59" s="316"/>
      <c r="PYZ59" s="316"/>
      <c r="PZA59" s="316"/>
      <c r="PZB59" s="316"/>
      <c r="PZC59" s="316"/>
      <c r="PZD59" s="316"/>
      <c r="PZE59" s="316"/>
      <c r="PZF59" s="316"/>
      <c r="PZG59" s="316"/>
      <c r="PZH59" s="316"/>
      <c r="PZI59" s="316"/>
      <c r="PZJ59" s="316"/>
      <c r="PZK59" s="316"/>
      <c r="PZL59" s="316"/>
      <c r="PZM59" s="316"/>
      <c r="PZN59" s="316"/>
      <c r="PZO59" s="316"/>
      <c r="PZP59" s="316"/>
      <c r="PZQ59" s="316"/>
      <c r="PZR59" s="316"/>
      <c r="PZS59" s="316"/>
      <c r="PZT59" s="316"/>
      <c r="PZU59" s="316"/>
      <c r="PZV59" s="316"/>
      <c r="PZW59" s="316"/>
      <c r="PZX59" s="316"/>
      <c r="PZY59" s="316"/>
      <c r="PZZ59" s="316"/>
      <c r="QAA59" s="316"/>
      <c r="QAB59" s="316"/>
      <c r="QAC59" s="316"/>
      <c r="QAD59" s="316"/>
      <c r="QAE59" s="316"/>
      <c r="QAF59" s="316"/>
      <c r="QAG59" s="316"/>
      <c r="QAH59" s="316"/>
      <c r="QAI59" s="316"/>
      <c r="QAJ59" s="316"/>
      <c r="QAK59" s="316"/>
      <c r="QAL59" s="316"/>
      <c r="QAM59" s="316"/>
      <c r="QAN59" s="316"/>
      <c r="QAO59" s="316"/>
      <c r="QAP59" s="316"/>
      <c r="QAQ59" s="316"/>
      <c r="QAR59" s="316"/>
      <c r="QAS59" s="316"/>
      <c r="QAT59" s="316"/>
      <c r="QAU59" s="316"/>
      <c r="QAV59" s="316"/>
      <c r="QAW59" s="316"/>
      <c r="QAX59" s="316"/>
      <c r="QAY59" s="316"/>
      <c r="QAZ59" s="316"/>
      <c r="QBA59" s="316"/>
      <c r="QBB59" s="316"/>
      <c r="QBC59" s="316"/>
      <c r="QBD59" s="316"/>
      <c r="QBE59" s="316"/>
      <c r="QBF59" s="316"/>
      <c r="QBG59" s="316"/>
      <c r="QBH59" s="316"/>
      <c r="QBI59" s="316"/>
      <c r="QBJ59" s="316"/>
      <c r="QBK59" s="316"/>
      <c r="QBL59" s="316"/>
      <c r="QBM59" s="316"/>
      <c r="QBN59" s="316"/>
      <c r="QBO59" s="316"/>
      <c r="QBP59" s="316"/>
      <c r="QBQ59" s="316"/>
      <c r="QBR59" s="316"/>
      <c r="QBS59" s="316"/>
      <c r="QBT59" s="316"/>
      <c r="QBU59" s="316"/>
      <c r="QBV59" s="316"/>
      <c r="QBW59" s="316"/>
      <c r="QBX59" s="316"/>
      <c r="QBY59" s="316"/>
      <c r="QBZ59" s="316"/>
      <c r="QCA59" s="316"/>
      <c r="QCB59" s="316"/>
      <c r="QCC59" s="316"/>
      <c r="QCD59" s="316"/>
      <c r="QCE59" s="316"/>
      <c r="QCF59" s="316"/>
      <c r="QCG59" s="316"/>
      <c r="QCH59" s="316"/>
      <c r="QCI59" s="316"/>
      <c r="QCJ59" s="316"/>
      <c r="QCK59" s="316"/>
      <c r="QCL59" s="316"/>
      <c r="QCM59" s="316"/>
      <c r="QCN59" s="316"/>
      <c r="QCO59" s="316"/>
      <c r="QCP59" s="316"/>
      <c r="QCQ59" s="316"/>
      <c r="QCR59" s="316"/>
      <c r="QCS59" s="316"/>
      <c r="QCT59" s="316"/>
      <c r="QCU59" s="316"/>
      <c r="QCV59" s="316"/>
      <c r="QCW59" s="316"/>
      <c r="QCX59" s="316"/>
      <c r="QCY59" s="316"/>
      <c r="QCZ59" s="316"/>
      <c r="QDA59" s="316"/>
      <c r="QDB59" s="316"/>
      <c r="QDC59" s="316"/>
      <c r="QDD59" s="316"/>
      <c r="QDE59" s="316"/>
      <c r="QDF59" s="316"/>
      <c r="QDG59" s="316"/>
      <c r="QDH59" s="316"/>
      <c r="QDI59" s="316"/>
      <c r="QDJ59" s="316"/>
      <c r="QDK59" s="316"/>
      <c r="QDL59" s="316"/>
      <c r="QDM59" s="316"/>
      <c r="QDN59" s="316"/>
      <c r="QDO59" s="316"/>
      <c r="QDP59" s="316"/>
      <c r="QDQ59" s="316"/>
      <c r="QDR59" s="316"/>
      <c r="QDS59" s="316"/>
      <c r="QDT59" s="316"/>
      <c r="QDU59" s="316"/>
      <c r="QDV59" s="316"/>
      <c r="QDW59" s="316"/>
      <c r="QDX59" s="316"/>
      <c r="QDY59" s="316"/>
      <c r="QDZ59" s="316"/>
      <c r="QEA59" s="316"/>
      <c r="QEB59" s="316"/>
      <c r="QEC59" s="316"/>
      <c r="QED59" s="316"/>
      <c r="QEE59" s="316"/>
      <c r="QEF59" s="316"/>
      <c r="QEG59" s="316"/>
      <c r="QEH59" s="316"/>
      <c r="QEI59" s="316"/>
      <c r="QEJ59" s="316"/>
      <c r="QEK59" s="316"/>
      <c r="QEL59" s="316"/>
      <c r="QEM59" s="316"/>
      <c r="QEN59" s="316"/>
      <c r="QEO59" s="316"/>
      <c r="QEP59" s="316"/>
      <c r="QEQ59" s="316"/>
      <c r="QER59" s="316"/>
      <c r="QES59" s="316"/>
      <c r="QET59" s="316"/>
      <c r="QEU59" s="316"/>
      <c r="QEV59" s="316"/>
      <c r="QEW59" s="316"/>
      <c r="QEX59" s="316"/>
      <c r="QEY59" s="316"/>
      <c r="QEZ59" s="316"/>
      <c r="QFA59" s="316"/>
      <c r="QFB59" s="316"/>
      <c r="QFC59" s="316"/>
      <c r="QFD59" s="316"/>
      <c r="QFE59" s="316"/>
      <c r="QFF59" s="316"/>
      <c r="QFG59" s="316"/>
      <c r="QFH59" s="316"/>
      <c r="QFI59" s="316"/>
      <c r="QFJ59" s="316"/>
      <c r="QFK59" s="316"/>
      <c r="QFL59" s="316"/>
      <c r="QFM59" s="316"/>
      <c r="QFN59" s="316"/>
      <c r="QFO59" s="316"/>
      <c r="QFP59" s="316"/>
      <c r="QFQ59" s="316"/>
      <c r="QFR59" s="316"/>
      <c r="QFS59" s="316"/>
      <c r="QFT59" s="316"/>
      <c r="QFU59" s="316"/>
      <c r="QFV59" s="316"/>
      <c r="QFW59" s="316"/>
      <c r="QFX59" s="316"/>
      <c r="QFY59" s="316"/>
      <c r="QFZ59" s="316"/>
      <c r="QGA59" s="316"/>
      <c r="QGB59" s="316"/>
      <c r="QGC59" s="316"/>
      <c r="QGD59" s="316"/>
      <c r="QGE59" s="316"/>
      <c r="QGF59" s="316"/>
      <c r="QGG59" s="316"/>
      <c r="QGH59" s="316"/>
      <c r="QGI59" s="316"/>
      <c r="QGJ59" s="316"/>
      <c r="QGK59" s="316"/>
      <c r="QGL59" s="316"/>
      <c r="QGM59" s="316"/>
      <c r="QGN59" s="316"/>
      <c r="QGO59" s="316"/>
      <c r="QGP59" s="316"/>
      <c r="QGQ59" s="316"/>
      <c r="QGR59" s="316"/>
      <c r="QGS59" s="316"/>
      <c r="QGT59" s="316"/>
      <c r="QGU59" s="316"/>
      <c r="QGV59" s="316"/>
      <c r="QGW59" s="316"/>
      <c r="QGX59" s="316"/>
      <c r="QGY59" s="316"/>
      <c r="QGZ59" s="316"/>
      <c r="QHA59" s="316"/>
      <c r="QHB59" s="316"/>
      <c r="QHC59" s="316"/>
      <c r="QHD59" s="316"/>
      <c r="QHE59" s="316"/>
      <c r="QHF59" s="316"/>
      <c r="QHG59" s="316"/>
      <c r="QHH59" s="316"/>
      <c r="QHI59" s="316"/>
      <c r="QHJ59" s="316"/>
      <c r="QHK59" s="316"/>
      <c r="QHL59" s="316"/>
      <c r="QHM59" s="316"/>
      <c r="QHN59" s="316"/>
      <c r="QHO59" s="316"/>
      <c r="QHP59" s="316"/>
      <c r="QHQ59" s="316"/>
      <c r="QHR59" s="316"/>
      <c r="QHS59" s="316"/>
      <c r="QHT59" s="316"/>
      <c r="QHU59" s="316"/>
      <c r="QHV59" s="316"/>
      <c r="QHW59" s="316"/>
      <c r="QHX59" s="316"/>
      <c r="QHY59" s="316"/>
      <c r="QHZ59" s="316"/>
      <c r="QIA59" s="316"/>
      <c r="QIB59" s="316"/>
      <c r="QIC59" s="316"/>
      <c r="QID59" s="316"/>
      <c r="QIE59" s="316"/>
      <c r="QIF59" s="316"/>
      <c r="QIG59" s="316"/>
      <c r="QIH59" s="316"/>
      <c r="QII59" s="316"/>
      <c r="QIJ59" s="316"/>
      <c r="QIK59" s="316"/>
      <c r="QIL59" s="316"/>
      <c r="QIM59" s="316"/>
      <c r="QIN59" s="316"/>
      <c r="QIO59" s="316"/>
      <c r="QIP59" s="316"/>
      <c r="QIQ59" s="316"/>
      <c r="QIR59" s="316"/>
      <c r="QIS59" s="316"/>
      <c r="QIT59" s="316"/>
      <c r="QIU59" s="316"/>
      <c r="QIV59" s="316"/>
      <c r="QIW59" s="316"/>
      <c r="QIX59" s="316"/>
      <c r="QIY59" s="316"/>
      <c r="QIZ59" s="316"/>
      <c r="QJA59" s="316"/>
      <c r="QJB59" s="316"/>
      <c r="QJC59" s="316"/>
      <c r="QJD59" s="316"/>
      <c r="QJE59" s="316"/>
      <c r="QJF59" s="316"/>
      <c r="QJG59" s="316"/>
      <c r="QJH59" s="316"/>
      <c r="QJI59" s="316"/>
      <c r="QJJ59" s="316"/>
      <c r="QJK59" s="316"/>
      <c r="QJL59" s="316"/>
      <c r="QJM59" s="316"/>
      <c r="QJN59" s="316"/>
      <c r="QJO59" s="316"/>
      <c r="QJP59" s="316"/>
      <c r="QJQ59" s="316"/>
      <c r="QJR59" s="316"/>
      <c r="QJS59" s="316"/>
      <c r="QJT59" s="316"/>
      <c r="QJU59" s="316"/>
      <c r="QJV59" s="316"/>
      <c r="QJW59" s="316"/>
      <c r="QJX59" s="316"/>
      <c r="QJY59" s="316"/>
      <c r="QJZ59" s="316"/>
      <c r="QKA59" s="316"/>
      <c r="QKB59" s="316"/>
      <c r="QKC59" s="316"/>
      <c r="QKD59" s="316"/>
      <c r="QKE59" s="316"/>
      <c r="QKF59" s="316"/>
      <c r="QKG59" s="316"/>
      <c r="QKH59" s="316"/>
      <c r="QKI59" s="316"/>
      <c r="QKJ59" s="316"/>
      <c r="QKK59" s="316"/>
      <c r="QKL59" s="316"/>
      <c r="QKM59" s="316"/>
      <c r="QKN59" s="316"/>
      <c r="QKO59" s="316"/>
      <c r="QKP59" s="316"/>
      <c r="QKQ59" s="316"/>
      <c r="QKR59" s="316"/>
      <c r="QKS59" s="316"/>
      <c r="QKT59" s="316"/>
      <c r="QKU59" s="316"/>
      <c r="QKV59" s="316"/>
      <c r="QKW59" s="316"/>
      <c r="QKX59" s="316"/>
      <c r="QKY59" s="316"/>
      <c r="QKZ59" s="316"/>
      <c r="QLA59" s="316"/>
      <c r="QLB59" s="316"/>
      <c r="QLC59" s="316"/>
      <c r="QLD59" s="316"/>
      <c r="QLE59" s="316"/>
      <c r="QLF59" s="316"/>
      <c r="QLG59" s="316"/>
      <c r="QLH59" s="316"/>
      <c r="QLI59" s="316"/>
      <c r="QLJ59" s="316"/>
      <c r="QLK59" s="316"/>
      <c r="QLL59" s="316"/>
      <c r="QLM59" s="316"/>
      <c r="QLN59" s="316"/>
      <c r="QLO59" s="316"/>
      <c r="QLP59" s="316"/>
      <c r="QLQ59" s="316"/>
      <c r="QLR59" s="316"/>
      <c r="QLS59" s="316"/>
      <c r="QLT59" s="316"/>
      <c r="QLU59" s="316"/>
      <c r="QLV59" s="316"/>
      <c r="QLW59" s="316"/>
      <c r="QLX59" s="316"/>
      <c r="QLY59" s="316"/>
      <c r="QLZ59" s="316"/>
      <c r="QMA59" s="316"/>
      <c r="QMB59" s="316"/>
      <c r="QMC59" s="316"/>
      <c r="QMD59" s="316"/>
      <c r="QME59" s="316"/>
      <c r="QMF59" s="316"/>
      <c r="QMG59" s="316"/>
      <c r="QMH59" s="316"/>
      <c r="QMI59" s="316"/>
      <c r="QMJ59" s="316"/>
      <c r="QMK59" s="316"/>
      <c r="QML59" s="316"/>
      <c r="QMM59" s="316"/>
      <c r="QMN59" s="316"/>
      <c r="QMO59" s="316"/>
      <c r="QMP59" s="316"/>
      <c r="QMQ59" s="316"/>
      <c r="QMR59" s="316"/>
      <c r="QMS59" s="316"/>
      <c r="QMT59" s="316"/>
      <c r="QMU59" s="316"/>
      <c r="QMV59" s="316"/>
      <c r="QMW59" s="316"/>
      <c r="QMX59" s="316"/>
      <c r="QMY59" s="316"/>
      <c r="QMZ59" s="316"/>
      <c r="QNA59" s="316"/>
      <c r="QNB59" s="316"/>
      <c r="QNC59" s="316"/>
      <c r="QND59" s="316"/>
      <c r="QNE59" s="316"/>
      <c r="QNF59" s="316"/>
      <c r="QNG59" s="316"/>
      <c r="QNH59" s="316"/>
      <c r="QNI59" s="316"/>
      <c r="QNJ59" s="316"/>
      <c r="QNK59" s="316"/>
      <c r="QNL59" s="316"/>
      <c r="QNM59" s="316"/>
      <c r="QNN59" s="316"/>
      <c r="QNO59" s="316"/>
      <c r="QNP59" s="316"/>
      <c r="QNQ59" s="316"/>
      <c r="QNR59" s="316"/>
      <c r="QNS59" s="316"/>
      <c r="QNT59" s="316"/>
      <c r="QNU59" s="316"/>
      <c r="QNV59" s="316"/>
      <c r="QNW59" s="316"/>
      <c r="QNX59" s="316"/>
      <c r="QNY59" s="316"/>
      <c r="QNZ59" s="316"/>
      <c r="QOA59" s="316"/>
      <c r="QOB59" s="316"/>
      <c r="QOC59" s="316"/>
      <c r="QOD59" s="316"/>
      <c r="QOE59" s="316"/>
      <c r="QOF59" s="316"/>
      <c r="QOG59" s="316"/>
      <c r="QOH59" s="316"/>
      <c r="QOI59" s="316"/>
      <c r="QOJ59" s="316"/>
      <c r="QOK59" s="316"/>
      <c r="QOL59" s="316"/>
      <c r="QOM59" s="316"/>
      <c r="QON59" s="316"/>
      <c r="QOO59" s="316"/>
      <c r="QOP59" s="316"/>
      <c r="QOQ59" s="316"/>
      <c r="QOR59" s="316"/>
      <c r="QOS59" s="316"/>
      <c r="QOT59" s="316"/>
      <c r="QOU59" s="316"/>
      <c r="QOV59" s="316"/>
      <c r="QOW59" s="316"/>
      <c r="QOX59" s="316"/>
      <c r="QOY59" s="316"/>
      <c r="QOZ59" s="316"/>
      <c r="QPA59" s="316"/>
      <c r="QPB59" s="316"/>
      <c r="QPC59" s="316"/>
      <c r="QPD59" s="316"/>
      <c r="QPE59" s="316"/>
      <c r="QPF59" s="316"/>
      <c r="QPG59" s="316"/>
      <c r="QPH59" s="316"/>
      <c r="QPI59" s="316"/>
      <c r="QPJ59" s="316"/>
      <c r="QPK59" s="316"/>
      <c r="QPL59" s="316"/>
      <c r="QPM59" s="316"/>
      <c r="QPN59" s="316"/>
      <c r="QPO59" s="316"/>
      <c r="QPP59" s="316"/>
      <c r="QPQ59" s="316"/>
      <c r="QPR59" s="316"/>
      <c r="QPS59" s="316"/>
      <c r="QPT59" s="316"/>
      <c r="QPU59" s="316"/>
      <c r="QPV59" s="316"/>
      <c r="QPW59" s="316"/>
      <c r="QPX59" s="316"/>
      <c r="QPY59" s="316"/>
      <c r="QPZ59" s="316"/>
      <c r="QQA59" s="316"/>
      <c r="QQB59" s="316"/>
      <c r="QQC59" s="316"/>
      <c r="QQD59" s="316"/>
      <c r="QQE59" s="316"/>
      <c r="QQF59" s="316"/>
      <c r="QQG59" s="316"/>
      <c r="QQH59" s="316"/>
      <c r="QQI59" s="316"/>
      <c r="QQJ59" s="316"/>
      <c r="QQK59" s="316"/>
      <c r="QQL59" s="316"/>
      <c r="QQM59" s="316"/>
      <c r="QQN59" s="316"/>
      <c r="QQO59" s="316"/>
      <c r="QQP59" s="316"/>
      <c r="QQQ59" s="316"/>
      <c r="QQR59" s="316"/>
      <c r="QQS59" s="316"/>
      <c r="QQT59" s="316"/>
      <c r="QQU59" s="316"/>
      <c r="QQV59" s="316"/>
      <c r="QQW59" s="316"/>
      <c r="QQX59" s="316"/>
      <c r="QQY59" s="316"/>
      <c r="QQZ59" s="316"/>
      <c r="QRA59" s="316"/>
      <c r="QRB59" s="316"/>
      <c r="QRC59" s="316"/>
      <c r="QRD59" s="316"/>
      <c r="QRE59" s="316"/>
      <c r="QRF59" s="316"/>
      <c r="QRG59" s="316"/>
      <c r="QRH59" s="316"/>
      <c r="QRI59" s="316"/>
      <c r="QRJ59" s="316"/>
      <c r="QRK59" s="316"/>
      <c r="QRL59" s="316"/>
      <c r="QRM59" s="316"/>
      <c r="QRN59" s="316"/>
      <c r="QRO59" s="316"/>
      <c r="QRP59" s="316"/>
      <c r="QRQ59" s="316"/>
      <c r="QRR59" s="316"/>
      <c r="QRS59" s="316"/>
      <c r="QRT59" s="316"/>
      <c r="QRU59" s="316"/>
      <c r="QRV59" s="316"/>
      <c r="QRW59" s="316"/>
      <c r="QRX59" s="316"/>
      <c r="QRY59" s="316"/>
      <c r="QRZ59" s="316"/>
      <c r="QSA59" s="316"/>
      <c r="QSB59" s="316"/>
      <c r="QSC59" s="316"/>
      <c r="QSD59" s="316"/>
      <c r="QSE59" s="316"/>
      <c r="QSF59" s="316"/>
      <c r="QSG59" s="316"/>
      <c r="QSH59" s="316"/>
      <c r="QSI59" s="316"/>
      <c r="QSJ59" s="316"/>
      <c r="QSK59" s="316"/>
      <c r="QSL59" s="316"/>
      <c r="QSM59" s="316"/>
      <c r="QSN59" s="316"/>
      <c r="QSO59" s="316"/>
      <c r="QSP59" s="316"/>
      <c r="QSQ59" s="316"/>
      <c r="QSR59" s="316"/>
      <c r="QSS59" s="316"/>
      <c r="QST59" s="316"/>
      <c r="QSU59" s="316"/>
      <c r="QSV59" s="316"/>
      <c r="QSW59" s="316"/>
      <c r="QSX59" s="316"/>
      <c r="QSY59" s="316"/>
      <c r="QSZ59" s="316"/>
      <c r="QTA59" s="316"/>
      <c r="QTB59" s="316"/>
      <c r="QTC59" s="316"/>
      <c r="QTD59" s="316"/>
      <c r="QTE59" s="316"/>
      <c r="QTF59" s="316"/>
      <c r="QTG59" s="316"/>
      <c r="QTH59" s="316"/>
      <c r="QTI59" s="316"/>
      <c r="QTJ59" s="316"/>
      <c r="QTK59" s="316"/>
      <c r="QTL59" s="316"/>
      <c r="QTM59" s="316"/>
      <c r="QTN59" s="316"/>
      <c r="QTO59" s="316"/>
      <c r="QTP59" s="316"/>
      <c r="QTQ59" s="316"/>
      <c r="QTR59" s="316"/>
      <c r="QTS59" s="316"/>
      <c r="QTT59" s="316"/>
      <c r="QTU59" s="316"/>
      <c r="QTV59" s="316"/>
      <c r="QTW59" s="316"/>
      <c r="QTX59" s="316"/>
      <c r="QTY59" s="316"/>
      <c r="QTZ59" s="316"/>
      <c r="QUA59" s="316"/>
      <c r="QUB59" s="316"/>
      <c r="QUC59" s="316"/>
      <c r="QUD59" s="316"/>
      <c r="QUE59" s="316"/>
      <c r="QUF59" s="316"/>
      <c r="QUG59" s="316"/>
      <c r="QUH59" s="316"/>
      <c r="QUI59" s="316"/>
      <c r="QUJ59" s="316"/>
      <c r="QUK59" s="316"/>
      <c r="QUL59" s="316"/>
      <c r="QUM59" s="316"/>
      <c r="QUN59" s="316"/>
      <c r="QUO59" s="316"/>
      <c r="QUP59" s="316"/>
      <c r="QUQ59" s="316"/>
      <c r="QUR59" s="316"/>
      <c r="QUS59" s="316"/>
      <c r="QUT59" s="316"/>
      <c r="QUU59" s="316"/>
      <c r="QUV59" s="316"/>
      <c r="QUW59" s="316"/>
      <c r="QUX59" s="316"/>
      <c r="QUY59" s="316"/>
      <c r="QUZ59" s="316"/>
      <c r="QVA59" s="316"/>
      <c r="QVB59" s="316"/>
      <c r="QVC59" s="316"/>
      <c r="QVD59" s="316"/>
      <c r="QVE59" s="316"/>
      <c r="QVF59" s="316"/>
      <c r="QVG59" s="316"/>
      <c r="QVH59" s="316"/>
      <c r="QVI59" s="316"/>
      <c r="QVJ59" s="316"/>
      <c r="QVK59" s="316"/>
      <c r="QVL59" s="316"/>
      <c r="QVM59" s="316"/>
      <c r="QVN59" s="316"/>
      <c r="QVO59" s="316"/>
      <c r="QVP59" s="316"/>
      <c r="QVQ59" s="316"/>
      <c r="QVR59" s="316"/>
      <c r="QVS59" s="316"/>
      <c r="QVT59" s="316"/>
      <c r="QVU59" s="316"/>
      <c r="QVV59" s="316"/>
      <c r="QVW59" s="316"/>
      <c r="QVX59" s="316"/>
      <c r="QVY59" s="316"/>
      <c r="QVZ59" s="316"/>
      <c r="QWA59" s="316"/>
      <c r="QWB59" s="316"/>
      <c r="QWC59" s="316"/>
      <c r="QWD59" s="316"/>
      <c r="QWE59" s="316"/>
      <c r="QWF59" s="316"/>
      <c r="QWG59" s="316"/>
      <c r="QWH59" s="316"/>
      <c r="QWI59" s="316"/>
      <c r="QWJ59" s="316"/>
      <c r="QWK59" s="316"/>
      <c r="QWL59" s="316"/>
      <c r="QWM59" s="316"/>
      <c r="QWN59" s="316"/>
      <c r="QWO59" s="316"/>
      <c r="QWP59" s="316"/>
      <c r="QWQ59" s="316"/>
      <c r="QWR59" s="316"/>
      <c r="QWS59" s="316"/>
      <c r="QWT59" s="316"/>
      <c r="QWU59" s="316"/>
      <c r="QWV59" s="316"/>
      <c r="QWW59" s="316"/>
      <c r="QWX59" s="316"/>
      <c r="QWY59" s="316"/>
      <c r="QWZ59" s="316"/>
      <c r="QXA59" s="316"/>
      <c r="QXB59" s="316"/>
      <c r="QXC59" s="316"/>
      <c r="QXD59" s="316"/>
      <c r="QXE59" s="316"/>
      <c r="QXF59" s="316"/>
      <c r="QXG59" s="316"/>
      <c r="QXH59" s="316"/>
      <c r="QXI59" s="316"/>
      <c r="QXJ59" s="316"/>
      <c r="QXK59" s="316"/>
      <c r="QXL59" s="316"/>
      <c r="QXM59" s="316"/>
      <c r="QXN59" s="316"/>
      <c r="QXO59" s="316"/>
      <c r="QXP59" s="316"/>
      <c r="QXQ59" s="316"/>
      <c r="QXR59" s="316"/>
      <c r="QXS59" s="316"/>
      <c r="QXT59" s="316"/>
      <c r="QXU59" s="316"/>
      <c r="QXV59" s="316"/>
      <c r="QXW59" s="316"/>
      <c r="QXX59" s="316"/>
      <c r="QXY59" s="316"/>
      <c r="QXZ59" s="316"/>
      <c r="QYA59" s="316"/>
      <c r="QYB59" s="316"/>
      <c r="QYC59" s="316"/>
      <c r="QYD59" s="316"/>
      <c r="QYE59" s="316"/>
      <c r="QYF59" s="316"/>
      <c r="QYG59" s="316"/>
      <c r="QYH59" s="316"/>
      <c r="QYI59" s="316"/>
      <c r="QYJ59" s="316"/>
      <c r="QYK59" s="316"/>
      <c r="QYL59" s="316"/>
      <c r="QYM59" s="316"/>
      <c r="QYN59" s="316"/>
      <c r="QYO59" s="316"/>
      <c r="QYP59" s="316"/>
      <c r="QYQ59" s="316"/>
      <c r="QYR59" s="316"/>
      <c r="QYS59" s="316"/>
      <c r="QYT59" s="316"/>
      <c r="QYU59" s="316"/>
      <c r="QYV59" s="316"/>
      <c r="QYW59" s="316"/>
      <c r="QYX59" s="316"/>
      <c r="QYY59" s="316"/>
      <c r="QYZ59" s="316"/>
      <c r="QZA59" s="316"/>
      <c r="QZB59" s="316"/>
      <c r="QZC59" s="316"/>
      <c r="QZD59" s="316"/>
      <c r="QZE59" s="316"/>
      <c r="QZF59" s="316"/>
      <c r="QZG59" s="316"/>
      <c r="QZH59" s="316"/>
      <c r="QZI59" s="316"/>
      <c r="QZJ59" s="316"/>
      <c r="QZK59" s="316"/>
      <c r="QZL59" s="316"/>
      <c r="QZM59" s="316"/>
      <c r="QZN59" s="316"/>
      <c r="QZO59" s="316"/>
      <c r="QZP59" s="316"/>
      <c r="QZQ59" s="316"/>
      <c r="QZR59" s="316"/>
      <c r="QZS59" s="316"/>
      <c r="QZT59" s="316"/>
      <c r="QZU59" s="316"/>
      <c r="QZV59" s="316"/>
      <c r="QZW59" s="316"/>
      <c r="QZX59" s="316"/>
      <c r="QZY59" s="316"/>
      <c r="QZZ59" s="316"/>
      <c r="RAA59" s="316"/>
      <c r="RAB59" s="316"/>
      <c r="RAC59" s="316"/>
      <c r="RAD59" s="316"/>
      <c r="RAE59" s="316"/>
      <c r="RAF59" s="316"/>
      <c r="RAG59" s="316"/>
      <c r="RAH59" s="316"/>
      <c r="RAI59" s="316"/>
      <c r="RAJ59" s="316"/>
      <c r="RAK59" s="316"/>
      <c r="RAL59" s="316"/>
      <c r="RAM59" s="316"/>
      <c r="RAN59" s="316"/>
      <c r="RAO59" s="316"/>
      <c r="RAP59" s="316"/>
      <c r="RAQ59" s="316"/>
      <c r="RAR59" s="316"/>
      <c r="RAS59" s="316"/>
      <c r="RAT59" s="316"/>
      <c r="RAU59" s="316"/>
      <c r="RAV59" s="316"/>
      <c r="RAW59" s="316"/>
      <c r="RAX59" s="316"/>
      <c r="RAY59" s="316"/>
      <c r="RAZ59" s="316"/>
      <c r="RBA59" s="316"/>
      <c r="RBB59" s="316"/>
      <c r="RBC59" s="316"/>
      <c r="RBD59" s="316"/>
      <c r="RBE59" s="316"/>
      <c r="RBF59" s="316"/>
      <c r="RBG59" s="316"/>
      <c r="RBH59" s="316"/>
      <c r="RBI59" s="316"/>
      <c r="RBJ59" s="316"/>
      <c r="RBK59" s="316"/>
      <c r="RBL59" s="316"/>
      <c r="RBM59" s="316"/>
      <c r="RBN59" s="316"/>
      <c r="RBO59" s="316"/>
      <c r="RBP59" s="316"/>
      <c r="RBQ59" s="316"/>
      <c r="RBR59" s="316"/>
      <c r="RBS59" s="316"/>
      <c r="RBT59" s="316"/>
      <c r="RBU59" s="316"/>
      <c r="RBV59" s="316"/>
      <c r="RBW59" s="316"/>
      <c r="RBX59" s="316"/>
      <c r="RBY59" s="316"/>
      <c r="RBZ59" s="316"/>
      <c r="RCA59" s="316"/>
      <c r="RCB59" s="316"/>
      <c r="RCC59" s="316"/>
      <c r="RCD59" s="316"/>
      <c r="RCE59" s="316"/>
      <c r="RCF59" s="316"/>
      <c r="RCG59" s="316"/>
      <c r="RCH59" s="316"/>
      <c r="RCI59" s="316"/>
      <c r="RCJ59" s="316"/>
      <c r="RCK59" s="316"/>
      <c r="RCL59" s="316"/>
      <c r="RCM59" s="316"/>
      <c r="RCN59" s="316"/>
      <c r="RCO59" s="316"/>
      <c r="RCP59" s="316"/>
      <c r="RCQ59" s="316"/>
      <c r="RCR59" s="316"/>
      <c r="RCS59" s="316"/>
      <c r="RCT59" s="316"/>
      <c r="RCU59" s="316"/>
      <c r="RCV59" s="316"/>
      <c r="RCW59" s="316"/>
      <c r="RCX59" s="316"/>
      <c r="RCY59" s="316"/>
      <c r="RCZ59" s="316"/>
      <c r="RDA59" s="316"/>
      <c r="RDB59" s="316"/>
      <c r="RDC59" s="316"/>
      <c r="RDD59" s="316"/>
      <c r="RDE59" s="316"/>
      <c r="RDF59" s="316"/>
      <c r="RDG59" s="316"/>
      <c r="RDH59" s="316"/>
      <c r="RDI59" s="316"/>
      <c r="RDJ59" s="316"/>
      <c r="RDK59" s="316"/>
      <c r="RDL59" s="316"/>
      <c r="RDM59" s="316"/>
      <c r="RDN59" s="316"/>
      <c r="RDO59" s="316"/>
      <c r="RDP59" s="316"/>
      <c r="RDQ59" s="316"/>
      <c r="RDR59" s="316"/>
      <c r="RDS59" s="316"/>
      <c r="RDT59" s="316"/>
      <c r="RDU59" s="316"/>
      <c r="RDV59" s="316"/>
      <c r="RDW59" s="316"/>
      <c r="RDX59" s="316"/>
      <c r="RDY59" s="316"/>
      <c r="RDZ59" s="316"/>
      <c r="REA59" s="316"/>
      <c r="REB59" s="316"/>
      <c r="REC59" s="316"/>
      <c r="RED59" s="316"/>
      <c r="REE59" s="316"/>
      <c r="REF59" s="316"/>
      <c r="REG59" s="316"/>
      <c r="REH59" s="316"/>
      <c r="REI59" s="316"/>
      <c r="REJ59" s="316"/>
      <c r="REK59" s="316"/>
      <c r="REL59" s="316"/>
      <c r="REM59" s="316"/>
      <c r="REN59" s="316"/>
      <c r="REO59" s="316"/>
      <c r="REP59" s="316"/>
      <c r="REQ59" s="316"/>
      <c r="RER59" s="316"/>
      <c r="RES59" s="316"/>
      <c r="RET59" s="316"/>
      <c r="REU59" s="316"/>
      <c r="REV59" s="316"/>
      <c r="REW59" s="316"/>
      <c r="REX59" s="316"/>
      <c r="REY59" s="316"/>
      <c r="REZ59" s="316"/>
      <c r="RFA59" s="316"/>
      <c r="RFB59" s="316"/>
      <c r="RFC59" s="316"/>
      <c r="RFD59" s="316"/>
      <c r="RFE59" s="316"/>
      <c r="RFF59" s="316"/>
      <c r="RFG59" s="316"/>
      <c r="RFH59" s="316"/>
      <c r="RFI59" s="316"/>
      <c r="RFJ59" s="316"/>
      <c r="RFK59" s="316"/>
      <c r="RFL59" s="316"/>
      <c r="RFM59" s="316"/>
      <c r="RFN59" s="316"/>
      <c r="RFO59" s="316"/>
      <c r="RFP59" s="316"/>
      <c r="RFQ59" s="316"/>
      <c r="RFR59" s="316"/>
      <c r="RFS59" s="316"/>
      <c r="RFT59" s="316"/>
      <c r="RFU59" s="316"/>
      <c r="RFV59" s="316"/>
      <c r="RFW59" s="316"/>
      <c r="RFX59" s="316"/>
      <c r="RFY59" s="316"/>
      <c r="RFZ59" s="316"/>
      <c r="RGA59" s="316"/>
      <c r="RGB59" s="316"/>
      <c r="RGC59" s="316"/>
      <c r="RGD59" s="316"/>
      <c r="RGE59" s="316"/>
      <c r="RGF59" s="316"/>
      <c r="RGG59" s="316"/>
      <c r="RGH59" s="316"/>
      <c r="RGI59" s="316"/>
      <c r="RGJ59" s="316"/>
      <c r="RGK59" s="316"/>
      <c r="RGL59" s="316"/>
      <c r="RGM59" s="316"/>
      <c r="RGN59" s="316"/>
      <c r="RGO59" s="316"/>
      <c r="RGP59" s="316"/>
      <c r="RGQ59" s="316"/>
      <c r="RGR59" s="316"/>
      <c r="RGS59" s="316"/>
      <c r="RGT59" s="316"/>
      <c r="RGU59" s="316"/>
      <c r="RGV59" s="316"/>
      <c r="RGW59" s="316"/>
      <c r="RGX59" s="316"/>
      <c r="RGY59" s="316"/>
      <c r="RGZ59" s="316"/>
      <c r="RHA59" s="316"/>
      <c r="RHB59" s="316"/>
      <c r="RHC59" s="316"/>
      <c r="RHD59" s="316"/>
      <c r="RHE59" s="316"/>
      <c r="RHF59" s="316"/>
      <c r="RHG59" s="316"/>
      <c r="RHH59" s="316"/>
      <c r="RHI59" s="316"/>
      <c r="RHJ59" s="316"/>
      <c r="RHK59" s="316"/>
      <c r="RHL59" s="316"/>
      <c r="RHM59" s="316"/>
      <c r="RHN59" s="316"/>
      <c r="RHO59" s="316"/>
      <c r="RHP59" s="316"/>
      <c r="RHQ59" s="316"/>
      <c r="RHR59" s="316"/>
      <c r="RHS59" s="316"/>
      <c r="RHT59" s="316"/>
      <c r="RHU59" s="316"/>
      <c r="RHV59" s="316"/>
      <c r="RHW59" s="316"/>
      <c r="RHX59" s="316"/>
      <c r="RHY59" s="316"/>
      <c r="RHZ59" s="316"/>
      <c r="RIA59" s="316"/>
      <c r="RIB59" s="316"/>
      <c r="RIC59" s="316"/>
      <c r="RID59" s="316"/>
      <c r="RIE59" s="316"/>
      <c r="RIF59" s="316"/>
      <c r="RIG59" s="316"/>
      <c r="RIH59" s="316"/>
      <c r="RII59" s="316"/>
      <c r="RIJ59" s="316"/>
      <c r="RIK59" s="316"/>
      <c r="RIL59" s="316"/>
      <c r="RIM59" s="316"/>
      <c r="RIN59" s="316"/>
      <c r="RIO59" s="316"/>
      <c r="RIP59" s="316"/>
      <c r="RIQ59" s="316"/>
      <c r="RIR59" s="316"/>
      <c r="RIS59" s="316"/>
      <c r="RIT59" s="316"/>
      <c r="RIU59" s="316"/>
      <c r="RIV59" s="316"/>
      <c r="RIW59" s="316"/>
      <c r="RIX59" s="316"/>
      <c r="RIY59" s="316"/>
      <c r="RIZ59" s="316"/>
      <c r="RJA59" s="316"/>
      <c r="RJB59" s="316"/>
      <c r="RJC59" s="316"/>
      <c r="RJD59" s="316"/>
      <c r="RJE59" s="316"/>
      <c r="RJF59" s="316"/>
      <c r="RJG59" s="316"/>
      <c r="RJH59" s="316"/>
      <c r="RJI59" s="316"/>
      <c r="RJJ59" s="316"/>
      <c r="RJK59" s="316"/>
      <c r="RJL59" s="316"/>
      <c r="RJM59" s="316"/>
      <c r="RJN59" s="316"/>
      <c r="RJO59" s="316"/>
      <c r="RJP59" s="316"/>
      <c r="RJQ59" s="316"/>
      <c r="RJR59" s="316"/>
      <c r="RJS59" s="316"/>
      <c r="RJT59" s="316"/>
      <c r="RJU59" s="316"/>
      <c r="RJV59" s="316"/>
      <c r="RJW59" s="316"/>
      <c r="RJX59" s="316"/>
      <c r="RJY59" s="316"/>
      <c r="RJZ59" s="316"/>
      <c r="RKA59" s="316"/>
      <c r="RKB59" s="316"/>
      <c r="RKC59" s="316"/>
      <c r="RKD59" s="316"/>
      <c r="RKE59" s="316"/>
      <c r="RKF59" s="316"/>
      <c r="RKG59" s="316"/>
      <c r="RKH59" s="316"/>
      <c r="RKI59" s="316"/>
      <c r="RKJ59" s="316"/>
      <c r="RKK59" s="316"/>
      <c r="RKL59" s="316"/>
      <c r="RKM59" s="316"/>
      <c r="RKN59" s="316"/>
      <c r="RKO59" s="316"/>
      <c r="RKP59" s="316"/>
      <c r="RKQ59" s="316"/>
      <c r="RKR59" s="316"/>
      <c r="RKS59" s="316"/>
      <c r="RKT59" s="316"/>
      <c r="RKU59" s="316"/>
      <c r="RKV59" s="316"/>
      <c r="RKW59" s="316"/>
      <c r="RKX59" s="316"/>
      <c r="RKY59" s="316"/>
      <c r="RKZ59" s="316"/>
      <c r="RLA59" s="316"/>
      <c r="RLB59" s="316"/>
      <c r="RLC59" s="316"/>
      <c r="RLD59" s="316"/>
      <c r="RLE59" s="316"/>
      <c r="RLF59" s="316"/>
      <c r="RLG59" s="316"/>
      <c r="RLH59" s="316"/>
      <c r="RLI59" s="316"/>
      <c r="RLJ59" s="316"/>
      <c r="RLK59" s="316"/>
      <c r="RLL59" s="316"/>
      <c r="RLM59" s="316"/>
      <c r="RLN59" s="316"/>
      <c r="RLO59" s="316"/>
      <c r="RLP59" s="316"/>
      <c r="RLQ59" s="316"/>
      <c r="RLR59" s="316"/>
      <c r="RLS59" s="316"/>
      <c r="RLT59" s="316"/>
      <c r="RLU59" s="316"/>
      <c r="RLV59" s="316"/>
      <c r="RLW59" s="316"/>
      <c r="RLX59" s="316"/>
      <c r="RLY59" s="316"/>
      <c r="RLZ59" s="316"/>
      <c r="RMA59" s="316"/>
      <c r="RMB59" s="316"/>
      <c r="RMC59" s="316"/>
      <c r="RMD59" s="316"/>
      <c r="RME59" s="316"/>
      <c r="RMF59" s="316"/>
      <c r="RMG59" s="316"/>
      <c r="RMH59" s="316"/>
      <c r="RMI59" s="316"/>
      <c r="RMJ59" s="316"/>
      <c r="RMK59" s="316"/>
      <c r="RML59" s="316"/>
      <c r="RMM59" s="316"/>
      <c r="RMN59" s="316"/>
      <c r="RMO59" s="316"/>
      <c r="RMP59" s="316"/>
      <c r="RMQ59" s="316"/>
      <c r="RMR59" s="316"/>
      <c r="RMS59" s="316"/>
      <c r="RMT59" s="316"/>
      <c r="RMU59" s="316"/>
      <c r="RMV59" s="316"/>
      <c r="RMW59" s="316"/>
      <c r="RMX59" s="316"/>
      <c r="RMY59" s="316"/>
      <c r="RMZ59" s="316"/>
      <c r="RNA59" s="316"/>
      <c r="RNB59" s="316"/>
      <c r="RNC59" s="316"/>
      <c r="RND59" s="316"/>
      <c r="RNE59" s="316"/>
      <c r="RNF59" s="316"/>
      <c r="RNG59" s="316"/>
      <c r="RNH59" s="316"/>
      <c r="RNI59" s="316"/>
      <c r="RNJ59" s="316"/>
      <c r="RNK59" s="316"/>
      <c r="RNL59" s="316"/>
      <c r="RNM59" s="316"/>
      <c r="RNN59" s="316"/>
      <c r="RNO59" s="316"/>
      <c r="RNP59" s="316"/>
      <c r="RNQ59" s="316"/>
      <c r="RNR59" s="316"/>
      <c r="RNS59" s="316"/>
      <c r="RNT59" s="316"/>
      <c r="RNU59" s="316"/>
      <c r="RNV59" s="316"/>
      <c r="RNW59" s="316"/>
      <c r="RNX59" s="316"/>
      <c r="RNY59" s="316"/>
      <c r="RNZ59" s="316"/>
      <c r="ROA59" s="316"/>
      <c r="ROB59" s="316"/>
      <c r="ROC59" s="316"/>
      <c r="ROD59" s="316"/>
      <c r="ROE59" s="316"/>
      <c r="ROF59" s="316"/>
      <c r="ROG59" s="316"/>
      <c r="ROH59" s="316"/>
      <c r="ROI59" s="316"/>
      <c r="ROJ59" s="316"/>
      <c r="ROK59" s="316"/>
      <c r="ROL59" s="316"/>
      <c r="ROM59" s="316"/>
      <c r="RON59" s="316"/>
      <c r="ROO59" s="316"/>
      <c r="ROP59" s="316"/>
      <c r="ROQ59" s="316"/>
      <c r="ROR59" s="316"/>
      <c r="ROS59" s="316"/>
      <c r="ROT59" s="316"/>
      <c r="ROU59" s="316"/>
      <c r="ROV59" s="316"/>
      <c r="ROW59" s="316"/>
      <c r="ROX59" s="316"/>
      <c r="ROY59" s="316"/>
      <c r="ROZ59" s="316"/>
      <c r="RPA59" s="316"/>
      <c r="RPB59" s="316"/>
      <c r="RPC59" s="316"/>
      <c r="RPD59" s="316"/>
      <c r="RPE59" s="316"/>
      <c r="RPF59" s="316"/>
      <c r="RPG59" s="316"/>
      <c r="RPH59" s="316"/>
      <c r="RPI59" s="316"/>
      <c r="RPJ59" s="316"/>
      <c r="RPK59" s="316"/>
      <c r="RPL59" s="316"/>
      <c r="RPM59" s="316"/>
      <c r="RPN59" s="316"/>
      <c r="RPO59" s="316"/>
      <c r="RPP59" s="316"/>
      <c r="RPQ59" s="316"/>
      <c r="RPR59" s="316"/>
      <c r="RPS59" s="316"/>
      <c r="RPT59" s="316"/>
      <c r="RPU59" s="316"/>
      <c r="RPV59" s="316"/>
      <c r="RPW59" s="316"/>
      <c r="RPX59" s="316"/>
      <c r="RPY59" s="316"/>
      <c r="RPZ59" s="316"/>
      <c r="RQA59" s="316"/>
      <c r="RQB59" s="316"/>
      <c r="RQC59" s="316"/>
      <c r="RQD59" s="316"/>
      <c r="RQE59" s="316"/>
      <c r="RQF59" s="316"/>
      <c r="RQG59" s="316"/>
      <c r="RQH59" s="316"/>
      <c r="RQI59" s="316"/>
      <c r="RQJ59" s="316"/>
      <c r="RQK59" s="316"/>
      <c r="RQL59" s="316"/>
      <c r="RQM59" s="316"/>
      <c r="RQN59" s="316"/>
      <c r="RQO59" s="316"/>
      <c r="RQP59" s="316"/>
      <c r="RQQ59" s="316"/>
      <c r="RQR59" s="316"/>
      <c r="RQS59" s="316"/>
      <c r="RQT59" s="316"/>
      <c r="RQU59" s="316"/>
      <c r="RQV59" s="316"/>
      <c r="RQW59" s="316"/>
      <c r="RQX59" s="316"/>
      <c r="RQY59" s="316"/>
      <c r="RQZ59" s="316"/>
      <c r="RRA59" s="316"/>
      <c r="RRB59" s="316"/>
      <c r="RRC59" s="316"/>
      <c r="RRD59" s="316"/>
      <c r="RRE59" s="316"/>
      <c r="RRF59" s="316"/>
      <c r="RRG59" s="316"/>
      <c r="RRH59" s="316"/>
      <c r="RRI59" s="316"/>
      <c r="RRJ59" s="316"/>
      <c r="RRK59" s="316"/>
      <c r="RRL59" s="316"/>
      <c r="RRM59" s="316"/>
      <c r="RRN59" s="316"/>
      <c r="RRO59" s="316"/>
      <c r="RRP59" s="316"/>
      <c r="RRQ59" s="316"/>
      <c r="RRR59" s="316"/>
      <c r="RRS59" s="316"/>
      <c r="RRT59" s="316"/>
      <c r="RRU59" s="316"/>
      <c r="RRV59" s="316"/>
      <c r="RRW59" s="316"/>
      <c r="RRX59" s="316"/>
      <c r="RRY59" s="316"/>
      <c r="RRZ59" s="316"/>
      <c r="RSA59" s="316"/>
      <c r="RSB59" s="316"/>
      <c r="RSC59" s="316"/>
      <c r="RSD59" s="316"/>
      <c r="RSE59" s="316"/>
      <c r="RSF59" s="316"/>
      <c r="RSG59" s="316"/>
      <c r="RSH59" s="316"/>
      <c r="RSI59" s="316"/>
      <c r="RSJ59" s="316"/>
      <c r="RSK59" s="316"/>
      <c r="RSL59" s="316"/>
      <c r="RSM59" s="316"/>
      <c r="RSN59" s="316"/>
      <c r="RSO59" s="316"/>
      <c r="RSP59" s="316"/>
      <c r="RSQ59" s="316"/>
      <c r="RSR59" s="316"/>
      <c r="RSS59" s="316"/>
      <c r="RST59" s="316"/>
      <c r="RSU59" s="316"/>
      <c r="RSV59" s="316"/>
      <c r="RSW59" s="316"/>
      <c r="RSX59" s="316"/>
      <c r="RSY59" s="316"/>
      <c r="RSZ59" s="316"/>
      <c r="RTA59" s="316"/>
      <c r="RTB59" s="316"/>
      <c r="RTC59" s="316"/>
      <c r="RTD59" s="316"/>
      <c r="RTE59" s="316"/>
      <c r="RTF59" s="316"/>
      <c r="RTG59" s="316"/>
      <c r="RTH59" s="316"/>
      <c r="RTI59" s="316"/>
      <c r="RTJ59" s="316"/>
      <c r="RTK59" s="316"/>
      <c r="RTL59" s="316"/>
      <c r="RTM59" s="316"/>
      <c r="RTN59" s="316"/>
      <c r="RTO59" s="316"/>
      <c r="RTP59" s="316"/>
      <c r="RTQ59" s="316"/>
      <c r="RTR59" s="316"/>
      <c r="RTS59" s="316"/>
      <c r="RTT59" s="316"/>
      <c r="RTU59" s="316"/>
      <c r="RTV59" s="316"/>
      <c r="RTW59" s="316"/>
      <c r="RTX59" s="316"/>
      <c r="RTY59" s="316"/>
      <c r="RTZ59" s="316"/>
      <c r="RUA59" s="316"/>
      <c r="RUB59" s="316"/>
      <c r="RUC59" s="316"/>
      <c r="RUD59" s="316"/>
      <c r="RUE59" s="316"/>
      <c r="RUF59" s="316"/>
      <c r="RUG59" s="316"/>
      <c r="RUH59" s="316"/>
      <c r="RUI59" s="316"/>
      <c r="RUJ59" s="316"/>
      <c r="RUK59" s="316"/>
      <c r="RUL59" s="316"/>
      <c r="RUM59" s="316"/>
      <c r="RUN59" s="316"/>
      <c r="RUO59" s="316"/>
      <c r="RUP59" s="316"/>
      <c r="RUQ59" s="316"/>
      <c r="RUR59" s="316"/>
      <c r="RUS59" s="316"/>
      <c r="RUT59" s="316"/>
      <c r="RUU59" s="316"/>
      <c r="RUV59" s="316"/>
      <c r="RUW59" s="316"/>
      <c r="RUX59" s="316"/>
      <c r="RUY59" s="316"/>
      <c r="RUZ59" s="316"/>
      <c r="RVA59" s="316"/>
      <c r="RVB59" s="316"/>
      <c r="RVC59" s="316"/>
      <c r="RVD59" s="316"/>
      <c r="RVE59" s="316"/>
      <c r="RVF59" s="316"/>
      <c r="RVG59" s="316"/>
      <c r="RVH59" s="316"/>
      <c r="RVI59" s="316"/>
      <c r="RVJ59" s="316"/>
      <c r="RVK59" s="316"/>
      <c r="RVL59" s="316"/>
      <c r="RVM59" s="316"/>
      <c r="RVN59" s="316"/>
      <c r="RVO59" s="316"/>
      <c r="RVP59" s="316"/>
      <c r="RVQ59" s="316"/>
      <c r="RVR59" s="316"/>
      <c r="RVS59" s="316"/>
      <c r="RVT59" s="316"/>
      <c r="RVU59" s="316"/>
      <c r="RVV59" s="316"/>
      <c r="RVW59" s="316"/>
      <c r="RVX59" s="316"/>
      <c r="RVY59" s="316"/>
      <c r="RVZ59" s="316"/>
      <c r="RWA59" s="316"/>
      <c r="RWB59" s="316"/>
      <c r="RWC59" s="316"/>
      <c r="RWD59" s="316"/>
      <c r="RWE59" s="316"/>
      <c r="RWF59" s="316"/>
      <c r="RWG59" s="316"/>
      <c r="RWH59" s="316"/>
      <c r="RWI59" s="316"/>
      <c r="RWJ59" s="316"/>
      <c r="RWK59" s="316"/>
      <c r="RWL59" s="316"/>
      <c r="RWM59" s="316"/>
      <c r="RWN59" s="316"/>
      <c r="RWO59" s="316"/>
      <c r="RWP59" s="316"/>
      <c r="RWQ59" s="316"/>
      <c r="RWR59" s="316"/>
      <c r="RWS59" s="316"/>
      <c r="RWT59" s="316"/>
      <c r="RWU59" s="316"/>
      <c r="RWV59" s="316"/>
      <c r="RWW59" s="316"/>
      <c r="RWX59" s="316"/>
      <c r="RWY59" s="316"/>
      <c r="RWZ59" s="316"/>
      <c r="RXA59" s="316"/>
      <c r="RXB59" s="316"/>
      <c r="RXC59" s="316"/>
      <c r="RXD59" s="316"/>
      <c r="RXE59" s="316"/>
      <c r="RXF59" s="316"/>
      <c r="RXG59" s="316"/>
      <c r="RXH59" s="316"/>
      <c r="RXI59" s="316"/>
      <c r="RXJ59" s="316"/>
      <c r="RXK59" s="316"/>
      <c r="RXL59" s="316"/>
      <c r="RXM59" s="316"/>
      <c r="RXN59" s="316"/>
      <c r="RXO59" s="316"/>
      <c r="RXP59" s="316"/>
      <c r="RXQ59" s="316"/>
      <c r="RXR59" s="316"/>
      <c r="RXS59" s="316"/>
      <c r="RXT59" s="316"/>
      <c r="RXU59" s="316"/>
      <c r="RXV59" s="316"/>
      <c r="RXW59" s="316"/>
      <c r="RXX59" s="316"/>
      <c r="RXY59" s="316"/>
      <c r="RXZ59" s="316"/>
      <c r="RYA59" s="316"/>
      <c r="RYB59" s="316"/>
      <c r="RYC59" s="316"/>
      <c r="RYD59" s="316"/>
      <c r="RYE59" s="316"/>
      <c r="RYF59" s="316"/>
      <c r="RYG59" s="316"/>
      <c r="RYH59" s="316"/>
      <c r="RYI59" s="316"/>
      <c r="RYJ59" s="316"/>
      <c r="RYK59" s="316"/>
      <c r="RYL59" s="316"/>
      <c r="RYM59" s="316"/>
      <c r="RYN59" s="316"/>
      <c r="RYO59" s="316"/>
      <c r="RYP59" s="316"/>
      <c r="RYQ59" s="316"/>
      <c r="RYR59" s="316"/>
      <c r="RYS59" s="316"/>
      <c r="RYT59" s="316"/>
      <c r="RYU59" s="316"/>
      <c r="RYV59" s="316"/>
      <c r="RYW59" s="316"/>
      <c r="RYX59" s="316"/>
      <c r="RYY59" s="316"/>
      <c r="RYZ59" s="316"/>
      <c r="RZA59" s="316"/>
      <c r="RZB59" s="316"/>
      <c r="RZC59" s="316"/>
      <c r="RZD59" s="316"/>
      <c r="RZE59" s="316"/>
      <c r="RZF59" s="316"/>
      <c r="RZG59" s="316"/>
      <c r="RZH59" s="316"/>
      <c r="RZI59" s="316"/>
      <c r="RZJ59" s="316"/>
      <c r="RZK59" s="316"/>
      <c r="RZL59" s="316"/>
      <c r="RZM59" s="316"/>
      <c r="RZN59" s="316"/>
      <c r="RZO59" s="316"/>
      <c r="RZP59" s="316"/>
      <c r="RZQ59" s="316"/>
      <c r="RZR59" s="316"/>
      <c r="RZS59" s="316"/>
      <c r="RZT59" s="316"/>
      <c r="RZU59" s="316"/>
      <c r="RZV59" s="316"/>
      <c r="RZW59" s="316"/>
      <c r="RZX59" s="316"/>
      <c r="RZY59" s="316"/>
      <c r="RZZ59" s="316"/>
      <c r="SAA59" s="316"/>
      <c r="SAB59" s="316"/>
      <c r="SAC59" s="316"/>
      <c r="SAD59" s="316"/>
      <c r="SAE59" s="316"/>
      <c r="SAF59" s="316"/>
      <c r="SAG59" s="316"/>
      <c r="SAH59" s="316"/>
      <c r="SAI59" s="316"/>
      <c r="SAJ59" s="316"/>
      <c r="SAK59" s="316"/>
      <c r="SAL59" s="316"/>
      <c r="SAM59" s="316"/>
      <c r="SAN59" s="316"/>
      <c r="SAO59" s="316"/>
      <c r="SAP59" s="316"/>
      <c r="SAQ59" s="316"/>
      <c r="SAR59" s="316"/>
      <c r="SAS59" s="316"/>
      <c r="SAT59" s="316"/>
      <c r="SAU59" s="316"/>
      <c r="SAV59" s="316"/>
      <c r="SAW59" s="316"/>
      <c r="SAX59" s="316"/>
      <c r="SAY59" s="316"/>
      <c r="SAZ59" s="316"/>
      <c r="SBA59" s="316"/>
      <c r="SBB59" s="316"/>
      <c r="SBC59" s="316"/>
      <c r="SBD59" s="316"/>
      <c r="SBE59" s="316"/>
      <c r="SBF59" s="316"/>
      <c r="SBG59" s="316"/>
      <c r="SBH59" s="316"/>
      <c r="SBI59" s="316"/>
      <c r="SBJ59" s="316"/>
      <c r="SBK59" s="316"/>
      <c r="SBL59" s="316"/>
      <c r="SBM59" s="316"/>
      <c r="SBN59" s="316"/>
      <c r="SBO59" s="316"/>
      <c r="SBP59" s="316"/>
      <c r="SBQ59" s="316"/>
      <c r="SBR59" s="316"/>
      <c r="SBS59" s="316"/>
      <c r="SBT59" s="316"/>
      <c r="SBU59" s="316"/>
      <c r="SBV59" s="316"/>
      <c r="SBW59" s="316"/>
      <c r="SBX59" s="316"/>
      <c r="SBY59" s="316"/>
      <c r="SBZ59" s="316"/>
      <c r="SCA59" s="316"/>
      <c r="SCB59" s="316"/>
      <c r="SCC59" s="316"/>
      <c r="SCD59" s="316"/>
      <c r="SCE59" s="316"/>
      <c r="SCF59" s="316"/>
      <c r="SCG59" s="316"/>
      <c r="SCH59" s="316"/>
      <c r="SCI59" s="316"/>
      <c r="SCJ59" s="316"/>
      <c r="SCK59" s="316"/>
      <c r="SCL59" s="316"/>
      <c r="SCM59" s="316"/>
      <c r="SCN59" s="316"/>
      <c r="SCO59" s="316"/>
      <c r="SCP59" s="316"/>
      <c r="SCQ59" s="316"/>
      <c r="SCR59" s="316"/>
      <c r="SCS59" s="316"/>
      <c r="SCT59" s="316"/>
      <c r="SCU59" s="316"/>
      <c r="SCV59" s="316"/>
      <c r="SCW59" s="316"/>
      <c r="SCX59" s="316"/>
      <c r="SCY59" s="316"/>
      <c r="SCZ59" s="316"/>
      <c r="SDA59" s="316"/>
      <c r="SDB59" s="316"/>
      <c r="SDC59" s="316"/>
      <c r="SDD59" s="316"/>
      <c r="SDE59" s="316"/>
      <c r="SDF59" s="316"/>
      <c r="SDG59" s="316"/>
      <c r="SDH59" s="316"/>
      <c r="SDI59" s="316"/>
      <c r="SDJ59" s="316"/>
      <c r="SDK59" s="316"/>
      <c r="SDL59" s="316"/>
      <c r="SDM59" s="316"/>
      <c r="SDN59" s="316"/>
      <c r="SDO59" s="316"/>
      <c r="SDP59" s="316"/>
      <c r="SDQ59" s="316"/>
      <c r="SDR59" s="316"/>
      <c r="SDS59" s="316"/>
      <c r="SDT59" s="316"/>
      <c r="SDU59" s="316"/>
      <c r="SDV59" s="316"/>
      <c r="SDW59" s="316"/>
      <c r="SDX59" s="316"/>
      <c r="SDY59" s="316"/>
      <c r="SDZ59" s="316"/>
      <c r="SEA59" s="316"/>
      <c r="SEB59" s="316"/>
      <c r="SEC59" s="316"/>
      <c r="SED59" s="316"/>
      <c r="SEE59" s="316"/>
      <c r="SEF59" s="316"/>
      <c r="SEG59" s="316"/>
      <c r="SEH59" s="316"/>
      <c r="SEI59" s="316"/>
      <c r="SEJ59" s="316"/>
      <c r="SEK59" s="316"/>
      <c r="SEL59" s="316"/>
      <c r="SEM59" s="316"/>
      <c r="SEN59" s="316"/>
      <c r="SEO59" s="316"/>
      <c r="SEP59" s="316"/>
      <c r="SEQ59" s="316"/>
      <c r="SER59" s="316"/>
      <c r="SES59" s="316"/>
      <c r="SET59" s="316"/>
      <c r="SEU59" s="316"/>
      <c r="SEV59" s="316"/>
      <c r="SEW59" s="316"/>
      <c r="SEX59" s="316"/>
      <c r="SEY59" s="316"/>
      <c r="SEZ59" s="316"/>
      <c r="SFA59" s="316"/>
      <c r="SFB59" s="316"/>
      <c r="SFC59" s="316"/>
      <c r="SFD59" s="316"/>
      <c r="SFE59" s="316"/>
      <c r="SFF59" s="316"/>
      <c r="SFG59" s="316"/>
      <c r="SFH59" s="316"/>
      <c r="SFI59" s="316"/>
      <c r="SFJ59" s="316"/>
      <c r="SFK59" s="316"/>
      <c r="SFL59" s="316"/>
      <c r="SFM59" s="316"/>
      <c r="SFN59" s="316"/>
      <c r="SFO59" s="316"/>
      <c r="SFP59" s="316"/>
      <c r="SFQ59" s="316"/>
      <c r="SFR59" s="316"/>
      <c r="SFS59" s="316"/>
      <c r="SFT59" s="316"/>
      <c r="SFU59" s="316"/>
      <c r="SFV59" s="316"/>
      <c r="SFW59" s="316"/>
      <c r="SFX59" s="316"/>
      <c r="SFY59" s="316"/>
      <c r="SFZ59" s="316"/>
      <c r="SGA59" s="316"/>
      <c r="SGB59" s="316"/>
      <c r="SGC59" s="316"/>
      <c r="SGD59" s="316"/>
      <c r="SGE59" s="316"/>
      <c r="SGF59" s="316"/>
      <c r="SGG59" s="316"/>
      <c r="SGH59" s="316"/>
      <c r="SGI59" s="316"/>
      <c r="SGJ59" s="316"/>
      <c r="SGK59" s="316"/>
      <c r="SGL59" s="316"/>
      <c r="SGM59" s="316"/>
      <c r="SGN59" s="316"/>
      <c r="SGO59" s="316"/>
      <c r="SGP59" s="316"/>
      <c r="SGQ59" s="316"/>
      <c r="SGR59" s="316"/>
      <c r="SGS59" s="316"/>
      <c r="SGT59" s="316"/>
      <c r="SGU59" s="316"/>
      <c r="SGV59" s="316"/>
      <c r="SGW59" s="316"/>
      <c r="SGX59" s="316"/>
      <c r="SGY59" s="316"/>
      <c r="SGZ59" s="316"/>
      <c r="SHA59" s="316"/>
      <c r="SHB59" s="316"/>
      <c r="SHC59" s="316"/>
      <c r="SHD59" s="316"/>
      <c r="SHE59" s="316"/>
      <c r="SHF59" s="316"/>
      <c r="SHG59" s="316"/>
      <c r="SHH59" s="316"/>
      <c r="SHI59" s="316"/>
      <c r="SHJ59" s="316"/>
      <c r="SHK59" s="316"/>
      <c r="SHL59" s="316"/>
      <c r="SHM59" s="316"/>
      <c r="SHN59" s="316"/>
      <c r="SHO59" s="316"/>
      <c r="SHP59" s="316"/>
      <c r="SHQ59" s="316"/>
      <c r="SHR59" s="316"/>
      <c r="SHS59" s="316"/>
      <c r="SHT59" s="316"/>
      <c r="SHU59" s="316"/>
      <c r="SHV59" s="316"/>
      <c r="SHW59" s="316"/>
      <c r="SHX59" s="316"/>
      <c r="SHY59" s="316"/>
      <c r="SHZ59" s="316"/>
      <c r="SIA59" s="316"/>
      <c r="SIB59" s="316"/>
      <c r="SIC59" s="316"/>
      <c r="SID59" s="316"/>
      <c r="SIE59" s="316"/>
      <c r="SIF59" s="316"/>
      <c r="SIG59" s="316"/>
      <c r="SIH59" s="316"/>
      <c r="SII59" s="316"/>
      <c r="SIJ59" s="316"/>
      <c r="SIK59" s="316"/>
      <c r="SIL59" s="316"/>
      <c r="SIM59" s="316"/>
      <c r="SIN59" s="316"/>
      <c r="SIO59" s="316"/>
      <c r="SIP59" s="316"/>
      <c r="SIQ59" s="316"/>
      <c r="SIR59" s="316"/>
      <c r="SIS59" s="316"/>
      <c r="SIT59" s="316"/>
      <c r="SIU59" s="316"/>
      <c r="SIV59" s="316"/>
      <c r="SIW59" s="316"/>
      <c r="SIX59" s="316"/>
      <c r="SIY59" s="316"/>
      <c r="SIZ59" s="316"/>
      <c r="SJA59" s="316"/>
      <c r="SJB59" s="316"/>
      <c r="SJC59" s="316"/>
      <c r="SJD59" s="316"/>
      <c r="SJE59" s="316"/>
      <c r="SJF59" s="316"/>
      <c r="SJG59" s="316"/>
      <c r="SJH59" s="316"/>
      <c r="SJI59" s="316"/>
      <c r="SJJ59" s="316"/>
      <c r="SJK59" s="316"/>
      <c r="SJL59" s="316"/>
      <c r="SJM59" s="316"/>
      <c r="SJN59" s="316"/>
      <c r="SJO59" s="316"/>
      <c r="SJP59" s="316"/>
      <c r="SJQ59" s="316"/>
      <c r="SJR59" s="316"/>
      <c r="SJS59" s="316"/>
      <c r="SJT59" s="316"/>
      <c r="SJU59" s="316"/>
      <c r="SJV59" s="316"/>
      <c r="SJW59" s="316"/>
      <c r="SJX59" s="316"/>
      <c r="SJY59" s="316"/>
      <c r="SJZ59" s="316"/>
      <c r="SKA59" s="316"/>
      <c r="SKB59" s="316"/>
      <c r="SKC59" s="316"/>
      <c r="SKD59" s="316"/>
      <c r="SKE59" s="316"/>
      <c r="SKF59" s="316"/>
      <c r="SKG59" s="316"/>
      <c r="SKH59" s="316"/>
      <c r="SKI59" s="316"/>
      <c r="SKJ59" s="316"/>
      <c r="SKK59" s="316"/>
      <c r="SKL59" s="316"/>
      <c r="SKM59" s="316"/>
      <c r="SKN59" s="316"/>
      <c r="SKO59" s="316"/>
      <c r="SKP59" s="316"/>
      <c r="SKQ59" s="316"/>
      <c r="SKR59" s="316"/>
      <c r="SKS59" s="316"/>
      <c r="SKT59" s="316"/>
      <c r="SKU59" s="316"/>
      <c r="SKV59" s="316"/>
      <c r="SKW59" s="316"/>
      <c r="SKX59" s="316"/>
      <c r="SKY59" s="316"/>
      <c r="SKZ59" s="316"/>
      <c r="SLA59" s="316"/>
      <c r="SLB59" s="316"/>
      <c r="SLC59" s="316"/>
      <c r="SLD59" s="316"/>
      <c r="SLE59" s="316"/>
      <c r="SLF59" s="316"/>
      <c r="SLG59" s="316"/>
      <c r="SLH59" s="316"/>
      <c r="SLI59" s="316"/>
      <c r="SLJ59" s="316"/>
      <c r="SLK59" s="316"/>
      <c r="SLL59" s="316"/>
      <c r="SLM59" s="316"/>
      <c r="SLN59" s="316"/>
      <c r="SLO59" s="316"/>
      <c r="SLP59" s="316"/>
      <c r="SLQ59" s="316"/>
      <c r="SLR59" s="316"/>
      <c r="SLS59" s="316"/>
      <c r="SLT59" s="316"/>
      <c r="SLU59" s="316"/>
      <c r="SLV59" s="316"/>
      <c r="SLW59" s="316"/>
      <c r="SLX59" s="316"/>
      <c r="SLY59" s="316"/>
      <c r="SLZ59" s="316"/>
      <c r="SMA59" s="316"/>
      <c r="SMB59" s="316"/>
      <c r="SMC59" s="316"/>
      <c r="SMD59" s="316"/>
      <c r="SME59" s="316"/>
      <c r="SMF59" s="316"/>
      <c r="SMG59" s="316"/>
      <c r="SMH59" s="316"/>
      <c r="SMI59" s="316"/>
      <c r="SMJ59" s="316"/>
      <c r="SMK59" s="316"/>
      <c r="SML59" s="316"/>
      <c r="SMM59" s="316"/>
      <c r="SMN59" s="316"/>
      <c r="SMO59" s="316"/>
      <c r="SMP59" s="316"/>
      <c r="SMQ59" s="316"/>
      <c r="SMR59" s="316"/>
      <c r="SMS59" s="316"/>
      <c r="SMT59" s="316"/>
      <c r="SMU59" s="316"/>
      <c r="SMV59" s="316"/>
      <c r="SMW59" s="316"/>
      <c r="SMX59" s="316"/>
      <c r="SMY59" s="316"/>
      <c r="SMZ59" s="316"/>
      <c r="SNA59" s="316"/>
      <c r="SNB59" s="316"/>
      <c r="SNC59" s="316"/>
      <c r="SND59" s="316"/>
      <c r="SNE59" s="316"/>
      <c r="SNF59" s="316"/>
      <c r="SNG59" s="316"/>
      <c r="SNH59" s="316"/>
      <c r="SNI59" s="316"/>
      <c r="SNJ59" s="316"/>
      <c r="SNK59" s="316"/>
      <c r="SNL59" s="316"/>
      <c r="SNM59" s="316"/>
      <c r="SNN59" s="316"/>
      <c r="SNO59" s="316"/>
      <c r="SNP59" s="316"/>
      <c r="SNQ59" s="316"/>
      <c r="SNR59" s="316"/>
      <c r="SNS59" s="316"/>
      <c r="SNT59" s="316"/>
      <c r="SNU59" s="316"/>
      <c r="SNV59" s="316"/>
      <c r="SNW59" s="316"/>
      <c r="SNX59" s="316"/>
      <c r="SNY59" s="316"/>
      <c r="SNZ59" s="316"/>
      <c r="SOA59" s="316"/>
      <c r="SOB59" s="316"/>
      <c r="SOC59" s="316"/>
      <c r="SOD59" s="316"/>
      <c r="SOE59" s="316"/>
      <c r="SOF59" s="316"/>
      <c r="SOG59" s="316"/>
      <c r="SOH59" s="316"/>
      <c r="SOI59" s="316"/>
      <c r="SOJ59" s="316"/>
      <c r="SOK59" s="316"/>
      <c r="SOL59" s="316"/>
      <c r="SOM59" s="316"/>
      <c r="SON59" s="316"/>
      <c r="SOO59" s="316"/>
      <c r="SOP59" s="316"/>
      <c r="SOQ59" s="316"/>
      <c r="SOR59" s="316"/>
      <c r="SOS59" s="316"/>
      <c r="SOT59" s="316"/>
      <c r="SOU59" s="316"/>
      <c r="SOV59" s="316"/>
      <c r="SOW59" s="316"/>
      <c r="SOX59" s="316"/>
      <c r="SOY59" s="316"/>
      <c r="SOZ59" s="316"/>
      <c r="SPA59" s="316"/>
      <c r="SPB59" s="316"/>
      <c r="SPC59" s="316"/>
      <c r="SPD59" s="316"/>
      <c r="SPE59" s="316"/>
      <c r="SPF59" s="316"/>
      <c r="SPG59" s="316"/>
      <c r="SPH59" s="316"/>
      <c r="SPI59" s="316"/>
      <c r="SPJ59" s="316"/>
      <c r="SPK59" s="316"/>
      <c r="SPL59" s="316"/>
      <c r="SPM59" s="316"/>
      <c r="SPN59" s="316"/>
      <c r="SPO59" s="316"/>
      <c r="SPP59" s="316"/>
      <c r="SPQ59" s="316"/>
      <c r="SPR59" s="316"/>
      <c r="SPS59" s="316"/>
      <c r="SPT59" s="316"/>
      <c r="SPU59" s="316"/>
      <c r="SPV59" s="316"/>
      <c r="SPW59" s="316"/>
      <c r="SPX59" s="316"/>
      <c r="SPY59" s="316"/>
      <c r="SPZ59" s="316"/>
      <c r="SQA59" s="316"/>
      <c r="SQB59" s="316"/>
      <c r="SQC59" s="316"/>
      <c r="SQD59" s="316"/>
      <c r="SQE59" s="316"/>
      <c r="SQF59" s="316"/>
      <c r="SQG59" s="316"/>
      <c r="SQH59" s="316"/>
      <c r="SQI59" s="316"/>
      <c r="SQJ59" s="316"/>
      <c r="SQK59" s="316"/>
      <c r="SQL59" s="316"/>
      <c r="SQM59" s="316"/>
      <c r="SQN59" s="316"/>
      <c r="SQO59" s="316"/>
      <c r="SQP59" s="316"/>
      <c r="SQQ59" s="316"/>
      <c r="SQR59" s="316"/>
      <c r="SQS59" s="316"/>
      <c r="SQT59" s="316"/>
      <c r="SQU59" s="316"/>
      <c r="SQV59" s="316"/>
      <c r="SQW59" s="316"/>
      <c r="SQX59" s="316"/>
      <c r="SQY59" s="316"/>
      <c r="SQZ59" s="316"/>
      <c r="SRA59" s="316"/>
      <c r="SRB59" s="316"/>
      <c r="SRC59" s="316"/>
      <c r="SRD59" s="316"/>
      <c r="SRE59" s="316"/>
      <c r="SRF59" s="316"/>
      <c r="SRG59" s="316"/>
      <c r="SRH59" s="316"/>
      <c r="SRI59" s="316"/>
      <c r="SRJ59" s="316"/>
      <c r="SRK59" s="316"/>
      <c r="SRL59" s="316"/>
      <c r="SRM59" s="316"/>
      <c r="SRN59" s="316"/>
      <c r="SRO59" s="316"/>
      <c r="SRP59" s="316"/>
      <c r="SRQ59" s="316"/>
      <c r="SRR59" s="316"/>
      <c r="SRS59" s="316"/>
      <c r="SRT59" s="316"/>
      <c r="SRU59" s="316"/>
      <c r="SRV59" s="316"/>
      <c r="SRW59" s="316"/>
      <c r="SRX59" s="316"/>
      <c r="SRY59" s="316"/>
      <c r="SRZ59" s="316"/>
      <c r="SSA59" s="316"/>
      <c r="SSB59" s="316"/>
      <c r="SSC59" s="316"/>
      <c r="SSD59" s="316"/>
      <c r="SSE59" s="316"/>
      <c r="SSF59" s="316"/>
      <c r="SSG59" s="316"/>
      <c r="SSH59" s="316"/>
      <c r="SSI59" s="316"/>
      <c r="SSJ59" s="316"/>
      <c r="SSK59" s="316"/>
      <c r="SSL59" s="316"/>
      <c r="SSM59" s="316"/>
      <c r="SSN59" s="316"/>
      <c r="SSO59" s="316"/>
      <c r="SSP59" s="316"/>
      <c r="SSQ59" s="316"/>
      <c r="SSR59" s="316"/>
      <c r="SSS59" s="316"/>
      <c r="SST59" s="316"/>
      <c r="SSU59" s="316"/>
      <c r="SSV59" s="316"/>
      <c r="SSW59" s="316"/>
      <c r="SSX59" s="316"/>
      <c r="SSY59" s="316"/>
      <c r="SSZ59" s="316"/>
      <c r="STA59" s="316"/>
      <c r="STB59" s="316"/>
      <c r="STC59" s="316"/>
      <c r="STD59" s="316"/>
      <c r="STE59" s="316"/>
      <c r="STF59" s="316"/>
      <c r="STG59" s="316"/>
      <c r="STH59" s="316"/>
      <c r="STI59" s="316"/>
      <c r="STJ59" s="316"/>
      <c r="STK59" s="316"/>
      <c r="STL59" s="316"/>
      <c r="STM59" s="316"/>
      <c r="STN59" s="316"/>
      <c r="STO59" s="316"/>
      <c r="STP59" s="316"/>
      <c r="STQ59" s="316"/>
      <c r="STR59" s="316"/>
      <c r="STS59" s="316"/>
      <c r="STT59" s="316"/>
      <c r="STU59" s="316"/>
      <c r="STV59" s="316"/>
      <c r="STW59" s="316"/>
      <c r="STX59" s="316"/>
      <c r="STY59" s="316"/>
      <c r="STZ59" s="316"/>
      <c r="SUA59" s="316"/>
      <c r="SUB59" s="316"/>
      <c r="SUC59" s="316"/>
      <c r="SUD59" s="316"/>
      <c r="SUE59" s="316"/>
      <c r="SUF59" s="316"/>
      <c r="SUG59" s="316"/>
      <c r="SUH59" s="316"/>
      <c r="SUI59" s="316"/>
      <c r="SUJ59" s="316"/>
      <c r="SUK59" s="316"/>
      <c r="SUL59" s="316"/>
      <c r="SUM59" s="316"/>
      <c r="SUN59" s="316"/>
      <c r="SUO59" s="316"/>
      <c r="SUP59" s="316"/>
      <c r="SUQ59" s="316"/>
      <c r="SUR59" s="316"/>
      <c r="SUS59" s="316"/>
      <c r="SUT59" s="316"/>
      <c r="SUU59" s="316"/>
      <c r="SUV59" s="316"/>
      <c r="SUW59" s="316"/>
      <c r="SUX59" s="316"/>
      <c r="SUY59" s="316"/>
      <c r="SUZ59" s="316"/>
      <c r="SVA59" s="316"/>
      <c r="SVB59" s="316"/>
      <c r="SVC59" s="316"/>
      <c r="SVD59" s="316"/>
      <c r="SVE59" s="316"/>
      <c r="SVF59" s="316"/>
      <c r="SVG59" s="316"/>
      <c r="SVH59" s="316"/>
      <c r="SVI59" s="316"/>
      <c r="SVJ59" s="316"/>
      <c r="SVK59" s="316"/>
      <c r="SVL59" s="316"/>
      <c r="SVM59" s="316"/>
      <c r="SVN59" s="316"/>
      <c r="SVO59" s="316"/>
      <c r="SVP59" s="316"/>
      <c r="SVQ59" s="316"/>
      <c r="SVR59" s="316"/>
      <c r="SVS59" s="316"/>
      <c r="SVT59" s="316"/>
      <c r="SVU59" s="316"/>
      <c r="SVV59" s="316"/>
      <c r="SVW59" s="316"/>
      <c r="SVX59" s="316"/>
      <c r="SVY59" s="316"/>
      <c r="SVZ59" s="316"/>
      <c r="SWA59" s="316"/>
      <c r="SWB59" s="316"/>
      <c r="SWC59" s="316"/>
      <c r="SWD59" s="316"/>
      <c r="SWE59" s="316"/>
      <c r="SWF59" s="316"/>
      <c r="SWG59" s="316"/>
      <c r="SWH59" s="316"/>
      <c r="SWI59" s="316"/>
      <c r="SWJ59" s="316"/>
      <c r="SWK59" s="316"/>
      <c r="SWL59" s="316"/>
      <c r="SWM59" s="316"/>
      <c r="SWN59" s="316"/>
      <c r="SWO59" s="316"/>
      <c r="SWP59" s="316"/>
      <c r="SWQ59" s="316"/>
      <c r="SWR59" s="316"/>
      <c r="SWS59" s="316"/>
      <c r="SWT59" s="316"/>
      <c r="SWU59" s="316"/>
      <c r="SWV59" s="316"/>
      <c r="SWW59" s="316"/>
      <c r="SWX59" s="316"/>
      <c r="SWY59" s="316"/>
      <c r="SWZ59" s="316"/>
      <c r="SXA59" s="316"/>
      <c r="SXB59" s="316"/>
      <c r="SXC59" s="316"/>
      <c r="SXD59" s="316"/>
      <c r="SXE59" s="316"/>
      <c r="SXF59" s="316"/>
      <c r="SXG59" s="316"/>
      <c r="SXH59" s="316"/>
      <c r="SXI59" s="316"/>
      <c r="SXJ59" s="316"/>
      <c r="SXK59" s="316"/>
      <c r="SXL59" s="316"/>
      <c r="SXM59" s="316"/>
      <c r="SXN59" s="316"/>
      <c r="SXO59" s="316"/>
      <c r="SXP59" s="316"/>
      <c r="SXQ59" s="316"/>
      <c r="SXR59" s="316"/>
      <c r="SXS59" s="316"/>
      <c r="SXT59" s="316"/>
      <c r="SXU59" s="316"/>
      <c r="SXV59" s="316"/>
      <c r="SXW59" s="316"/>
      <c r="SXX59" s="316"/>
      <c r="SXY59" s="316"/>
      <c r="SXZ59" s="316"/>
      <c r="SYA59" s="316"/>
      <c r="SYB59" s="316"/>
      <c r="SYC59" s="316"/>
      <c r="SYD59" s="316"/>
      <c r="SYE59" s="316"/>
      <c r="SYF59" s="316"/>
      <c r="SYG59" s="316"/>
      <c r="SYH59" s="316"/>
      <c r="SYI59" s="316"/>
      <c r="SYJ59" s="316"/>
      <c r="SYK59" s="316"/>
      <c r="SYL59" s="316"/>
      <c r="SYM59" s="316"/>
      <c r="SYN59" s="316"/>
      <c r="SYO59" s="316"/>
      <c r="SYP59" s="316"/>
      <c r="SYQ59" s="316"/>
      <c r="SYR59" s="316"/>
      <c r="SYS59" s="316"/>
      <c r="SYT59" s="316"/>
      <c r="SYU59" s="316"/>
      <c r="SYV59" s="316"/>
      <c r="SYW59" s="316"/>
      <c r="SYX59" s="316"/>
      <c r="SYY59" s="316"/>
      <c r="SYZ59" s="316"/>
      <c r="SZA59" s="316"/>
      <c r="SZB59" s="316"/>
      <c r="SZC59" s="316"/>
      <c r="SZD59" s="316"/>
      <c r="SZE59" s="316"/>
      <c r="SZF59" s="316"/>
      <c r="SZG59" s="316"/>
      <c r="SZH59" s="316"/>
      <c r="SZI59" s="316"/>
      <c r="SZJ59" s="316"/>
      <c r="SZK59" s="316"/>
      <c r="SZL59" s="316"/>
      <c r="SZM59" s="316"/>
      <c r="SZN59" s="316"/>
      <c r="SZO59" s="316"/>
      <c r="SZP59" s="316"/>
      <c r="SZQ59" s="316"/>
      <c r="SZR59" s="316"/>
      <c r="SZS59" s="316"/>
      <c r="SZT59" s="316"/>
      <c r="SZU59" s="316"/>
      <c r="SZV59" s="316"/>
      <c r="SZW59" s="316"/>
      <c r="SZX59" s="316"/>
      <c r="SZY59" s="316"/>
      <c r="SZZ59" s="316"/>
      <c r="TAA59" s="316"/>
      <c r="TAB59" s="316"/>
      <c r="TAC59" s="316"/>
      <c r="TAD59" s="316"/>
      <c r="TAE59" s="316"/>
      <c r="TAF59" s="316"/>
      <c r="TAG59" s="316"/>
      <c r="TAH59" s="316"/>
      <c r="TAI59" s="316"/>
      <c r="TAJ59" s="316"/>
      <c r="TAK59" s="316"/>
      <c r="TAL59" s="316"/>
      <c r="TAM59" s="316"/>
      <c r="TAN59" s="316"/>
      <c r="TAO59" s="316"/>
      <c r="TAP59" s="316"/>
      <c r="TAQ59" s="316"/>
      <c r="TAR59" s="316"/>
      <c r="TAS59" s="316"/>
      <c r="TAT59" s="316"/>
      <c r="TAU59" s="316"/>
      <c r="TAV59" s="316"/>
      <c r="TAW59" s="316"/>
      <c r="TAX59" s="316"/>
      <c r="TAY59" s="316"/>
      <c r="TAZ59" s="316"/>
      <c r="TBA59" s="316"/>
      <c r="TBB59" s="316"/>
      <c r="TBC59" s="316"/>
      <c r="TBD59" s="316"/>
      <c r="TBE59" s="316"/>
      <c r="TBF59" s="316"/>
      <c r="TBG59" s="316"/>
      <c r="TBH59" s="316"/>
      <c r="TBI59" s="316"/>
      <c r="TBJ59" s="316"/>
      <c r="TBK59" s="316"/>
      <c r="TBL59" s="316"/>
      <c r="TBM59" s="316"/>
      <c r="TBN59" s="316"/>
      <c r="TBO59" s="316"/>
      <c r="TBP59" s="316"/>
      <c r="TBQ59" s="316"/>
      <c r="TBR59" s="316"/>
      <c r="TBS59" s="316"/>
      <c r="TBT59" s="316"/>
      <c r="TBU59" s="316"/>
      <c r="TBV59" s="316"/>
      <c r="TBW59" s="316"/>
      <c r="TBX59" s="316"/>
      <c r="TBY59" s="316"/>
      <c r="TBZ59" s="316"/>
      <c r="TCA59" s="316"/>
      <c r="TCB59" s="316"/>
      <c r="TCC59" s="316"/>
      <c r="TCD59" s="316"/>
      <c r="TCE59" s="316"/>
      <c r="TCF59" s="316"/>
      <c r="TCG59" s="316"/>
      <c r="TCH59" s="316"/>
      <c r="TCI59" s="316"/>
      <c r="TCJ59" s="316"/>
      <c r="TCK59" s="316"/>
      <c r="TCL59" s="316"/>
      <c r="TCM59" s="316"/>
      <c r="TCN59" s="316"/>
      <c r="TCO59" s="316"/>
      <c r="TCP59" s="316"/>
      <c r="TCQ59" s="316"/>
      <c r="TCR59" s="316"/>
      <c r="TCS59" s="316"/>
      <c r="TCT59" s="316"/>
      <c r="TCU59" s="316"/>
      <c r="TCV59" s="316"/>
      <c r="TCW59" s="316"/>
      <c r="TCX59" s="316"/>
      <c r="TCY59" s="316"/>
      <c r="TCZ59" s="316"/>
      <c r="TDA59" s="316"/>
      <c r="TDB59" s="316"/>
      <c r="TDC59" s="316"/>
      <c r="TDD59" s="316"/>
      <c r="TDE59" s="316"/>
      <c r="TDF59" s="316"/>
      <c r="TDG59" s="316"/>
      <c r="TDH59" s="316"/>
      <c r="TDI59" s="316"/>
      <c r="TDJ59" s="316"/>
      <c r="TDK59" s="316"/>
      <c r="TDL59" s="316"/>
      <c r="TDM59" s="316"/>
      <c r="TDN59" s="316"/>
      <c r="TDO59" s="316"/>
      <c r="TDP59" s="316"/>
      <c r="TDQ59" s="316"/>
      <c r="TDR59" s="316"/>
      <c r="TDS59" s="316"/>
      <c r="TDT59" s="316"/>
      <c r="TDU59" s="316"/>
      <c r="TDV59" s="316"/>
      <c r="TDW59" s="316"/>
      <c r="TDX59" s="316"/>
      <c r="TDY59" s="316"/>
      <c r="TDZ59" s="316"/>
      <c r="TEA59" s="316"/>
      <c r="TEB59" s="316"/>
      <c r="TEC59" s="316"/>
      <c r="TED59" s="316"/>
      <c r="TEE59" s="316"/>
      <c r="TEF59" s="316"/>
      <c r="TEG59" s="316"/>
      <c r="TEH59" s="316"/>
      <c r="TEI59" s="316"/>
      <c r="TEJ59" s="316"/>
      <c r="TEK59" s="316"/>
      <c r="TEL59" s="316"/>
      <c r="TEM59" s="316"/>
      <c r="TEN59" s="316"/>
      <c r="TEO59" s="316"/>
      <c r="TEP59" s="316"/>
      <c r="TEQ59" s="316"/>
      <c r="TER59" s="316"/>
      <c r="TES59" s="316"/>
      <c r="TET59" s="316"/>
      <c r="TEU59" s="316"/>
      <c r="TEV59" s="316"/>
      <c r="TEW59" s="316"/>
      <c r="TEX59" s="316"/>
      <c r="TEY59" s="316"/>
      <c r="TEZ59" s="316"/>
      <c r="TFA59" s="316"/>
      <c r="TFB59" s="316"/>
      <c r="TFC59" s="316"/>
      <c r="TFD59" s="316"/>
      <c r="TFE59" s="316"/>
      <c r="TFF59" s="316"/>
      <c r="TFG59" s="316"/>
      <c r="TFH59" s="316"/>
      <c r="TFI59" s="316"/>
      <c r="TFJ59" s="316"/>
      <c r="TFK59" s="316"/>
      <c r="TFL59" s="316"/>
      <c r="TFM59" s="316"/>
      <c r="TFN59" s="316"/>
      <c r="TFO59" s="316"/>
      <c r="TFP59" s="316"/>
      <c r="TFQ59" s="316"/>
      <c r="TFR59" s="316"/>
      <c r="TFS59" s="316"/>
      <c r="TFT59" s="316"/>
      <c r="TFU59" s="316"/>
      <c r="TFV59" s="316"/>
      <c r="TFW59" s="316"/>
      <c r="TFX59" s="316"/>
      <c r="TFY59" s="316"/>
      <c r="TFZ59" s="316"/>
      <c r="TGA59" s="316"/>
      <c r="TGB59" s="316"/>
      <c r="TGC59" s="316"/>
      <c r="TGD59" s="316"/>
      <c r="TGE59" s="316"/>
      <c r="TGF59" s="316"/>
      <c r="TGG59" s="316"/>
      <c r="TGH59" s="316"/>
      <c r="TGI59" s="316"/>
      <c r="TGJ59" s="316"/>
      <c r="TGK59" s="316"/>
      <c r="TGL59" s="316"/>
      <c r="TGM59" s="316"/>
      <c r="TGN59" s="316"/>
      <c r="TGO59" s="316"/>
      <c r="TGP59" s="316"/>
      <c r="TGQ59" s="316"/>
      <c r="TGR59" s="316"/>
      <c r="TGS59" s="316"/>
      <c r="TGT59" s="316"/>
      <c r="TGU59" s="316"/>
      <c r="TGV59" s="316"/>
      <c r="TGW59" s="316"/>
      <c r="TGX59" s="316"/>
      <c r="TGY59" s="316"/>
      <c r="TGZ59" s="316"/>
      <c r="THA59" s="316"/>
      <c r="THB59" s="316"/>
      <c r="THC59" s="316"/>
      <c r="THD59" s="316"/>
      <c r="THE59" s="316"/>
      <c r="THF59" s="316"/>
      <c r="THG59" s="316"/>
      <c r="THH59" s="316"/>
      <c r="THI59" s="316"/>
      <c r="THJ59" s="316"/>
      <c r="THK59" s="316"/>
      <c r="THL59" s="316"/>
      <c r="THM59" s="316"/>
      <c r="THN59" s="316"/>
      <c r="THO59" s="316"/>
      <c r="THP59" s="316"/>
      <c r="THQ59" s="316"/>
      <c r="THR59" s="316"/>
      <c r="THS59" s="316"/>
      <c r="THT59" s="316"/>
      <c r="THU59" s="316"/>
      <c r="THV59" s="316"/>
      <c r="THW59" s="316"/>
      <c r="THX59" s="316"/>
      <c r="THY59" s="316"/>
      <c r="THZ59" s="316"/>
      <c r="TIA59" s="316"/>
      <c r="TIB59" s="316"/>
      <c r="TIC59" s="316"/>
      <c r="TID59" s="316"/>
      <c r="TIE59" s="316"/>
      <c r="TIF59" s="316"/>
      <c r="TIG59" s="316"/>
      <c r="TIH59" s="316"/>
      <c r="TII59" s="316"/>
      <c r="TIJ59" s="316"/>
      <c r="TIK59" s="316"/>
      <c r="TIL59" s="316"/>
      <c r="TIM59" s="316"/>
      <c r="TIN59" s="316"/>
      <c r="TIO59" s="316"/>
      <c r="TIP59" s="316"/>
      <c r="TIQ59" s="316"/>
      <c r="TIR59" s="316"/>
      <c r="TIS59" s="316"/>
      <c r="TIT59" s="316"/>
      <c r="TIU59" s="316"/>
      <c r="TIV59" s="316"/>
      <c r="TIW59" s="316"/>
      <c r="TIX59" s="316"/>
      <c r="TIY59" s="316"/>
      <c r="TIZ59" s="316"/>
      <c r="TJA59" s="316"/>
      <c r="TJB59" s="316"/>
      <c r="TJC59" s="316"/>
      <c r="TJD59" s="316"/>
      <c r="TJE59" s="316"/>
      <c r="TJF59" s="316"/>
      <c r="TJG59" s="316"/>
      <c r="TJH59" s="316"/>
      <c r="TJI59" s="316"/>
      <c r="TJJ59" s="316"/>
      <c r="TJK59" s="316"/>
      <c r="TJL59" s="316"/>
      <c r="TJM59" s="316"/>
      <c r="TJN59" s="316"/>
      <c r="TJO59" s="316"/>
      <c r="TJP59" s="316"/>
      <c r="TJQ59" s="316"/>
      <c r="TJR59" s="316"/>
      <c r="TJS59" s="316"/>
      <c r="TJT59" s="316"/>
      <c r="TJU59" s="316"/>
      <c r="TJV59" s="316"/>
      <c r="TJW59" s="316"/>
      <c r="TJX59" s="316"/>
      <c r="TJY59" s="316"/>
      <c r="TJZ59" s="316"/>
      <c r="TKA59" s="316"/>
      <c r="TKB59" s="316"/>
      <c r="TKC59" s="316"/>
      <c r="TKD59" s="316"/>
      <c r="TKE59" s="316"/>
      <c r="TKF59" s="316"/>
      <c r="TKG59" s="316"/>
      <c r="TKH59" s="316"/>
      <c r="TKI59" s="316"/>
      <c r="TKJ59" s="316"/>
      <c r="TKK59" s="316"/>
      <c r="TKL59" s="316"/>
      <c r="TKM59" s="316"/>
      <c r="TKN59" s="316"/>
      <c r="TKO59" s="316"/>
      <c r="TKP59" s="316"/>
      <c r="TKQ59" s="316"/>
      <c r="TKR59" s="316"/>
      <c r="TKS59" s="316"/>
      <c r="TKT59" s="316"/>
      <c r="TKU59" s="316"/>
      <c r="TKV59" s="316"/>
      <c r="TKW59" s="316"/>
      <c r="TKX59" s="316"/>
      <c r="TKY59" s="316"/>
      <c r="TKZ59" s="316"/>
      <c r="TLA59" s="316"/>
      <c r="TLB59" s="316"/>
      <c r="TLC59" s="316"/>
      <c r="TLD59" s="316"/>
      <c r="TLE59" s="316"/>
      <c r="TLF59" s="316"/>
      <c r="TLG59" s="316"/>
      <c r="TLH59" s="316"/>
      <c r="TLI59" s="316"/>
      <c r="TLJ59" s="316"/>
      <c r="TLK59" s="316"/>
      <c r="TLL59" s="316"/>
      <c r="TLM59" s="316"/>
      <c r="TLN59" s="316"/>
      <c r="TLO59" s="316"/>
      <c r="TLP59" s="316"/>
      <c r="TLQ59" s="316"/>
      <c r="TLR59" s="316"/>
      <c r="TLS59" s="316"/>
      <c r="TLT59" s="316"/>
      <c r="TLU59" s="316"/>
      <c r="TLV59" s="316"/>
      <c r="TLW59" s="316"/>
      <c r="TLX59" s="316"/>
      <c r="TLY59" s="316"/>
      <c r="TLZ59" s="316"/>
      <c r="TMA59" s="316"/>
      <c r="TMB59" s="316"/>
      <c r="TMC59" s="316"/>
      <c r="TMD59" s="316"/>
      <c r="TME59" s="316"/>
      <c r="TMF59" s="316"/>
      <c r="TMG59" s="316"/>
      <c r="TMH59" s="316"/>
      <c r="TMI59" s="316"/>
      <c r="TMJ59" s="316"/>
      <c r="TMK59" s="316"/>
      <c r="TML59" s="316"/>
      <c r="TMM59" s="316"/>
      <c r="TMN59" s="316"/>
      <c r="TMO59" s="316"/>
      <c r="TMP59" s="316"/>
      <c r="TMQ59" s="316"/>
      <c r="TMR59" s="316"/>
      <c r="TMS59" s="316"/>
      <c r="TMT59" s="316"/>
      <c r="TMU59" s="316"/>
      <c r="TMV59" s="316"/>
      <c r="TMW59" s="316"/>
      <c r="TMX59" s="316"/>
      <c r="TMY59" s="316"/>
      <c r="TMZ59" s="316"/>
      <c r="TNA59" s="316"/>
      <c r="TNB59" s="316"/>
      <c r="TNC59" s="316"/>
      <c r="TND59" s="316"/>
      <c r="TNE59" s="316"/>
      <c r="TNF59" s="316"/>
      <c r="TNG59" s="316"/>
      <c r="TNH59" s="316"/>
      <c r="TNI59" s="316"/>
      <c r="TNJ59" s="316"/>
      <c r="TNK59" s="316"/>
      <c r="TNL59" s="316"/>
      <c r="TNM59" s="316"/>
      <c r="TNN59" s="316"/>
      <c r="TNO59" s="316"/>
      <c r="TNP59" s="316"/>
      <c r="TNQ59" s="316"/>
      <c r="TNR59" s="316"/>
      <c r="TNS59" s="316"/>
      <c r="TNT59" s="316"/>
      <c r="TNU59" s="316"/>
      <c r="TNV59" s="316"/>
      <c r="TNW59" s="316"/>
      <c r="TNX59" s="316"/>
      <c r="TNY59" s="316"/>
      <c r="TNZ59" s="316"/>
      <c r="TOA59" s="316"/>
      <c r="TOB59" s="316"/>
      <c r="TOC59" s="316"/>
      <c r="TOD59" s="316"/>
      <c r="TOE59" s="316"/>
      <c r="TOF59" s="316"/>
      <c r="TOG59" s="316"/>
      <c r="TOH59" s="316"/>
      <c r="TOI59" s="316"/>
      <c r="TOJ59" s="316"/>
      <c r="TOK59" s="316"/>
      <c r="TOL59" s="316"/>
      <c r="TOM59" s="316"/>
      <c r="TON59" s="316"/>
      <c r="TOO59" s="316"/>
      <c r="TOP59" s="316"/>
      <c r="TOQ59" s="316"/>
      <c r="TOR59" s="316"/>
      <c r="TOS59" s="316"/>
      <c r="TOT59" s="316"/>
      <c r="TOU59" s="316"/>
      <c r="TOV59" s="316"/>
      <c r="TOW59" s="316"/>
      <c r="TOX59" s="316"/>
      <c r="TOY59" s="316"/>
      <c r="TOZ59" s="316"/>
      <c r="TPA59" s="316"/>
      <c r="TPB59" s="316"/>
      <c r="TPC59" s="316"/>
      <c r="TPD59" s="316"/>
      <c r="TPE59" s="316"/>
      <c r="TPF59" s="316"/>
      <c r="TPG59" s="316"/>
      <c r="TPH59" s="316"/>
      <c r="TPI59" s="316"/>
      <c r="TPJ59" s="316"/>
      <c r="TPK59" s="316"/>
      <c r="TPL59" s="316"/>
      <c r="TPM59" s="316"/>
      <c r="TPN59" s="316"/>
      <c r="TPO59" s="316"/>
      <c r="TPP59" s="316"/>
      <c r="TPQ59" s="316"/>
      <c r="TPR59" s="316"/>
      <c r="TPS59" s="316"/>
      <c r="TPT59" s="316"/>
      <c r="TPU59" s="316"/>
      <c r="TPV59" s="316"/>
      <c r="TPW59" s="316"/>
      <c r="TPX59" s="316"/>
      <c r="TPY59" s="316"/>
      <c r="TPZ59" s="316"/>
      <c r="TQA59" s="316"/>
      <c r="TQB59" s="316"/>
      <c r="TQC59" s="316"/>
      <c r="TQD59" s="316"/>
      <c r="TQE59" s="316"/>
      <c r="TQF59" s="316"/>
      <c r="TQG59" s="316"/>
      <c r="TQH59" s="316"/>
      <c r="TQI59" s="316"/>
      <c r="TQJ59" s="316"/>
      <c r="TQK59" s="316"/>
      <c r="TQL59" s="316"/>
      <c r="TQM59" s="316"/>
      <c r="TQN59" s="316"/>
      <c r="TQO59" s="316"/>
      <c r="TQP59" s="316"/>
      <c r="TQQ59" s="316"/>
      <c r="TQR59" s="316"/>
      <c r="TQS59" s="316"/>
      <c r="TQT59" s="316"/>
      <c r="TQU59" s="316"/>
      <c r="TQV59" s="316"/>
      <c r="TQW59" s="316"/>
      <c r="TQX59" s="316"/>
      <c r="TQY59" s="316"/>
      <c r="TQZ59" s="316"/>
      <c r="TRA59" s="316"/>
      <c r="TRB59" s="316"/>
      <c r="TRC59" s="316"/>
      <c r="TRD59" s="316"/>
      <c r="TRE59" s="316"/>
      <c r="TRF59" s="316"/>
      <c r="TRG59" s="316"/>
      <c r="TRH59" s="316"/>
      <c r="TRI59" s="316"/>
      <c r="TRJ59" s="316"/>
      <c r="TRK59" s="316"/>
      <c r="TRL59" s="316"/>
      <c r="TRM59" s="316"/>
      <c r="TRN59" s="316"/>
      <c r="TRO59" s="316"/>
      <c r="TRP59" s="316"/>
      <c r="TRQ59" s="316"/>
      <c r="TRR59" s="316"/>
      <c r="TRS59" s="316"/>
      <c r="TRT59" s="316"/>
      <c r="TRU59" s="316"/>
      <c r="TRV59" s="316"/>
      <c r="TRW59" s="316"/>
      <c r="TRX59" s="316"/>
      <c r="TRY59" s="316"/>
      <c r="TRZ59" s="316"/>
      <c r="TSA59" s="316"/>
      <c r="TSB59" s="316"/>
      <c r="TSC59" s="316"/>
      <c r="TSD59" s="316"/>
      <c r="TSE59" s="316"/>
      <c r="TSF59" s="316"/>
      <c r="TSG59" s="316"/>
      <c r="TSH59" s="316"/>
      <c r="TSI59" s="316"/>
      <c r="TSJ59" s="316"/>
      <c r="TSK59" s="316"/>
      <c r="TSL59" s="316"/>
      <c r="TSM59" s="316"/>
      <c r="TSN59" s="316"/>
      <c r="TSO59" s="316"/>
      <c r="TSP59" s="316"/>
      <c r="TSQ59" s="316"/>
      <c r="TSR59" s="316"/>
      <c r="TSS59" s="316"/>
      <c r="TST59" s="316"/>
      <c r="TSU59" s="316"/>
      <c r="TSV59" s="316"/>
      <c r="TSW59" s="316"/>
      <c r="TSX59" s="316"/>
      <c r="TSY59" s="316"/>
      <c r="TSZ59" s="316"/>
      <c r="TTA59" s="316"/>
      <c r="TTB59" s="316"/>
      <c r="TTC59" s="316"/>
      <c r="TTD59" s="316"/>
      <c r="TTE59" s="316"/>
      <c r="TTF59" s="316"/>
      <c r="TTG59" s="316"/>
      <c r="TTH59" s="316"/>
      <c r="TTI59" s="316"/>
      <c r="TTJ59" s="316"/>
      <c r="TTK59" s="316"/>
      <c r="TTL59" s="316"/>
      <c r="TTM59" s="316"/>
      <c r="TTN59" s="316"/>
      <c r="TTO59" s="316"/>
      <c r="TTP59" s="316"/>
      <c r="TTQ59" s="316"/>
      <c r="TTR59" s="316"/>
      <c r="TTS59" s="316"/>
      <c r="TTT59" s="316"/>
      <c r="TTU59" s="316"/>
      <c r="TTV59" s="316"/>
      <c r="TTW59" s="316"/>
      <c r="TTX59" s="316"/>
      <c r="TTY59" s="316"/>
      <c r="TTZ59" s="316"/>
      <c r="TUA59" s="316"/>
      <c r="TUB59" s="316"/>
      <c r="TUC59" s="316"/>
      <c r="TUD59" s="316"/>
      <c r="TUE59" s="316"/>
      <c r="TUF59" s="316"/>
      <c r="TUG59" s="316"/>
      <c r="TUH59" s="316"/>
      <c r="TUI59" s="316"/>
      <c r="TUJ59" s="316"/>
      <c r="TUK59" s="316"/>
      <c r="TUL59" s="316"/>
      <c r="TUM59" s="316"/>
      <c r="TUN59" s="316"/>
      <c r="TUO59" s="316"/>
      <c r="TUP59" s="316"/>
      <c r="TUQ59" s="316"/>
      <c r="TUR59" s="316"/>
      <c r="TUS59" s="316"/>
      <c r="TUT59" s="316"/>
      <c r="TUU59" s="316"/>
      <c r="TUV59" s="316"/>
      <c r="TUW59" s="316"/>
      <c r="TUX59" s="316"/>
      <c r="TUY59" s="316"/>
      <c r="TUZ59" s="316"/>
      <c r="TVA59" s="316"/>
      <c r="TVB59" s="316"/>
      <c r="TVC59" s="316"/>
      <c r="TVD59" s="316"/>
      <c r="TVE59" s="316"/>
      <c r="TVF59" s="316"/>
      <c r="TVG59" s="316"/>
      <c r="TVH59" s="316"/>
      <c r="TVI59" s="316"/>
      <c r="TVJ59" s="316"/>
      <c r="TVK59" s="316"/>
      <c r="TVL59" s="316"/>
      <c r="TVM59" s="316"/>
      <c r="TVN59" s="316"/>
      <c r="TVO59" s="316"/>
      <c r="TVP59" s="316"/>
      <c r="TVQ59" s="316"/>
      <c r="TVR59" s="316"/>
      <c r="TVS59" s="316"/>
      <c r="TVT59" s="316"/>
      <c r="TVU59" s="316"/>
      <c r="TVV59" s="316"/>
      <c r="TVW59" s="316"/>
      <c r="TVX59" s="316"/>
      <c r="TVY59" s="316"/>
      <c r="TVZ59" s="316"/>
      <c r="TWA59" s="316"/>
      <c r="TWB59" s="316"/>
      <c r="TWC59" s="316"/>
      <c r="TWD59" s="316"/>
      <c r="TWE59" s="316"/>
      <c r="TWF59" s="316"/>
      <c r="TWG59" s="316"/>
      <c r="TWH59" s="316"/>
      <c r="TWI59" s="316"/>
      <c r="TWJ59" s="316"/>
      <c r="TWK59" s="316"/>
      <c r="TWL59" s="316"/>
      <c r="TWM59" s="316"/>
      <c r="TWN59" s="316"/>
      <c r="TWO59" s="316"/>
      <c r="TWP59" s="316"/>
      <c r="TWQ59" s="316"/>
      <c r="TWR59" s="316"/>
      <c r="TWS59" s="316"/>
      <c r="TWT59" s="316"/>
      <c r="TWU59" s="316"/>
      <c r="TWV59" s="316"/>
      <c r="TWW59" s="316"/>
      <c r="TWX59" s="316"/>
      <c r="TWY59" s="316"/>
      <c r="TWZ59" s="316"/>
      <c r="TXA59" s="316"/>
      <c r="TXB59" s="316"/>
      <c r="TXC59" s="316"/>
      <c r="TXD59" s="316"/>
      <c r="TXE59" s="316"/>
      <c r="TXF59" s="316"/>
      <c r="TXG59" s="316"/>
      <c r="TXH59" s="316"/>
      <c r="TXI59" s="316"/>
      <c r="TXJ59" s="316"/>
      <c r="TXK59" s="316"/>
      <c r="TXL59" s="316"/>
      <c r="TXM59" s="316"/>
      <c r="TXN59" s="316"/>
      <c r="TXO59" s="316"/>
      <c r="TXP59" s="316"/>
      <c r="TXQ59" s="316"/>
      <c r="TXR59" s="316"/>
      <c r="TXS59" s="316"/>
      <c r="TXT59" s="316"/>
      <c r="TXU59" s="316"/>
      <c r="TXV59" s="316"/>
      <c r="TXW59" s="316"/>
      <c r="TXX59" s="316"/>
      <c r="TXY59" s="316"/>
      <c r="TXZ59" s="316"/>
      <c r="TYA59" s="316"/>
      <c r="TYB59" s="316"/>
      <c r="TYC59" s="316"/>
      <c r="TYD59" s="316"/>
      <c r="TYE59" s="316"/>
      <c r="TYF59" s="316"/>
      <c r="TYG59" s="316"/>
      <c r="TYH59" s="316"/>
      <c r="TYI59" s="316"/>
      <c r="TYJ59" s="316"/>
      <c r="TYK59" s="316"/>
      <c r="TYL59" s="316"/>
      <c r="TYM59" s="316"/>
      <c r="TYN59" s="316"/>
      <c r="TYO59" s="316"/>
      <c r="TYP59" s="316"/>
      <c r="TYQ59" s="316"/>
      <c r="TYR59" s="316"/>
      <c r="TYS59" s="316"/>
      <c r="TYT59" s="316"/>
      <c r="TYU59" s="316"/>
      <c r="TYV59" s="316"/>
      <c r="TYW59" s="316"/>
      <c r="TYX59" s="316"/>
      <c r="TYY59" s="316"/>
      <c r="TYZ59" s="316"/>
      <c r="TZA59" s="316"/>
      <c r="TZB59" s="316"/>
      <c r="TZC59" s="316"/>
      <c r="TZD59" s="316"/>
      <c r="TZE59" s="316"/>
      <c r="TZF59" s="316"/>
      <c r="TZG59" s="316"/>
      <c r="TZH59" s="316"/>
      <c r="TZI59" s="316"/>
      <c r="TZJ59" s="316"/>
      <c r="TZK59" s="316"/>
      <c r="TZL59" s="316"/>
      <c r="TZM59" s="316"/>
      <c r="TZN59" s="316"/>
      <c r="TZO59" s="316"/>
      <c r="TZP59" s="316"/>
      <c r="TZQ59" s="316"/>
      <c r="TZR59" s="316"/>
      <c r="TZS59" s="316"/>
      <c r="TZT59" s="316"/>
      <c r="TZU59" s="316"/>
      <c r="TZV59" s="316"/>
      <c r="TZW59" s="316"/>
      <c r="TZX59" s="316"/>
      <c r="TZY59" s="316"/>
      <c r="TZZ59" s="316"/>
      <c r="UAA59" s="316"/>
      <c r="UAB59" s="316"/>
      <c r="UAC59" s="316"/>
      <c r="UAD59" s="316"/>
      <c r="UAE59" s="316"/>
      <c r="UAF59" s="316"/>
      <c r="UAG59" s="316"/>
      <c r="UAH59" s="316"/>
      <c r="UAI59" s="316"/>
      <c r="UAJ59" s="316"/>
      <c r="UAK59" s="316"/>
      <c r="UAL59" s="316"/>
      <c r="UAM59" s="316"/>
      <c r="UAN59" s="316"/>
      <c r="UAO59" s="316"/>
      <c r="UAP59" s="316"/>
      <c r="UAQ59" s="316"/>
      <c r="UAR59" s="316"/>
      <c r="UAS59" s="316"/>
      <c r="UAT59" s="316"/>
      <c r="UAU59" s="316"/>
      <c r="UAV59" s="316"/>
      <c r="UAW59" s="316"/>
      <c r="UAX59" s="316"/>
      <c r="UAY59" s="316"/>
      <c r="UAZ59" s="316"/>
      <c r="UBA59" s="316"/>
      <c r="UBB59" s="316"/>
      <c r="UBC59" s="316"/>
      <c r="UBD59" s="316"/>
      <c r="UBE59" s="316"/>
      <c r="UBF59" s="316"/>
      <c r="UBG59" s="316"/>
      <c r="UBH59" s="316"/>
      <c r="UBI59" s="316"/>
      <c r="UBJ59" s="316"/>
      <c r="UBK59" s="316"/>
      <c r="UBL59" s="316"/>
      <c r="UBM59" s="316"/>
      <c r="UBN59" s="316"/>
      <c r="UBO59" s="316"/>
      <c r="UBP59" s="316"/>
      <c r="UBQ59" s="316"/>
      <c r="UBR59" s="316"/>
      <c r="UBS59" s="316"/>
      <c r="UBT59" s="316"/>
      <c r="UBU59" s="316"/>
      <c r="UBV59" s="316"/>
      <c r="UBW59" s="316"/>
      <c r="UBX59" s="316"/>
      <c r="UBY59" s="316"/>
      <c r="UBZ59" s="316"/>
      <c r="UCA59" s="316"/>
      <c r="UCB59" s="316"/>
      <c r="UCC59" s="316"/>
      <c r="UCD59" s="316"/>
      <c r="UCE59" s="316"/>
      <c r="UCF59" s="316"/>
      <c r="UCG59" s="316"/>
      <c r="UCH59" s="316"/>
      <c r="UCI59" s="316"/>
      <c r="UCJ59" s="316"/>
      <c r="UCK59" s="316"/>
      <c r="UCL59" s="316"/>
      <c r="UCM59" s="316"/>
      <c r="UCN59" s="316"/>
      <c r="UCO59" s="316"/>
      <c r="UCP59" s="316"/>
      <c r="UCQ59" s="316"/>
      <c r="UCR59" s="316"/>
      <c r="UCS59" s="316"/>
      <c r="UCT59" s="316"/>
      <c r="UCU59" s="316"/>
      <c r="UCV59" s="316"/>
      <c r="UCW59" s="316"/>
      <c r="UCX59" s="316"/>
      <c r="UCY59" s="316"/>
      <c r="UCZ59" s="316"/>
      <c r="UDA59" s="316"/>
      <c r="UDB59" s="316"/>
      <c r="UDC59" s="316"/>
      <c r="UDD59" s="316"/>
      <c r="UDE59" s="316"/>
      <c r="UDF59" s="316"/>
      <c r="UDG59" s="316"/>
      <c r="UDH59" s="316"/>
      <c r="UDI59" s="316"/>
      <c r="UDJ59" s="316"/>
      <c r="UDK59" s="316"/>
      <c r="UDL59" s="316"/>
      <c r="UDM59" s="316"/>
      <c r="UDN59" s="316"/>
      <c r="UDO59" s="316"/>
      <c r="UDP59" s="316"/>
      <c r="UDQ59" s="316"/>
      <c r="UDR59" s="316"/>
      <c r="UDS59" s="316"/>
      <c r="UDT59" s="316"/>
      <c r="UDU59" s="316"/>
      <c r="UDV59" s="316"/>
      <c r="UDW59" s="316"/>
      <c r="UDX59" s="316"/>
      <c r="UDY59" s="316"/>
      <c r="UDZ59" s="316"/>
      <c r="UEA59" s="316"/>
      <c r="UEB59" s="316"/>
      <c r="UEC59" s="316"/>
      <c r="UED59" s="316"/>
      <c r="UEE59" s="316"/>
      <c r="UEF59" s="316"/>
      <c r="UEG59" s="316"/>
      <c r="UEH59" s="316"/>
      <c r="UEI59" s="316"/>
      <c r="UEJ59" s="316"/>
      <c r="UEK59" s="316"/>
      <c r="UEL59" s="316"/>
      <c r="UEM59" s="316"/>
      <c r="UEN59" s="316"/>
      <c r="UEO59" s="316"/>
      <c r="UEP59" s="316"/>
      <c r="UEQ59" s="316"/>
      <c r="UER59" s="316"/>
      <c r="UES59" s="316"/>
      <c r="UET59" s="316"/>
      <c r="UEU59" s="316"/>
      <c r="UEV59" s="316"/>
      <c r="UEW59" s="316"/>
      <c r="UEX59" s="316"/>
      <c r="UEY59" s="316"/>
      <c r="UEZ59" s="316"/>
      <c r="UFA59" s="316"/>
      <c r="UFB59" s="316"/>
      <c r="UFC59" s="316"/>
      <c r="UFD59" s="316"/>
      <c r="UFE59" s="316"/>
      <c r="UFF59" s="316"/>
      <c r="UFG59" s="316"/>
      <c r="UFH59" s="316"/>
      <c r="UFI59" s="316"/>
      <c r="UFJ59" s="316"/>
      <c r="UFK59" s="316"/>
      <c r="UFL59" s="316"/>
      <c r="UFM59" s="316"/>
      <c r="UFN59" s="316"/>
      <c r="UFO59" s="316"/>
      <c r="UFP59" s="316"/>
      <c r="UFQ59" s="316"/>
      <c r="UFR59" s="316"/>
      <c r="UFS59" s="316"/>
      <c r="UFT59" s="316"/>
      <c r="UFU59" s="316"/>
      <c r="UFV59" s="316"/>
      <c r="UFW59" s="316"/>
      <c r="UFX59" s="316"/>
      <c r="UFY59" s="316"/>
      <c r="UFZ59" s="316"/>
      <c r="UGA59" s="316"/>
      <c r="UGB59" s="316"/>
      <c r="UGC59" s="316"/>
      <c r="UGD59" s="316"/>
      <c r="UGE59" s="316"/>
      <c r="UGF59" s="316"/>
      <c r="UGG59" s="316"/>
      <c r="UGH59" s="316"/>
      <c r="UGI59" s="316"/>
      <c r="UGJ59" s="316"/>
      <c r="UGK59" s="316"/>
      <c r="UGL59" s="316"/>
      <c r="UGM59" s="316"/>
      <c r="UGN59" s="316"/>
      <c r="UGO59" s="316"/>
      <c r="UGP59" s="316"/>
      <c r="UGQ59" s="316"/>
      <c r="UGR59" s="316"/>
      <c r="UGS59" s="316"/>
      <c r="UGT59" s="316"/>
      <c r="UGU59" s="316"/>
      <c r="UGV59" s="316"/>
      <c r="UGW59" s="316"/>
      <c r="UGX59" s="316"/>
      <c r="UGY59" s="316"/>
      <c r="UGZ59" s="316"/>
      <c r="UHA59" s="316"/>
      <c r="UHB59" s="316"/>
      <c r="UHC59" s="316"/>
      <c r="UHD59" s="316"/>
      <c r="UHE59" s="316"/>
      <c r="UHF59" s="316"/>
      <c r="UHG59" s="316"/>
      <c r="UHH59" s="316"/>
      <c r="UHI59" s="316"/>
      <c r="UHJ59" s="316"/>
      <c r="UHK59" s="316"/>
      <c r="UHL59" s="316"/>
      <c r="UHM59" s="316"/>
      <c r="UHN59" s="316"/>
      <c r="UHO59" s="316"/>
      <c r="UHP59" s="316"/>
      <c r="UHQ59" s="316"/>
      <c r="UHR59" s="316"/>
      <c r="UHS59" s="316"/>
      <c r="UHT59" s="316"/>
      <c r="UHU59" s="316"/>
      <c r="UHV59" s="316"/>
      <c r="UHW59" s="316"/>
      <c r="UHX59" s="316"/>
      <c r="UHY59" s="316"/>
      <c r="UHZ59" s="316"/>
      <c r="UIA59" s="316"/>
      <c r="UIB59" s="316"/>
      <c r="UIC59" s="316"/>
      <c r="UID59" s="316"/>
      <c r="UIE59" s="316"/>
      <c r="UIF59" s="316"/>
      <c r="UIG59" s="316"/>
      <c r="UIH59" s="316"/>
      <c r="UII59" s="316"/>
      <c r="UIJ59" s="316"/>
      <c r="UIK59" s="316"/>
      <c r="UIL59" s="316"/>
      <c r="UIM59" s="316"/>
      <c r="UIN59" s="316"/>
      <c r="UIO59" s="316"/>
      <c r="UIP59" s="316"/>
      <c r="UIQ59" s="316"/>
      <c r="UIR59" s="316"/>
      <c r="UIS59" s="316"/>
      <c r="UIT59" s="316"/>
      <c r="UIU59" s="316"/>
      <c r="UIV59" s="316"/>
      <c r="UIW59" s="316"/>
      <c r="UIX59" s="316"/>
      <c r="UIY59" s="316"/>
      <c r="UIZ59" s="316"/>
      <c r="UJA59" s="316"/>
      <c r="UJB59" s="316"/>
      <c r="UJC59" s="316"/>
      <c r="UJD59" s="316"/>
      <c r="UJE59" s="316"/>
      <c r="UJF59" s="316"/>
      <c r="UJG59" s="316"/>
      <c r="UJH59" s="316"/>
      <c r="UJI59" s="316"/>
      <c r="UJJ59" s="316"/>
      <c r="UJK59" s="316"/>
      <c r="UJL59" s="316"/>
      <c r="UJM59" s="316"/>
      <c r="UJN59" s="316"/>
      <c r="UJO59" s="316"/>
      <c r="UJP59" s="316"/>
      <c r="UJQ59" s="316"/>
      <c r="UJR59" s="316"/>
      <c r="UJS59" s="316"/>
      <c r="UJT59" s="316"/>
      <c r="UJU59" s="316"/>
      <c r="UJV59" s="316"/>
      <c r="UJW59" s="316"/>
      <c r="UJX59" s="316"/>
      <c r="UJY59" s="316"/>
      <c r="UJZ59" s="316"/>
      <c r="UKA59" s="316"/>
      <c r="UKB59" s="316"/>
      <c r="UKC59" s="316"/>
      <c r="UKD59" s="316"/>
      <c r="UKE59" s="316"/>
      <c r="UKF59" s="316"/>
      <c r="UKG59" s="316"/>
      <c r="UKH59" s="316"/>
      <c r="UKI59" s="316"/>
      <c r="UKJ59" s="316"/>
      <c r="UKK59" s="316"/>
      <c r="UKL59" s="316"/>
      <c r="UKM59" s="316"/>
      <c r="UKN59" s="316"/>
      <c r="UKO59" s="316"/>
      <c r="UKP59" s="316"/>
      <c r="UKQ59" s="316"/>
      <c r="UKR59" s="316"/>
      <c r="UKS59" s="316"/>
      <c r="UKT59" s="316"/>
      <c r="UKU59" s="316"/>
      <c r="UKV59" s="316"/>
      <c r="UKW59" s="316"/>
      <c r="UKX59" s="316"/>
      <c r="UKY59" s="316"/>
      <c r="UKZ59" s="316"/>
      <c r="ULA59" s="316"/>
      <c r="ULB59" s="316"/>
      <c r="ULC59" s="316"/>
      <c r="ULD59" s="316"/>
      <c r="ULE59" s="316"/>
      <c r="ULF59" s="316"/>
      <c r="ULG59" s="316"/>
      <c r="ULH59" s="316"/>
      <c r="ULI59" s="316"/>
      <c r="ULJ59" s="316"/>
      <c r="ULK59" s="316"/>
      <c r="ULL59" s="316"/>
      <c r="ULM59" s="316"/>
      <c r="ULN59" s="316"/>
      <c r="ULO59" s="316"/>
      <c r="ULP59" s="316"/>
      <c r="ULQ59" s="316"/>
      <c r="ULR59" s="316"/>
      <c r="ULS59" s="316"/>
      <c r="ULT59" s="316"/>
      <c r="ULU59" s="316"/>
      <c r="ULV59" s="316"/>
      <c r="ULW59" s="316"/>
      <c r="ULX59" s="316"/>
      <c r="ULY59" s="316"/>
      <c r="ULZ59" s="316"/>
      <c r="UMA59" s="316"/>
      <c r="UMB59" s="316"/>
      <c r="UMC59" s="316"/>
      <c r="UMD59" s="316"/>
      <c r="UME59" s="316"/>
      <c r="UMF59" s="316"/>
      <c r="UMG59" s="316"/>
      <c r="UMH59" s="316"/>
      <c r="UMI59" s="316"/>
      <c r="UMJ59" s="316"/>
      <c r="UMK59" s="316"/>
      <c r="UML59" s="316"/>
      <c r="UMM59" s="316"/>
      <c r="UMN59" s="316"/>
      <c r="UMO59" s="316"/>
      <c r="UMP59" s="316"/>
      <c r="UMQ59" s="316"/>
      <c r="UMR59" s="316"/>
      <c r="UMS59" s="316"/>
      <c r="UMT59" s="316"/>
      <c r="UMU59" s="316"/>
      <c r="UMV59" s="316"/>
      <c r="UMW59" s="316"/>
      <c r="UMX59" s="316"/>
      <c r="UMY59" s="316"/>
      <c r="UMZ59" s="316"/>
      <c r="UNA59" s="316"/>
      <c r="UNB59" s="316"/>
      <c r="UNC59" s="316"/>
      <c r="UND59" s="316"/>
      <c r="UNE59" s="316"/>
      <c r="UNF59" s="316"/>
      <c r="UNG59" s="316"/>
      <c r="UNH59" s="316"/>
      <c r="UNI59" s="316"/>
      <c r="UNJ59" s="316"/>
      <c r="UNK59" s="316"/>
      <c r="UNL59" s="316"/>
      <c r="UNM59" s="316"/>
      <c r="UNN59" s="316"/>
      <c r="UNO59" s="316"/>
      <c r="UNP59" s="316"/>
      <c r="UNQ59" s="316"/>
      <c r="UNR59" s="316"/>
      <c r="UNS59" s="316"/>
      <c r="UNT59" s="316"/>
      <c r="UNU59" s="316"/>
      <c r="UNV59" s="316"/>
      <c r="UNW59" s="316"/>
      <c r="UNX59" s="316"/>
      <c r="UNY59" s="316"/>
      <c r="UNZ59" s="316"/>
      <c r="UOA59" s="316"/>
      <c r="UOB59" s="316"/>
      <c r="UOC59" s="316"/>
      <c r="UOD59" s="316"/>
      <c r="UOE59" s="316"/>
      <c r="UOF59" s="316"/>
      <c r="UOG59" s="316"/>
      <c r="UOH59" s="316"/>
      <c r="UOI59" s="316"/>
      <c r="UOJ59" s="316"/>
      <c r="UOK59" s="316"/>
      <c r="UOL59" s="316"/>
      <c r="UOM59" s="316"/>
      <c r="UON59" s="316"/>
      <c r="UOO59" s="316"/>
      <c r="UOP59" s="316"/>
      <c r="UOQ59" s="316"/>
      <c r="UOR59" s="316"/>
      <c r="UOS59" s="316"/>
      <c r="UOT59" s="316"/>
      <c r="UOU59" s="316"/>
      <c r="UOV59" s="316"/>
      <c r="UOW59" s="316"/>
      <c r="UOX59" s="316"/>
      <c r="UOY59" s="316"/>
      <c r="UOZ59" s="316"/>
      <c r="UPA59" s="316"/>
      <c r="UPB59" s="316"/>
      <c r="UPC59" s="316"/>
      <c r="UPD59" s="316"/>
      <c r="UPE59" s="316"/>
      <c r="UPF59" s="316"/>
      <c r="UPG59" s="316"/>
      <c r="UPH59" s="316"/>
      <c r="UPI59" s="316"/>
      <c r="UPJ59" s="316"/>
      <c r="UPK59" s="316"/>
      <c r="UPL59" s="316"/>
      <c r="UPM59" s="316"/>
      <c r="UPN59" s="316"/>
      <c r="UPO59" s="316"/>
      <c r="UPP59" s="316"/>
      <c r="UPQ59" s="316"/>
      <c r="UPR59" s="316"/>
      <c r="UPS59" s="316"/>
      <c r="UPT59" s="316"/>
      <c r="UPU59" s="316"/>
      <c r="UPV59" s="316"/>
      <c r="UPW59" s="316"/>
      <c r="UPX59" s="316"/>
      <c r="UPY59" s="316"/>
      <c r="UPZ59" s="316"/>
      <c r="UQA59" s="316"/>
      <c r="UQB59" s="316"/>
      <c r="UQC59" s="316"/>
      <c r="UQD59" s="316"/>
      <c r="UQE59" s="316"/>
      <c r="UQF59" s="316"/>
      <c r="UQG59" s="316"/>
      <c r="UQH59" s="316"/>
      <c r="UQI59" s="316"/>
      <c r="UQJ59" s="316"/>
      <c r="UQK59" s="316"/>
      <c r="UQL59" s="316"/>
      <c r="UQM59" s="316"/>
      <c r="UQN59" s="316"/>
      <c r="UQO59" s="316"/>
      <c r="UQP59" s="316"/>
      <c r="UQQ59" s="316"/>
      <c r="UQR59" s="316"/>
      <c r="UQS59" s="316"/>
      <c r="UQT59" s="316"/>
      <c r="UQU59" s="316"/>
      <c r="UQV59" s="316"/>
      <c r="UQW59" s="316"/>
      <c r="UQX59" s="316"/>
      <c r="UQY59" s="316"/>
      <c r="UQZ59" s="316"/>
      <c r="URA59" s="316"/>
      <c r="URB59" s="316"/>
      <c r="URC59" s="316"/>
      <c r="URD59" s="316"/>
      <c r="URE59" s="316"/>
      <c r="URF59" s="316"/>
      <c r="URG59" s="316"/>
      <c r="URH59" s="316"/>
      <c r="URI59" s="316"/>
      <c r="URJ59" s="316"/>
      <c r="URK59" s="316"/>
      <c r="URL59" s="316"/>
      <c r="URM59" s="316"/>
      <c r="URN59" s="316"/>
      <c r="URO59" s="316"/>
      <c r="URP59" s="316"/>
      <c r="URQ59" s="316"/>
      <c r="URR59" s="316"/>
      <c r="URS59" s="316"/>
      <c r="URT59" s="316"/>
      <c r="URU59" s="316"/>
      <c r="URV59" s="316"/>
      <c r="URW59" s="316"/>
      <c r="URX59" s="316"/>
      <c r="URY59" s="316"/>
      <c r="URZ59" s="316"/>
      <c r="USA59" s="316"/>
      <c r="USB59" s="316"/>
      <c r="USC59" s="316"/>
      <c r="USD59" s="316"/>
      <c r="USE59" s="316"/>
      <c r="USF59" s="316"/>
      <c r="USG59" s="316"/>
      <c r="USH59" s="316"/>
      <c r="USI59" s="316"/>
      <c r="USJ59" s="316"/>
      <c r="USK59" s="316"/>
      <c r="USL59" s="316"/>
      <c r="USM59" s="316"/>
      <c r="USN59" s="316"/>
      <c r="USO59" s="316"/>
      <c r="USP59" s="316"/>
      <c r="USQ59" s="316"/>
      <c r="USR59" s="316"/>
      <c r="USS59" s="316"/>
      <c r="UST59" s="316"/>
      <c r="USU59" s="316"/>
      <c r="USV59" s="316"/>
      <c r="USW59" s="316"/>
      <c r="USX59" s="316"/>
      <c r="USY59" s="316"/>
      <c r="USZ59" s="316"/>
      <c r="UTA59" s="316"/>
      <c r="UTB59" s="316"/>
      <c r="UTC59" s="316"/>
      <c r="UTD59" s="316"/>
      <c r="UTE59" s="316"/>
      <c r="UTF59" s="316"/>
      <c r="UTG59" s="316"/>
      <c r="UTH59" s="316"/>
      <c r="UTI59" s="316"/>
      <c r="UTJ59" s="316"/>
      <c r="UTK59" s="316"/>
      <c r="UTL59" s="316"/>
      <c r="UTM59" s="316"/>
      <c r="UTN59" s="316"/>
      <c r="UTO59" s="316"/>
      <c r="UTP59" s="316"/>
      <c r="UTQ59" s="316"/>
      <c r="UTR59" s="316"/>
      <c r="UTS59" s="316"/>
      <c r="UTT59" s="316"/>
      <c r="UTU59" s="316"/>
      <c r="UTV59" s="316"/>
      <c r="UTW59" s="316"/>
      <c r="UTX59" s="316"/>
      <c r="UTY59" s="316"/>
      <c r="UTZ59" s="316"/>
      <c r="UUA59" s="316"/>
      <c r="UUB59" s="316"/>
      <c r="UUC59" s="316"/>
      <c r="UUD59" s="316"/>
      <c r="UUE59" s="316"/>
      <c r="UUF59" s="316"/>
      <c r="UUG59" s="316"/>
      <c r="UUH59" s="316"/>
      <c r="UUI59" s="316"/>
      <c r="UUJ59" s="316"/>
      <c r="UUK59" s="316"/>
      <c r="UUL59" s="316"/>
      <c r="UUM59" s="316"/>
      <c r="UUN59" s="316"/>
      <c r="UUO59" s="316"/>
      <c r="UUP59" s="316"/>
      <c r="UUQ59" s="316"/>
      <c r="UUR59" s="316"/>
      <c r="UUS59" s="316"/>
      <c r="UUT59" s="316"/>
      <c r="UUU59" s="316"/>
      <c r="UUV59" s="316"/>
      <c r="UUW59" s="316"/>
      <c r="UUX59" s="316"/>
      <c r="UUY59" s="316"/>
      <c r="UUZ59" s="316"/>
      <c r="UVA59" s="316"/>
      <c r="UVB59" s="316"/>
      <c r="UVC59" s="316"/>
      <c r="UVD59" s="316"/>
      <c r="UVE59" s="316"/>
      <c r="UVF59" s="316"/>
      <c r="UVG59" s="316"/>
      <c r="UVH59" s="316"/>
      <c r="UVI59" s="316"/>
      <c r="UVJ59" s="316"/>
      <c r="UVK59" s="316"/>
      <c r="UVL59" s="316"/>
      <c r="UVM59" s="316"/>
      <c r="UVN59" s="316"/>
      <c r="UVO59" s="316"/>
      <c r="UVP59" s="316"/>
      <c r="UVQ59" s="316"/>
      <c r="UVR59" s="316"/>
      <c r="UVS59" s="316"/>
      <c r="UVT59" s="316"/>
      <c r="UVU59" s="316"/>
      <c r="UVV59" s="316"/>
      <c r="UVW59" s="316"/>
      <c r="UVX59" s="316"/>
      <c r="UVY59" s="316"/>
      <c r="UVZ59" s="316"/>
      <c r="UWA59" s="316"/>
      <c r="UWB59" s="316"/>
      <c r="UWC59" s="316"/>
      <c r="UWD59" s="316"/>
      <c r="UWE59" s="316"/>
      <c r="UWF59" s="316"/>
      <c r="UWG59" s="316"/>
      <c r="UWH59" s="316"/>
      <c r="UWI59" s="316"/>
      <c r="UWJ59" s="316"/>
      <c r="UWK59" s="316"/>
      <c r="UWL59" s="316"/>
      <c r="UWM59" s="316"/>
      <c r="UWN59" s="316"/>
      <c r="UWO59" s="316"/>
      <c r="UWP59" s="316"/>
      <c r="UWQ59" s="316"/>
      <c r="UWR59" s="316"/>
      <c r="UWS59" s="316"/>
      <c r="UWT59" s="316"/>
      <c r="UWU59" s="316"/>
      <c r="UWV59" s="316"/>
      <c r="UWW59" s="316"/>
      <c r="UWX59" s="316"/>
      <c r="UWY59" s="316"/>
      <c r="UWZ59" s="316"/>
      <c r="UXA59" s="316"/>
      <c r="UXB59" s="316"/>
      <c r="UXC59" s="316"/>
      <c r="UXD59" s="316"/>
      <c r="UXE59" s="316"/>
      <c r="UXF59" s="316"/>
      <c r="UXG59" s="316"/>
      <c r="UXH59" s="316"/>
      <c r="UXI59" s="316"/>
      <c r="UXJ59" s="316"/>
      <c r="UXK59" s="316"/>
      <c r="UXL59" s="316"/>
      <c r="UXM59" s="316"/>
      <c r="UXN59" s="316"/>
      <c r="UXO59" s="316"/>
      <c r="UXP59" s="316"/>
      <c r="UXQ59" s="316"/>
      <c r="UXR59" s="316"/>
      <c r="UXS59" s="316"/>
      <c r="UXT59" s="316"/>
      <c r="UXU59" s="316"/>
      <c r="UXV59" s="316"/>
      <c r="UXW59" s="316"/>
      <c r="UXX59" s="316"/>
      <c r="UXY59" s="316"/>
      <c r="UXZ59" s="316"/>
      <c r="UYA59" s="316"/>
      <c r="UYB59" s="316"/>
      <c r="UYC59" s="316"/>
      <c r="UYD59" s="316"/>
      <c r="UYE59" s="316"/>
      <c r="UYF59" s="316"/>
      <c r="UYG59" s="316"/>
      <c r="UYH59" s="316"/>
      <c r="UYI59" s="316"/>
      <c r="UYJ59" s="316"/>
      <c r="UYK59" s="316"/>
      <c r="UYL59" s="316"/>
      <c r="UYM59" s="316"/>
      <c r="UYN59" s="316"/>
      <c r="UYO59" s="316"/>
      <c r="UYP59" s="316"/>
      <c r="UYQ59" s="316"/>
      <c r="UYR59" s="316"/>
      <c r="UYS59" s="316"/>
      <c r="UYT59" s="316"/>
      <c r="UYU59" s="316"/>
      <c r="UYV59" s="316"/>
      <c r="UYW59" s="316"/>
      <c r="UYX59" s="316"/>
      <c r="UYY59" s="316"/>
      <c r="UYZ59" s="316"/>
      <c r="UZA59" s="316"/>
      <c r="UZB59" s="316"/>
      <c r="UZC59" s="316"/>
      <c r="UZD59" s="316"/>
      <c r="UZE59" s="316"/>
      <c r="UZF59" s="316"/>
      <c r="UZG59" s="316"/>
      <c r="UZH59" s="316"/>
      <c r="UZI59" s="316"/>
      <c r="UZJ59" s="316"/>
      <c r="UZK59" s="316"/>
      <c r="UZL59" s="316"/>
      <c r="UZM59" s="316"/>
      <c r="UZN59" s="316"/>
      <c r="UZO59" s="316"/>
      <c r="UZP59" s="316"/>
      <c r="UZQ59" s="316"/>
      <c r="UZR59" s="316"/>
      <c r="UZS59" s="316"/>
      <c r="UZT59" s="316"/>
      <c r="UZU59" s="316"/>
      <c r="UZV59" s="316"/>
      <c r="UZW59" s="316"/>
      <c r="UZX59" s="316"/>
      <c r="UZY59" s="316"/>
      <c r="UZZ59" s="316"/>
      <c r="VAA59" s="316"/>
      <c r="VAB59" s="316"/>
      <c r="VAC59" s="316"/>
      <c r="VAD59" s="316"/>
      <c r="VAE59" s="316"/>
      <c r="VAF59" s="316"/>
      <c r="VAG59" s="316"/>
      <c r="VAH59" s="316"/>
      <c r="VAI59" s="316"/>
      <c r="VAJ59" s="316"/>
      <c r="VAK59" s="316"/>
      <c r="VAL59" s="316"/>
      <c r="VAM59" s="316"/>
      <c r="VAN59" s="316"/>
      <c r="VAO59" s="316"/>
      <c r="VAP59" s="316"/>
      <c r="VAQ59" s="316"/>
      <c r="VAR59" s="316"/>
      <c r="VAS59" s="316"/>
      <c r="VAT59" s="316"/>
      <c r="VAU59" s="316"/>
      <c r="VAV59" s="316"/>
      <c r="VAW59" s="316"/>
      <c r="VAX59" s="316"/>
      <c r="VAY59" s="316"/>
      <c r="VAZ59" s="316"/>
      <c r="VBA59" s="316"/>
      <c r="VBB59" s="316"/>
      <c r="VBC59" s="316"/>
      <c r="VBD59" s="316"/>
      <c r="VBE59" s="316"/>
      <c r="VBF59" s="316"/>
      <c r="VBG59" s="316"/>
      <c r="VBH59" s="316"/>
      <c r="VBI59" s="316"/>
      <c r="VBJ59" s="316"/>
      <c r="VBK59" s="316"/>
      <c r="VBL59" s="316"/>
      <c r="VBM59" s="316"/>
      <c r="VBN59" s="316"/>
      <c r="VBO59" s="316"/>
      <c r="VBP59" s="316"/>
      <c r="VBQ59" s="316"/>
      <c r="VBR59" s="316"/>
      <c r="VBS59" s="316"/>
      <c r="VBT59" s="316"/>
      <c r="VBU59" s="316"/>
      <c r="VBV59" s="316"/>
      <c r="VBW59" s="316"/>
      <c r="VBX59" s="316"/>
      <c r="VBY59" s="316"/>
      <c r="VBZ59" s="316"/>
      <c r="VCA59" s="316"/>
      <c r="VCB59" s="316"/>
      <c r="VCC59" s="316"/>
      <c r="VCD59" s="316"/>
      <c r="VCE59" s="316"/>
      <c r="VCF59" s="316"/>
      <c r="VCG59" s="316"/>
      <c r="VCH59" s="316"/>
      <c r="VCI59" s="316"/>
      <c r="VCJ59" s="316"/>
      <c r="VCK59" s="316"/>
      <c r="VCL59" s="316"/>
      <c r="VCM59" s="316"/>
      <c r="VCN59" s="316"/>
      <c r="VCO59" s="316"/>
      <c r="VCP59" s="316"/>
      <c r="VCQ59" s="316"/>
      <c r="VCR59" s="316"/>
      <c r="VCS59" s="316"/>
      <c r="VCT59" s="316"/>
      <c r="VCU59" s="316"/>
      <c r="VCV59" s="316"/>
      <c r="VCW59" s="316"/>
      <c r="VCX59" s="316"/>
      <c r="VCY59" s="316"/>
      <c r="VCZ59" s="316"/>
      <c r="VDA59" s="316"/>
      <c r="VDB59" s="316"/>
      <c r="VDC59" s="316"/>
      <c r="VDD59" s="316"/>
      <c r="VDE59" s="316"/>
      <c r="VDF59" s="316"/>
      <c r="VDG59" s="316"/>
      <c r="VDH59" s="316"/>
      <c r="VDI59" s="316"/>
      <c r="VDJ59" s="316"/>
      <c r="VDK59" s="316"/>
      <c r="VDL59" s="316"/>
      <c r="VDM59" s="316"/>
      <c r="VDN59" s="316"/>
      <c r="VDO59" s="316"/>
      <c r="VDP59" s="316"/>
      <c r="VDQ59" s="316"/>
      <c r="VDR59" s="316"/>
      <c r="VDS59" s="316"/>
      <c r="VDT59" s="316"/>
      <c r="VDU59" s="316"/>
      <c r="VDV59" s="316"/>
      <c r="VDW59" s="316"/>
      <c r="VDX59" s="316"/>
      <c r="VDY59" s="316"/>
      <c r="VDZ59" s="316"/>
      <c r="VEA59" s="316"/>
      <c r="VEB59" s="316"/>
      <c r="VEC59" s="316"/>
      <c r="VED59" s="316"/>
      <c r="VEE59" s="316"/>
      <c r="VEF59" s="316"/>
      <c r="VEG59" s="316"/>
      <c r="VEH59" s="316"/>
      <c r="VEI59" s="316"/>
      <c r="VEJ59" s="316"/>
      <c r="VEK59" s="316"/>
      <c r="VEL59" s="316"/>
      <c r="VEM59" s="316"/>
      <c r="VEN59" s="316"/>
      <c r="VEO59" s="316"/>
      <c r="VEP59" s="316"/>
      <c r="VEQ59" s="316"/>
      <c r="VER59" s="316"/>
      <c r="VES59" s="316"/>
      <c r="VET59" s="316"/>
      <c r="VEU59" s="316"/>
      <c r="VEV59" s="316"/>
      <c r="VEW59" s="316"/>
      <c r="VEX59" s="316"/>
      <c r="VEY59" s="316"/>
      <c r="VEZ59" s="316"/>
      <c r="VFA59" s="316"/>
      <c r="VFB59" s="316"/>
      <c r="VFC59" s="316"/>
      <c r="VFD59" s="316"/>
      <c r="VFE59" s="316"/>
      <c r="VFF59" s="316"/>
      <c r="VFG59" s="316"/>
      <c r="VFH59" s="316"/>
      <c r="VFI59" s="316"/>
      <c r="VFJ59" s="316"/>
      <c r="VFK59" s="316"/>
      <c r="VFL59" s="316"/>
      <c r="VFM59" s="316"/>
      <c r="VFN59" s="316"/>
      <c r="VFO59" s="316"/>
      <c r="VFP59" s="316"/>
      <c r="VFQ59" s="316"/>
      <c r="VFR59" s="316"/>
      <c r="VFS59" s="316"/>
      <c r="VFT59" s="316"/>
      <c r="VFU59" s="316"/>
      <c r="VFV59" s="316"/>
      <c r="VFW59" s="316"/>
      <c r="VFX59" s="316"/>
      <c r="VFY59" s="316"/>
      <c r="VFZ59" s="316"/>
      <c r="VGA59" s="316"/>
      <c r="VGB59" s="316"/>
      <c r="VGC59" s="316"/>
      <c r="VGD59" s="316"/>
      <c r="VGE59" s="316"/>
      <c r="VGF59" s="316"/>
      <c r="VGG59" s="316"/>
      <c r="VGH59" s="316"/>
      <c r="VGI59" s="316"/>
      <c r="VGJ59" s="316"/>
      <c r="VGK59" s="316"/>
      <c r="VGL59" s="316"/>
      <c r="VGM59" s="316"/>
      <c r="VGN59" s="316"/>
      <c r="VGO59" s="316"/>
      <c r="VGP59" s="316"/>
      <c r="VGQ59" s="316"/>
      <c r="VGR59" s="316"/>
      <c r="VGS59" s="316"/>
      <c r="VGT59" s="316"/>
      <c r="VGU59" s="316"/>
      <c r="VGV59" s="316"/>
      <c r="VGW59" s="316"/>
      <c r="VGX59" s="316"/>
      <c r="VGY59" s="316"/>
      <c r="VGZ59" s="316"/>
      <c r="VHA59" s="316"/>
      <c r="VHB59" s="316"/>
      <c r="VHC59" s="316"/>
      <c r="VHD59" s="316"/>
      <c r="VHE59" s="316"/>
      <c r="VHF59" s="316"/>
      <c r="VHG59" s="316"/>
      <c r="VHH59" s="316"/>
      <c r="VHI59" s="316"/>
      <c r="VHJ59" s="316"/>
      <c r="VHK59" s="316"/>
      <c r="VHL59" s="316"/>
      <c r="VHM59" s="316"/>
      <c r="VHN59" s="316"/>
      <c r="VHO59" s="316"/>
      <c r="VHP59" s="316"/>
      <c r="VHQ59" s="316"/>
      <c r="VHR59" s="316"/>
      <c r="VHS59" s="316"/>
      <c r="VHT59" s="316"/>
      <c r="VHU59" s="316"/>
      <c r="VHV59" s="316"/>
      <c r="VHW59" s="316"/>
      <c r="VHX59" s="316"/>
      <c r="VHY59" s="316"/>
      <c r="VHZ59" s="316"/>
      <c r="VIA59" s="316"/>
      <c r="VIB59" s="316"/>
      <c r="VIC59" s="316"/>
      <c r="VID59" s="316"/>
      <c r="VIE59" s="316"/>
      <c r="VIF59" s="316"/>
      <c r="VIG59" s="316"/>
      <c r="VIH59" s="316"/>
      <c r="VII59" s="316"/>
      <c r="VIJ59" s="316"/>
      <c r="VIK59" s="316"/>
      <c r="VIL59" s="316"/>
      <c r="VIM59" s="316"/>
      <c r="VIN59" s="316"/>
      <c r="VIO59" s="316"/>
      <c r="VIP59" s="316"/>
      <c r="VIQ59" s="316"/>
      <c r="VIR59" s="316"/>
      <c r="VIS59" s="316"/>
      <c r="VIT59" s="316"/>
      <c r="VIU59" s="316"/>
      <c r="VIV59" s="316"/>
      <c r="VIW59" s="316"/>
      <c r="VIX59" s="316"/>
      <c r="VIY59" s="316"/>
      <c r="VIZ59" s="316"/>
      <c r="VJA59" s="316"/>
      <c r="VJB59" s="316"/>
      <c r="VJC59" s="316"/>
      <c r="VJD59" s="316"/>
      <c r="VJE59" s="316"/>
      <c r="VJF59" s="316"/>
      <c r="VJG59" s="316"/>
      <c r="VJH59" s="316"/>
      <c r="VJI59" s="316"/>
      <c r="VJJ59" s="316"/>
      <c r="VJK59" s="316"/>
      <c r="VJL59" s="316"/>
      <c r="VJM59" s="316"/>
      <c r="VJN59" s="316"/>
      <c r="VJO59" s="316"/>
      <c r="VJP59" s="316"/>
      <c r="VJQ59" s="316"/>
      <c r="VJR59" s="316"/>
      <c r="VJS59" s="316"/>
      <c r="VJT59" s="316"/>
      <c r="VJU59" s="316"/>
      <c r="VJV59" s="316"/>
      <c r="VJW59" s="316"/>
      <c r="VJX59" s="316"/>
      <c r="VJY59" s="316"/>
      <c r="VJZ59" s="316"/>
      <c r="VKA59" s="316"/>
      <c r="VKB59" s="316"/>
      <c r="VKC59" s="316"/>
      <c r="VKD59" s="316"/>
      <c r="VKE59" s="316"/>
      <c r="VKF59" s="316"/>
      <c r="VKG59" s="316"/>
      <c r="VKH59" s="316"/>
      <c r="VKI59" s="316"/>
      <c r="VKJ59" s="316"/>
      <c r="VKK59" s="316"/>
      <c r="VKL59" s="316"/>
      <c r="VKM59" s="316"/>
      <c r="VKN59" s="316"/>
      <c r="VKO59" s="316"/>
      <c r="VKP59" s="316"/>
      <c r="VKQ59" s="316"/>
      <c r="VKR59" s="316"/>
      <c r="VKS59" s="316"/>
      <c r="VKT59" s="316"/>
      <c r="VKU59" s="316"/>
      <c r="VKV59" s="316"/>
      <c r="VKW59" s="316"/>
      <c r="VKX59" s="316"/>
      <c r="VKY59" s="316"/>
      <c r="VKZ59" s="316"/>
      <c r="VLA59" s="316"/>
      <c r="VLB59" s="316"/>
      <c r="VLC59" s="316"/>
      <c r="VLD59" s="316"/>
      <c r="VLE59" s="316"/>
      <c r="VLF59" s="316"/>
      <c r="VLG59" s="316"/>
      <c r="VLH59" s="316"/>
      <c r="VLI59" s="316"/>
      <c r="VLJ59" s="316"/>
      <c r="VLK59" s="316"/>
      <c r="VLL59" s="316"/>
      <c r="VLM59" s="316"/>
      <c r="VLN59" s="316"/>
      <c r="VLO59" s="316"/>
      <c r="VLP59" s="316"/>
      <c r="VLQ59" s="316"/>
      <c r="VLR59" s="316"/>
      <c r="VLS59" s="316"/>
      <c r="VLT59" s="316"/>
      <c r="VLU59" s="316"/>
      <c r="VLV59" s="316"/>
      <c r="VLW59" s="316"/>
      <c r="VLX59" s="316"/>
      <c r="VLY59" s="316"/>
      <c r="VLZ59" s="316"/>
      <c r="VMA59" s="316"/>
      <c r="VMB59" s="316"/>
      <c r="VMC59" s="316"/>
      <c r="VMD59" s="316"/>
      <c r="VME59" s="316"/>
      <c r="VMF59" s="316"/>
      <c r="VMG59" s="316"/>
      <c r="VMH59" s="316"/>
      <c r="VMI59" s="316"/>
      <c r="VMJ59" s="316"/>
      <c r="VMK59" s="316"/>
      <c r="VML59" s="316"/>
      <c r="VMM59" s="316"/>
      <c r="VMN59" s="316"/>
      <c r="VMO59" s="316"/>
      <c r="VMP59" s="316"/>
      <c r="VMQ59" s="316"/>
      <c r="VMR59" s="316"/>
      <c r="VMS59" s="316"/>
      <c r="VMT59" s="316"/>
      <c r="VMU59" s="316"/>
      <c r="VMV59" s="316"/>
      <c r="VMW59" s="316"/>
      <c r="VMX59" s="316"/>
      <c r="VMY59" s="316"/>
      <c r="VMZ59" s="316"/>
      <c r="VNA59" s="316"/>
      <c r="VNB59" s="316"/>
      <c r="VNC59" s="316"/>
      <c r="VND59" s="316"/>
      <c r="VNE59" s="316"/>
      <c r="VNF59" s="316"/>
      <c r="VNG59" s="316"/>
      <c r="VNH59" s="316"/>
      <c r="VNI59" s="316"/>
      <c r="VNJ59" s="316"/>
      <c r="VNK59" s="316"/>
      <c r="VNL59" s="316"/>
      <c r="VNM59" s="316"/>
      <c r="VNN59" s="316"/>
      <c r="VNO59" s="316"/>
      <c r="VNP59" s="316"/>
      <c r="VNQ59" s="316"/>
      <c r="VNR59" s="316"/>
      <c r="VNS59" s="316"/>
      <c r="VNT59" s="316"/>
      <c r="VNU59" s="316"/>
      <c r="VNV59" s="316"/>
      <c r="VNW59" s="316"/>
      <c r="VNX59" s="316"/>
      <c r="VNY59" s="316"/>
      <c r="VNZ59" s="316"/>
      <c r="VOA59" s="316"/>
      <c r="VOB59" s="316"/>
      <c r="VOC59" s="316"/>
      <c r="VOD59" s="316"/>
      <c r="VOE59" s="316"/>
      <c r="VOF59" s="316"/>
      <c r="VOG59" s="316"/>
      <c r="VOH59" s="316"/>
      <c r="VOI59" s="316"/>
      <c r="VOJ59" s="316"/>
      <c r="VOK59" s="316"/>
      <c r="VOL59" s="316"/>
      <c r="VOM59" s="316"/>
      <c r="VON59" s="316"/>
      <c r="VOO59" s="316"/>
      <c r="VOP59" s="316"/>
      <c r="VOQ59" s="316"/>
      <c r="VOR59" s="316"/>
      <c r="VOS59" s="316"/>
      <c r="VOT59" s="316"/>
      <c r="VOU59" s="316"/>
      <c r="VOV59" s="316"/>
      <c r="VOW59" s="316"/>
      <c r="VOX59" s="316"/>
      <c r="VOY59" s="316"/>
      <c r="VOZ59" s="316"/>
      <c r="VPA59" s="316"/>
      <c r="VPB59" s="316"/>
      <c r="VPC59" s="316"/>
      <c r="VPD59" s="316"/>
      <c r="VPE59" s="316"/>
      <c r="VPF59" s="316"/>
      <c r="VPG59" s="316"/>
      <c r="VPH59" s="316"/>
      <c r="VPI59" s="316"/>
      <c r="VPJ59" s="316"/>
      <c r="VPK59" s="316"/>
      <c r="VPL59" s="316"/>
      <c r="VPM59" s="316"/>
      <c r="VPN59" s="316"/>
      <c r="VPO59" s="316"/>
      <c r="VPP59" s="316"/>
      <c r="VPQ59" s="316"/>
      <c r="VPR59" s="316"/>
      <c r="VPS59" s="316"/>
      <c r="VPT59" s="316"/>
      <c r="VPU59" s="316"/>
      <c r="VPV59" s="316"/>
      <c r="VPW59" s="316"/>
      <c r="VPX59" s="316"/>
      <c r="VPY59" s="316"/>
      <c r="VPZ59" s="316"/>
      <c r="VQA59" s="316"/>
      <c r="VQB59" s="316"/>
      <c r="VQC59" s="316"/>
      <c r="VQD59" s="316"/>
      <c r="VQE59" s="316"/>
      <c r="VQF59" s="316"/>
      <c r="VQG59" s="316"/>
      <c r="VQH59" s="316"/>
      <c r="VQI59" s="316"/>
      <c r="VQJ59" s="316"/>
      <c r="VQK59" s="316"/>
      <c r="VQL59" s="316"/>
      <c r="VQM59" s="316"/>
      <c r="VQN59" s="316"/>
      <c r="VQO59" s="316"/>
      <c r="VQP59" s="316"/>
      <c r="VQQ59" s="316"/>
      <c r="VQR59" s="316"/>
      <c r="VQS59" s="316"/>
      <c r="VQT59" s="316"/>
      <c r="VQU59" s="316"/>
      <c r="VQV59" s="316"/>
      <c r="VQW59" s="316"/>
      <c r="VQX59" s="316"/>
      <c r="VQY59" s="316"/>
      <c r="VQZ59" s="316"/>
      <c r="VRA59" s="316"/>
      <c r="VRB59" s="316"/>
      <c r="VRC59" s="316"/>
      <c r="VRD59" s="316"/>
      <c r="VRE59" s="316"/>
      <c r="VRF59" s="316"/>
      <c r="VRG59" s="316"/>
      <c r="VRH59" s="316"/>
      <c r="VRI59" s="316"/>
      <c r="VRJ59" s="316"/>
      <c r="VRK59" s="316"/>
      <c r="VRL59" s="316"/>
      <c r="VRM59" s="316"/>
      <c r="VRN59" s="316"/>
      <c r="VRO59" s="316"/>
      <c r="VRP59" s="316"/>
      <c r="VRQ59" s="316"/>
      <c r="VRR59" s="316"/>
      <c r="VRS59" s="316"/>
      <c r="VRT59" s="316"/>
      <c r="VRU59" s="316"/>
      <c r="VRV59" s="316"/>
      <c r="VRW59" s="316"/>
      <c r="VRX59" s="316"/>
      <c r="VRY59" s="316"/>
      <c r="VRZ59" s="316"/>
      <c r="VSA59" s="316"/>
      <c r="VSB59" s="316"/>
      <c r="VSC59" s="316"/>
      <c r="VSD59" s="316"/>
      <c r="VSE59" s="316"/>
      <c r="VSF59" s="316"/>
      <c r="VSG59" s="316"/>
      <c r="VSH59" s="316"/>
      <c r="VSI59" s="316"/>
      <c r="VSJ59" s="316"/>
      <c r="VSK59" s="316"/>
      <c r="VSL59" s="316"/>
      <c r="VSM59" s="316"/>
      <c r="VSN59" s="316"/>
      <c r="VSO59" s="316"/>
      <c r="VSP59" s="316"/>
      <c r="VSQ59" s="316"/>
      <c r="VSR59" s="316"/>
      <c r="VSS59" s="316"/>
      <c r="VST59" s="316"/>
      <c r="VSU59" s="316"/>
      <c r="VSV59" s="316"/>
      <c r="VSW59" s="316"/>
      <c r="VSX59" s="316"/>
      <c r="VSY59" s="316"/>
      <c r="VSZ59" s="316"/>
      <c r="VTA59" s="316"/>
      <c r="VTB59" s="316"/>
      <c r="VTC59" s="316"/>
      <c r="VTD59" s="316"/>
      <c r="VTE59" s="316"/>
      <c r="VTF59" s="316"/>
      <c r="VTG59" s="316"/>
      <c r="VTH59" s="316"/>
      <c r="VTI59" s="316"/>
      <c r="VTJ59" s="316"/>
      <c r="VTK59" s="316"/>
      <c r="VTL59" s="316"/>
      <c r="VTM59" s="316"/>
      <c r="VTN59" s="316"/>
      <c r="VTO59" s="316"/>
      <c r="VTP59" s="316"/>
      <c r="VTQ59" s="316"/>
      <c r="VTR59" s="316"/>
      <c r="VTS59" s="316"/>
      <c r="VTT59" s="316"/>
      <c r="VTU59" s="316"/>
      <c r="VTV59" s="316"/>
      <c r="VTW59" s="316"/>
      <c r="VTX59" s="316"/>
      <c r="VTY59" s="316"/>
      <c r="VTZ59" s="316"/>
      <c r="VUA59" s="316"/>
      <c r="VUB59" s="316"/>
      <c r="VUC59" s="316"/>
      <c r="VUD59" s="316"/>
      <c r="VUE59" s="316"/>
      <c r="VUF59" s="316"/>
      <c r="VUG59" s="316"/>
      <c r="VUH59" s="316"/>
      <c r="VUI59" s="316"/>
      <c r="VUJ59" s="316"/>
      <c r="VUK59" s="316"/>
      <c r="VUL59" s="316"/>
      <c r="VUM59" s="316"/>
      <c r="VUN59" s="316"/>
      <c r="VUO59" s="316"/>
      <c r="VUP59" s="316"/>
      <c r="VUQ59" s="316"/>
      <c r="VUR59" s="316"/>
      <c r="VUS59" s="316"/>
      <c r="VUT59" s="316"/>
      <c r="VUU59" s="316"/>
      <c r="VUV59" s="316"/>
      <c r="VUW59" s="316"/>
      <c r="VUX59" s="316"/>
      <c r="VUY59" s="316"/>
      <c r="VUZ59" s="316"/>
      <c r="VVA59" s="316"/>
      <c r="VVB59" s="316"/>
      <c r="VVC59" s="316"/>
      <c r="VVD59" s="316"/>
      <c r="VVE59" s="316"/>
      <c r="VVF59" s="316"/>
      <c r="VVG59" s="316"/>
      <c r="VVH59" s="316"/>
      <c r="VVI59" s="316"/>
      <c r="VVJ59" s="316"/>
      <c r="VVK59" s="316"/>
      <c r="VVL59" s="316"/>
      <c r="VVM59" s="316"/>
      <c r="VVN59" s="316"/>
      <c r="VVO59" s="316"/>
      <c r="VVP59" s="316"/>
      <c r="VVQ59" s="316"/>
      <c r="VVR59" s="316"/>
      <c r="VVS59" s="316"/>
      <c r="VVT59" s="316"/>
      <c r="VVU59" s="316"/>
      <c r="VVV59" s="316"/>
      <c r="VVW59" s="316"/>
      <c r="VVX59" s="316"/>
      <c r="VVY59" s="316"/>
      <c r="VVZ59" s="316"/>
      <c r="VWA59" s="316"/>
      <c r="VWB59" s="316"/>
      <c r="VWC59" s="316"/>
      <c r="VWD59" s="316"/>
      <c r="VWE59" s="316"/>
      <c r="VWF59" s="316"/>
      <c r="VWG59" s="316"/>
      <c r="VWH59" s="316"/>
      <c r="VWI59" s="316"/>
      <c r="VWJ59" s="316"/>
      <c r="VWK59" s="316"/>
      <c r="VWL59" s="316"/>
      <c r="VWM59" s="316"/>
      <c r="VWN59" s="316"/>
      <c r="VWO59" s="316"/>
      <c r="VWP59" s="316"/>
      <c r="VWQ59" s="316"/>
      <c r="VWR59" s="316"/>
      <c r="VWS59" s="316"/>
      <c r="VWT59" s="316"/>
      <c r="VWU59" s="316"/>
      <c r="VWV59" s="316"/>
      <c r="VWW59" s="316"/>
      <c r="VWX59" s="316"/>
      <c r="VWY59" s="316"/>
      <c r="VWZ59" s="316"/>
      <c r="VXA59" s="316"/>
      <c r="VXB59" s="316"/>
      <c r="VXC59" s="316"/>
      <c r="VXD59" s="316"/>
      <c r="VXE59" s="316"/>
      <c r="VXF59" s="316"/>
      <c r="VXG59" s="316"/>
      <c r="VXH59" s="316"/>
      <c r="VXI59" s="316"/>
      <c r="VXJ59" s="316"/>
      <c r="VXK59" s="316"/>
      <c r="VXL59" s="316"/>
      <c r="VXM59" s="316"/>
      <c r="VXN59" s="316"/>
      <c r="VXO59" s="316"/>
      <c r="VXP59" s="316"/>
      <c r="VXQ59" s="316"/>
      <c r="VXR59" s="316"/>
      <c r="VXS59" s="316"/>
      <c r="VXT59" s="316"/>
      <c r="VXU59" s="316"/>
      <c r="VXV59" s="316"/>
      <c r="VXW59" s="316"/>
      <c r="VXX59" s="316"/>
      <c r="VXY59" s="316"/>
      <c r="VXZ59" s="316"/>
      <c r="VYA59" s="316"/>
      <c r="VYB59" s="316"/>
      <c r="VYC59" s="316"/>
      <c r="VYD59" s="316"/>
      <c r="VYE59" s="316"/>
      <c r="VYF59" s="316"/>
      <c r="VYG59" s="316"/>
      <c r="VYH59" s="316"/>
      <c r="VYI59" s="316"/>
      <c r="VYJ59" s="316"/>
      <c r="VYK59" s="316"/>
      <c r="VYL59" s="316"/>
      <c r="VYM59" s="316"/>
      <c r="VYN59" s="316"/>
      <c r="VYO59" s="316"/>
      <c r="VYP59" s="316"/>
      <c r="VYQ59" s="316"/>
      <c r="VYR59" s="316"/>
      <c r="VYS59" s="316"/>
      <c r="VYT59" s="316"/>
      <c r="VYU59" s="316"/>
      <c r="VYV59" s="316"/>
      <c r="VYW59" s="316"/>
      <c r="VYX59" s="316"/>
      <c r="VYY59" s="316"/>
      <c r="VYZ59" s="316"/>
      <c r="VZA59" s="316"/>
      <c r="VZB59" s="316"/>
      <c r="VZC59" s="316"/>
      <c r="VZD59" s="316"/>
      <c r="VZE59" s="316"/>
      <c r="VZF59" s="316"/>
      <c r="VZG59" s="316"/>
      <c r="VZH59" s="316"/>
      <c r="VZI59" s="316"/>
      <c r="VZJ59" s="316"/>
      <c r="VZK59" s="316"/>
      <c r="VZL59" s="316"/>
      <c r="VZM59" s="316"/>
      <c r="VZN59" s="316"/>
      <c r="VZO59" s="316"/>
      <c r="VZP59" s="316"/>
      <c r="VZQ59" s="316"/>
      <c r="VZR59" s="316"/>
      <c r="VZS59" s="316"/>
      <c r="VZT59" s="316"/>
      <c r="VZU59" s="316"/>
      <c r="VZV59" s="316"/>
      <c r="VZW59" s="316"/>
      <c r="VZX59" s="316"/>
      <c r="VZY59" s="316"/>
      <c r="VZZ59" s="316"/>
      <c r="WAA59" s="316"/>
      <c r="WAB59" s="316"/>
      <c r="WAC59" s="316"/>
      <c r="WAD59" s="316"/>
      <c r="WAE59" s="316"/>
      <c r="WAF59" s="316"/>
      <c r="WAG59" s="316"/>
      <c r="WAH59" s="316"/>
      <c r="WAI59" s="316"/>
      <c r="WAJ59" s="316"/>
      <c r="WAK59" s="316"/>
      <c r="WAL59" s="316"/>
      <c r="WAM59" s="316"/>
      <c r="WAN59" s="316"/>
      <c r="WAO59" s="316"/>
      <c r="WAP59" s="316"/>
      <c r="WAQ59" s="316"/>
      <c r="WAR59" s="316"/>
      <c r="WAS59" s="316"/>
      <c r="WAT59" s="316"/>
      <c r="WAU59" s="316"/>
      <c r="WAV59" s="316"/>
      <c r="WAW59" s="316"/>
      <c r="WAX59" s="316"/>
      <c r="WAY59" s="316"/>
      <c r="WAZ59" s="316"/>
      <c r="WBA59" s="316"/>
      <c r="WBB59" s="316"/>
      <c r="WBC59" s="316"/>
      <c r="WBD59" s="316"/>
      <c r="WBE59" s="316"/>
      <c r="WBF59" s="316"/>
      <c r="WBG59" s="316"/>
      <c r="WBH59" s="316"/>
      <c r="WBI59" s="316"/>
      <c r="WBJ59" s="316"/>
      <c r="WBK59" s="316"/>
      <c r="WBL59" s="316"/>
      <c r="WBM59" s="316"/>
      <c r="WBN59" s="316"/>
      <c r="WBO59" s="316"/>
      <c r="WBP59" s="316"/>
      <c r="WBQ59" s="316"/>
      <c r="WBR59" s="316"/>
      <c r="WBS59" s="316"/>
      <c r="WBT59" s="316"/>
      <c r="WBU59" s="316"/>
      <c r="WBV59" s="316"/>
      <c r="WBW59" s="316"/>
      <c r="WBX59" s="316"/>
      <c r="WBY59" s="316"/>
      <c r="WBZ59" s="316"/>
      <c r="WCA59" s="316"/>
      <c r="WCB59" s="316"/>
      <c r="WCC59" s="316"/>
      <c r="WCD59" s="316"/>
      <c r="WCE59" s="316"/>
      <c r="WCF59" s="316"/>
      <c r="WCG59" s="316"/>
      <c r="WCH59" s="316"/>
      <c r="WCI59" s="316"/>
      <c r="WCJ59" s="316"/>
      <c r="WCK59" s="316"/>
      <c r="WCL59" s="316"/>
      <c r="WCM59" s="316"/>
      <c r="WCN59" s="316"/>
      <c r="WCO59" s="316"/>
      <c r="WCP59" s="316"/>
      <c r="WCQ59" s="316"/>
      <c r="WCR59" s="316"/>
      <c r="WCS59" s="316"/>
      <c r="WCT59" s="316"/>
      <c r="WCU59" s="316"/>
      <c r="WCV59" s="316"/>
      <c r="WCW59" s="316"/>
      <c r="WCX59" s="316"/>
      <c r="WCY59" s="316"/>
      <c r="WCZ59" s="316"/>
      <c r="WDA59" s="316"/>
      <c r="WDB59" s="316"/>
      <c r="WDC59" s="316"/>
      <c r="WDD59" s="316"/>
      <c r="WDE59" s="316"/>
      <c r="WDF59" s="316"/>
      <c r="WDG59" s="316"/>
      <c r="WDH59" s="316"/>
      <c r="WDI59" s="316"/>
      <c r="WDJ59" s="316"/>
      <c r="WDK59" s="316"/>
      <c r="WDL59" s="316"/>
      <c r="WDM59" s="316"/>
      <c r="WDN59" s="316"/>
      <c r="WDO59" s="316"/>
      <c r="WDP59" s="316"/>
      <c r="WDQ59" s="316"/>
      <c r="WDR59" s="316"/>
      <c r="WDS59" s="316"/>
      <c r="WDT59" s="316"/>
      <c r="WDU59" s="316"/>
      <c r="WDV59" s="316"/>
      <c r="WDW59" s="316"/>
      <c r="WDX59" s="316"/>
      <c r="WDY59" s="316"/>
      <c r="WDZ59" s="316"/>
      <c r="WEA59" s="316"/>
      <c r="WEB59" s="316"/>
      <c r="WEC59" s="316"/>
      <c r="WED59" s="316"/>
      <c r="WEE59" s="316"/>
      <c r="WEF59" s="316"/>
      <c r="WEG59" s="316"/>
      <c r="WEH59" s="316"/>
      <c r="WEI59" s="316"/>
      <c r="WEJ59" s="316"/>
      <c r="WEK59" s="316"/>
      <c r="WEL59" s="316"/>
      <c r="WEM59" s="316"/>
      <c r="WEN59" s="316"/>
      <c r="WEO59" s="316"/>
      <c r="WEP59" s="316"/>
      <c r="WEQ59" s="316"/>
      <c r="WER59" s="316"/>
      <c r="WES59" s="316"/>
      <c r="WET59" s="316"/>
      <c r="WEU59" s="316"/>
      <c r="WEV59" s="316"/>
      <c r="WEW59" s="316"/>
      <c r="WEX59" s="316"/>
      <c r="WEY59" s="316"/>
      <c r="WEZ59" s="316"/>
      <c r="WFA59" s="316"/>
      <c r="WFB59" s="316"/>
      <c r="WFC59" s="316"/>
      <c r="WFD59" s="316"/>
      <c r="WFE59" s="316"/>
      <c r="WFF59" s="316"/>
      <c r="WFG59" s="316"/>
      <c r="WFH59" s="316"/>
      <c r="WFI59" s="316"/>
      <c r="WFJ59" s="316"/>
      <c r="WFK59" s="316"/>
      <c r="WFL59" s="316"/>
      <c r="WFM59" s="316"/>
      <c r="WFN59" s="316"/>
      <c r="WFO59" s="316"/>
      <c r="WFP59" s="316"/>
      <c r="WFQ59" s="316"/>
      <c r="WFR59" s="316"/>
      <c r="WFS59" s="316"/>
      <c r="WFT59" s="316"/>
      <c r="WFU59" s="316"/>
      <c r="WFV59" s="316"/>
      <c r="WFW59" s="316"/>
      <c r="WFX59" s="316"/>
      <c r="WFY59" s="316"/>
      <c r="WFZ59" s="316"/>
      <c r="WGA59" s="316"/>
      <c r="WGB59" s="316"/>
      <c r="WGC59" s="316"/>
      <c r="WGD59" s="316"/>
      <c r="WGE59" s="316"/>
      <c r="WGF59" s="316"/>
      <c r="WGG59" s="316"/>
      <c r="WGH59" s="316"/>
      <c r="WGI59" s="316"/>
      <c r="WGJ59" s="316"/>
      <c r="WGK59" s="316"/>
      <c r="WGL59" s="316"/>
      <c r="WGM59" s="316"/>
      <c r="WGN59" s="316"/>
      <c r="WGO59" s="316"/>
      <c r="WGP59" s="316"/>
      <c r="WGQ59" s="316"/>
      <c r="WGR59" s="316"/>
      <c r="WGS59" s="316"/>
      <c r="WGT59" s="316"/>
      <c r="WGU59" s="316"/>
      <c r="WGV59" s="316"/>
      <c r="WGW59" s="316"/>
      <c r="WGX59" s="316"/>
      <c r="WGY59" s="316"/>
      <c r="WGZ59" s="316"/>
      <c r="WHA59" s="316"/>
      <c r="WHB59" s="316"/>
      <c r="WHC59" s="316"/>
      <c r="WHD59" s="316"/>
      <c r="WHE59" s="316"/>
      <c r="WHF59" s="316"/>
      <c r="WHG59" s="316"/>
      <c r="WHH59" s="316"/>
      <c r="WHI59" s="316"/>
      <c r="WHJ59" s="316"/>
      <c r="WHK59" s="316"/>
      <c r="WHL59" s="316"/>
      <c r="WHM59" s="316"/>
      <c r="WHN59" s="316"/>
      <c r="WHO59" s="316"/>
      <c r="WHP59" s="316"/>
      <c r="WHQ59" s="316"/>
      <c r="WHR59" s="316"/>
      <c r="WHS59" s="316"/>
      <c r="WHT59" s="316"/>
      <c r="WHU59" s="316"/>
      <c r="WHV59" s="316"/>
      <c r="WHW59" s="316"/>
      <c r="WHX59" s="316"/>
      <c r="WHY59" s="316"/>
      <c r="WHZ59" s="316"/>
      <c r="WIA59" s="316"/>
      <c r="WIB59" s="316"/>
      <c r="WIC59" s="316"/>
      <c r="WID59" s="316"/>
      <c r="WIE59" s="316"/>
      <c r="WIF59" s="316"/>
      <c r="WIG59" s="316"/>
      <c r="WIH59" s="316"/>
      <c r="WII59" s="316"/>
      <c r="WIJ59" s="316"/>
      <c r="WIK59" s="316"/>
      <c r="WIL59" s="316"/>
      <c r="WIM59" s="316"/>
      <c r="WIN59" s="316"/>
      <c r="WIO59" s="316"/>
      <c r="WIP59" s="316"/>
      <c r="WIQ59" s="316"/>
      <c r="WIR59" s="316"/>
      <c r="WIS59" s="316"/>
      <c r="WIT59" s="316"/>
      <c r="WIU59" s="316"/>
      <c r="WIV59" s="316"/>
      <c r="WIW59" s="316"/>
      <c r="WIX59" s="316"/>
      <c r="WIY59" s="316"/>
      <c r="WIZ59" s="316"/>
      <c r="WJA59" s="316"/>
      <c r="WJB59" s="316"/>
      <c r="WJC59" s="316"/>
      <c r="WJD59" s="316"/>
      <c r="WJE59" s="316"/>
      <c r="WJF59" s="316"/>
      <c r="WJG59" s="316"/>
      <c r="WJH59" s="316"/>
      <c r="WJI59" s="316"/>
      <c r="WJJ59" s="316"/>
      <c r="WJK59" s="316"/>
      <c r="WJL59" s="316"/>
      <c r="WJM59" s="316"/>
      <c r="WJN59" s="316"/>
      <c r="WJO59" s="316"/>
      <c r="WJP59" s="316"/>
      <c r="WJQ59" s="316"/>
      <c r="WJR59" s="316"/>
      <c r="WJS59" s="316"/>
      <c r="WJT59" s="316"/>
      <c r="WJU59" s="316"/>
      <c r="WJV59" s="316"/>
      <c r="WJW59" s="316"/>
      <c r="WJX59" s="316"/>
      <c r="WJY59" s="316"/>
      <c r="WJZ59" s="316"/>
      <c r="WKA59" s="316"/>
      <c r="WKB59" s="316"/>
      <c r="WKC59" s="316"/>
      <c r="WKD59" s="316"/>
      <c r="WKE59" s="316"/>
      <c r="WKF59" s="316"/>
      <c r="WKG59" s="316"/>
      <c r="WKH59" s="316"/>
      <c r="WKI59" s="316"/>
      <c r="WKJ59" s="316"/>
      <c r="WKK59" s="316"/>
      <c r="WKL59" s="316"/>
      <c r="WKM59" s="316"/>
      <c r="WKN59" s="316"/>
      <c r="WKO59" s="316"/>
      <c r="WKP59" s="316"/>
      <c r="WKQ59" s="316"/>
      <c r="WKR59" s="316"/>
      <c r="WKS59" s="316"/>
      <c r="WKT59" s="316"/>
      <c r="WKU59" s="316"/>
      <c r="WKV59" s="316"/>
      <c r="WKW59" s="316"/>
      <c r="WKX59" s="316"/>
      <c r="WKY59" s="316"/>
      <c r="WKZ59" s="316"/>
      <c r="WLA59" s="316"/>
      <c r="WLB59" s="316"/>
      <c r="WLC59" s="316"/>
      <c r="WLD59" s="316"/>
      <c r="WLE59" s="316"/>
      <c r="WLF59" s="316"/>
      <c r="WLG59" s="316"/>
      <c r="WLH59" s="316"/>
      <c r="WLI59" s="316"/>
      <c r="WLJ59" s="316"/>
      <c r="WLK59" s="316"/>
      <c r="WLL59" s="316"/>
      <c r="WLM59" s="316"/>
      <c r="WLN59" s="316"/>
      <c r="WLO59" s="316"/>
      <c r="WLP59" s="316"/>
      <c r="WLQ59" s="316"/>
      <c r="WLR59" s="316"/>
      <c r="WLS59" s="316"/>
      <c r="WLT59" s="316"/>
      <c r="WLU59" s="316"/>
      <c r="WLV59" s="316"/>
      <c r="WLW59" s="316"/>
      <c r="WLX59" s="316"/>
      <c r="WLY59" s="316"/>
      <c r="WLZ59" s="316"/>
      <c r="WMA59" s="316"/>
      <c r="WMB59" s="316"/>
      <c r="WMC59" s="316"/>
      <c r="WMD59" s="316"/>
      <c r="WME59" s="316"/>
      <c r="WMF59" s="316"/>
      <c r="WMG59" s="316"/>
      <c r="WMH59" s="316"/>
      <c r="WMI59" s="316"/>
      <c r="WMJ59" s="316"/>
      <c r="WMK59" s="316"/>
      <c r="WML59" s="316"/>
      <c r="WMM59" s="316"/>
      <c r="WMN59" s="316"/>
      <c r="WMO59" s="316"/>
      <c r="WMP59" s="316"/>
      <c r="WMQ59" s="316"/>
      <c r="WMR59" s="316"/>
      <c r="WMS59" s="316"/>
      <c r="WMT59" s="316"/>
      <c r="WMU59" s="316"/>
      <c r="WMV59" s="316"/>
      <c r="WMW59" s="316"/>
      <c r="WMX59" s="316"/>
      <c r="WMY59" s="316"/>
      <c r="WMZ59" s="316"/>
      <c r="WNA59" s="316"/>
      <c r="WNB59" s="316"/>
      <c r="WNC59" s="316"/>
      <c r="WND59" s="316"/>
      <c r="WNE59" s="316"/>
      <c r="WNF59" s="316"/>
      <c r="WNG59" s="316"/>
      <c r="WNH59" s="316"/>
      <c r="WNI59" s="316"/>
      <c r="WNJ59" s="316"/>
      <c r="WNK59" s="316"/>
      <c r="WNL59" s="316"/>
      <c r="WNM59" s="316"/>
      <c r="WNN59" s="316"/>
      <c r="WNO59" s="316"/>
      <c r="WNP59" s="316"/>
      <c r="WNQ59" s="316"/>
      <c r="WNR59" s="316"/>
      <c r="WNS59" s="316"/>
      <c r="WNT59" s="316"/>
      <c r="WNU59" s="316"/>
      <c r="WNV59" s="316"/>
      <c r="WNW59" s="316"/>
      <c r="WNX59" s="316"/>
      <c r="WNY59" s="316"/>
      <c r="WNZ59" s="316"/>
      <c r="WOA59" s="316"/>
      <c r="WOB59" s="316"/>
      <c r="WOC59" s="316"/>
      <c r="WOD59" s="316"/>
      <c r="WOE59" s="316"/>
      <c r="WOF59" s="316"/>
      <c r="WOG59" s="316"/>
      <c r="WOH59" s="316"/>
      <c r="WOI59" s="316"/>
      <c r="WOJ59" s="316"/>
      <c r="WOK59" s="316"/>
      <c r="WOL59" s="316"/>
      <c r="WOM59" s="316"/>
      <c r="WON59" s="316"/>
      <c r="WOO59" s="316"/>
      <c r="WOP59" s="316"/>
      <c r="WOQ59" s="316"/>
      <c r="WOR59" s="316"/>
      <c r="WOS59" s="316"/>
      <c r="WOT59" s="316"/>
      <c r="WOU59" s="316"/>
      <c r="WOV59" s="316"/>
      <c r="WOW59" s="316"/>
      <c r="WOX59" s="316"/>
      <c r="WOY59" s="316"/>
      <c r="WOZ59" s="316"/>
      <c r="WPA59" s="316"/>
      <c r="WPB59" s="316"/>
      <c r="WPC59" s="316"/>
      <c r="WPD59" s="316"/>
      <c r="WPE59" s="316"/>
      <c r="WPF59" s="316"/>
      <c r="WPG59" s="316"/>
      <c r="WPH59" s="316"/>
      <c r="WPI59" s="316"/>
      <c r="WPJ59" s="316"/>
      <c r="WPK59" s="316"/>
      <c r="WPL59" s="316"/>
      <c r="WPM59" s="316"/>
      <c r="WPN59" s="316"/>
      <c r="WPO59" s="316"/>
      <c r="WPP59" s="316"/>
      <c r="WPQ59" s="316"/>
      <c r="WPR59" s="316"/>
      <c r="WPS59" s="316"/>
      <c r="WPT59" s="316"/>
      <c r="WPU59" s="316"/>
      <c r="WPV59" s="316"/>
      <c r="WPW59" s="316"/>
      <c r="WPX59" s="316"/>
      <c r="WPY59" s="316"/>
      <c r="WPZ59" s="316"/>
      <c r="WQA59" s="316"/>
      <c r="WQB59" s="316"/>
      <c r="WQC59" s="316"/>
      <c r="WQD59" s="316"/>
      <c r="WQE59" s="316"/>
      <c r="WQF59" s="316"/>
      <c r="WQG59" s="316"/>
      <c r="WQH59" s="316"/>
      <c r="WQI59" s="316"/>
      <c r="WQJ59" s="316"/>
      <c r="WQK59" s="316"/>
      <c r="WQL59" s="316"/>
      <c r="WQM59" s="316"/>
      <c r="WQN59" s="316"/>
      <c r="WQO59" s="316"/>
      <c r="WQP59" s="316"/>
      <c r="WQQ59" s="316"/>
      <c r="WQR59" s="316"/>
      <c r="WQS59" s="316"/>
      <c r="WQT59" s="316"/>
      <c r="WQU59" s="316"/>
      <c r="WQV59" s="316"/>
      <c r="WQW59" s="316"/>
      <c r="WQX59" s="316"/>
      <c r="WQY59" s="316"/>
      <c r="WQZ59" s="316"/>
      <c r="WRA59" s="316"/>
      <c r="WRB59" s="316"/>
      <c r="WRC59" s="316"/>
      <c r="WRD59" s="316"/>
      <c r="WRE59" s="316"/>
      <c r="WRF59" s="316"/>
      <c r="WRG59" s="316"/>
      <c r="WRH59" s="316"/>
      <c r="WRI59" s="316"/>
      <c r="WRJ59" s="316"/>
      <c r="WRK59" s="316"/>
      <c r="WRL59" s="316"/>
      <c r="WRM59" s="316"/>
      <c r="WRN59" s="316"/>
      <c r="WRO59" s="316"/>
      <c r="WRP59" s="316"/>
      <c r="WRQ59" s="316"/>
      <c r="WRR59" s="316"/>
      <c r="WRS59" s="316"/>
      <c r="WRT59" s="316"/>
      <c r="WRU59" s="316"/>
      <c r="WRV59" s="316"/>
      <c r="WRW59" s="316"/>
      <c r="WRX59" s="316"/>
      <c r="WRY59" s="316"/>
      <c r="WRZ59" s="316"/>
      <c r="WSA59" s="316"/>
      <c r="WSB59" s="316"/>
      <c r="WSC59" s="316"/>
      <c r="WSD59" s="316"/>
      <c r="WSE59" s="316"/>
      <c r="WSF59" s="316"/>
      <c r="WSG59" s="316"/>
      <c r="WSH59" s="316"/>
      <c r="WSI59" s="316"/>
      <c r="WSJ59" s="316"/>
      <c r="WSK59" s="316"/>
      <c r="WSL59" s="316"/>
      <c r="WSM59" s="316"/>
      <c r="WSN59" s="316"/>
      <c r="WSO59" s="316"/>
      <c r="WSP59" s="316"/>
      <c r="WSQ59" s="316"/>
      <c r="WSR59" s="316"/>
      <c r="WSS59" s="316"/>
      <c r="WST59" s="316"/>
      <c r="WSU59" s="316"/>
      <c r="WSV59" s="316"/>
      <c r="WSW59" s="316"/>
      <c r="WSX59" s="316"/>
      <c r="WSY59" s="316"/>
      <c r="WSZ59" s="316"/>
      <c r="WTA59" s="316"/>
      <c r="WTB59" s="316"/>
      <c r="WTC59" s="316"/>
      <c r="WTD59" s="316"/>
      <c r="WTE59" s="316"/>
      <c r="WTF59" s="316"/>
      <c r="WTG59" s="316"/>
      <c r="WTH59" s="316"/>
      <c r="WTI59" s="316"/>
      <c r="WTJ59" s="316"/>
      <c r="WTK59" s="316"/>
      <c r="WTL59" s="316"/>
      <c r="WTM59" s="316"/>
      <c r="WTN59" s="316"/>
      <c r="WTO59" s="316"/>
      <c r="WTP59" s="316"/>
      <c r="WTQ59" s="316"/>
      <c r="WTR59" s="316"/>
      <c r="WTS59" s="316"/>
      <c r="WTT59" s="316"/>
      <c r="WTU59" s="316"/>
      <c r="WTV59" s="316"/>
      <c r="WTW59" s="316"/>
      <c r="WTX59" s="316"/>
      <c r="WTY59" s="316"/>
      <c r="WTZ59" s="316"/>
      <c r="WUA59" s="316"/>
      <c r="WUB59" s="316"/>
      <c r="WUC59" s="316"/>
      <c r="WUD59" s="316"/>
      <c r="WUE59" s="316"/>
      <c r="WUF59" s="316"/>
      <c r="WUG59" s="316"/>
      <c r="WUH59" s="316"/>
      <c r="WUI59" s="316"/>
      <c r="WUJ59" s="316"/>
      <c r="WUK59" s="316"/>
      <c r="WUL59" s="316"/>
      <c r="WUM59" s="316"/>
      <c r="WUN59" s="316"/>
      <c r="WUO59" s="316"/>
      <c r="WUP59" s="316"/>
      <c r="WUQ59" s="316"/>
      <c r="WUR59" s="316"/>
      <c r="WUS59" s="316"/>
      <c r="WUT59" s="316"/>
      <c r="WUU59" s="316"/>
      <c r="WUV59" s="316"/>
      <c r="WUW59" s="316"/>
      <c r="WUX59" s="316"/>
      <c r="WUY59" s="316"/>
      <c r="WUZ59" s="316"/>
      <c r="WVA59" s="316"/>
      <c r="WVB59" s="316"/>
      <c r="WVC59" s="316"/>
      <c r="WVD59" s="316"/>
      <c r="WVE59" s="316"/>
      <c r="WVF59" s="316"/>
      <c r="WVG59" s="316"/>
      <c r="WVH59" s="316"/>
      <c r="WVI59" s="316"/>
      <c r="WVJ59" s="316"/>
      <c r="WVK59" s="316"/>
      <c r="WVL59" s="316"/>
      <c r="WVM59" s="316"/>
      <c r="WVN59" s="316"/>
      <c r="WVO59" s="316"/>
      <c r="WVP59" s="316"/>
      <c r="WVQ59" s="316"/>
      <c r="WVR59" s="316"/>
      <c r="WVS59" s="316"/>
      <c r="WVT59" s="316"/>
      <c r="WVU59" s="316"/>
      <c r="WVV59" s="316"/>
      <c r="WVW59" s="316"/>
      <c r="WVX59" s="316"/>
      <c r="WVY59" s="316"/>
      <c r="WVZ59" s="316"/>
      <c r="WWA59" s="316"/>
      <c r="WWB59" s="316"/>
      <c r="WWC59" s="316"/>
      <c r="WWD59" s="316"/>
      <c r="WWE59" s="316"/>
      <c r="WWF59" s="316"/>
      <c r="WWG59" s="316"/>
      <c r="WWH59" s="316"/>
      <c r="WWI59" s="316"/>
      <c r="WWJ59" s="316"/>
      <c r="WWK59" s="316"/>
      <c r="WWL59" s="316"/>
      <c r="WWM59" s="316"/>
      <c r="WWN59" s="316"/>
      <c r="WWO59" s="316"/>
      <c r="WWP59" s="316"/>
      <c r="WWQ59" s="316"/>
      <c r="WWR59" s="316"/>
      <c r="WWS59" s="316"/>
      <c r="WWT59" s="316"/>
      <c r="WWU59" s="316"/>
      <c r="WWV59" s="316"/>
      <c r="WWW59" s="316"/>
      <c r="WWX59" s="316"/>
      <c r="WWY59" s="316"/>
      <c r="WWZ59" s="316"/>
      <c r="WXA59" s="316"/>
      <c r="WXB59" s="316"/>
      <c r="WXC59" s="316"/>
      <c r="WXD59" s="316"/>
      <c r="WXE59" s="316"/>
      <c r="WXF59" s="316"/>
      <c r="WXG59" s="316"/>
      <c r="WXH59" s="316"/>
      <c r="WXI59" s="316"/>
      <c r="WXJ59" s="316"/>
      <c r="WXK59" s="316"/>
      <c r="WXL59" s="316"/>
      <c r="WXM59" s="316"/>
      <c r="WXN59" s="316"/>
      <c r="WXO59" s="316"/>
      <c r="WXP59" s="316"/>
      <c r="WXQ59" s="316"/>
      <c r="WXR59" s="316"/>
      <c r="WXS59" s="316"/>
      <c r="WXT59" s="316"/>
      <c r="WXU59" s="316"/>
      <c r="WXV59" s="316"/>
      <c r="WXW59" s="316"/>
      <c r="WXX59" s="316"/>
      <c r="WXY59" s="316"/>
      <c r="WXZ59" s="316"/>
      <c r="WYA59" s="316"/>
      <c r="WYB59" s="316"/>
      <c r="WYC59" s="316"/>
      <c r="WYD59" s="316"/>
      <c r="WYE59" s="316"/>
      <c r="WYF59" s="316"/>
      <c r="WYG59" s="316"/>
      <c r="WYH59" s="316"/>
      <c r="WYI59" s="316"/>
      <c r="WYJ59" s="316"/>
      <c r="WYK59" s="316"/>
      <c r="WYL59" s="316"/>
      <c r="WYM59" s="316"/>
      <c r="WYN59" s="316"/>
      <c r="WYO59" s="316"/>
      <c r="WYP59" s="316"/>
      <c r="WYQ59" s="316"/>
      <c r="WYR59" s="316"/>
      <c r="WYS59" s="316"/>
      <c r="WYT59" s="316"/>
      <c r="WYU59" s="316"/>
      <c r="WYV59" s="316"/>
      <c r="WYW59" s="316"/>
      <c r="WYX59" s="316"/>
      <c r="WYY59" s="316"/>
      <c r="WYZ59" s="316"/>
      <c r="WZA59" s="316"/>
      <c r="WZB59" s="316"/>
      <c r="WZC59" s="316"/>
      <c r="WZD59" s="316"/>
      <c r="WZE59" s="316"/>
      <c r="WZF59" s="316"/>
      <c r="WZG59" s="316"/>
      <c r="WZH59" s="316"/>
      <c r="WZI59" s="316"/>
      <c r="WZJ59" s="316"/>
      <c r="WZK59" s="316"/>
      <c r="WZL59" s="316"/>
      <c r="WZM59" s="316"/>
      <c r="WZN59" s="316"/>
      <c r="WZO59" s="316"/>
      <c r="WZP59" s="316"/>
      <c r="WZQ59" s="316"/>
      <c r="WZR59" s="316"/>
      <c r="WZS59" s="316"/>
      <c r="WZT59" s="316"/>
      <c r="WZU59" s="316"/>
      <c r="WZV59" s="316"/>
      <c r="WZW59" s="316"/>
      <c r="WZX59" s="316"/>
      <c r="WZY59" s="316"/>
      <c r="WZZ59" s="316"/>
      <c r="XAA59" s="316"/>
      <c r="XAB59" s="316"/>
      <c r="XAC59" s="316"/>
      <c r="XAD59" s="316"/>
      <c r="XAE59" s="316"/>
      <c r="XAF59" s="316"/>
      <c r="XAG59" s="316"/>
      <c r="XAH59" s="316"/>
      <c r="XAI59" s="316"/>
      <c r="XAJ59" s="316"/>
      <c r="XAK59" s="316"/>
      <c r="XAL59" s="316"/>
      <c r="XAM59" s="316"/>
      <c r="XAN59" s="316"/>
      <c r="XAO59" s="316"/>
      <c r="XAP59" s="316"/>
      <c r="XAQ59" s="316"/>
      <c r="XAR59" s="316"/>
      <c r="XAS59" s="316"/>
      <c r="XAT59" s="316"/>
      <c r="XAU59" s="316"/>
      <c r="XAV59" s="316"/>
      <c r="XAW59" s="316"/>
      <c r="XAX59" s="316"/>
      <c r="XAY59" s="316"/>
      <c r="XAZ59" s="316"/>
      <c r="XBA59" s="316"/>
      <c r="XBB59" s="316"/>
      <c r="XBC59" s="316"/>
      <c r="XBD59" s="316"/>
      <c r="XBE59" s="316"/>
      <c r="XBF59" s="316"/>
      <c r="XBG59" s="316"/>
      <c r="XBH59" s="316"/>
      <c r="XBI59" s="316"/>
      <c r="XBJ59" s="316"/>
      <c r="XBK59" s="316"/>
      <c r="XBL59" s="316"/>
      <c r="XBM59" s="316"/>
      <c r="XBN59" s="316"/>
      <c r="XBO59" s="316"/>
      <c r="XBP59" s="316"/>
      <c r="XBQ59" s="316"/>
      <c r="XBR59" s="316"/>
      <c r="XBS59" s="316"/>
      <c r="XBT59" s="316"/>
      <c r="XBU59" s="316"/>
      <c r="XBV59" s="316"/>
      <c r="XBW59" s="316"/>
      <c r="XBX59" s="316"/>
      <c r="XBY59" s="316"/>
      <c r="XBZ59" s="316"/>
      <c r="XCA59" s="316"/>
      <c r="XCB59" s="316"/>
      <c r="XCC59" s="316"/>
      <c r="XCD59" s="316"/>
      <c r="XCE59" s="316"/>
      <c r="XCF59" s="316"/>
      <c r="XCG59" s="316"/>
      <c r="XCH59" s="316"/>
      <c r="XCI59" s="316"/>
      <c r="XCJ59" s="316"/>
      <c r="XCK59" s="316"/>
      <c r="XCL59" s="316"/>
      <c r="XCM59" s="316"/>
      <c r="XCN59" s="316"/>
      <c r="XCO59" s="316"/>
      <c r="XCP59" s="316"/>
      <c r="XCQ59" s="316"/>
      <c r="XCR59" s="316"/>
      <c r="XCS59" s="316"/>
      <c r="XCT59" s="316"/>
      <c r="XCU59" s="316"/>
      <c r="XCV59" s="316"/>
      <c r="XCW59" s="316"/>
      <c r="XCX59" s="316"/>
      <c r="XCY59" s="316"/>
      <c r="XCZ59" s="316"/>
      <c r="XDA59" s="316"/>
      <c r="XDB59" s="316"/>
      <c r="XDC59" s="316"/>
      <c r="XDD59" s="316"/>
      <c r="XDE59" s="316"/>
      <c r="XDF59" s="316"/>
      <c r="XDG59" s="316"/>
      <c r="XDH59" s="316"/>
      <c r="XDI59" s="316"/>
      <c r="XDJ59" s="316"/>
      <c r="XDK59" s="316"/>
      <c r="XDL59" s="316"/>
      <c r="XDM59" s="316"/>
      <c r="XDN59" s="316"/>
      <c r="XDO59" s="316"/>
      <c r="XDP59" s="316"/>
      <c r="XDQ59" s="316"/>
      <c r="XDR59" s="316"/>
      <c r="XDS59" s="316"/>
      <c r="XDT59" s="316"/>
      <c r="XDU59" s="316"/>
      <c r="XDV59" s="316"/>
      <c r="XDW59" s="316"/>
      <c r="XDX59" s="316"/>
      <c r="XDY59" s="316"/>
      <c r="XDZ59" s="316"/>
      <c r="XEA59" s="316"/>
      <c r="XEB59" s="316"/>
      <c r="XEC59" s="316"/>
      <c r="XED59" s="316"/>
      <c r="XEE59" s="316"/>
      <c r="XEF59" s="316"/>
      <c r="XEG59" s="316"/>
    </row>
    <row r="60" spans="1:16361" ht="18" customHeight="1">
      <c r="A60" s="402"/>
      <c r="B60" s="402"/>
      <c r="C60" s="408" t="s">
        <v>963</v>
      </c>
      <c r="D60" s="408"/>
      <c r="E60" s="408"/>
      <c r="F60" s="409" t="s">
        <v>960</v>
      </c>
      <c r="G60" s="412">
        <v>1</v>
      </c>
      <c r="H60" s="415">
        <f>I59*0.1</f>
        <v>35050</v>
      </c>
      <c r="I60" s="418">
        <f>G60*H60</f>
        <v>35050</v>
      </c>
      <c r="J60" s="434"/>
    </row>
    <row r="61" spans="1:16361" ht="18" customHeight="1">
      <c r="A61" s="402"/>
      <c r="B61" s="402"/>
      <c r="C61" s="408" t="s">
        <v>964</v>
      </c>
      <c r="D61" s="408"/>
      <c r="E61" s="408"/>
      <c r="F61" s="410"/>
      <c r="G61" s="413"/>
      <c r="H61" s="416"/>
      <c r="I61" s="419"/>
      <c r="J61" s="434"/>
    </row>
    <row r="62" spans="1:16361" ht="18" customHeight="1">
      <c r="A62" s="402"/>
      <c r="B62" s="402"/>
      <c r="C62" s="408" t="s">
        <v>965</v>
      </c>
      <c r="D62" s="408"/>
      <c r="E62" s="408"/>
      <c r="F62" s="411"/>
      <c r="G62" s="414"/>
      <c r="H62" s="417"/>
      <c r="I62" s="420"/>
      <c r="J62" s="434"/>
    </row>
    <row r="63" spans="1:16361" ht="18" customHeight="1">
      <c r="A63" s="402"/>
      <c r="B63" s="402"/>
      <c r="C63" s="408" t="s">
        <v>967</v>
      </c>
      <c r="D63" s="408"/>
      <c r="E63" s="408"/>
      <c r="F63" s="330" t="s">
        <v>960</v>
      </c>
      <c r="G63" s="319">
        <v>1</v>
      </c>
      <c r="H63" s="319">
        <v>5400</v>
      </c>
      <c r="I63" s="336">
        <f>H63</f>
        <v>5400</v>
      </c>
      <c r="J63" s="434"/>
    </row>
    <row r="64" spans="1:16361" ht="18" customHeight="1">
      <c r="A64" s="402"/>
      <c r="B64" s="402"/>
      <c r="C64" s="403" t="s">
        <v>973</v>
      </c>
      <c r="D64" s="403"/>
      <c r="E64" s="403"/>
      <c r="F64" s="330"/>
      <c r="G64" s="315"/>
      <c r="H64" s="315"/>
      <c r="I64" s="333">
        <f>SUM(I60:I63)</f>
        <v>40450</v>
      </c>
      <c r="J64" s="434"/>
    </row>
    <row r="65" spans="1:16362" ht="18" customHeight="1">
      <c r="A65" s="317"/>
      <c r="B65" s="317"/>
      <c r="C65" s="403" t="s">
        <v>974</v>
      </c>
      <c r="D65" s="403"/>
      <c r="E65" s="403"/>
      <c r="F65" s="330"/>
      <c r="G65" s="315"/>
      <c r="H65" s="315"/>
      <c r="I65" s="333">
        <f>I59+I64</f>
        <v>390950</v>
      </c>
      <c r="J65" s="434"/>
    </row>
    <row r="66" spans="1:16362" ht="18" customHeight="1">
      <c r="A66" s="402">
        <v>6</v>
      </c>
      <c r="B66" s="402" t="s">
        <v>1016</v>
      </c>
      <c r="C66" s="402" t="s">
        <v>975</v>
      </c>
      <c r="D66" s="402" t="s">
        <v>1017</v>
      </c>
      <c r="E66" s="402"/>
      <c r="F66" s="330" t="s">
        <v>959</v>
      </c>
      <c r="G66" s="318">
        <v>3500</v>
      </c>
      <c r="H66" s="318">
        <v>130</v>
      </c>
      <c r="I66" s="331">
        <f t="shared" ref="I66:I68" si="4">G66*H66</f>
        <v>455000</v>
      </c>
      <c r="J66" s="401">
        <f>ROUND(I76*0.8,0)</f>
        <v>773417</v>
      </c>
    </row>
    <row r="67" spans="1:16362" ht="18" customHeight="1">
      <c r="A67" s="402"/>
      <c r="B67" s="402"/>
      <c r="C67" s="402"/>
      <c r="D67" s="402" t="s">
        <v>1018</v>
      </c>
      <c r="E67" s="402"/>
      <c r="F67" s="330" t="s">
        <v>959</v>
      </c>
      <c r="G67" s="318">
        <v>500</v>
      </c>
      <c r="H67" s="326">
        <v>66.260000000000005</v>
      </c>
      <c r="I67" s="331">
        <f t="shared" si="4"/>
        <v>33130</v>
      </c>
      <c r="J67" s="434"/>
    </row>
    <row r="68" spans="1:16362" ht="18" customHeight="1">
      <c r="A68" s="402"/>
      <c r="B68" s="402"/>
      <c r="C68" s="317" t="s">
        <v>969</v>
      </c>
      <c r="D68" s="402" t="s">
        <v>1019</v>
      </c>
      <c r="E68" s="402"/>
      <c r="F68" s="330" t="s">
        <v>959</v>
      </c>
      <c r="G68" s="318">
        <v>1514.5</v>
      </c>
      <c r="H68" s="318">
        <v>240</v>
      </c>
      <c r="I68" s="331">
        <f t="shared" si="4"/>
        <v>363480</v>
      </c>
      <c r="J68" s="434"/>
    </row>
    <row r="69" spans="1:16362" s="321" customFormat="1" ht="18" customHeight="1">
      <c r="A69" s="403"/>
      <c r="B69" s="403"/>
      <c r="C69" s="403" t="s">
        <v>971</v>
      </c>
      <c r="D69" s="403"/>
      <c r="E69" s="403"/>
      <c r="F69" s="332"/>
      <c r="G69" s="315"/>
      <c r="H69" s="315"/>
      <c r="I69" s="333">
        <f>SUM(I66:I68)</f>
        <v>851610</v>
      </c>
      <c r="J69" s="434"/>
      <c r="K69" s="316"/>
      <c r="L69" s="316"/>
      <c r="M69" s="316"/>
      <c r="N69" s="316"/>
      <c r="O69" s="316"/>
      <c r="P69" s="316"/>
      <c r="Q69" s="316"/>
      <c r="R69" s="316"/>
      <c r="S69" s="316"/>
      <c r="T69" s="316"/>
      <c r="U69" s="316"/>
      <c r="V69" s="316"/>
      <c r="W69" s="316"/>
      <c r="X69" s="316"/>
      <c r="Y69" s="316"/>
      <c r="Z69" s="316"/>
      <c r="AA69" s="316"/>
      <c r="AB69" s="316"/>
      <c r="AC69" s="316"/>
      <c r="AD69" s="316"/>
      <c r="AE69" s="316"/>
      <c r="AF69" s="316"/>
      <c r="AG69" s="316"/>
      <c r="AH69" s="316"/>
      <c r="AI69" s="316"/>
      <c r="AJ69" s="316"/>
      <c r="AK69" s="316"/>
      <c r="AL69" s="316"/>
      <c r="AM69" s="316"/>
      <c r="AN69" s="316"/>
      <c r="AO69" s="316"/>
      <c r="AP69" s="316"/>
      <c r="AQ69" s="316"/>
      <c r="AR69" s="316"/>
      <c r="AS69" s="316"/>
      <c r="AT69" s="316"/>
      <c r="AU69" s="316"/>
      <c r="AV69" s="316"/>
      <c r="AW69" s="316"/>
      <c r="AX69" s="316"/>
      <c r="AY69" s="316"/>
      <c r="AZ69" s="316"/>
      <c r="BA69" s="316"/>
      <c r="BB69" s="316"/>
      <c r="BC69" s="316"/>
      <c r="BD69" s="316"/>
      <c r="BE69" s="316"/>
      <c r="BF69" s="316"/>
      <c r="BG69" s="316"/>
      <c r="BH69" s="316"/>
      <c r="BI69" s="316"/>
      <c r="BJ69" s="316"/>
      <c r="BK69" s="316"/>
      <c r="BL69" s="316"/>
      <c r="BM69" s="316"/>
      <c r="BN69" s="316"/>
      <c r="BO69" s="316"/>
      <c r="BP69" s="316"/>
      <c r="BQ69" s="316"/>
      <c r="BR69" s="316"/>
      <c r="BS69" s="316"/>
      <c r="BT69" s="316"/>
      <c r="BU69" s="316"/>
      <c r="BV69" s="316"/>
      <c r="BW69" s="316"/>
      <c r="BX69" s="316"/>
      <c r="BY69" s="316"/>
      <c r="BZ69" s="316"/>
      <c r="CA69" s="316"/>
      <c r="CB69" s="316"/>
      <c r="CC69" s="316"/>
      <c r="CD69" s="316"/>
      <c r="CE69" s="316"/>
      <c r="CF69" s="316"/>
      <c r="CG69" s="316"/>
      <c r="CH69" s="316"/>
      <c r="CI69" s="316"/>
      <c r="CJ69" s="316"/>
      <c r="CK69" s="316"/>
      <c r="CL69" s="316"/>
      <c r="CM69" s="316"/>
      <c r="CN69" s="316"/>
      <c r="CO69" s="316"/>
      <c r="CP69" s="316"/>
      <c r="CQ69" s="316"/>
      <c r="CR69" s="316"/>
      <c r="CS69" s="316"/>
      <c r="CT69" s="316"/>
      <c r="CU69" s="316"/>
      <c r="CV69" s="316"/>
      <c r="CW69" s="316"/>
      <c r="CX69" s="316"/>
      <c r="CY69" s="316"/>
      <c r="CZ69" s="316"/>
      <c r="DA69" s="316"/>
      <c r="DB69" s="316"/>
      <c r="DC69" s="316"/>
      <c r="DD69" s="316"/>
      <c r="DE69" s="316"/>
      <c r="DF69" s="316"/>
      <c r="DG69" s="316"/>
      <c r="DH69" s="316"/>
      <c r="DI69" s="316"/>
      <c r="DJ69" s="316"/>
      <c r="DK69" s="316"/>
      <c r="DL69" s="316"/>
      <c r="DM69" s="316"/>
      <c r="DN69" s="316"/>
      <c r="DO69" s="316"/>
      <c r="DP69" s="316"/>
      <c r="DQ69" s="316"/>
      <c r="DR69" s="316"/>
      <c r="DS69" s="316"/>
      <c r="DT69" s="316"/>
      <c r="DU69" s="316"/>
      <c r="DV69" s="316"/>
      <c r="DW69" s="316"/>
      <c r="DX69" s="316"/>
      <c r="DY69" s="316"/>
      <c r="DZ69" s="316"/>
      <c r="EA69" s="316"/>
      <c r="EB69" s="316"/>
      <c r="EC69" s="316"/>
      <c r="ED69" s="316"/>
      <c r="EE69" s="316"/>
      <c r="EF69" s="316"/>
      <c r="EG69" s="316"/>
      <c r="EH69" s="316"/>
      <c r="EI69" s="316"/>
      <c r="EJ69" s="316"/>
      <c r="EK69" s="316"/>
      <c r="EL69" s="316"/>
      <c r="EM69" s="316"/>
      <c r="EN69" s="316"/>
      <c r="EO69" s="316"/>
      <c r="EP69" s="316"/>
      <c r="EQ69" s="316"/>
      <c r="ER69" s="316"/>
      <c r="ES69" s="316"/>
      <c r="ET69" s="316"/>
      <c r="EU69" s="316"/>
      <c r="EV69" s="316"/>
      <c r="EW69" s="316"/>
      <c r="EX69" s="316"/>
      <c r="EY69" s="316"/>
      <c r="EZ69" s="316"/>
      <c r="FA69" s="316"/>
      <c r="FB69" s="316"/>
      <c r="FC69" s="316"/>
      <c r="FD69" s="316"/>
      <c r="FE69" s="316"/>
      <c r="FF69" s="316"/>
      <c r="FG69" s="316"/>
      <c r="FH69" s="316"/>
      <c r="FI69" s="316"/>
      <c r="FJ69" s="316"/>
      <c r="FK69" s="316"/>
      <c r="FL69" s="316"/>
      <c r="FM69" s="316"/>
      <c r="FN69" s="316"/>
      <c r="FO69" s="316"/>
      <c r="FP69" s="316"/>
      <c r="FQ69" s="316"/>
      <c r="FR69" s="316"/>
      <c r="FS69" s="316"/>
      <c r="FT69" s="316"/>
      <c r="FU69" s="316"/>
      <c r="FV69" s="316"/>
      <c r="FW69" s="316"/>
      <c r="FX69" s="316"/>
      <c r="FY69" s="316"/>
      <c r="FZ69" s="316"/>
      <c r="GA69" s="316"/>
      <c r="GB69" s="316"/>
      <c r="GC69" s="316"/>
      <c r="GD69" s="316"/>
      <c r="GE69" s="316"/>
      <c r="GF69" s="316"/>
      <c r="GG69" s="316"/>
      <c r="GH69" s="316"/>
      <c r="GI69" s="316"/>
      <c r="GJ69" s="316"/>
      <c r="GK69" s="316"/>
      <c r="GL69" s="316"/>
      <c r="GM69" s="316"/>
      <c r="GN69" s="316"/>
      <c r="GO69" s="316"/>
      <c r="GP69" s="316"/>
      <c r="GQ69" s="316"/>
      <c r="GR69" s="316"/>
      <c r="GS69" s="316"/>
      <c r="GT69" s="316"/>
      <c r="GU69" s="316"/>
      <c r="GV69" s="316"/>
      <c r="GW69" s="316"/>
      <c r="GX69" s="316"/>
      <c r="GY69" s="316"/>
      <c r="GZ69" s="316"/>
      <c r="HA69" s="316"/>
      <c r="HB69" s="316"/>
      <c r="HC69" s="316"/>
      <c r="HD69" s="316"/>
      <c r="HE69" s="316"/>
      <c r="HF69" s="316"/>
      <c r="HG69" s="316"/>
      <c r="HH69" s="316"/>
      <c r="HI69" s="316"/>
      <c r="HJ69" s="316"/>
      <c r="HK69" s="316"/>
      <c r="HL69" s="316"/>
      <c r="HM69" s="316"/>
      <c r="HN69" s="316"/>
      <c r="HO69" s="316"/>
      <c r="HP69" s="316"/>
      <c r="HQ69" s="316"/>
      <c r="HR69" s="316"/>
      <c r="HS69" s="316"/>
      <c r="HT69" s="316"/>
      <c r="HU69" s="316"/>
      <c r="HV69" s="316"/>
      <c r="HW69" s="316"/>
      <c r="HX69" s="316"/>
      <c r="HY69" s="316"/>
      <c r="HZ69" s="316"/>
      <c r="IA69" s="316"/>
      <c r="IB69" s="316"/>
      <c r="IC69" s="316"/>
      <c r="ID69" s="316"/>
      <c r="IE69" s="316"/>
      <c r="IF69" s="316"/>
      <c r="IG69" s="316"/>
      <c r="IH69" s="316"/>
      <c r="II69" s="316"/>
      <c r="IJ69" s="316"/>
      <c r="IK69" s="316"/>
      <c r="IL69" s="316"/>
      <c r="IM69" s="316"/>
      <c r="IN69" s="316"/>
      <c r="IO69" s="316"/>
      <c r="IP69" s="316"/>
      <c r="IQ69" s="316"/>
      <c r="IR69" s="316"/>
      <c r="IS69" s="316"/>
      <c r="IT69" s="316"/>
      <c r="IU69" s="316"/>
      <c r="IV69" s="316"/>
      <c r="IW69" s="316"/>
      <c r="IX69" s="316"/>
      <c r="IY69" s="316"/>
      <c r="IZ69" s="316"/>
      <c r="JA69" s="316"/>
      <c r="JB69" s="316"/>
      <c r="JC69" s="316"/>
      <c r="JD69" s="316"/>
      <c r="JE69" s="316"/>
      <c r="JF69" s="316"/>
      <c r="JG69" s="316"/>
      <c r="JH69" s="316"/>
      <c r="JI69" s="316"/>
      <c r="JJ69" s="316"/>
      <c r="JK69" s="316"/>
      <c r="JL69" s="316"/>
      <c r="JM69" s="316"/>
      <c r="JN69" s="316"/>
      <c r="JO69" s="316"/>
      <c r="JP69" s="316"/>
      <c r="JQ69" s="316"/>
      <c r="JR69" s="316"/>
      <c r="JS69" s="316"/>
      <c r="JT69" s="316"/>
      <c r="JU69" s="316"/>
      <c r="JV69" s="316"/>
      <c r="JW69" s="316"/>
      <c r="JX69" s="316"/>
      <c r="JY69" s="316"/>
      <c r="JZ69" s="316"/>
      <c r="KA69" s="316"/>
      <c r="KB69" s="316"/>
      <c r="KC69" s="316"/>
      <c r="KD69" s="316"/>
      <c r="KE69" s="316"/>
      <c r="KF69" s="316"/>
      <c r="KG69" s="316"/>
      <c r="KH69" s="316"/>
      <c r="KI69" s="316"/>
      <c r="KJ69" s="316"/>
      <c r="KK69" s="316"/>
      <c r="KL69" s="316"/>
      <c r="KM69" s="316"/>
      <c r="KN69" s="316"/>
      <c r="KO69" s="316"/>
      <c r="KP69" s="316"/>
      <c r="KQ69" s="316"/>
      <c r="KR69" s="316"/>
      <c r="KS69" s="316"/>
      <c r="KT69" s="316"/>
      <c r="KU69" s="316"/>
      <c r="KV69" s="316"/>
      <c r="KW69" s="316"/>
      <c r="KX69" s="316"/>
      <c r="KY69" s="316"/>
      <c r="KZ69" s="316"/>
      <c r="LA69" s="316"/>
      <c r="LB69" s="316"/>
      <c r="LC69" s="316"/>
      <c r="LD69" s="316"/>
      <c r="LE69" s="316"/>
      <c r="LF69" s="316"/>
      <c r="LG69" s="316"/>
      <c r="LH69" s="316"/>
      <c r="LI69" s="316"/>
      <c r="LJ69" s="316"/>
      <c r="LK69" s="316"/>
      <c r="LL69" s="316"/>
      <c r="LM69" s="316"/>
      <c r="LN69" s="316"/>
      <c r="LO69" s="316"/>
      <c r="LP69" s="316"/>
      <c r="LQ69" s="316"/>
      <c r="LR69" s="316"/>
      <c r="LS69" s="316"/>
      <c r="LT69" s="316"/>
      <c r="LU69" s="316"/>
      <c r="LV69" s="316"/>
      <c r="LW69" s="316"/>
      <c r="LX69" s="316"/>
      <c r="LY69" s="316"/>
      <c r="LZ69" s="316"/>
      <c r="MA69" s="316"/>
      <c r="MB69" s="316"/>
      <c r="MC69" s="316"/>
      <c r="MD69" s="316"/>
      <c r="ME69" s="316"/>
      <c r="MF69" s="316"/>
      <c r="MG69" s="316"/>
      <c r="MH69" s="316"/>
      <c r="MI69" s="316"/>
      <c r="MJ69" s="316"/>
      <c r="MK69" s="316"/>
      <c r="ML69" s="316"/>
      <c r="MM69" s="316"/>
      <c r="MN69" s="316"/>
      <c r="MO69" s="316"/>
      <c r="MP69" s="316"/>
      <c r="MQ69" s="316"/>
      <c r="MR69" s="316"/>
      <c r="MS69" s="316"/>
      <c r="MT69" s="316"/>
      <c r="MU69" s="316"/>
      <c r="MV69" s="316"/>
      <c r="MW69" s="316"/>
      <c r="MX69" s="316"/>
      <c r="MY69" s="316"/>
      <c r="MZ69" s="316"/>
      <c r="NA69" s="316"/>
      <c r="NB69" s="316"/>
      <c r="NC69" s="316"/>
      <c r="ND69" s="316"/>
      <c r="NE69" s="316"/>
      <c r="NF69" s="316"/>
      <c r="NG69" s="316"/>
      <c r="NH69" s="316"/>
      <c r="NI69" s="316"/>
      <c r="NJ69" s="316"/>
      <c r="NK69" s="316"/>
      <c r="NL69" s="316"/>
      <c r="NM69" s="316"/>
      <c r="NN69" s="316"/>
      <c r="NO69" s="316"/>
      <c r="NP69" s="316"/>
      <c r="NQ69" s="316"/>
      <c r="NR69" s="316"/>
      <c r="NS69" s="316"/>
      <c r="NT69" s="316"/>
      <c r="NU69" s="316"/>
      <c r="NV69" s="316"/>
      <c r="NW69" s="316"/>
      <c r="NX69" s="316"/>
      <c r="NY69" s="316"/>
      <c r="NZ69" s="316"/>
      <c r="OA69" s="316"/>
      <c r="OB69" s="316"/>
      <c r="OC69" s="316"/>
      <c r="OD69" s="316"/>
      <c r="OE69" s="316"/>
      <c r="OF69" s="316"/>
      <c r="OG69" s="316"/>
      <c r="OH69" s="316"/>
      <c r="OI69" s="316"/>
      <c r="OJ69" s="316"/>
      <c r="OK69" s="316"/>
      <c r="OL69" s="316"/>
      <c r="OM69" s="316"/>
      <c r="ON69" s="316"/>
      <c r="OO69" s="316"/>
      <c r="OP69" s="316"/>
      <c r="OQ69" s="316"/>
      <c r="OR69" s="316"/>
      <c r="OS69" s="316"/>
      <c r="OT69" s="316"/>
      <c r="OU69" s="316"/>
      <c r="OV69" s="316"/>
      <c r="OW69" s="316"/>
      <c r="OX69" s="316"/>
      <c r="OY69" s="316"/>
      <c r="OZ69" s="316"/>
      <c r="PA69" s="316"/>
      <c r="PB69" s="316"/>
      <c r="PC69" s="316"/>
      <c r="PD69" s="316"/>
      <c r="PE69" s="316"/>
      <c r="PF69" s="316"/>
      <c r="PG69" s="316"/>
      <c r="PH69" s="316"/>
      <c r="PI69" s="316"/>
      <c r="PJ69" s="316"/>
      <c r="PK69" s="316"/>
      <c r="PL69" s="316"/>
      <c r="PM69" s="316"/>
      <c r="PN69" s="316"/>
      <c r="PO69" s="316"/>
      <c r="PP69" s="316"/>
      <c r="PQ69" s="316"/>
      <c r="PR69" s="316"/>
      <c r="PS69" s="316"/>
      <c r="PT69" s="316"/>
      <c r="PU69" s="316"/>
      <c r="PV69" s="316"/>
      <c r="PW69" s="316"/>
      <c r="PX69" s="316"/>
      <c r="PY69" s="316"/>
      <c r="PZ69" s="316"/>
      <c r="QA69" s="316"/>
      <c r="QB69" s="316"/>
      <c r="QC69" s="316"/>
      <c r="QD69" s="316"/>
      <c r="QE69" s="316"/>
      <c r="QF69" s="316"/>
      <c r="QG69" s="316"/>
      <c r="QH69" s="316"/>
      <c r="QI69" s="316"/>
      <c r="QJ69" s="316"/>
      <c r="QK69" s="316"/>
      <c r="QL69" s="316"/>
      <c r="QM69" s="316"/>
      <c r="QN69" s="316"/>
      <c r="QO69" s="316"/>
      <c r="QP69" s="316"/>
      <c r="QQ69" s="316"/>
      <c r="QR69" s="316"/>
      <c r="QS69" s="316"/>
      <c r="QT69" s="316"/>
      <c r="QU69" s="316"/>
      <c r="QV69" s="316"/>
      <c r="QW69" s="316"/>
      <c r="QX69" s="316"/>
      <c r="QY69" s="316"/>
      <c r="QZ69" s="316"/>
      <c r="RA69" s="316"/>
      <c r="RB69" s="316"/>
      <c r="RC69" s="316"/>
      <c r="RD69" s="316"/>
      <c r="RE69" s="316"/>
      <c r="RF69" s="316"/>
      <c r="RG69" s="316"/>
      <c r="RH69" s="316"/>
      <c r="RI69" s="316"/>
      <c r="RJ69" s="316"/>
      <c r="RK69" s="316"/>
      <c r="RL69" s="316"/>
      <c r="RM69" s="316"/>
      <c r="RN69" s="316"/>
      <c r="RO69" s="316"/>
      <c r="RP69" s="316"/>
      <c r="RQ69" s="316"/>
      <c r="RR69" s="316"/>
      <c r="RS69" s="316"/>
      <c r="RT69" s="316"/>
      <c r="RU69" s="316"/>
      <c r="RV69" s="316"/>
      <c r="RW69" s="316"/>
      <c r="RX69" s="316"/>
      <c r="RY69" s="316"/>
      <c r="RZ69" s="316"/>
      <c r="SA69" s="316"/>
      <c r="SB69" s="316"/>
      <c r="SC69" s="316"/>
      <c r="SD69" s="316"/>
      <c r="SE69" s="316"/>
      <c r="SF69" s="316"/>
      <c r="SG69" s="316"/>
      <c r="SH69" s="316"/>
      <c r="SI69" s="316"/>
      <c r="SJ69" s="316"/>
      <c r="SK69" s="316"/>
      <c r="SL69" s="316"/>
      <c r="SM69" s="316"/>
      <c r="SN69" s="316"/>
      <c r="SO69" s="316"/>
      <c r="SP69" s="316"/>
      <c r="SQ69" s="316"/>
      <c r="SR69" s="316"/>
      <c r="SS69" s="316"/>
      <c r="ST69" s="316"/>
      <c r="SU69" s="316"/>
      <c r="SV69" s="316"/>
      <c r="SW69" s="316"/>
      <c r="SX69" s="316"/>
      <c r="SY69" s="316"/>
      <c r="SZ69" s="316"/>
      <c r="TA69" s="316"/>
      <c r="TB69" s="316"/>
      <c r="TC69" s="316"/>
      <c r="TD69" s="316"/>
      <c r="TE69" s="316"/>
      <c r="TF69" s="316"/>
      <c r="TG69" s="316"/>
      <c r="TH69" s="316"/>
      <c r="TI69" s="316"/>
      <c r="TJ69" s="316"/>
      <c r="TK69" s="316"/>
      <c r="TL69" s="316"/>
      <c r="TM69" s="316"/>
      <c r="TN69" s="316"/>
      <c r="TO69" s="316"/>
      <c r="TP69" s="316"/>
      <c r="TQ69" s="316"/>
      <c r="TR69" s="316"/>
      <c r="TS69" s="316"/>
      <c r="TT69" s="316"/>
      <c r="TU69" s="316"/>
      <c r="TV69" s="316"/>
      <c r="TW69" s="316"/>
      <c r="TX69" s="316"/>
      <c r="TY69" s="316"/>
      <c r="TZ69" s="316"/>
      <c r="UA69" s="316"/>
      <c r="UB69" s="316"/>
      <c r="UC69" s="316"/>
      <c r="UD69" s="316"/>
      <c r="UE69" s="316"/>
      <c r="UF69" s="316"/>
      <c r="UG69" s="316"/>
      <c r="UH69" s="316"/>
      <c r="UI69" s="316"/>
      <c r="UJ69" s="316"/>
      <c r="UK69" s="316"/>
      <c r="UL69" s="316"/>
      <c r="UM69" s="316"/>
      <c r="UN69" s="316"/>
      <c r="UO69" s="316"/>
      <c r="UP69" s="316"/>
      <c r="UQ69" s="316"/>
      <c r="UR69" s="316"/>
      <c r="US69" s="316"/>
      <c r="UT69" s="316"/>
      <c r="UU69" s="316"/>
      <c r="UV69" s="316"/>
      <c r="UW69" s="316"/>
      <c r="UX69" s="316"/>
      <c r="UY69" s="316"/>
      <c r="UZ69" s="316"/>
      <c r="VA69" s="316"/>
      <c r="VB69" s="316"/>
      <c r="VC69" s="316"/>
      <c r="VD69" s="316"/>
      <c r="VE69" s="316"/>
      <c r="VF69" s="316"/>
      <c r="VG69" s="316"/>
      <c r="VH69" s="316"/>
      <c r="VI69" s="316"/>
      <c r="VJ69" s="316"/>
      <c r="VK69" s="316"/>
      <c r="VL69" s="316"/>
      <c r="VM69" s="316"/>
      <c r="VN69" s="316"/>
      <c r="VO69" s="316"/>
      <c r="VP69" s="316"/>
      <c r="VQ69" s="316"/>
      <c r="VR69" s="316"/>
      <c r="VS69" s="316"/>
      <c r="VT69" s="316"/>
      <c r="VU69" s="316"/>
      <c r="VV69" s="316"/>
      <c r="VW69" s="316"/>
      <c r="VX69" s="316"/>
      <c r="VY69" s="316"/>
      <c r="VZ69" s="316"/>
      <c r="WA69" s="316"/>
      <c r="WB69" s="316"/>
      <c r="WC69" s="316"/>
      <c r="WD69" s="316"/>
      <c r="WE69" s="316"/>
      <c r="WF69" s="316"/>
      <c r="WG69" s="316"/>
      <c r="WH69" s="316"/>
      <c r="WI69" s="316"/>
      <c r="WJ69" s="316"/>
      <c r="WK69" s="316"/>
      <c r="WL69" s="316"/>
      <c r="WM69" s="316"/>
      <c r="WN69" s="316"/>
      <c r="WO69" s="316"/>
      <c r="WP69" s="316"/>
      <c r="WQ69" s="316"/>
      <c r="WR69" s="316"/>
      <c r="WS69" s="316"/>
      <c r="WT69" s="316"/>
      <c r="WU69" s="316"/>
      <c r="WV69" s="316"/>
      <c r="WW69" s="316"/>
      <c r="WX69" s="316"/>
      <c r="WY69" s="316"/>
      <c r="WZ69" s="316"/>
      <c r="XA69" s="316"/>
      <c r="XB69" s="316"/>
      <c r="XC69" s="316"/>
      <c r="XD69" s="316"/>
      <c r="XE69" s="316"/>
      <c r="XF69" s="316"/>
      <c r="XG69" s="316"/>
      <c r="XH69" s="316"/>
      <c r="XI69" s="316"/>
      <c r="XJ69" s="316"/>
      <c r="XK69" s="316"/>
      <c r="XL69" s="316"/>
      <c r="XM69" s="316"/>
      <c r="XN69" s="316"/>
      <c r="XO69" s="316"/>
      <c r="XP69" s="316"/>
      <c r="XQ69" s="316"/>
      <c r="XR69" s="316"/>
      <c r="XS69" s="316"/>
      <c r="XT69" s="316"/>
      <c r="XU69" s="316"/>
      <c r="XV69" s="316"/>
      <c r="XW69" s="316"/>
      <c r="XX69" s="316"/>
      <c r="XY69" s="316"/>
      <c r="XZ69" s="316"/>
      <c r="YA69" s="316"/>
      <c r="YB69" s="316"/>
      <c r="YC69" s="316"/>
      <c r="YD69" s="316"/>
      <c r="YE69" s="316"/>
      <c r="YF69" s="316"/>
      <c r="YG69" s="316"/>
      <c r="YH69" s="316"/>
      <c r="YI69" s="316"/>
      <c r="YJ69" s="316"/>
      <c r="YK69" s="316"/>
      <c r="YL69" s="316"/>
      <c r="YM69" s="316"/>
      <c r="YN69" s="316"/>
      <c r="YO69" s="316"/>
      <c r="YP69" s="316"/>
      <c r="YQ69" s="316"/>
      <c r="YR69" s="316"/>
      <c r="YS69" s="316"/>
      <c r="YT69" s="316"/>
      <c r="YU69" s="316"/>
      <c r="YV69" s="316"/>
      <c r="YW69" s="316"/>
      <c r="YX69" s="316"/>
      <c r="YY69" s="316"/>
      <c r="YZ69" s="316"/>
      <c r="ZA69" s="316"/>
      <c r="ZB69" s="316"/>
      <c r="ZC69" s="316"/>
      <c r="ZD69" s="316"/>
      <c r="ZE69" s="316"/>
      <c r="ZF69" s="316"/>
      <c r="ZG69" s="316"/>
      <c r="ZH69" s="316"/>
      <c r="ZI69" s="316"/>
      <c r="ZJ69" s="316"/>
      <c r="ZK69" s="316"/>
      <c r="ZL69" s="316"/>
      <c r="ZM69" s="316"/>
      <c r="ZN69" s="316"/>
      <c r="ZO69" s="316"/>
      <c r="ZP69" s="316"/>
      <c r="ZQ69" s="316"/>
      <c r="ZR69" s="316"/>
      <c r="ZS69" s="316"/>
      <c r="ZT69" s="316"/>
      <c r="ZU69" s="316"/>
      <c r="ZV69" s="316"/>
      <c r="ZW69" s="316"/>
      <c r="ZX69" s="316"/>
      <c r="ZY69" s="316"/>
      <c r="ZZ69" s="316"/>
      <c r="AAA69" s="316"/>
      <c r="AAB69" s="316"/>
      <c r="AAC69" s="316"/>
      <c r="AAD69" s="316"/>
      <c r="AAE69" s="316"/>
      <c r="AAF69" s="316"/>
      <c r="AAG69" s="316"/>
      <c r="AAH69" s="316"/>
      <c r="AAI69" s="316"/>
      <c r="AAJ69" s="316"/>
      <c r="AAK69" s="316"/>
      <c r="AAL69" s="316"/>
      <c r="AAM69" s="316"/>
      <c r="AAN69" s="316"/>
      <c r="AAO69" s="316"/>
      <c r="AAP69" s="316"/>
      <c r="AAQ69" s="316"/>
      <c r="AAR69" s="316"/>
      <c r="AAS69" s="316"/>
      <c r="AAT69" s="316"/>
      <c r="AAU69" s="316"/>
      <c r="AAV69" s="316"/>
      <c r="AAW69" s="316"/>
      <c r="AAX69" s="316"/>
      <c r="AAY69" s="316"/>
      <c r="AAZ69" s="316"/>
      <c r="ABA69" s="316"/>
      <c r="ABB69" s="316"/>
      <c r="ABC69" s="316"/>
      <c r="ABD69" s="316"/>
      <c r="ABE69" s="316"/>
      <c r="ABF69" s="316"/>
      <c r="ABG69" s="316"/>
      <c r="ABH69" s="316"/>
      <c r="ABI69" s="316"/>
      <c r="ABJ69" s="316"/>
      <c r="ABK69" s="316"/>
      <c r="ABL69" s="316"/>
      <c r="ABM69" s="316"/>
      <c r="ABN69" s="316"/>
      <c r="ABO69" s="316"/>
      <c r="ABP69" s="316"/>
      <c r="ABQ69" s="316"/>
      <c r="ABR69" s="316"/>
      <c r="ABS69" s="316"/>
      <c r="ABT69" s="316"/>
      <c r="ABU69" s="316"/>
      <c r="ABV69" s="316"/>
      <c r="ABW69" s="316"/>
      <c r="ABX69" s="316"/>
      <c r="ABY69" s="316"/>
      <c r="ABZ69" s="316"/>
      <c r="ACA69" s="316"/>
      <c r="ACB69" s="316"/>
      <c r="ACC69" s="316"/>
      <c r="ACD69" s="316"/>
      <c r="ACE69" s="316"/>
      <c r="ACF69" s="316"/>
      <c r="ACG69" s="316"/>
      <c r="ACH69" s="316"/>
      <c r="ACI69" s="316"/>
      <c r="ACJ69" s="316"/>
      <c r="ACK69" s="316"/>
      <c r="ACL69" s="316"/>
      <c r="ACM69" s="316"/>
      <c r="ACN69" s="316"/>
      <c r="ACO69" s="316"/>
      <c r="ACP69" s="316"/>
      <c r="ACQ69" s="316"/>
      <c r="ACR69" s="316"/>
      <c r="ACS69" s="316"/>
      <c r="ACT69" s="316"/>
      <c r="ACU69" s="316"/>
      <c r="ACV69" s="316"/>
      <c r="ACW69" s="316"/>
      <c r="ACX69" s="316"/>
      <c r="ACY69" s="316"/>
      <c r="ACZ69" s="316"/>
      <c r="ADA69" s="316"/>
      <c r="ADB69" s="316"/>
      <c r="ADC69" s="316"/>
      <c r="ADD69" s="316"/>
      <c r="ADE69" s="316"/>
      <c r="ADF69" s="316"/>
      <c r="ADG69" s="316"/>
      <c r="ADH69" s="316"/>
      <c r="ADI69" s="316"/>
      <c r="ADJ69" s="316"/>
      <c r="ADK69" s="316"/>
      <c r="ADL69" s="316"/>
      <c r="ADM69" s="316"/>
      <c r="ADN69" s="316"/>
      <c r="ADO69" s="316"/>
      <c r="ADP69" s="316"/>
      <c r="ADQ69" s="316"/>
      <c r="ADR69" s="316"/>
      <c r="ADS69" s="316"/>
      <c r="ADT69" s="316"/>
      <c r="ADU69" s="316"/>
      <c r="ADV69" s="316"/>
      <c r="ADW69" s="316"/>
      <c r="ADX69" s="316"/>
      <c r="ADY69" s="316"/>
      <c r="ADZ69" s="316"/>
      <c r="AEA69" s="316"/>
      <c r="AEB69" s="316"/>
      <c r="AEC69" s="316"/>
      <c r="AED69" s="316"/>
      <c r="AEE69" s="316"/>
      <c r="AEF69" s="316"/>
      <c r="AEG69" s="316"/>
      <c r="AEH69" s="316"/>
      <c r="AEI69" s="316"/>
      <c r="AEJ69" s="316"/>
      <c r="AEK69" s="316"/>
      <c r="AEL69" s="316"/>
      <c r="AEM69" s="316"/>
      <c r="AEN69" s="316"/>
      <c r="AEO69" s="316"/>
      <c r="AEP69" s="316"/>
      <c r="AEQ69" s="316"/>
      <c r="AER69" s="316"/>
      <c r="AES69" s="316"/>
      <c r="AET69" s="316"/>
      <c r="AEU69" s="316"/>
      <c r="AEV69" s="316"/>
      <c r="AEW69" s="316"/>
      <c r="AEX69" s="316"/>
      <c r="AEY69" s="316"/>
      <c r="AEZ69" s="316"/>
      <c r="AFA69" s="316"/>
      <c r="AFB69" s="316"/>
      <c r="AFC69" s="316"/>
      <c r="AFD69" s="316"/>
      <c r="AFE69" s="316"/>
      <c r="AFF69" s="316"/>
      <c r="AFG69" s="316"/>
      <c r="AFH69" s="316"/>
      <c r="AFI69" s="316"/>
      <c r="AFJ69" s="316"/>
      <c r="AFK69" s="316"/>
      <c r="AFL69" s="316"/>
      <c r="AFM69" s="316"/>
      <c r="AFN69" s="316"/>
      <c r="AFO69" s="316"/>
      <c r="AFP69" s="316"/>
      <c r="AFQ69" s="316"/>
      <c r="AFR69" s="316"/>
      <c r="AFS69" s="316"/>
      <c r="AFT69" s="316"/>
      <c r="AFU69" s="316"/>
      <c r="AFV69" s="316"/>
      <c r="AFW69" s="316"/>
      <c r="AFX69" s="316"/>
      <c r="AFY69" s="316"/>
      <c r="AFZ69" s="316"/>
      <c r="AGA69" s="316"/>
      <c r="AGB69" s="316"/>
      <c r="AGC69" s="316"/>
      <c r="AGD69" s="316"/>
      <c r="AGE69" s="316"/>
      <c r="AGF69" s="316"/>
      <c r="AGG69" s="316"/>
      <c r="AGH69" s="316"/>
      <c r="AGI69" s="316"/>
      <c r="AGJ69" s="316"/>
      <c r="AGK69" s="316"/>
      <c r="AGL69" s="316"/>
      <c r="AGM69" s="316"/>
      <c r="AGN69" s="316"/>
      <c r="AGO69" s="316"/>
      <c r="AGP69" s="316"/>
      <c r="AGQ69" s="316"/>
      <c r="AGR69" s="316"/>
      <c r="AGS69" s="316"/>
      <c r="AGT69" s="316"/>
      <c r="AGU69" s="316"/>
      <c r="AGV69" s="316"/>
      <c r="AGW69" s="316"/>
      <c r="AGX69" s="316"/>
      <c r="AGY69" s="316"/>
      <c r="AGZ69" s="316"/>
      <c r="AHA69" s="316"/>
      <c r="AHB69" s="316"/>
      <c r="AHC69" s="316"/>
      <c r="AHD69" s="316"/>
      <c r="AHE69" s="316"/>
      <c r="AHF69" s="316"/>
      <c r="AHG69" s="316"/>
      <c r="AHH69" s="316"/>
      <c r="AHI69" s="316"/>
      <c r="AHJ69" s="316"/>
      <c r="AHK69" s="316"/>
      <c r="AHL69" s="316"/>
      <c r="AHM69" s="316"/>
      <c r="AHN69" s="316"/>
      <c r="AHO69" s="316"/>
      <c r="AHP69" s="316"/>
      <c r="AHQ69" s="316"/>
      <c r="AHR69" s="316"/>
      <c r="AHS69" s="316"/>
      <c r="AHT69" s="316"/>
      <c r="AHU69" s="316"/>
      <c r="AHV69" s="316"/>
      <c r="AHW69" s="316"/>
      <c r="AHX69" s="316"/>
      <c r="AHY69" s="316"/>
      <c r="AHZ69" s="316"/>
      <c r="AIA69" s="316"/>
      <c r="AIB69" s="316"/>
      <c r="AIC69" s="316"/>
      <c r="AID69" s="316"/>
      <c r="AIE69" s="316"/>
      <c r="AIF69" s="316"/>
      <c r="AIG69" s="316"/>
      <c r="AIH69" s="316"/>
      <c r="AII69" s="316"/>
      <c r="AIJ69" s="316"/>
      <c r="AIK69" s="316"/>
      <c r="AIL69" s="316"/>
      <c r="AIM69" s="316"/>
      <c r="AIN69" s="316"/>
      <c r="AIO69" s="316"/>
      <c r="AIP69" s="316"/>
      <c r="AIQ69" s="316"/>
      <c r="AIR69" s="316"/>
      <c r="AIS69" s="316"/>
      <c r="AIT69" s="316"/>
      <c r="AIU69" s="316"/>
      <c r="AIV69" s="316"/>
      <c r="AIW69" s="316"/>
      <c r="AIX69" s="316"/>
      <c r="AIY69" s="316"/>
      <c r="AIZ69" s="316"/>
      <c r="AJA69" s="316"/>
      <c r="AJB69" s="316"/>
      <c r="AJC69" s="316"/>
      <c r="AJD69" s="316"/>
      <c r="AJE69" s="316"/>
      <c r="AJF69" s="316"/>
      <c r="AJG69" s="316"/>
      <c r="AJH69" s="316"/>
      <c r="AJI69" s="316"/>
      <c r="AJJ69" s="316"/>
      <c r="AJK69" s="316"/>
      <c r="AJL69" s="316"/>
      <c r="AJM69" s="316"/>
      <c r="AJN69" s="316"/>
      <c r="AJO69" s="316"/>
      <c r="AJP69" s="316"/>
      <c r="AJQ69" s="316"/>
      <c r="AJR69" s="316"/>
      <c r="AJS69" s="316"/>
      <c r="AJT69" s="316"/>
      <c r="AJU69" s="316"/>
      <c r="AJV69" s="316"/>
      <c r="AJW69" s="316"/>
      <c r="AJX69" s="316"/>
      <c r="AJY69" s="316"/>
      <c r="AJZ69" s="316"/>
      <c r="AKA69" s="316"/>
      <c r="AKB69" s="316"/>
      <c r="AKC69" s="316"/>
      <c r="AKD69" s="316"/>
      <c r="AKE69" s="316"/>
      <c r="AKF69" s="316"/>
      <c r="AKG69" s="316"/>
      <c r="AKH69" s="316"/>
      <c r="AKI69" s="316"/>
      <c r="AKJ69" s="316"/>
      <c r="AKK69" s="316"/>
      <c r="AKL69" s="316"/>
      <c r="AKM69" s="316"/>
      <c r="AKN69" s="316"/>
      <c r="AKO69" s="316"/>
      <c r="AKP69" s="316"/>
      <c r="AKQ69" s="316"/>
      <c r="AKR69" s="316"/>
      <c r="AKS69" s="316"/>
      <c r="AKT69" s="316"/>
      <c r="AKU69" s="316"/>
      <c r="AKV69" s="316"/>
      <c r="AKW69" s="316"/>
      <c r="AKX69" s="316"/>
      <c r="AKY69" s="316"/>
      <c r="AKZ69" s="316"/>
      <c r="ALA69" s="316"/>
      <c r="ALB69" s="316"/>
      <c r="ALC69" s="316"/>
      <c r="ALD69" s="316"/>
      <c r="ALE69" s="316"/>
      <c r="ALF69" s="316"/>
      <c r="ALG69" s="316"/>
      <c r="ALH69" s="316"/>
      <c r="ALI69" s="316"/>
      <c r="ALJ69" s="316"/>
      <c r="ALK69" s="316"/>
      <c r="ALL69" s="316"/>
      <c r="ALM69" s="316"/>
      <c r="ALN69" s="316"/>
      <c r="ALO69" s="316"/>
      <c r="ALP69" s="316"/>
      <c r="ALQ69" s="316"/>
      <c r="ALR69" s="316"/>
      <c r="ALS69" s="316"/>
      <c r="ALT69" s="316"/>
      <c r="ALU69" s="316"/>
      <c r="ALV69" s="316"/>
      <c r="ALW69" s="316"/>
      <c r="ALX69" s="316"/>
      <c r="ALY69" s="316"/>
      <c r="ALZ69" s="316"/>
      <c r="AMA69" s="316"/>
      <c r="AMB69" s="316"/>
      <c r="AMC69" s="316"/>
      <c r="AMD69" s="316"/>
      <c r="AME69" s="316"/>
      <c r="AMF69" s="316"/>
      <c r="AMG69" s="316"/>
      <c r="AMH69" s="316"/>
      <c r="AMI69" s="316"/>
      <c r="AMJ69" s="316"/>
      <c r="AMK69" s="316"/>
      <c r="AML69" s="316"/>
      <c r="AMM69" s="316"/>
      <c r="AMN69" s="316"/>
      <c r="AMO69" s="316"/>
      <c r="AMP69" s="316"/>
      <c r="AMQ69" s="316"/>
      <c r="AMR69" s="316"/>
      <c r="AMS69" s="316"/>
      <c r="AMT69" s="316"/>
      <c r="AMU69" s="316"/>
      <c r="AMV69" s="316"/>
      <c r="AMW69" s="316"/>
      <c r="AMX69" s="316"/>
      <c r="AMY69" s="316"/>
      <c r="AMZ69" s="316"/>
      <c r="ANA69" s="316"/>
      <c r="ANB69" s="316"/>
      <c r="ANC69" s="316"/>
      <c r="AND69" s="316"/>
      <c r="ANE69" s="316"/>
      <c r="ANF69" s="316"/>
      <c r="ANG69" s="316"/>
      <c r="ANH69" s="316"/>
      <c r="ANI69" s="316"/>
      <c r="ANJ69" s="316"/>
      <c r="ANK69" s="316"/>
      <c r="ANL69" s="316"/>
      <c r="ANM69" s="316"/>
      <c r="ANN69" s="316"/>
      <c r="ANO69" s="316"/>
      <c r="ANP69" s="316"/>
      <c r="ANQ69" s="316"/>
      <c r="ANR69" s="316"/>
      <c r="ANS69" s="316"/>
      <c r="ANT69" s="316"/>
      <c r="ANU69" s="316"/>
      <c r="ANV69" s="316"/>
      <c r="ANW69" s="316"/>
      <c r="ANX69" s="316"/>
      <c r="ANY69" s="316"/>
      <c r="ANZ69" s="316"/>
      <c r="AOA69" s="316"/>
      <c r="AOB69" s="316"/>
      <c r="AOC69" s="316"/>
      <c r="AOD69" s="316"/>
      <c r="AOE69" s="316"/>
      <c r="AOF69" s="316"/>
      <c r="AOG69" s="316"/>
      <c r="AOH69" s="316"/>
      <c r="AOI69" s="316"/>
      <c r="AOJ69" s="316"/>
      <c r="AOK69" s="316"/>
      <c r="AOL69" s="316"/>
      <c r="AOM69" s="316"/>
      <c r="AON69" s="316"/>
      <c r="AOO69" s="316"/>
      <c r="AOP69" s="316"/>
      <c r="AOQ69" s="316"/>
      <c r="AOR69" s="316"/>
      <c r="AOS69" s="316"/>
      <c r="AOT69" s="316"/>
      <c r="AOU69" s="316"/>
      <c r="AOV69" s="316"/>
      <c r="AOW69" s="316"/>
      <c r="AOX69" s="316"/>
      <c r="AOY69" s="316"/>
      <c r="AOZ69" s="316"/>
      <c r="APA69" s="316"/>
      <c r="APB69" s="316"/>
      <c r="APC69" s="316"/>
      <c r="APD69" s="316"/>
      <c r="APE69" s="316"/>
      <c r="APF69" s="316"/>
      <c r="APG69" s="316"/>
      <c r="APH69" s="316"/>
      <c r="API69" s="316"/>
      <c r="APJ69" s="316"/>
      <c r="APK69" s="316"/>
      <c r="APL69" s="316"/>
      <c r="APM69" s="316"/>
      <c r="APN69" s="316"/>
      <c r="APO69" s="316"/>
      <c r="APP69" s="316"/>
      <c r="APQ69" s="316"/>
      <c r="APR69" s="316"/>
      <c r="APS69" s="316"/>
      <c r="APT69" s="316"/>
      <c r="APU69" s="316"/>
      <c r="APV69" s="316"/>
      <c r="APW69" s="316"/>
      <c r="APX69" s="316"/>
      <c r="APY69" s="316"/>
      <c r="APZ69" s="316"/>
      <c r="AQA69" s="316"/>
      <c r="AQB69" s="316"/>
      <c r="AQC69" s="316"/>
      <c r="AQD69" s="316"/>
      <c r="AQE69" s="316"/>
      <c r="AQF69" s="316"/>
      <c r="AQG69" s="316"/>
      <c r="AQH69" s="316"/>
      <c r="AQI69" s="316"/>
      <c r="AQJ69" s="316"/>
      <c r="AQK69" s="316"/>
      <c r="AQL69" s="316"/>
      <c r="AQM69" s="316"/>
      <c r="AQN69" s="316"/>
      <c r="AQO69" s="316"/>
      <c r="AQP69" s="316"/>
      <c r="AQQ69" s="316"/>
      <c r="AQR69" s="316"/>
      <c r="AQS69" s="316"/>
      <c r="AQT69" s="316"/>
      <c r="AQU69" s="316"/>
      <c r="AQV69" s="316"/>
      <c r="AQW69" s="316"/>
      <c r="AQX69" s="316"/>
      <c r="AQY69" s="316"/>
      <c r="AQZ69" s="316"/>
      <c r="ARA69" s="316"/>
      <c r="ARB69" s="316"/>
      <c r="ARC69" s="316"/>
      <c r="ARD69" s="316"/>
      <c r="ARE69" s="316"/>
      <c r="ARF69" s="316"/>
      <c r="ARG69" s="316"/>
      <c r="ARH69" s="316"/>
      <c r="ARI69" s="316"/>
      <c r="ARJ69" s="316"/>
      <c r="ARK69" s="316"/>
      <c r="ARL69" s="316"/>
      <c r="ARM69" s="316"/>
      <c r="ARN69" s="316"/>
      <c r="ARO69" s="316"/>
      <c r="ARP69" s="316"/>
      <c r="ARQ69" s="316"/>
      <c r="ARR69" s="316"/>
      <c r="ARS69" s="316"/>
      <c r="ART69" s="316"/>
      <c r="ARU69" s="316"/>
      <c r="ARV69" s="316"/>
      <c r="ARW69" s="316"/>
      <c r="ARX69" s="316"/>
      <c r="ARY69" s="316"/>
      <c r="ARZ69" s="316"/>
      <c r="ASA69" s="316"/>
      <c r="ASB69" s="316"/>
      <c r="ASC69" s="316"/>
      <c r="ASD69" s="316"/>
      <c r="ASE69" s="316"/>
      <c r="ASF69" s="316"/>
      <c r="ASG69" s="316"/>
      <c r="ASH69" s="316"/>
      <c r="ASI69" s="316"/>
      <c r="ASJ69" s="316"/>
      <c r="ASK69" s="316"/>
      <c r="ASL69" s="316"/>
      <c r="ASM69" s="316"/>
      <c r="ASN69" s="316"/>
      <c r="ASO69" s="316"/>
      <c r="ASP69" s="316"/>
      <c r="ASQ69" s="316"/>
      <c r="ASR69" s="316"/>
      <c r="ASS69" s="316"/>
      <c r="AST69" s="316"/>
      <c r="ASU69" s="316"/>
      <c r="ASV69" s="316"/>
      <c r="ASW69" s="316"/>
      <c r="ASX69" s="316"/>
      <c r="ASY69" s="316"/>
      <c r="ASZ69" s="316"/>
      <c r="ATA69" s="316"/>
      <c r="ATB69" s="316"/>
      <c r="ATC69" s="316"/>
      <c r="ATD69" s="316"/>
      <c r="ATE69" s="316"/>
      <c r="ATF69" s="316"/>
      <c r="ATG69" s="316"/>
      <c r="ATH69" s="316"/>
      <c r="ATI69" s="316"/>
      <c r="ATJ69" s="316"/>
      <c r="ATK69" s="316"/>
      <c r="ATL69" s="316"/>
      <c r="ATM69" s="316"/>
      <c r="ATN69" s="316"/>
      <c r="ATO69" s="316"/>
      <c r="ATP69" s="316"/>
      <c r="ATQ69" s="316"/>
      <c r="ATR69" s="316"/>
      <c r="ATS69" s="316"/>
      <c r="ATT69" s="316"/>
      <c r="ATU69" s="316"/>
      <c r="ATV69" s="316"/>
      <c r="ATW69" s="316"/>
      <c r="ATX69" s="316"/>
      <c r="ATY69" s="316"/>
      <c r="ATZ69" s="316"/>
      <c r="AUA69" s="316"/>
      <c r="AUB69" s="316"/>
      <c r="AUC69" s="316"/>
      <c r="AUD69" s="316"/>
      <c r="AUE69" s="316"/>
      <c r="AUF69" s="316"/>
      <c r="AUG69" s="316"/>
      <c r="AUH69" s="316"/>
      <c r="AUI69" s="316"/>
      <c r="AUJ69" s="316"/>
      <c r="AUK69" s="316"/>
      <c r="AUL69" s="316"/>
      <c r="AUM69" s="316"/>
      <c r="AUN69" s="316"/>
      <c r="AUO69" s="316"/>
      <c r="AUP69" s="316"/>
      <c r="AUQ69" s="316"/>
      <c r="AUR69" s="316"/>
      <c r="AUS69" s="316"/>
      <c r="AUT69" s="316"/>
      <c r="AUU69" s="316"/>
      <c r="AUV69" s="316"/>
      <c r="AUW69" s="316"/>
      <c r="AUX69" s="316"/>
      <c r="AUY69" s="316"/>
      <c r="AUZ69" s="316"/>
      <c r="AVA69" s="316"/>
      <c r="AVB69" s="316"/>
      <c r="AVC69" s="316"/>
      <c r="AVD69" s="316"/>
      <c r="AVE69" s="316"/>
      <c r="AVF69" s="316"/>
      <c r="AVG69" s="316"/>
      <c r="AVH69" s="316"/>
      <c r="AVI69" s="316"/>
      <c r="AVJ69" s="316"/>
      <c r="AVK69" s="316"/>
      <c r="AVL69" s="316"/>
      <c r="AVM69" s="316"/>
      <c r="AVN69" s="316"/>
      <c r="AVO69" s="316"/>
      <c r="AVP69" s="316"/>
      <c r="AVQ69" s="316"/>
      <c r="AVR69" s="316"/>
      <c r="AVS69" s="316"/>
      <c r="AVT69" s="316"/>
      <c r="AVU69" s="316"/>
      <c r="AVV69" s="316"/>
      <c r="AVW69" s="316"/>
      <c r="AVX69" s="316"/>
      <c r="AVY69" s="316"/>
      <c r="AVZ69" s="316"/>
      <c r="AWA69" s="316"/>
      <c r="AWB69" s="316"/>
      <c r="AWC69" s="316"/>
      <c r="AWD69" s="316"/>
      <c r="AWE69" s="316"/>
      <c r="AWF69" s="316"/>
      <c r="AWG69" s="316"/>
      <c r="AWH69" s="316"/>
      <c r="AWI69" s="316"/>
      <c r="AWJ69" s="316"/>
      <c r="AWK69" s="316"/>
      <c r="AWL69" s="316"/>
      <c r="AWM69" s="316"/>
      <c r="AWN69" s="316"/>
      <c r="AWO69" s="316"/>
      <c r="AWP69" s="316"/>
      <c r="AWQ69" s="316"/>
      <c r="AWR69" s="316"/>
      <c r="AWS69" s="316"/>
      <c r="AWT69" s="316"/>
      <c r="AWU69" s="316"/>
      <c r="AWV69" s="316"/>
      <c r="AWW69" s="316"/>
      <c r="AWX69" s="316"/>
      <c r="AWY69" s="316"/>
      <c r="AWZ69" s="316"/>
      <c r="AXA69" s="316"/>
      <c r="AXB69" s="316"/>
      <c r="AXC69" s="316"/>
      <c r="AXD69" s="316"/>
      <c r="AXE69" s="316"/>
      <c r="AXF69" s="316"/>
      <c r="AXG69" s="316"/>
      <c r="AXH69" s="316"/>
      <c r="AXI69" s="316"/>
      <c r="AXJ69" s="316"/>
      <c r="AXK69" s="316"/>
      <c r="AXL69" s="316"/>
      <c r="AXM69" s="316"/>
      <c r="AXN69" s="316"/>
      <c r="AXO69" s="316"/>
      <c r="AXP69" s="316"/>
      <c r="AXQ69" s="316"/>
      <c r="AXR69" s="316"/>
      <c r="AXS69" s="316"/>
      <c r="AXT69" s="316"/>
      <c r="AXU69" s="316"/>
      <c r="AXV69" s="316"/>
      <c r="AXW69" s="316"/>
      <c r="AXX69" s="316"/>
      <c r="AXY69" s="316"/>
      <c r="AXZ69" s="316"/>
      <c r="AYA69" s="316"/>
      <c r="AYB69" s="316"/>
      <c r="AYC69" s="316"/>
      <c r="AYD69" s="316"/>
      <c r="AYE69" s="316"/>
      <c r="AYF69" s="316"/>
      <c r="AYG69" s="316"/>
      <c r="AYH69" s="316"/>
      <c r="AYI69" s="316"/>
      <c r="AYJ69" s="316"/>
      <c r="AYK69" s="316"/>
      <c r="AYL69" s="316"/>
      <c r="AYM69" s="316"/>
      <c r="AYN69" s="316"/>
      <c r="AYO69" s="316"/>
      <c r="AYP69" s="316"/>
      <c r="AYQ69" s="316"/>
      <c r="AYR69" s="316"/>
      <c r="AYS69" s="316"/>
      <c r="AYT69" s="316"/>
      <c r="AYU69" s="316"/>
      <c r="AYV69" s="316"/>
      <c r="AYW69" s="316"/>
      <c r="AYX69" s="316"/>
      <c r="AYY69" s="316"/>
      <c r="AYZ69" s="316"/>
      <c r="AZA69" s="316"/>
      <c r="AZB69" s="316"/>
      <c r="AZC69" s="316"/>
      <c r="AZD69" s="316"/>
      <c r="AZE69" s="316"/>
      <c r="AZF69" s="316"/>
      <c r="AZG69" s="316"/>
      <c r="AZH69" s="316"/>
      <c r="AZI69" s="316"/>
      <c r="AZJ69" s="316"/>
      <c r="AZK69" s="316"/>
      <c r="AZL69" s="316"/>
      <c r="AZM69" s="316"/>
      <c r="AZN69" s="316"/>
      <c r="AZO69" s="316"/>
      <c r="AZP69" s="316"/>
      <c r="AZQ69" s="316"/>
      <c r="AZR69" s="316"/>
      <c r="AZS69" s="316"/>
      <c r="AZT69" s="316"/>
      <c r="AZU69" s="316"/>
      <c r="AZV69" s="316"/>
      <c r="AZW69" s="316"/>
      <c r="AZX69" s="316"/>
      <c r="AZY69" s="316"/>
      <c r="AZZ69" s="316"/>
      <c r="BAA69" s="316"/>
      <c r="BAB69" s="316"/>
      <c r="BAC69" s="316"/>
      <c r="BAD69" s="316"/>
      <c r="BAE69" s="316"/>
      <c r="BAF69" s="316"/>
      <c r="BAG69" s="316"/>
      <c r="BAH69" s="316"/>
      <c r="BAI69" s="316"/>
      <c r="BAJ69" s="316"/>
      <c r="BAK69" s="316"/>
      <c r="BAL69" s="316"/>
      <c r="BAM69" s="316"/>
      <c r="BAN69" s="316"/>
      <c r="BAO69" s="316"/>
      <c r="BAP69" s="316"/>
      <c r="BAQ69" s="316"/>
      <c r="BAR69" s="316"/>
      <c r="BAS69" s="316"/>
      <c r="BAT69" s="316"/>
      <c r="BAU69" s="316"/>
      <c r="BAV69" s="316"/>
      <c r="BAW69" s="316"/>
      <c r="BAX69" s="316"/>
      <c r="BAY69" s="316"/>
      <c r="BAZ69" s="316"/>
      <c r="BBA69" s="316"/>
      <c r="BBB69" s="316"/>
      <c r="BBC69" s="316"/>
      <c r="BBD69" s="316"/>
      <c r="BBE69" s="316"/>
      <c r="BBF69" s="316"/>
      <c r="BBG69" s="316"/>
      <c r="BBH69" s="316"/>
      <c r="BBI69" s="316"/>
      <c r="BBJ69" s="316"/>
      <c r="BBK69" s="316"/>
      <c r="BBL69" s="316"/>
      <c r="BBM69" s="316"/>
      <c r="BBN69" s="316"/>
      <c r="BBO69" s="316"/>
      <c r="BBP69" s="316"/>
      <c r="BBQ69" s="316"/>
      <c r="BBR69" s="316"/>
      <c r="BBS69" s="316"/>
      <c r="BBT69" s="316"/>
      <c r="BBU69" s="316"/>
      <c r="BBV69" s="316"/>
      <c r="BBW69" s="316"/>
      <c r="BBX69" s="316"/>
      <c r="BBY69" s="316"/>
      <c r="BBZ69" s="316"/>
      <c r="BCA69" s="316"/>
      <c r="BCB69" s="316"/>
      <c r="BCC69" s="316"/>
      <c r="BCD69" s="316"/>
      <c r="BCE69" s="316"/>
      <c r="BCF69" s="316"/>
      <c r="BCG69" s="316"/>
      <c r="BCH69" s="316"/>
      <c r="BCI69" s="316"/>
      <c r="BCJ69" s="316"/>
      <c r="BCK69" s="316"/>
      <c r="BCL69" s="316"/>
      <c r="BCM69" s="316"/>
      <c r="BCN69" s="316"/>
      <c r="BCO69" s="316"/>
      <c r="BCP69" s="316"/>
      <c r="BCQ69" s="316"/>
      <c r="BCR69" s="316"/>
      <c r="BCS69" s="316"/>
      <c r="BCT69" s="316"/>
      <c r="BCU69" s="316"/>
      <c r="BCV69" s="316"/>
      <c r="BCW69" s="316"/>
      <c r="BCX69" s="316"/>
      <c r="BCY69" s="316"/>
      <c r="BCZ69" s="316"/>
      <c r="BDA69" s="316"/>
      <c r="BDB69" s="316"/>
      <c r="BDC69" s="316"/>
      <c r="BDD69" s="316"/>
      <c r="BDE69" s="316"/>
      <c r="BDF69" s="316"/>
      <c r="BDG69" s="316"/>
      <c r="BDH69" s="316"/>
      <c r="BDI69" s="316"/>
      <c r="BDJ69" s="316"/>
      <c r="BDK69" s="316"/>
      <c r="BDL69" s="316"/>
      <c r="BDM69" s="316"/>
      <c r="BDN69" s="316"/>
      <c r="BDO69" s="316"/>
      <c r="BDP69" s="316"/>
      <c r="BDQ69" s="316"/>
      <c r="BDR69" s="316"/>
      <c r="BDS69" s="316"/>
      <c r="BDT69" s="316"/>
      <c r="BDU69" s="316"/>
      <c r="BDV69" s="316"/>
      <c r="BDW69" s="316"/>
      <c r="BDX69" s="316"/>
      <c r="BDY69" s="316"/>
      <c r="BDZ69" s="316"/>
      <c r="BEA69" s="316"/>
      <c r="BEB69" s="316"/>
      <c r="BEC69" s="316"/>
      <c r="BED69" s="316"/>
      <c r="BEE69" s="316"/>
      <c r="BEF69" s="316"/>
      <c r="BEG69" s="316"/>
      <c r="BEH69" s="316"/>
      <c r="BEI69" s="316"/>
      <c r="BEJ69" s="316"/>
      <c r="BEK69" s="316"/>
      <c r="BEL69" s="316"/>
      <c r="BEM69" s="316"/>
      <c r="BEN69" s="316"/>
      <c r="BEO69" s="316"/>
      <c r="BEP69" s="316"/>
      <c r="BEQ69" s="316"/>
      <c r="BER69" s="316"/>
      <c r="BES69" s="316"/>
      <c r="BET69" s="316"/>
      <c r="BEU69" s="316"/>
      <c r="BEV69" s="316"/>
      <c r="BEW69" s="316"/>
      <c r="BEX69" s="316"/>
      <c r="BEY69" s="316"/>
      <c r="BEZ69" s="316"/>
      <c r="BFA69" s="316"/>
      <c r="BFB69" s="316"/>
      <c r="BFC69" s="316"/>
      <c r="BFD69" s="316"/>
      <c r="BFE69" s="316"/>
      <c r="BFF69" s="316"/>
      <c r="BFG69" s="316"/>
      <c r="BFH69" s="316"/>
      <c r="BFI69" s="316"/>
      <c r="BFJ69" s="316"/>
      <c r="BFK69" s="316"/>
      <c r="BFL69" s="316"/>
      <c r="BFM69" s="316"/>
      <c r="BFN69" s="316"/>
      <c r="BFO69" s="316"/>
      <c r="BFP69" s="316"/>
      <c r="BFQ69" s="316"/>
      <c r="BFR69" s="316"/>
      <c r="BFS69" s="316"/>
      <c r="BFT69" s="316"/>
      <c r="BFU69" s="316"/>
      <c r="BFV69" s="316"/>
      <c r="BFW69" s="316"/>
      <c r="BFX69" s="316"/>
      <c r="BFY69" s="316"/>
      <c r="BFZ69" s="316"/>
      <c r="BGA69" s="316"/>
      <c r="BGB69" s="316"/>
      <c r="BGC69" s="316"/>
      <c r="BGD69" s="316"/>
      <c r="BGE69" s="316"/>
      <c r="BGF69" s="316"/>
      <c r="BGG69" s="316"/>
      <c r="BGH69" s="316"/>
      <c r="BGI69" s="316"/>
      <c r="BGJ69" s="316"/>
      <c r="BGK69" s="316"/>
      <c r="BGL69" s="316"/>
      <c r="BGM69" s="316"/>
      <c r="BGN69" s="316"/>
      <c r="BGO69" s="316"/>
      <c r="BGP69" s="316"/>
      <c r="BGQ69" s="316"/>
      <c r="BGR69" s="316"/>
      <c r="BGS69" s="316"/>
      <c r="BGT69" s="316"/>
      <c r="BGU69" s="316"/>
      <c r="BGV69" s="316"/>
      <c r="BGW69" s="316"/>
      <c r="BGX69" s="316"/>
      <c r="BGY69" s="316"/>
      <c r="BGZ69" s="316"/>
      <c r="BHA69" s="316"/>
      <c r="BHB69" s="316"/>
      <c r="BHC69" s="316"/>
      <c r="BHD69" s="316"/>
      <c r="BHE69" s="316"/>
      <c r="BHF69" s="316"/>
      <c r="BHG69" s="316"/>
      <c r="BHH69" s="316"/>
      <c r="BHI69" s="316"/>
      <c r="BHJ69" s="316"/>
      <c r="BHK69" s="316"/>
      <c r="BHL69" s="316"/>
      <c r="BHM69" s="316"/>
      <c r="BHN69" s="316"/>
      <c r="BHO69" s="316"/>
      <c r="BHP69" s="316"/>
      <c r="BHQ69" s="316"/>
      <c r="BHR69" s="316"/>
      <c r="BHS69" s="316"/>
      <c r="BHT69" s="316"/>
      <c r="BHU69" s="316"/>
      <c r="BHV69" s="316"/>
      <c r="BHW69" s="316"/>
      <c r="BHX69" s="316"/>
      <c r="BHY69" s="316"/>
      <c r="BHZ69" s="316"/>
      <c r="BIA69" s="316"/>
      <c r="BIB69" s="316"/>
      <c r="BIC69" s="316"/>
      <c r="BID69" s="316"/>
      <c r="BIE69" s="316"/>
      <c r="BIF69" s="316"/>
      <c r="BIG69" s="316"/>
      <c r="BIH69" s="316"/>
      <c r="BII69" s="316"/>
      <c r="BIJ69" s="316"/>
      <c r="BIK69" s="316"/>
      <c r="BIL69" s="316"/>
      <c r="BIM69" s="316"/>
      <c r="BIN69" s="316"/>
      <c r="BIO69" s="316"/>
      <c r="BIP69" s="316"/>
      <c r="BIQ69" s="316"/>
      <c r="BIR69" s="316"/>
      <c r="BIS69" s="316"/>
      <c r="BIT69" s="316"/>
      <c r="BIU69" s="316"/>
      <c r="BIV69" s="316"/>
      <c r="BIW69" s="316"/>
      <c r="BIX69" s="316"/>
      <c r="BIY69" s="316"/>
      <c r="BIZ69" s="316"/>
      <c r="BJA69" s="316"/>
      <c r="BJB69" s="316"/>
      <c r="BJC69" s="316"/>
      <c r="BJD69" s="316"/>
      <c r="BJE69" s="316"/>
      <c r="BJF69" s="316"/>
      <c r="BJG69" s="316"/>
      <c r="BJH69" s="316"/>
      <c r="BJI69" s="316"/>
      <c r="BJJ69" s="316"/>
      <c r="BJK69" s="316"/>
      <c r="BJL69" s="316"/>
      <c r="BJM69" s="316"/>
      <c r="BJN69" s="316"/>
      <c r="BJO69" s="316"/>
      <c r="BJP69" s="316"/>
      <c r="BJQ69" s="316"/>
      <c r="BJR69" s="316"/>
      <c r="BJS69" s="316"/>
      <c r="BJT69" s="316"/>
      <c r="BJU69" s="316"/>
      <c r="BJV69" s="316"/>
      <c r="BJW69" s="316"/>
      <c r="BJX69" s="316"/>
      <c r="BJY69" s="316"/>
      <c r="BJZ69" s="316"/>
      <c r="BKA69" s="316"/>
      <c r="BKB69" s="316"/>
      <c r="BKC69" s="316"/>
      <c r="BKD69" s="316"/>
      <c r="BKE69" s="316"/>
      <c r="BKF69" s="316"/>
      <c r="BKG69" s="316"/>
      <c r="BKH69" s="316"/>
      <c r="BKI69" s="316"/>
      <c r="BKJ69" s="316"/>
      <c r="BKK69" s="316"/>
      <c r="BKL69" s="316"/>
      <c r="BKM69" s="316"/>
      <c r="BKN69" s="316"/>
      <c r="BKO69" s="316"/>
      <c r="BKP69" s="316"/>
      <c r="BKQ69" s="316"/>
      <c r="BKR69" s="316"/>
      <c r="BKS69" s="316"/>
      <c r="BKT69" s="316"/>
      <c r="BKU69" s="316"/>
      <c r="BKV69" s="316"/>
      <c r="BKW69" s="316"/>
      <c r="BKX69" s="316"/>
      <c r="BKY69" s="316"/>
      <c r="BKZ69" s="316"/>
      <c r="BLA69" s="316"/>
      <c r="BLB69" s="316"/>
      <c r="BLC69" s="316"/>
      <c r="BLD69" s="316"/>
      <c r="BLE69" s="316"/>
      <c r="BLF69" s="316"/>
      <c r="BLG69" s="316"/>
      <c r="BLH69" s="316"/>
      <c r="BLI69" s="316"/>
      <c r="BLJ69" s="316"/>
      <c r="BLK69" s="316"/>
      <c r="BLL69" s="316"/>
      <c r="BLM69" s="316"/>
      <c r="BLN69" s="316"/>
      <c r="BLO69" s="316"/>
      <c r="BLP69" s="316"/>
      <c r="BLQ69" s="316"/>
      <c r="BLR69" s="316"/>
      <c r="BLS69" s="316"/>
      <c r="BLT69" s="316"/>
      <c r="BLU69" s="316"/>
      <c r="BLV69" s="316"/>
      <c r="BLW69" s="316"/>
      <c r="BLX69" s="316"/>
      <c r="BLY69" s="316"/>
      <c r="BLZ69" s="316"/>
      <c r="BMA69" s="316"/>
      <c r="BMB69" s="316"/>
      <c r="BMC69" s="316"/>
      <c r="BMD69" s="316"/>
      <c r="BME69" s="316"/>
      <c r="BMF69" s="316"/>
      <c r="BMG69" s="316"/>
      <c r="BMH69" s="316"/>
      <c r="BMI69" s="316"/>
      <c r="BMJ69" s="316"/>
      <c r="BMK69" s="316"/>
      <c r="BML69" s="316"/>
      <c r="BMM69" s="316"/>
      <c r="BMN69" s="316"/>
      <c r="BMO69" s="316"/>
      <c r="BMP69" s="316"/>
      <c r="BMQ69" s="316"/>
      <c r="BMR69" s="316"/>
      <c r="BMS69" s="316"/>
      <c r="BMT69" s="316"/>
      <c r="BMU69" s="316"/>
      <c r="BMV69" s="316"/>
      <c r="BMW69" s="316"/>
      <c r="BMX69" s="316"/>
      <c r="BMY69" s="316"/>
      <c r="BMZ69" s="316"/>
      <c r="BNA69" s="316"/>
      <c r="BNB69" s="316"/>
      <c r="BNC69" s="316"/>
      <c r="BND69" s="316"/>
      <c r="BNE69" s="316"/>
      <c r="BNF69" s="316"/>
      <c r="BNG69" s="316"/>
      <c r="BNH69" s="316"/>
      <c r="BNI69" s="316"/>
      <c r="BNJ69" s="316"/>
      <c r="BNK69" s="316"/>
      <c r="BNL69" s="316"/>
      <c r="BNM69" s="316"/>
      <c r="BNN69" s="316"/>
      <c r="BNO69" s="316"/>
      <c r="BNP69" s="316"/>
      <c r="BNQ69" s="316"/>
      <c r="BNR69" s="316"/>
      <c r="BNS69" s="316"/>
      <c r="BNT69" s="316"/>
      <c r="BNU69" s="316"/>
      <c r="BNV69" s="316"/>
      <c r="BNW69" s="316"/>
      <c r="BNX69" s="316"/>
      <c r="BNY69" s="316"/>
      <c r="BNZ69" s="316"/>
      <c r="BOA69" s="316"/>
      <c r="BOB69" s="316"/>
      <c r="BOC69" s="316"/>
      <c r="BOD69" s="316"/>
      <c r="BOE69" s="316"/>
      <c r="BOF69" s="316"/>
      <c r="BOG69" s="316"/>
      <c r="BOH69" s="316"/>
      <c r="BOI69" s="316"/>
      <c r="BOJ69" s="316"/>
      <c r="BOK69" s="316"/>
      <c r="BOL69" s="316"/>
      <c r="BOM69" s="316"/>
      <c r="BON69" s="316"/>
      <c r="BOO69" s="316"/>
      <c r="BOP69" s="316"/>
      <c r="BOQ69" s="316"/>
      <c r="BOR69" s="316"/>
      <c r="BOS69" s="316"/>
      <c r="BOT69" s="316"/>
      <c r="BOU69" s="316"/>
      <c r="BOV69" s="316"/>
      <c r="BOW69" s="316"/>
      <c r="BOX69" s="316"/>
      <c r="BOY69" s="316"/>
      <c r="BOZ69" s="316"/>
      <c r="BPA69" s="316"/>
      <c r="BPB69" s="316"/>
      <c r="BPC69" s="316"/>
      <c r="BPD69" s="316"/>
      <c r="BPE69" s="316"/>
      <c r="BPF69" s="316"/>
      <c r="BPG69" s="316"/>
      <c r="BPH69" s="316"/>
      <c r="BPI69" s="316"/>
      <c r="BPJ69" s="316"/>
      <c r="BPK69" s="316"/>
      <c r="BPL69" s="316"/>
      <c r="BPM69" s="316"/>
      <c r="BPN69" s="316"/>
      <c r="BPO69" s="316"/>
      <c r="BPP69" s="316"/>
      <c r="BPQ69" s="316"/>
      <c r="BPR69" s="316"/>
      <c r="BPS69" s="316"/>
      <c r="BPT69" s="316"/>
      <c r="BPU69" s="316"/>
      <c r="BPV69" s="316"/>
      <c r="BPW69" s="316"/>
      <c r="BPX69" s="316"/>
      <c r="BPY69" s="316"/>
      <c r="BPZ69" s="316"/>
      <c r="BQA69" s="316"/>
      <c r="BQB69" s="316"/>
      <c r="BQC69" s="316"/>
      <c r="BQD69" s="316"/>
      <c r="BQE69" s="316"/>
      <c r="BQF69" s="316"/>
      <c r="BQG69" s="316"/>
      <c r="BQH69" s="316"/>
      <c r="BQI69" s="316"/>
      <c r="BQJ69" s="316"/>
      <c r="BQK69" s="316"/>
      <c r="BQL69" s="316"/>
      <c r="BQM69" s="316"/>
      <c r="BQN69" s="316"/>
      <c r="BQO69" s="316"/>
      <c r="BQP69" s="316"/>
      <c r="BQQ69" s="316"/>
      <c r="BQR69" s="316"/>
      <c r="BQS69" s="316"/>
      <c r="BQT69" s="316"/>
      <c r="BQU69" s="316"/>
      <c r="BQV69" s="316"/>
      <c r="BQW69" s="316"/>
      <c r="BQX69" s="316"/>
      <c r="BQY69" s="316"/>
      <c r="BQZ69" s="316"/>
      <c r="BRA69" s="316"/>
      <c r="BRB69" s="316"/>
      <c r="BRC69" s="316"/>
      <c r="BRD69" s="316"/>
      <c r="BRE69" s="316"/>
      <c r="BRF69" s="316"/>
      <c r="BRG69" s="316"/>
      <c r="BRH69" s="316"/>
      <c r="BRI69" s="316"/>
      <c r="BRJ69" s="316"/>
      <c r="BRK69" s="316"/>
      <c r="BRL69" s="316"/>
      <c r="BRM69" s="316"/>
      <c r="BRN69" s="316"/>
      <c r="BRO69" s="316"/>
      <c r="BRP69" s="316"/>
      <c r="BRQ69" s="316"/>
      <c r="BRR69" s="316"/>
      <c r="BRS69" s="316"/>
      <c r="BRT69" s="316"/>
      <c r="BRU69" s="316"/>
      <c r="BRV69" s="316"/>
      <c r="BRW69" s="316"/>
      <c r="BRX69" s="316"/>
      <c r="BRY69" s="316"/>
      <c r="BRZ69" s="316"/>
      <c r="BSA69" s="316"/>
      <c r="BSB69" s="316"/>
      <c r="BSC69" s="316"/>
      <c r="BSD69" s="316"/>
      <c r="BSE69" s="316"/>
      <c r="BSF69" s="316"/>
      <c r="BSG69" s="316"/>
      <c r="BSH69" s="316"/>
      <c r="BSI69" s="316"/>
      <c r="BSJ69" s="316"/>
      <c r="BSK69" s="316"/>
      <c r="BSL69" s="316"/>
      <c r="BSM69" s="316"/>
      <c r="BSN69" s="316"/>
      <c r="BSO69" s="316"/>
      <c r="BSP69" s="316"/>
      <c r="BSQ69" s="316"/>
      <c r="BSR69" s="316"/>
      <c r="BSS69" s="316"/>
      <c r="BST69" s="316"/>
      <c r="BSU69" s="316"/>
      <c r="BSV69" s="316"/>
      <c r="BSW69" s="316"/>
      <c r="BSX69" s="316"/>
      <c r="BSY69" s="316"/>
      <c r="BSZ69" s="316"/>
      <c r="BTA69" s="316"/>
      <c r="BTB69" s="316"/>
      <c r="BTC69" s="316"/>
      <c r="BTD69" s="316"/>
      <c r="BTE69" s="316"/>
      <c r="BTF69" s="316"/>
      <c r="BTG69" s="316"/>
      <c r="BTH69" s="316"/>
      <c r="BTI69" s="316"/>
      <c r="BTJ69" s="316"/>
      <c r="BTK69" s="316"/>
      <c r="BTL69" s="316"/>
      <c r="BTM69" s="316"/>
      <c r="BTN69" s="316"/>
      <c r="BTO69" s="316"/>
      <c r="BTP69" s="316"/>
      <c r="BTQ69" s="316"/>
      <c r="BTR69" s="316"/>
      <c r="BTS69" s="316"/>
      <c r="BTT69" s="316"/>
      <c r="BTU69" s="316"/>
      <c r="BTV69" s="316"/>
      <c r="BTW69" s="316"/>
      <c r="BTX69" s="316"/>
      <c r="BTY69" s="316"/>
      <c r="BTZ69" s="316"/>
      <c r="BUA69" s="316"/>
      <c r="BUB69" s="316"/>
      <c r="BUC69" s="316"/>
      <c r="BUD69" s="316"/>
      <c r="BUE69" s="316"/>
      <c r="BUF69" s="316"/>
      <c r="BUG69" s="316"/>
      <c r="BUH69" s="316"/>
      <c r="BUI69" s="316"/>
      <c r="BUJ69" s="316"/>
      <c r="BUK69" s="316"/>
      <c r="BUL69" s="316"/>
      <c r="BUM69" s="316"/>
      <c r="BUN69" s="316"/>
      <c r="BUO69" s="316"/>
      <c r="BUP69" s="316"/>
      <c r="BUQ69" s="316"/>
      <c r="BUR69" s="316"/>
      <c r="BUS69" s="316"/>
      <c r="BUT69" s="316"/>
      <c r="BUU69" s="316"/>
      <c r="BUV69" s="316"/>
      <c r="BUW69" s="316"/>
      <c r="BUX69" s="316"/>
      <c r="BUY69" s="316"/>
      <c r="BUZ69" s="316"/>
      <c r="BVA69" s="316"/>
      <c r="BVB69" s="316"/>
      <c r="BVC69" s="316"/>
      <c r="BVD69" s="316"/>
      <c r="BVE69" s="316"/>
      <c r="BVF69" s="316"/>
      <c r="BVG69" s="316"/>
      <c r="BVH69" s="316"/>
      <c r="BVI69" s="316"/>
      <c r="BVJ69" s="316"/>
      <c r="BVK69" s="316"/>
      <c r="BVL69" s="316"/>
      <c r="BVM69" s="316"/>
      <c r="BVN69" s="316"/>
      <c r="BVO69" s="316"/>
      <c r="BVP69" s="316"/>
      <c r="BVQ69" s="316"/>
      <c r="BVR69" s="316"/>
      <c r="BVS69" s="316"/>
      <c r="BVT69" s="316"/>
      <c r="BVU69" s="316"/>
      <c r="BVV69" s="316"/>
      <c r="BVW69" s="316"/>
      <c r="BVX69" s="316"/>
      <c r="BVY69" s="316"/>
      <c r="BVZ69" s="316"/>
      <c r="BWA69" s="316"/>
      <c r="BWB69" s="316"/>
      <c r="BWC69" s="316"/>
      <c r="BWD69" s="316"/>
      <c r="BWE69" s="316"/>
      <c r="BWF69" s="316"/>
      <c r="BWG69" s="316"/>
      <c r="BWH69" s="316"/>
      <c r="BWI69" s="316"/>
      <c r="BWJ69" s="316"/>
      <c r="BWK69" s="316"/>
      <c r="BWL69" s="316"/>
      <c r="BWM69" s="316"/>
      <c r="BWN69" s="316"/>
      <c r="BWO69" s="316"/>
      <c r="BWP69" s="316"/>
      <c r="BWQ69" s="316"/>
      <c r="BWR69" s="316"/>
      <c r="BWS69" s="316"/>
      <c r="BWT69" s="316"/>
      <c r="BWU69" s="316"/>
      <c r="BWV69" s="316"/>
      <c r="BWW69" s="316"/>
      <c r="BWX69" s="316"/>
      <c r="BWY69" s="316"/>
      <c r="BWZ69" s="316"/>
      <c r="BXA69" s="316"/>
      <c r="BXB69" s="316"/>
      <c r="BXC69" s="316"/>
      <c r="BXD69" s="316"/>
      <c r="BXE69" s="316"/>
      <c r="BXF69" s="316"/>
      <c r="BXG69" s="316"/>
      <c r="BXH69" s="316"/>
      <c r="BXI69" s="316"/>
      <c r="BXJ69" s="316"/>
      <c r="BXK69" s="316"/>
      <c r="BXL69" s="316"/>
      <c r="BXM69" s="316"/>
      <c r="BXN69" s="316"/>
      <c r="BXO69" s="316"/>
      <c r="BXP69" s="316"/>
      <c r="BXQ69" s="316"/>
      <c r="BXR69" s="316"/>
      <c r="BXS69" s="316"/>
      <c r="BXT69" s="316"/>
      <c r="BXU69" s="316"/>
      <c r="BXV69" s="316"/>
      <c r="BXW69" s="316"/>
      <c r="BXX69" s="316"/>
      <c r="BXY69" s="316"/>
      <c r="BXZ69" s="316"/>
      <c r="BYA69" s="316"/>
      <c r="BYB69" s="316"/>
      <c r="BYC69" s="316"/>
      <c r="BYD69" s="316"/>
      <c r="BYE69" s="316"/>
      <c r="BYF69" s="316"/>
      <c r="BYG69" s="316"/>
      <c r="BYH69" s="316"/>
      <c r="BYI69" s="316"/>
      <c r="BYJ69" s="316"/>
      <c r="BYK69" s="316"/>
      <c r="BYL69" s="316"/>
      <c r="BYM69" s="316"/>
      <c r="BYN69" s="316"/>
      <c r="BYO69" s="316"/>
      <c r="BYP69" s="316"/>
      <c r="BYQ69" s="316"/>
      <c r="BYR69" s="316"/>
      <c r="BYS69" s="316"/>
      <c r="BYT69" s="316"/>
      <c r="BYU69" s="316"/>
      <c r="BYV69" s="316"/>
      <c r="BYW69" s="316"/>
      <c r="BYX69" s="316"/>
      <c r="BYY69" s="316"/>
      <c r="BYZ69" s="316"/>
      <c r="BZA69" s="316"/>
      <c r="BZB69" s="316"/>
      <c r="BZC69" s="316"/>
      <c r="BZD69" s="316"/>
      <c r="BZE69" s="316"/>
      <c r="BZF69" s="316"/>
      <c r="BZG69" s="316"/>
      <c r="BZH69" s="316"/>
      <c r="BZI69" s="316"/>
      <c r="BZJ69" s="316"/>
      <c r="BZK69" s="316"/>
      <c r="BZL69" s="316"/>
      <c r="BZM69" s="316"/>
      <c r="BZN69" s="316"/>
      <c r="BZO69" s="316"/>
      <c r="BZP69" s="316"/>
      <c r="BZQ69" s="316"/>
      <c r="BZR69" s="316"/>
      <c r="BZS69" s="316"/>
      <c r="BZT69" s="316"/>
      <c r="BZU69" s="316"/>
      <c r="BZV69" s="316"/>
      <c r="BZW69" s="316"/>
      <c r="BZX69" s="316"/>
      <c r="BZY69" s="316"/>
      <c r="BZZ69" s="316"/>
      <c r="CAA69" s="316"/>
      <c r="CAB69" s="316"/>
      <c r="CAC69" s="316"/>
      <c r="CAD69" s="316"/>
      <c r="CAE69" s="316"/>
      <c r="CAF69" s="316"/>
      <c r="CAG69" s="316"/>
      <c r="CAH69" s="316"/>
      <c r="CAI69" s="316"/>
      <c r="CAJ69" s="316"/>
      <c r="CAK69" s="316"/>
      <c r="CAL69" s="316"/>
      <c r="CAM69" s="316"/>
      <c r="CAN69" s="316"/>
      <c r="CAO69" s="316"/>
      <c r="CAP69" s="316"/>
      <c r="CAQ69" s="316"/>
      <c r="CAR69" s="316"/>
      <c r="CAS69" s="316"/>
      <c r="CAT69" s="316"/>
      <c r="CAU69" s="316"/>
      <c r="CAV69" s="316"/>
      <c r="CAW69" s="316"/>
      <c r="CAX69" s="316"/>
      <c r="CAY69" s="316"/>
      <c r="CAZ69" s="316"/>
      <c r="CBA69" s="316"/>
      <c r="CBB69" s="316"/>
      <c r="CBC69" s="316"/>
      <c r="CBD69" s="316"/>
      <c r="CBE69" s="316"/>
      <c r="CBF69" s="316"/>
      <c r="CBG69" s="316"/>
      <c r="CBH69" s="316"/>
      <c r="CBI69" s="316"/>
      <c r="CBJ69" s="316"/>
      <c r="CBK69" s="316"/>
      <c r="CBL69" s="316"/>
      <c r="CBM69" s="316"/>
      <c r="CBN69" s="316"/>
      <c r="CBO69" s="316"/>
      <c r="CBP69" s="316"/>
      <c r="CBQ69" s="316"/>
      <c r="CBR69" s="316"/>
      <c r="CBS69" s="316"/>
      <c r="CBT69" s="316"/>
      <c r="CBU69" s="316"/>
      <c r="CBV69" s="316"/>
      <c r="CBW69" s="316"/>
      <c r="CBX69" s="316"/>
      <c r="CBY69" s="316"/>
      <c r="CBZ69" s="316"/>
      <c r="CCA69" s="316"/>
      <c r="CCB69" s="316"/>
      <c r="CCC69" s="316"/>
      <c r="CCD69" s="316"/>
      <c r="CCE69" s="316"/>
      <c r="CCF69" s="316"/>
      <c r="CCG69" s="316"/>
      <c r="CCH69" s="316"/>
      <c r="CCI69" s="316"/>
      <c r="CCJ69" s="316"/>
      <c r="CCK69" s="316"/>
      <c r="CCL69" s="316"/>
      <c r="CCM69" s="316"/>
      <c r="CCN69" s="316"/>
      <c r="CCO69" s="316"/>
      <c r="CCP69" s="316"/>
      <c r="CCQ69" s="316"/>
      <c r="CCR69" s="316"/>
      <c r="CCS69" s="316"/>
      <c r="CCT69" s="316"/>
      <c r="CCU69" s="316"/>
      <c r="CCV69" s="316"/>
      <c r="CCW69" s="316"/>
      <c r="CCX69" s="316"/>
      <c r="CCY69" s="316"/>
      <c r="CCZ69" s="316"/>
      <c r="CDA69" s="316"/>
      <c r="CDB69" s="316"/>
      <c r="CDC69" s="316"/>
      <c r="CDD69" s="316"/>
      <c r="CDE69" s="316"/>
      <c r="CDF69" s="316"/>
      <c r="CDG69" s="316"/>
      <c r="CDH69" s="316"/>
      <c r="CDI69" s="316"/>
      <c r="CDJ69" s="316"/>
      <c r="CDK69" s="316"/>
      <c r="CDL69" s="316"/>
      <c r="CDM69" s="316"/>
      <c r="CDN69" s="316"/>
      <c r="CDO69" s="316"/>
      <c r="CDP69" s="316"/>
      <c r="CDQ69" s="316"/>
      <c r="CDR69" s="316"/>
      <c r="CDS69" s="316"/>
      <c r="CDT69" s="316"/>
      <c r="CDU69" s="316"/>
      <c r="CDV69" s="316"/>
      <c r="CDW69" s="316"/>
      <c r="CDX69" s="316"/>
      <c r="CDY69" s="316"/>
      <c r="CDZ69" s="316"/>
      <c r="CEA69" s="316"/>
      <c r="CEB69" s="316"/>
      <c r="CEC69" s="316"/>
      <c r="CED69" s="316"/>
      <c r="CEE69" s="316"/>
      <c r="CEF69" s="316"/>
      <c r="CEG69" s="316"/>
      <c r="CEH69" s="316"/>
      <c r="CEI69" s="316"/>
      <c r="CEJ69" s="316"/>
      <c r="CEK69" s="316"/>
      <c r="CEL69" s="316"/>
      <c r="CEM69" s="316"/>
      <c r="CEN69" s="316"/>
      <c r="CEO69" s="316"/>
      <c r="CEP69" s="316"/>
      <c r="CEQ69" s="316"/>
      <c r="CER69" s="316"/>
      <c r="CES69" s="316"/>
      <c r="CET69" s="316"/>
      <c r="CEU69" s="316"/>
      <c r="CEV69" s="316"/>
      <c r="CEW69" s="316"/>
      <c r="CEX69" s="316"/>
      <c r="CEY69" s="316"/>
      <c r="CEZ69" s="316"/>
      <c r="CFA69" s="316"/>
      <c r="CFB69" s="316"/>
      <c r="CFC69" s="316"/>
      <c r="CFD69" s="316"/>
      <c r="CFE69" s="316"/>
      <c r="CFF69" s="316"/>
      <c r="CFG69" s="316"/>
      <c r="CFH69" s="316"/>
      <c r="CFI69" s="316"/>
      <c r="CFJ69" s="316"/>
      <c r="CFK69" s="316"/>
      <c r="CFL69" s="316"/>
      <c r="CFM69" s="316"/>
      <c r="CFN69" s="316"/>
      <c r="CFO69" s="316"/>
      <c r="CFP69" s="316"/>
      <c r="CFQ69" s="316"/>
      <c r="CFR69" s="316"/>
      <c r="CFS69" s="316"/>
      <c r="CFT69" s="316"/>
      <c r="CFU69" s="316"/>
      <c r="CFV69" s="316"/>
      <c r="CFW69" s="316"/>
      <c r="CFX69" s="316"/>
      <c r="CFY69" s="316"/>
      <c r="CFZ69" s="316"/>
      <c r="CGA69" s="316"/>
      <c r="CGB69" s="316"/>
      <c r="CGC69" s="316"/>
      <c r="CGD69" s="316"/>
      <c r="CGE69" s="316"/>
      <c r="CGF69" s="316"/>
      <c r="CGG69" s="316"/>
      <c r="CGH69" s="316"/>
      <c r="CGI69" s="316"/>
      <c r="CGJ69" s="316"/>
      <c r="CGK69" s="316"/>
      <c r="CGL69" s="316"/>
      <c r="CGM69" s="316"/>
      <c r="CGN69" s="316"/>
      <c r="CGO69" s="316"/>
      <c r="CGP69" s="316"/>
      <c r="CGQ69" s="316"/>
      <c r="CGR69" s="316"/>
      <c r="CGS69" s="316"/>
      <c r="CGT69" s="316"/>
      <c r="CGU69" s="316"/>
      <c r="CGV69" s="316"/>
      <c r="CGW69" s="316"/>
      <c r="CGX69" s="316"/>
      <c r="CGY69" s="316"/>
      <c r="CGZ69" s="316"/>
      <c r="CHA69" s="316"/>
      <c r="CHB69" s="316"/>
      <c r="CHC69" s="316"/>
      <c r="CHD69" s="316"/>
      <c r="CHE69" s="316"/>
      <c r="CHF69" s="316"/>
      <c r="CHG69" s="316"/>
      <c r="CHH69" s="316"/>
      <c r="CHI69" s="316"/>
      <c r="CHJ69" s="316"/>
      <c r="CHK69" s="316"/>
      <c r="CHL69" s="316"/>
      <c r="CHM69" s="316"/>
      <c r="CHN69" s="316"/>
      <c r="CHO69" s="316"/>
      <c r="CHP69" s="316"/>
      <c r="CHQ69" s="316"/>
      <c r="CHR69" s="316"/>
      <c r="CHS69" s="316"/>
      <c r="CHT69" s="316"/>
      <c r="CHU69" s="316"/>
      <c r="CHV69" s="316"/>
      <c r="CHW69" s="316"/>
      <c r="CHX69" s="316"/>
      <c r="CHY69" s="316"/>
      <c r="CHZ69" s="316"/>
      <c r="CIA69" s="316"/>
      <c r="CIB69" s="316"/>
      <c r="CIC69" s="316"/>
      <c r="CID69" s="316"/>
      <c r="CIE69" s="316"/>
      <c r="CIF69" s="316"/>
      <c r="CIG69" s="316"/>
      <c r="CIH69" s="316"/>
      <c r="CII69" s="316"/>
      <c r="CIJ69" s="316"/>
      <c r="CIK69" s="316"/>
      <c r="CIL69" s="316"/>
      <c r="CIM69" s="316"/>
      <c r="CIN69" s="316"/>
      <c r="CIO69" s="316"/>
      <c r="CIP69" s="316"/>
      <c r="CIQ69" s="316"/>
      <c r="CIR69" s="316"/>
      <c r="CIS69" s="316"/>
      <c r="CIT69" s="316"/>
      <c r="CIU69" s="316"/>
      <c r="CIV69" s="316"/>
      <c r="CIW69" s="316"/>
      <c r="CIX69" s="316"/>
      <c r="CIY69" s="316"/>
      <c r="CIZ69" s="316"/>
      <c r="CJA69" s="316"/>
      <c r="CJB69" s="316"/>
      <c r="CJC69" s="316"/>
      <c r="CJD69" s="316"/>
      <c r="CJE69" s="316"/>
      <c r="CJF69" s="316"/>
      <c r="CJG69" s="316"/>
      <c r="CJH69" s="316"/>
      <c r="CJI69" s="316"/>
      <c r="CJJ69" s="316"/>
      <c r="CJK69" s="316"/>
      <c r="CJL69" s="316"/>
      <c r="CJM69" s="316"/>
      <c r="CJN69" s="316"/>
      <c r="CJO69" s="316"/>
      <c r="CJP69" s="316"/>
      <c r="CJQ69" s="316"/>
      <c r="CJR69" s="316"/>
      <c r="CJS69" s="316"/>
      <c r="CJT69" s="316"/>
      <c r="CJU69" s="316"/>
      <c r="CJV69" s="316"/>
      <c r="CJW69" s="316"/>
      <c r="CJX69" s="316"/>
      <c r="CJY69" s="316"/>
      <c r="CJZ69" s="316"/>
      <c r="CKA69" s="316"/>
      <c r="CKB69" s="316"/>
      <c r="CKC69" s="316"/>
      <c r="CKD69" s="316"/>
      <c r="CKE69" s="316"/>
      <c r="CKF69" s="316"/>
      <c r="CKG69" s="316"/>
      <c r="CKH69" s="316"/>
      <c r="CKI69" s="316"/>
      <c r="CKJ69" s="316"/>
      <c r="CKK69" s="316"/>
      <c r="CKL69" s="316"/>
      <c r="CKM69" s="316"/>
      <c r="CKN69" s="316"/>
      <c r="CKO69" s="316"/>
      <c r="CKP69" s="316"/>
      <c r="CKQ69" s="316"/>
      <c r="CKR69" s="316"/>
      <c r="CKS69" s="316"/>
      <c r="CKT69" s="316"/>
      <c r="CKU69" s="316"/>
      <c r="CKV69" s="316"/>
      <c r="CKW69" s="316"/>
      <c r="CKX69" s="316"/>
      <c r="CKY69" s="316"/>
      <c r="CKZ69" s="316"/>
      <c r="CLA69" s="316"/>
      <c r="CLB69" s="316"/>
      <c r="CLC69" s="316"/>
      <c r="CLD69" s="316"/>
      <c r="CLE69" s="316"/>
      <c r="CLF69" s="316"/>
      <c r="CLG69" s="316"/>
      <c r="CLH69" s="316"/>
      <c r="CLI69" s="316"/>
      <c r="CLJ69" s="316"/>
      <c r="CLK69" s="316"/>
      <c r="CLL69" s="316"/>
      <c r="CLM69" s="316"/>
      <c r="CLN69" s="316"/>
      <c r="CLO69" s="316"/>
      <c r="CLP69" s="316"/>
      <c r="CLQ69" s="316"/>
      <c r="CLR69" s="316"/>
      <c r="CLS69" s="316"/>
      <c r="CLT69" s="316"/>
      <c r="CLU69" s="316"/>
      <c r="CLV69" s="316"/>
      <c r="CLW69" s="316"/>
      <c r="CLX69" s="316"/>
      <c r="CLY69" s="316"/>
      <c r="CLZ69" s="316"/>
      <c r="CMA69" s="316"/>
      <c r="CMB69" s="316"/>
      <c r="CMC69" s="316"/>
      <c r="CMD69" s="316"/>
      <c r="CME69" s="316"/>
      <c r="CMF69" s="316"/>
      <c r="CMG69" s="316"/>
      <c r="CMH69" s="316"/>
      <c r="CMI69" s="316"/>
      <c r="CMJ69" s="316"/>
      <c r="CMK69" s="316"/>
      <c r="CML69" s="316"/>
      <c r="CMM69" s="316"/>
      <c r="CMN69" s="316"/>
      <c r="CMO69" s="316"/>
      <c r="CMP69" s="316"/>
      <c r="CMQ69" s="316"/>
      <c r="CMR69" s="316"/>
      <c r="CMS69" s="316"/>
      <c r="CMT69" s="316"/>
      <c r="CMU69" s="316"/>
      <c r="CMV69" s="316"/>
      <c r="CMW69" s="316"/>
      <c r="CMX69" s="316"/>
      <c r="CMY69" s="316"/>
      <c r="CMZ69" s="316"/>
      <c r="CNA69" s="316"/>
      <c r="CNB69" s="316"/>
      <c r="CNC69" s="316"/>
      <c r="CND69" s="316"/>
      <c r="CNE69" s="316"/>
      <c r="CNF69" s="316"/>
      <c r="CNG69" s="316"/>
      <c r="CNH69" s="316"/>
      <c r="CNI69" s="316"/>
      <c r="CNJ69" s="316"/>
      <c r="CNK69" s="316"/>
      <c r="CNL69" s="316"/>
      <c r="CNM69" s="316"/>
      <c r="CNN69" s="316"/>
      <c r="CNO69" s="316"/>
      <c r="CNP69" s="316"/>
      <c r="CNQ69" s="316"/>
      <c r="CNR69" s="316"/>
      <c r="CNS69" s="316"/>
      <c r="CNT69" s="316"/>
      <c r="CNU69" s="316"/>
      <c r="CNV69" s="316"/>
      <c r="CNW69" s="316"/>
      <c r="CNX69" s="316"/>
      <c r="CNY69" s="316"/>
      <c r="CNZ69" s="316"/>
      <c r="COA69" s="316"/>
      <c r="COB69" s="316"/>
      <c r="COC69" s="316"/>
      <c r="COD69" s="316"/>
      <c r="COE69" s="316"/>
      <c r="COF69" s="316"/>
      <c r="COG69" s="316"/>
      <c r="COH69" s="316"/>
      <c r="COI69" s="316"/>
      <c r="COJ69" s="316"/>
      <c r="COK69" s="316"/>
      <c r="COL69" s="316"/>
      <c r="COM69" s="316"/>
      <c r="CON69" s="316"/>
      <c r="COO69" s="316"/>
      <c r="COP69" s="316"/>
      <c r="COQ69" s="316"/>
      <c r="COR69" s="316"/>
      <c r="COS69" s="316"/>
      <c r="COT69" s="316"/>
      <c r="COU69" s="316"/>
      <c r="COV69" s="316"/>
      <c r="COW69" s="316"/>
      <c r="COX69" s="316"/>
      <c r="COY69" s="316"/>
      <c r="COZ69" s="316"/>
      <c r="CPA69" s="316"/>
      <c r="CPB69" s="316"/>
      <c r="CPC69" s="316"/>
      <c r="CPD69" s="316"/>
      <c r="CPE69" s="316"/>
      <c r="CPF69" s="316"/>
      <c r="CPG69" s="316"/>
      <c r="CPH69" s="316"/>
      <c r="CPI69" s="316"/>
      <c r="CPJ69" s="316"/>
      <c r="CPK69" s="316"/>
      <c r="CPL69" s="316"/>
      <c r="CPM69" s="316"/>
      <c r="CPN69" s="316"/>
      <c r="CPO69" s="316"/>
      <c r="CPP69" s="316"/>
      <c r="CPQ69" s="316"/>
      <c r="CPR69" s="316"/>
      <c r="CPS69" s="316"/>
      <c r="CPT69" s="316"/>
      <c r="CPU69" s="316"/>
      <c r="CPV69" s="316"/>
      <c r="CPW69" s="316"/>
      <c r="CPX69" s="316"/>
      <c r="CPY69" s="316"/>
      <c r="CPZ69" s="316"/>
      <c r="CQA69" s="316"/>
      <c r="CQB69" s="316"/>
      <c r="CQC69" s="316"/>
      <c r="CQD69" s="316"/>
      <c r="CQE69" s="316"/>
      <c r="CQF69" s="316"/>
      <c r="CQG69" s="316"/>
      <c r="CQH69" s="316"/>
      <c r="CQI69" s="316"/>
      <c r="CQJ69" s="316"/>
      <c r="CQK69" s="316"/>
      <c r="CQL69" s="316"/>
      <c r="CQM69" s="316"/>
      <c r="CQN69" s="316"/>
      <c r="CQO69" s="316"/>
      <c r="CQP69" s="316"/>
      <c r="CQQ69" s="316"/>
      <c r="CQR69" s="316"/>
      <c r="CQS69" s="316"/>
      <c r="CQT69" s="316"/>
      <c r="CQU69" s="316"/>
      <c r="CQV69" s="316"/>
      <c r="CQW69" s="316"/>
      <c r="CQX69" s="316"/>
      <c r="CQY69" s="316"/>
      <c r="CQZ69" s="316"/>
      <c r="CRA69" s="316"/>
      <c r="CRB69" s="316"/>
      <c r="CRC69" s="316"/>
      <c r="CRD69" s="316"/>
      <c r="CRE69" s="316"/>
      <c r="CRF69" s="316"/>
      <c r="CRG69" s="316"/>
      <c r="CRH69" s="316"/>
      <c r="CRI69" s="316"/>
      <c r="CRJ69" s="316"/>
      <c r="CRK69" s="316"/>
      <c r="CRL69" s="316"/>
      <c r="CRM69" s="316"/>
      <c r="CRN69" s="316"/>
      <c r="CRO69" s="316"/>
      <c r="CRP69" s="316"/>
      <c r="CRQ69" s="316"/>
      <c r="CRR69" s="316"/>
      <c r="CRS69" s="316"/>
      <c r="CRT69" s="316"/>
      <c r="CRU69" s="316"/>
      <c r="CRV69" s="316"/>
      <c r="CRW69" s="316"/>
      <c r="CRX69" s="316"/>
      <c r="CRY69" s="316"/>
      <c r="CRZ69" s="316"/>
      <c r="CSA69" s="316"/>
      <c r="CSB69" s="316"/>
      <c r="CSC69" s="316"/>
      <c r="CSD69" s="316"/>
      <c r="CSE69" s="316"/>
      <c r="CSF69" s="316"/>
      <c r="CSG69" s="316"/>
      <c r="CSH69" s="316"/>
      <c r="CSI69" s="316"/>
      <c r="CSJ69" s="316"/>
      <c r="CSK69" s="316"/>
      <c r="CSL69" s="316"/>
      <c r="CSM69" s="316"/>
      <c r="CSN69" s="316"/>
      <c r="CSO69" s="316"/>
      <c r="CSP69" s="316"/>
      <c r="CSQ69" s="316"/>
      <c r="CSR69" s="316"/>
      <c r="CSS69" s="316"/>
      <c r="CST69" s="316"/>
      <c r="CSU69" s="316"/>
      <c r="CSV69" s="316"/>
      <c r="CSW69" s="316"/>
      <c r="CSX69" s="316"/>
      <c r="CSY69" s="316"/>
      <c r="CSZ69" s="316"/>
      <c r="CTA69" s="316"/>
      <c r="CTB69" s="316"/>
      <c r="CTC69" s="316"/>
      <c r="CTD69" s="316"/>
      <c r="CTE69" s="316"/>
      <c r="CTF69" s="316"/>
      <c r="CTG69" s="316"/>
      <c r="CTH69" s="316"/>
      <c r="CTI69" s="316"/>
      <c r="CTJ69" s="316"/>
      <c r="CTK69" s="316"/>
      <c r="CTL69" s="316"/>
      <c r="CTM69" s="316"/>
      <c r="CTN69" s="316"/>
      <c r="CTO69" s="316"/>
      <c r="CTP69" s="316"/>
      <c r="CTQ69" s="316"/>
      <c r="CTR69" s="316"/>
      <c r="CTS69" s="316"/>
      <c r="CTT69" s="316"/>
      <c r="CTU69" s="316"/>
      <c r="CTV69" s="316"/>
      <c r="CTW69" s="316"/>
      <c r="CTX69" s="316"/>
      <c r="CTY69" s="316"/>
      <c r="CTZ69" s="316"/>
      <c r="CUA69" s="316"/>
      <c r="CUB69" s="316"/>
      <c r="CUC69" s="316"/>
      <c r="CUD69" s="316"/>
      <c r="CUE69" s="316"/>
      <c r="CUF69" s="316"/>
      <c r="CUG69" s="316"/>
      <c r="CUH69" s="316"/>
      <c r="CUI69" s="316"/>
      <c r="CUJ69" s="316"/>
      <c r="CUK69" s="316"/>
      <c r="CUL69" s="316"/>
      <c r="CUM69" s="316"/>
      <c r="CUN69" s="316"/>
      <c r="CUO69" s="316"/>
      <c r="CUP69" s="316"/>
      <c r="CUQ69" s="316"/>
      <c r="CUR69" s="316"/>
      <c r="CUS69" s="316"/>
      <c r="CUT69" s="316"/>
      <c r="CUU69" s="316"/>
      <c r="CUV69" s="316"/>
      <c r="CUW69" s="316"/>
      <c r="CUX69" s="316"/>
      <c r="CUY69" s="316"/>
      <c r="CUZ69" s="316"/>
      <c r="CVA69" s="316"/>
      <c r="CVB69" s="316"/>
      <c r="CVC69" s="316"/>
      <c r="CVD69" s="316"/>
      <c r="CVE69" s="316"/>
      <c r="CVF69" s="316"/>
      <c r="CVG69" s="316"/>
      <c r="CVH69" s="316"/>
      <c r="CVI69" s="316"/>
      <c r="CVJ69" s="316"/>
      <c r="CVK69" s="316"/>
      <c r="CVL69" s="316"/>
      <c r="CVM69" s="316"/>
      <c r="CVN69" s="316"/>
      <c r="CVO69" s="316"/>
      <c r="CVP69" s="316"/>
      <c r="CVQ69" s="316"/>
      <c r="CVR69" s="316"/>
      <c r="CVS69" s="316"/>
      <c r="CVT69" s="316"/>
      <c r="CVU69" s="316"/>
      <c r="CVV69" s="316"/>
      <c r="CVW69" s="316"/>
      <c r="CVX69" s="316"/>
      <c r="CVY69" s="316"/>
      <c r="CVZ69" s="316"/>
      <c r="CWA69" s="316"/>
      <c r="CWB69" s="316"/>
      <c r="CWC69" s="316"/>
      <c r="CWD69" s="316"/>
      <c r="CWE69" s="316"/>
      <c r="CWF69" s="316"/>
      <c r="CWG69" s="316"/>
      <c r="CWH69" s="316"/>
      <c r="CWI69" s="316"/>
      <c r="CWJ69" s="316"/>
      <c r="CWK69" s="316"/>
      <c r="CWL69" s="316"/>
      <c r="CWM69" s="316"/>
      <c r="CWN69" s="316"/>
      <c r="CWO69" s="316"/>
      <c r="CWP69" s="316"/>
      <c r="CWQ69" s="316"/>
      <c r="CWR69" s="316"/>
      <c r="CWS69" s="316"/>
      <c r="CWT69" s="316"/>
      <c r="CWU69" s="316"/>
      <c r="CWV69" s="316"/>
      <c r="CWW69" s="316"/>
      <c r="CWX69" s="316"/>
      <c r="CWY69" s="316"/>
      <c r="CWZ69" s="316"/>
      <c r="CXA69" s="316"/>
      <c r="CXB69" s="316"/>
      <c r="CXC69" s="316"/>
      <c r="CXD69" s="316"/>
      <c r="CXE69" s="316"/>
      <c r="CXF69" s="316"/>
      <c r="CXG69" s="316"/>
      <c r="CXH69" s="316"/>
      <c r="CXI69" s="316"/>
      <c r="CXJ69" s="316"/>
      <c r="CXK69" s="316"/>
      <c r="CXL69" s="316"/>
      <c r="CXM69" s="316"/>
      <c r="CXN69" s="316"/>
      <c r="CXO69" s="316"/>
      <c r="CXP69" s="316"/>
      <c r="CXQ69" s="316"/>
      <c r="CXR69" s="316"/>
      <c r="CXS69" s="316"/>
      <c r="CXT69" s="316"/>
      <c r="CXU69" s="316"/>
      <c r="CXV69" s="316"/>
      <c r="CXW69" s="316"/>
      <c r="CXX69" s="316"/>
      <c r="CXY69" s="316"/>
      <c r="CXZ69" s="316"/>
      <c r="CYA69" s="316"/>
      <c r="CYB69" s="316"/>
      <c r="CYC69" s="316"/>
      <c r="CYD69" s="316"/>
      <c r="CYE69" s="316"/>
      <c r="CYF69" s="316"/>
      <c r="CYG69" s="316"/>
      <c r="CYH69" s="316"/>
      <c r="CYI69" s="316"/>
      <c r="CYJ69" s="316"/>
      <c r="CYK69" s="316"/>
      <c r="CYL69" s="316"/>
      <c r="CYM69" s="316"/>
      <c r="CYN69" s="316"/>
      <c r="CYO69" s="316"/>
      <c r="CYP69" s="316"/>
      <c r="CYQ69" s="316"/>
      <c r="CYR69" s="316"/>
      <c r="CYS69" s="316"/>
      <c r="CYT69" s="316"/>
      <c r="CYU69" s="316"/>
      <c r="CYV69" s="316"/>
      <c r="CYW69" s="316"/>
      <c r="CYX69" s="316"/>
      <c r="CYY69" s="316"/>
      <c r="CYZ69" s="316"/>
      <c r="CZA69" s="316"/>
      <c r="CZB69" s="316"/>
      <c r="CZC69" s="316"/>
      <c r="CZD69" s="316"/>
      <c r="CZE69" s="316"/>
      <c r="CZF69" s="316"/>
      <c r="CZG69" s="316"/>
      <c r="CZH69" s="316"/>
      <c r="CZI69" s="316"/>
      <c r="CZJ69" s="316"/>
      <c r="CZK69" s="316"/>
      <c r="CZL69" s="316"/>
      <c r="CZM69" s="316"/>
      <c r="CZN69" s="316"/>
      <c r="CZO69" s="316"/>
      <c r="CZP69" s="316"/>
      <c r="CZQ69" s="316"/>
      <c r="CZR69" s="316"/>
      <c r="CZS69" s="316"/>
      <c r="CZT69" s="316"/>
      <c r="CZU69" s="316"/>
      <c r="CZV69" s="316"/>
      <c r="CZW69" s="316"/>
      <c r="CZX69" s="316"/>
      <c r="CZY69" s="316"/>
      <c r="CZZ69" s="316"/>
      <c r="DAA69" s="316"/>
      <c r="DAB69" s="316"/>
      <c r="DAC69" s="316"/>
      <c r="DAD69" s="316"/>
      <c r="DAE69" s="316"/>
      <c r="DAF69" s="316"/>
      <c r="DAG69" s="316"/>
      <c r="DAH69" s="316"/>
      <c r="DAI69" s="316"/>
      <c r="DAJ69" s="316"/>
      <c r="DAK69" s="316"/>
      <c r="DAL69" s="316"/>
      <c r="DAM69" s="316"/>
      <c r="DAN69" s="316"/>
      <c r="DAO69" s="316"/>
      <c r="DAP69" s="316"/>
      <c r="DAQ69" s="316"/>
      <c r="DAR69" s="316"/>
      <c r="DAS69" s="316"/>
      <c r="DAT69" s="316"/>
      <c r="DAU69" s="316"/>
      <c r="DAV69" s="316"/>
      <c r="DAW69" s="316"/>
      <c r="DAX69" s="316"/>
      <c r="DAY69" s="316"/>
      <c r="DAZ69" s="316"/>
      <c r="DBA69" s="316"/>
      <c r="DBB69" s="316"/>
      <c r="DBC69" s="316"/>
      <c r="DBD69" s="316"/>
      <c r="DBE69" s="316"/>
      <c r="DBF69" s="316"/>
      <c r="DBG69" s="316"/>
      <c r="DBH69" s="316"/>
      <c r="DBI69" s="316"/>
      <c r="DBJ69" s="316"/>
      <c r="DBK69" s="316"/>
      <c r="DBL69" s="316"/>
      <c r="DBM69" s="316"/>
      <c r="DBN69" s="316"/>
      <c r="DBO69" s="316"/>
      <c r="DBP69" s="316"/>
      <c r="DBQ69" s="316"/>
      <c r="DBR69" s="316"/>
      <c r="DBS69" s="316"/>
      <c r="DBT69" s="316"/>
      <c r="DBU69" s="316"/>
      <c r="DBV69" s="316"/>
      <c r="DBW69" s="316"/>
      <c r="DBX69" s="316"/>
      <c r="DBY69" s="316"/>
      <c r="DBZ69" s="316"/>
      <c r="DCA69" s="316"/>
      <c r="DCB69" s="316"/>
      <c r="DCC69" s="316"/>
      <c r="DCD69" s="316"/>
      <c r="DCE69" s="316"/>
      <c r="DCF69" s="316"/>
      <c r="DCG69" s="316"/>
      <c r="DCH69" s="316"/>
      <c r="DCI69" s="316"/>
      <c r="DCJ69" s="316"/>
      <c r="DCK69" s="316"/>
      <c r="DCL69" s="316"/>
      <c r="DCM69" s="316"/>
      <c r="DCN69" s="316"/>
      <c r="DCO69" s="316"/>
      <c r="DCP69" s="316"/>
      <c r="DCQ69" s="316"/>
      <c r="DCR69" s="316"/>
      <c r="DCS69" s="316"/>
      <c r="DCT69" s="316"/>
      <c r="DCU69" s="316"/>
      <c r="DCV69" s="316"/>
      <c r="DCW69" s="316"/>
      <c r="DCX69" s="316"/>
      <c r="DCY69" s="316"/>
      <c r="DCZ69" s="316"/>
      <c r="DDA69" s="316"/>
      <c r="DDB69" s="316"/>
      <c r="DDC69" s="316"/>
      <c r="DDD69" s="316"/>
      <c r="DDE69" s="316"/>
      <c r="DDF69" s="316"/>
      <c r="DDG69" s="316"/>
      <c r="DDH69" s="316"/>
      <c r="DDI69" s="316"/>
      <c r="DDJ69" s="316"/>
      <c r="DDK69" s="316"/>
      <c r="DDL69" s="316"/>
      <c r="DDM69" s="316"/>
      <c r="DDN69" s="316"/>
      <c r="DDO69" s="316"/>
      <c r="DDP69" s="316"/>
      <c r="DDQ69" s="316"/>
      <c r="DDR69" s="316"/>
      <c r="DDS69" s="316"/>
      <c r="DDT69" s="316"/>
      <c r="DDU69" s="316"/>
      <c r="DDV69" s="316"/>
      <c r="DDW69" s="316"/>
      <c r="DDX69" s="316"/>
      <c r="DDY69" s="316"/>
      <c r="DDZ69" s="316"/>
      <c r="DEA69" s="316"/>
      <c r="DEB69" s="316"/>
      <c r="DEC69" s="316"/>
      <c r="DED69" s="316"/>
      <c r="DEE69" s="316"/>
      <c r="DEF69" s="316"/>
      <c r="DEG69" s="316"/>
      <c r="DEH69" s="316"/>
      <c r="DEI69" s="316"/>
      <c r="DEJ69" s="316"/>
      <c r="DEK69" s="316"/>
      <c r="DEL69" s="316"/>
      <c r="DEM69" s="316"/>
      <c r="DEN69" s="316"/>
      <c r="DEO69" s="316"/>
      <c r="DEP69" s="316"/>
      <c r="DEQ69" s="316"/>
      <c r="DER69" s="316"/>
      <c r="DES69" s="316"/>
      <c r="DET69" s="316"/>
      <c r="DEU69" s="316"/>
      <c r="DEV69" s="316"/>
      <c r="DEW69" s="316"/>
      <c r="DEX69" s="316"/>
      <c r="DEY69" s="316"/>
      <c r="DEZ69" s="316"/>
      <c r="DFA69" s="316"/>
      <c r="DFB69" s="316"/>
      <c r="DFC69" s="316"/>
      <c r="DFD69" s="316"/>
      <c r="DFE69" s="316"/>
      <c r="DFF69" s="316"/>
      <c r="DFG69" s="316"/>
      <c r="DFH69" s="316"/>
      <c r="DFI69" s="316"/>
      <c r="DFJ69" s="316"/>
      <c r="DFK69" s="316"/>
      <c r="DFL69" s="316"/>
      <c r="DFM69" s="316"/>
      <c r="DFN69" s="316"/>
      <c r="DFO69" s="316"/>
      <c r="DFP69" s="316"/>
      <c r="DFQ69" s="316"/>
      <c r="DFR69" s="316"/>
      <c r="DFS69" s="316"/>
      <c r="DFT69" s="316"/>
      <c r="DFU69" s="316"/>
      <c r="DFV69" s="316"/>
      <c r="DFW69" s="316"/>
      <c r="DFX69" s="316"/>
      <c r="DFY69" s="316"/>
      <c r="DFZ69" s="316"/>
      <c r="DGA69" s="316"/>
      <c r="DGB69" s="316"/>
      <c r="DGC69" s="316"/>
      <c r="DGD69" s="316"/>
      <c r="DGE69" s="316"/>
      <c r="DGF69" s="316"/>
      <c r="DGG69" s="316"/>
      <c r="DGH69" s="316"/>
      <c r="DGI69" s="316"/>
      <c r="DGJ69" s="316"/>
      <c r="DGK69" s="316"/>
      <c r="DGL69" s="316"/>
      <c r="DGM69" s="316"/>
      <c r="DGN69" s="316"/>
      <c r="DGO69" s="316"/>
      <c r="DGP69" s="316"/>
      <c r="DGQ69" s="316"/>
      <c r="DGR69" s="316"/>
      <c r="DGS69" s="316"/>
      <c r="DGT69" s="316"/>
      <c r="DGU69" s="316"/>
      <c r="DGV69" s="316"/>
      <c r="DGW69" s="316"/>
      <c r="DGX69" s="316"/>
      <c r="DGY69" s="316"/>
      <c r="DGZ69" s="316"/>
      <c r="DHA69" s="316"/>
      <c r="DHB69" s="316"/>
      <c r="DHC69" s="316"/>
      <c r="DHD69" s="316"/>
      <c r="DHE69" s="316"/>
      <c r="DHF69" s="316"/>
      <c r="DHG69" s="316"/>
      <c r="DHH69" s="316"/>
      <c r="DHI69" s="316"/>
      <c r="DHJ69" s="316"/>
      <c r="DHK69" s="316"/>
      <c r="DHL69" s="316"/>
      <c r="DHM69" s="316"/>
      <c r="DHN69" s="316"/>
      <c r="DHO69" s="316"/>
      <c r="DHP69" s="316"/>
      <c r="DHQ69" s="316"/>
      <c r="DHR69" s="316"/>
      <c r="DHS69" s="316"/>
      <c r="DHT69" s="316"/>
      <c r="DHU69" s="316"/>
      <c r="DHV69" s="316"/>
      <c r="DHW69" s="316"/>
      <c r="DHX69" s="316"/>
      <c r="DHY69" s="316"/>
      <c r="DHZ69" s="316"/>
      <c r="DIA69" s="316"/>
      <c r="DIB69" s="316"/>
      <c r="DIC69" s="316"/>
      <c r="DID69" s="316"/>
      <c r="DIE69" s="316"/>
      <c r="DIF69" s="316"/>
      <c r="DIG69" s="316"/>
      <c r="DIH69" s="316"/>
      <c r="DII69" s="316"/>
      <c r="DIJ69" s="316"/>
      <c r="DIK69" s="316"/>
      <c r="DIL69" s="316"/>
      <c r="DIM69" s="316"/>
      <c r="DIN69" s="316"/>
      <c r="DIO69" s="316"/>
      <c r="DIP69" s="316"/>
      <c r="DIQ69" s="316"/>
      <c r="DIR69" s="316"/>
      <c r="DIS69" s="316"/>
      <c r="DIT69" s="316"/>
      <c r="DIU69" s="316"/>
      <c r="DIV69" s="316"/>
      <c r="DIW69" s="316"/>
      <c r="DIX69" s="316"/>
      <c r="DIY69" s="316"/>
      <c r="DIZ69" s="316"/>
      <c r="DJA69" s="316"/>
      <c r="DJB69" s="316"/>
      <c r="DJC69" s="316"/>
      <c r="DJD69" s="316"/>
      <c r="DJE69" s="316"/>
      <c r="DJF69" s="316"/>
      <c r="DJG69" s="316"/>
      <c r="DJH69" s="316"/>
      <c r="DJI69" s="316"/>
      <c r="DJJ69" s="316"/>
      <c r="DJK69" s="316"/>
      <c r="DJL69" s="316"/>
      <c r="DJM69" s="316"/>
      <c r="DJN69" s="316"/>
      <c r="DJO69" s="316"/>
      <c r="DJP69" s="316"/>
      <c r="DJQ69" s="316"/>
      <c r="DJR69" s="316"/>
      <c r="DJS69" s="316"/>
      <c r="DJT69" s="316"/>
      <c r="DJU69" s="316"/>
      <c r="DJV69" s="316"/>
      <c r="DJW69" s="316"/>
      <c r="DJX69" s="316"/>
      <c r="DJY69" s="316"/>
      <c r="DJZ69" s="316"/>
      <c r="DKA69" s="316"/>
      <c r="DKB69" s="316"/>
      <c r="DKC69" s="316"/>
      <c r="DKD69" s="316"/>
      <c r="DKE69" s="316"/>
      <c r="DKF69" s="316"/>
      <c r="DKG69" s="316"/>
      <c r="DKH69" s="316"/>
      <c r="DKI69" s="316"/>
      <c r="DKJ69" s="316"/>
      <c r="DKK69" s="316"/>
      <c r="DKL69" s="316"/>
      <c r="DKM69" s="316"/>
      <c r="DKN69" s="316"/>
      <c r="DKO69" s="316"/>
      <c r="DKP69" s="316"/>
      <c r="DKQ69" s="316"/>
      <c r="DKR69" s="316"/>
      <c r="DKS69" s="316"/>
      <c r="DKT69" s="316"/>
      <c r="DKU69" s="316"/>
      <c r="DKV69" s="316"/>
      <c r="DKW69" s="316"/>
      <c r="DKX69" s="316"/>
      <c r="DKY69" s="316"/>
      <c r="DKZ69" s="316"/>
      <c r="DLA69" s="316"/>
      <c r="DLB69" s="316"/>
      <c r="DLC69" s="316"/>
      <c r="DLD69" s="316"/>
      <c r="DLE69" s="316"/>
      <c r="DLF69" s="316"/>
      <c r="DLG69" s="316"/>
      <c r="DLH69" s="316"/>
      <c r="DLI69" s="316"/>
      <c r="DLJ69" s="316"/>
      <c r="DLK69" s="316"/>
      <c r="DLL69" s="316"/>
      <c r="DLM69" s="316"/>
      <c r="DLN69" s="316"/>
      <c r="DLO69" s="316"/>
      <c r="DLP69" s="316"/>
      <c r="DLQ69" s="316"/>
      <c r="DLR69" s="316"/>
      <c r="DLS69" s="316"/>
      <c r="DLT69" s="316"/>
      <c r="DLU69" s="316"/>
      <c r="DLV69" s="316"/>
      <c r="DLW69" s="316"/>
      <c r="DLX69" s="316"/>
      <c r="DLY69" s="316"/>
      <c r="DLZ69" s="316"/>
      <c r="DMA69" s="316"/>
      <c r="DMB69" s="316"/>
      <c r="DMC69" s="316"/>
      <c r="DMD69" s="316"/>
      <c r="DME69" s="316"/>
      <c r="DMF69" s="316"/>
      <c r="DMG69" s="316"/>
      <c r="DMH69" s="316"/>
      <c r="DMI69" s="316"/>
      <c r="DMJ69" s="316"/>
      <c r="DMK69" s="316"/>
      <c r="DML69" s="316"/>
      <c r="DMM69" s="316"/>
      <c r="DMN69" s="316"/>
      <c r="DMO69" s="316"/>
      <c r="DMP69" s="316"/>
      <c r="DMQ69" s="316"/>
      <c r="DMR69" s="316"/>
      <c r="DMS69" s="316"/>
      <c r="DMT69" s="316"/>
      <c r="DMU69" s="316"/>
      <c r="DMV69" s="316"/>
      <c r="DMW69" s="316"/>
      <c r="DMX69" s="316"/>
      <c r="DMY69" s="316"/>
      <c r="DMZ69" s="316"/>
      <c r="DNA69" s="316"/>
      <c r="DNB69" s="316"/>
      <c r="DNC69" s="316"/>
      <c r="DND69" s="316"/>
      <c r="DNE69" s="316"/>
      <c r="DNF69" s="316"/>
      <c r="DNG69" s="316"/>
      <c r="DNH69" s="316"/>
      <c r="DNI69" s="316"/>
      <c r="DNJ69" s="316"/>
      <c r="DNK69" s="316"/>
      <c r="DNL69" s="316"/>
      <c r="DNM69" s="316"/>
      <c r="DNN69" s="316"/>
      <c r="DNO69" s="316"/>
      <c r="DNP69" s="316"/>
      <c r="DNQ69" s="316"/>
      <c r="DNR69" s="316"/>
      <c r="DNS69" s="316"/>
      <c r="DNT69" s="316"/>
      <c r="DNU69" s="316"/>
      <c r="DNV69" s="316"/>
      <c r="DNW69" s="316"/>
      <c r="DNX69" s="316"/>
      <c r="DNY69" s="316"/>
      <c r="DNZ69" s="316"/>
      <c r="DOA69" s="316"/>
      <c r="DOB69" s="316"/>
      <c r="DOC69" s="316"/>
      <c r="DOD69" s="316"/>
      <c r="DOE69" s="316"/>
      <c r="DOF69" s="316"/>
      <c r="DOG69" s="316"/>
      <c r="DOH69" s="316"/>
      <c r="DOI69" s="316"/>
      <c r="DOJ69" s="316"/>
      <c r="DOK69" s="316"/>
      <c r="DOL69" s="316"/>
      <c r="DOM69" s="316"/>
      <c r="DON69" s="316"/>
      <c r="DOO69" s="316"/>
      <c r="DOP69" s="316"/>
      <c r="DOQ69" s="316"/>
      <c r="DOR69" s="316"/>
      <c r="DOS69" s="316"/>
      <c r="DOT69" s="316"/>
      <c r="DOU69" s="316"/>
      <c r="DOV69" s="316"/>
      <c r="DOW69" s="316"/>
      <c r="DOX69" s="316"/>
      <c r="DOY69" s="316"/>
      <c r="DOZ69" s="316"/>
      <c r="DPA69" s="316"/>
      <c r="DPB69" s="316"/>
      <c r="DPC69" s="316"/>
      <c r="DPD69" s="316"/>
      <c r="DPE69" s="316"/>
      <c r="DPF69" s="316"/>
      <c r="DPG69" s="316"/>
      <c r="DPH69" s="316"/>
      <c r="DPI69" s="316"/>
      <c r="DPJ69" s="316"/>
      <c r="DPK69" s="316"/>
      <c r="DPL69" s="316"/>
      <c r="DPM69" s="316"/>
      <c r="DPN69" s="316"/>
      <c r="DPO69" s="316"/>
      <c r="DPP69" s="316"/>
      <c r="DPQ69" s="316"/>
      <c r="DPR69" s="316"/>
      <c r="DPS69" s="316"/>
      <c r="DPT69" s="316"/>
      <c r="DPU69" s="316"/>
      <c r="DPV69" s="316"/>
      <c r="DPW69" s="316"/>
      <c r="DPX69" s="316"/>
      <c r="DPY69" s="316"/>
      <c r="DPZ69" s="316"/>
      <c r="DQA69" s="316"/>
      <c r="DQB69" s="316"/>
      <c r="DQC69" s="316"/>
      <c r="DQD69" s="316"/>
      <c r="DQE69" s="316"/>
      <c r="DQF69" s="316"/>
      <c r="DQG69" s="316"/>
      <c r="DQH69" s="316"/>
      <c r="DQI69" s="316"/>
      <c r="DQJ69" s="316"/>
      <c r="DQK69" s="316"/>
      <c r="DQL69" s="316"/>
      <c r="DQM69" s="316"/>
      <c r="DQN69" s="316"/>
      <c r="DQO69" s="316"/>
      <c r="DQP69" s="316"/>
      <c r="DQQ69" s="316"/>
      <c r="DQR69" s="316"/>
      <c r="DQS69" s="316"/>
      <c r="DQT69" s="316"/>
      <c r="DQU69" s="316"/>
      <c r="DQV69" s="316"/>
      <c r="DQW69" s="316"/>
      <c r="DQX69" s="316"/>
      <c r="DQY69" s="316"/>
      <c r="DQZ69" s="316"/>
      <c r="DRA69" s="316"/>
      <c r="DRB69" s="316"/>
      <c r="DRC69" s="316"/>
      <c r="DRD69" s="316"/>
      <c r="DRE69" s="316"/>
      <c r="DRF69" s="316"/>
      <c r="DRG69" s="316"/>
      <c r="DRH69" s="316"/>
      <c r="DRI69" s="316"/>
      <c r="DRJ69" s="316"/>
      <c r="DRK69" s="316"/>
      <c r="DRL69" s="316"/>
      <c r="DRM69" s="316"/>
      <c r="DRN69" s="316"/>
      <c r="DRO69" s="316"/>
      <c r="DRP69" s="316"/>
      <c r="DRQ69" s="316"/>
      <c r="DRR69" s="316"/>
      <c r="DRS69" s="316"/>
      <c r="DRT69" s="316"/>
      <c r="DRU69" s="316"/>
      <c r="DRV69" s="316"/>
      <c r="DRW69" s="316"/>
      <c r="DRX69" s="316"/>
      <c r="DRY69" s="316"/>
      <c r="DRZ69" s="316"/>
      <c r="DSA69" s="316"/>
      <c r="DSB69" s="316"/>
      <c r="DSC69" s="316"/>
      <c r="DSD69" s="316"/>
      <c r="DSE69" s="316"/>
      <c r="DSF69" s="316"/>
      <c r="DSG69" s="316"/>
      <c r="DSH69" s="316"/>
      <c r="DSI69" s="316"/>
      <c r="DSJ69" s="316"/>
      <c r="DSK69" s="316"/>
      <c r="DSL69" s="316"/>
      <c r="DSM69" s="316"/>
      <c r="DSN69" s="316"/>
      <c r="DSO69" s="316"/>
      <c r="DSP69" s="316"/>
      <c r="DSQ69" s="316"/>
      <c r="DSR69" s="316"/>
      <c r="DSS69" s="316"/>
      <c r="DST69" s="316"/>
      <c r="DSU69" s="316"/>
      <c r="DSV69" s="316"/>
      <c r="DSW69" s="316"/>
      <c r="DSX69" s="316"/>
      <c r="DSY69" s="316"/>
      <c r="DSZ69" s="316"/>
      <c r="DTA69" s="316"/>
      <c r="DTB69" s="316"/>
      <c r="DTC69" s="316"/>
      <c r="DTD69" s="316"/>
      <c r="DTE69" s="316"/>
      <c r="DTF69" s="316"/>
      <c r="DTG69" s="316"/>
      <c r="DTH69" s="316"/>
      <c r="DTI69" s="316"/>
      <c r="DTJ69" s="316"/>
      <c r="DTK69" s="316"/>
      <c r="DTL69" s="316"/>
      <c r="DTM69" s="316"/>
      <c r="DTN69" s="316"/>
      <c r="DTO69" s="316"/>
      <c r="DTP69" s="316"/>
      <c r="DTQ69" s="316"/>
      <c r="DTR69" s="316"/>
      <c r="DTS69" s="316"/>
      <c r="DTT69" s="316"/>
      <c r="DTU69" s="316"/>
      <c r="DTV69" s="316"/>
      <c r="DTW69" s="316"/>
      <c r="DTX69" s="316"/>
      <c r="DTY69" s="316"/>
      <c r="DTZ69" s="316"/>
      <c r="DUA69" s="316"/>
      <c r="DUB69" s="316"/>
      <c r="DUC69" s="316"/>
      <c r="DUD69" s="316"/>
      <c r="DUE69" s="316"/>
      <c r="DUF69" s="316"/>
      <c r="DUG69" s="316"/>
      <c r="DUH69" s="316"/>
      <c r="DUI69" s="316"/>
      <c r="DUJ69" s="316"/>
      <c r="DUK69" s="316"/>
      <c r="DUL69" s="316"/>
      <c r="DUM69" s="316"/>
      <c r="DUN69" s="316"/>
      <c r="DUO69" s="316"/>
      <c r="DUP69" s="316"/>
      <c r="DUQ69" s="316"/>
      <c r="DUR69" s="316"/>
      <c r="DUS69" s="316"/>
      <c r="DUT69" s="316"/>
      <c r="DUU69" s="316"/>
      <c r="DUV69" s="316"/>
      <c r="DUW69" s="316"/>
      <c r="DUX69" s="316"/>
      <c r="DUY69" s="316"/>
      <c r="DUZ69" s="316"/>
      <c r="DVA69" s="316"/>
      <c r="DVB69" s="316"/>
      <c r="DVC69" s="316"/>
      <c r="DVD69" s="316"/>
      <c r="DVE69" s="316"/>
      <c r="DVF69" s="316"/>
      <c r="DVG69" s="316"/>
      <c r="DVH69" s="316"/>
      <c r="DVI69" s="316"/>
      <c r="DVJ69" s="316"/>
      <c r="DVK69" s="316"/>
      <c r="DVL69" s="316"/>
      <c r="DVM69" s="316"/>
      <c r="DVN69" s="316"/>
      <c r="DVO69" s="316"/>
      <c r="DVP69" s="316"/>
      <c r="DVQ69" s="316"/>
      <c r="DVR69" s="316"/>
      <c r="DVS69" s="316"/>
      <c r="DVT69" s="316"/>
      <c r="DVU69" s="316"/>
      <c r="DVV69" s="316"/>
      <c r="DVW69" s="316"/>
      <c r="DVX69" s="316"/>
      <c r="DVY69" s="316"/>
      <c r="DVZ69" s="316"/>
      <c r="DWA69" s="316"/>
      <c r="DWB69" s="316"/>
      <c r="DWC69" s="316"/>
      <c r="DWD69" s="316"/>
      <c r="DWE69" s="316"/>
      <c r="DWF69" s="316"/>
      <c r="DWG69" s="316"/>
      <c r="DWH69" s="316"/>
      <c r="DWI69" s="316"/>
      <c r="DWJ69" s="316"/>
      <c r="DWK69" s="316"/>
      <c r="DWL69" s="316"/>
      <c r="DWM69" s="316"/>
      <c r="DWN69" s="316"/>
      <c r="DWO69" s="316"/>
      <c r="DWP69" s="316"/>
      <c r="DWQ69" s="316"/>
      <c r="DWR69" s="316"/>
      <c r="DWS69" s="316"/>
      <c r="DWT69" s="316"/>
      <c r="DWU69" s="316"/>
      <c r="DWV69" s="316"/>
      <c r="DWW69" s="316"/>
      <c r="DWX69" s="316"/>
      <c r="DWY69" s="316"/>
      <c r="DWZ69" s="316"/>
      <c r="DXA69" s="316"/>
      <c r="DXB69" s="316"/>
      <c r="DXC69" s="316"/>
      <c r="DXD69" s="316"/>
      <c r="DXE69" s="316"/>
      <c r="DXF69" s="316"/>
      <c r="DXG69" s="316"/>
      <c r="DXH69" s="316"/>
      <c r="DXI69" s="316"/>
      <c r="DXJ69" s="316"/>
      <c r="DXK69" s="316"/>
      <c r="DXL69" s="316"/>
      <c r="DXM69" s="316"/>
      <c r="DXN69" s="316"/>
      <c r="DXO69" s="316"/>
      <c r="DXP69" s="316"/>
      <c r="DXQ69" s="316"/>
      <c r="DXR69" s="316"/>
      <c r="DXS69" s="316"/>
      <c r="DXT69" s="316"/>
      <c r="DXU69" s="316"/>
      <c r="DXV69" s="316"/>
      <c r="DXW69" s="316"/>
      <c r="DXX69" s="316"/>
      <c r="DXY69" s="316"/>
      <c r="DXZ69" s="316"/>
      <c r="DYA69" s="316"/>
      <c r="DYB69" s="316"/>
      <c r="DYC69" s="316"/>
      <c r="DYD69" s="316"/>
      <c r="DYE69" s="316"/>
      <c r="DYF69" s="316"/>
      <c r="DYG69" s="316"/>
      <c r="DYH69" s="316"/>
      <c r="DYI69" s="316"/>
      <c r="DYJ69" s="316"/>
      <c r="DYK69" s="316"/>
      <c r="DYL69" s="316"/>
      <c r="DYM69" s="316"/>
      <c r="DYN69" s="316"/>
      <c r="DYO69" s="316"/>
      <c r="DYP69" s="316"/>
      <c r="DYQ69" s="316"/>
      <c r="DYR69" s="316"/>
      <c r="DYS69" s="316"/>
      <c r="DYT69" s="316"/>
      <c r="DYU69" s="316"/>
      <c r="DYV69" s="316"/>
      <c r="DYW69" s="316"/>
      <c r="DYX69" s="316"/>
      <c r="DYY69" s="316"/>
      <c r="DYZ69" s="316"/>
      <c r="DZA69" s="316"/>
      <c r="DZB69" s="316"/>
      <c r="DZC69" s="316"/>
      <c r="DZD69" s="316"/>
      <c r="DZE69" s="316"/>
      <c r="DZF69" s="316"/>
      <c r="DZG69" s="316"/>
      <c r="DZH69" s="316"/>
      <c r="DZI69" s="316"/>
      <c r="DZJ69" s="316"/>
      <c r="DZK69" s="316"/>
      <c r="DZL69" s="316"/>
      <c r="DZM69" s="316"/>
      <c r="DZN69" s="316"/>
      <c r="DZO69" s="316"/>
      <c r="DZP69" s="316"/>
      <c r="DZQ69" s="316"/>
      <c r="DZR69" s="316"/>
      <c r="DZS69" s="316"/>
      <c r="DZT69" s="316"/>
      <c r="DZU69" s="316"/>
      <c r="DZV69" s="316"/>
      <c r="DZW69" s="316"/>
      <c r="DZX69" s="316"/>
      <c r="DZY69" s="316"/>
      <c r="DZZ69" s="316"/>
      <c r="EAA69" s="316"/>
      <c r="EAB69" s="316"/>
      <c r="EAC69" s="316"/>
      <c r="EAD69" s="316"/>
      <c r="EAE69" s="316"/>
      <c r="EAF69" s="316"/>
      <c r="EAG69" s="316"/>
      <c r="EAH69" s="316"/>
      <c r="EAI69" s="316"/>
      <c r="EAJ69" s="316"/>
      <c r="EAK69" s="316"/>
      <c r="EAL69" s="316"/>
      <c r="EAM69" s="316"/>
      <c r="EAN69" s="316"/>
      <c r="EAO69" s="316"/>
      <c r="EAP69" s="316"/>
      <c r="EAQ69" s="316"/>
      <c r="EAR69" s="316"/>
      <c r="EAS69" s="316"/>
      <c r="EAT69" s="316"/>
      <c r="EAU69" s="316"/>
      <c r="EAV69" s="316"/>
      <c r="EAW69" s="316"/>
      <c r="EAX69" s="316"/>
      <c r="EAY69" s="316"/>
      <c r="EAZ69" s="316"/>
      <c r="EBA69" s="316"/>
      <c r="EBB69" s="316"/>
      <c r="EBC69" s="316"/>
      <c r="EBD69" s="316"/>
      <c r="EBE69" s="316"/>
      <c r="EBF69" s="316"/>
      <c r="EBG69" s="316"/>
      <c r="EBH69" s="316"/>
      <c r="EBI69" s="316"/>
      <c r="EBJ69" s="316"/>
      <c r="EBK69" s="316"/>
      <c r="EBL69" s="316"/>
      <c r="EBM69" s="316"/>
      <c r="EBN69" s="316"/>
      <c r="EBO69" s="316"/>
      <c r="EBP69" s="316"/>
      <c r="EBQ69" s="316"/>
      <c r="EBR69" s="316"/>
      <c r="EBS69" s="316"/>
      <c r="EBT69" s="316"/>
      <c r="EBU69" s="316"/>
      <c r="EBV69" s="316"/>
      <c r="EBW69" s="316"/>
      <c r="EBX69" s="316"/>
      <c r="EBY69" s="316"/>
      <c r="EBZ69" s="316"/>
      <c r="ECA69" s="316"/>
      <c r="ECB69" s="316"/>
      <c r="ECC69" s="316"/>
      <c r="ECD69" s="316"/>
      <c r="ECE69" s="316"/>
      <c r="ECF69" s="316"/>
      <c r="ECG69" s="316"/>
      <c r="ECH69" s="316"/>
      <c r="ECI69" s="316"/>
      <c r="ECJ69" s="316"/>
      <c r="ECK69" s="316"/>
      <c r="ECL69" s="316"/>
      <c r="ECM69" s="316"/>
      <c r="ECN69" s="316"/>
      <c r="ECO69" s="316"/>
      <c r="ECP69" s="316"/>
      <c r="ECQ69" s="316"/>
      <c r="ECR69" s="316"/>
      <c r="ECS69" s="316"/>
      <c r="ECT69" s="316"/>
      <c r="ECU69" s="316"/>
      <c r="ECV69" s="316"/>
      <c r="ECW69" s="316"/>
      <c r="ECX69" s="316"/>
      <c r="ECY69" s="316"/>
      <c r="ECZ69" s="316"/>
      <c r="EDA69" s="316"/>
      <c r="EDB69" s="316"/>
      <c r="EDC69" s="316"/>
      <c r="EDD69" s="316"/>
      <c r="EDE69" s="316"/>
      <c r="EDF69" s="316"/>
      <c r="EDG69" s="316"/>
      <c r="EDH69" s="316"/>
      <c r="EDI69" s="316"/>
      <c r="EDJ69" s="316"/>
      <c r="EDK69" s="316"/>
      <c r="EDL69" s="316"/>
      <c r="EDM69" s="316"/>
      <c r="EDN69" s="316"/>
      <c r="EDO69" s="316"/>
      <c r="EDP69" s="316"/>
      <c r="EDQ69" s="316"/>
      <c r="EDR69" s="316"/>
      <c r="EDS69" s="316"/>
      <c r="EDT69" s="316"/>
      <c r="EDU69" s="316"/>
      <c r="EDV69" s="316"/>
      <c r="EDW69" s="316"/>
      <c r="EDX69" s="316"/>
      <c r="EDY69" s="316"/>
      <c r="EDZ69" s="316"/>
      <c r="EEA69" s="316"/>
      <c r="EEB69" s="316"/>
      <c r="EEC69" s="316"/>
      <c r="EED69" s="316"/>
      <c r="EEE69" s="316"/>
      <c r="EEF69" s="316"/>
      <c r="EEG69" s="316"/>
      <c r="EEH69" s="316"/>
      <c r="EEI69" s="316"/>
      <c r="EEJ69" s="316"/>
      <c r="EEK69" s="316"/>
      <c r="EEL69" s="316"/>
      <c r="EEM69" s="316"/>
      <c r="EEN69" s="316"/>
      <c r="EEO69" s="316"/>
      <c r="EEP69" s="316"/>
      <c r="EEQ69" s="316"/>
      <c r="EER69" s="316"/>
      <c r="EES69" s="316"/>
      <c r="EET69" s="316"/>
      <c r="EEU69" s="316"/>
      <c r="EEV69" s="316"/>
      <c r="EEW69" s="316"/>
      <c r="EEX69" s="316"/>
      <c r="EEY69" s="316"/>
      <c r="EEZ69" s="316"/>
      <c r="EFA69" s="316"/>
      <c r="EFB69" s="316"/>
      <c r="EFC69" s="316"/>
      <c r="EFD69" s="316"/>
      <c r="EFE69" s="316"/>
      <c r="EFF69" s="316"/>
      <c r="EFG69" s="316"/>
      <c r="EFH69" s="316"/>
      <c r="EFI69" s="316"/>
      <c r="EFJ69" s="316"/>
      <c r="EFK69" s="316"/>
      <c r="EFL69" s="316"/>
      <c r="EFM69" s="316"/>
      <c r="EFN69" s="316"/>
      <c r="EFO69" s="316"/>
      <c r="EFP69" s="316"/>
      <c r="EFQ69" s="316"/>
      <c r="EFR69" s="316"/>
      <c r="EFS69" s="316"/>
      <c r="EFT69" s="316"/>
      <c r="EFU69" s="316"/>
      <c r="EFV69" s="316"/>
      <c r="EFW69" s="316"/>
      <c r="EFX69" s="316"/>
      <c r="EFY69" s="316"/>
      <c r="EFZ69" s="316"/>
      <c r="EGA69" s="316"/>
      <c r="EGB69" s="316"/>
      <c r="EGC69" s="316"/>
      <c r="EGD69" s="316"/>
      <c r="EGE69" s="316"/>
      <c r="EGF69" s="316"/>
      <c r="EGG69" s="316"/>
      <c r="EGH69" s="316"/>
      <c r="EGI69" s="316"/>
      <c r="EGJ69" s="316"/>
      <c r="EGK69" s="316"/>
      <c r="EGL69" s="316"/>
      <c r="EGM69" s="316"/>
      <c r="EGN69" s="316"/>
      <c r="EGO69" s="316"/>
      <c r="EGP69" s="316"/>
      <c r="EGQ69" s="316"/>
      <c r="EGR69" s="316"/>
      <c r="EGS69" s="316"/>
      <c r="EGT69" s="316"/>
      <c r="EGU69" s="316"/>
      <c r="EGV69" s="316"/>
      <c r="EGW69" s="316"/>
      <c r="EGX69" s="316"/>
      <c r="EGY69" s="316"/>
      <c r="EGZ69" s="316"/>
      <c r="EHA69" s="316"/>
      <c r="EHB69" s="316"/>
      <c r="EHC69" s="316"/>
      <c r="EHD69" s="316"/>
      <c r="EHE69" s="316"/>
      <c r="EHF69" s="316"/>
      <c r="EHG69" s="316"/>
      <c r="EHH69" s="316"/>
      <c r="EHI69" s="316"/>
      <c r="EHJ69" s="316"/>
      <c r="EHK69" s="316"/>
      <c r="EHL69" s="316"/>
      <c r="EHM69" s="316"/>
      <c r="EHN69" s="316"/>
      <c r="EHO69" s="316"/>
      <c r="EHP69" s="316"/>
      <c r="EHQ69" s="316"/>
      <c r="EHR69" s="316"/>
      <c r="EHS69" s="316"/>
      <c r="EHT69" s="316"/>
      <c r="EHU69" s="316"/>
      <c r="EHV69" s="316"/>
      <c r="EHW69" s="316"/>
      <c r="EHX69" s="316"/>
      <c r="EHY69" s="316"/>
      <c r="EHZ69" s="316"/>
      <c r="EIA69" s="316"/>
      <c r="EIB69" s="316"/>
      <c r="EIC69" s="316"/>
      <c r="EID69" s="316"/>
      <c r="EIE69" s="316"/>
      <c r="EIF69" s="316"/>
      <c r="EIG69" s="316"/>
      <c r="EIH69" s="316"/>
      <c r="EII69" s="316"/>
      <c r="EIJ69" s="316"/>
      <c r="EIK69" s="316"/>
      <c r="EIL69" s="316"/>
      <c r="EIM69" s="316"/>
      <c r="EIN69" s="316"/>
      <c r="EIO69" s="316"/>
      <c r="EIP69" s="316"/>
      <c r="EIQ69" s="316"/>
      <c r="EIR69" s="316"/>
      <c r="EIS69" s="316"/>
      <c r="EIT69" s="316"/>
      <c r="EIU69" s="316"/>
      <c r="EIV69" s="316"/>
      <c r="EIW69" s="316"/>
      <c r="EIX69" s="316"/>
      <c r="EIY69" s="316"/>
      <c r="EIZ69" s="316"/>
      <c r="EJA69" s="316"/>
      <c r="EJB69" s="316"/>
      <c r="EJC69" s="316"/>
      <c r="EJD69" s="316"/>
      <c r="EJE69" s="316"/>
      <c r="EJF69" s="316"/>
      <c r="EJG69" s="316"/>
      <c r="EJH69" s="316"/>
      <c r="EJI69" s="316"/>
      <c r="EJJ69" s="316"/>
      <c r="EJK69" s="316"/>
      <c r="EJL69" s="316"/>
      <c r="EJM69" s="316"/>
      <c r="EJN69" s="316"/>
      <c r="EJO69" s="316"/>
      <c r="EJP69" s="316"/>
      <c r="EJQ69" s="316"/>
      <c r="EJR69" s="316"/>
      <c r="EJS69" s="316"/>
      <c r="EJT69" s="316"/>
      <c r="EJU69" s="316"/>
      <c r="EJV69" s="316"/>
      <c r="EJW69" s="316"/>
      <c r="EJX69" s="316"/>
      <c r="EJY69" s="316"/>
      <c r="EJZ69" s="316"/>
      <c r="EKA69" s="316"/>
      <c r="EKB69" s="316"/>
      <c r="EKC69" s="316"/>
      <c r="EKD69" s="316"/>
      <c r="EKE69" s="316"/>
      <c r="EKF69" s="316"/>
      <c r="EKG69" s="316"/>
      <c r="EKH69" s="316"/>
      <c r="EKI69" s="316"/>
      <c r="EKJ69" s="316"/>
      <c r="EKK69" s="316"/>
      <c r="EKL69" s="316"/>
      <c r="EKM69" s="316"/>
      <c r="EKN69" s="316"/>
      <c r="EKO69" s="316"/>
      <c r="EKP69" s="316"/>
      <c r="EKQ69" s="316"/>
      <c r="EKR69" s="316"/>
      <c r="EKS69" s="316"/>
      <c r="EKT69" s="316"/>
      <c r="EKU69" s="316"/>
      <c r="EKV69" s="316"/>
      <c r="EKW69" s="316"/>
      <c r="EKX69" s="316"/>
      <c r="EKY69" s="316"/>
      <c r="EKZ69" s="316"/>
      <c r="ELA69" s="316"/>
      <c r="ELB69" s="316"/>
      <c r="ELC69" s="316"/>
      <c r="ELD69" s="316"/>
      <c r="ELE69" s="316"/>
      <c r="ELF69" s="316"/>
      <c r="ELG69" s="316"/>
      <c r="ELH69" s="316"/>
      <c r="ELI69" s="316"/>
      <c r="ELJ69" s="316"/>
      <c r="ELK69" s="316"/>
      <c r="ELL69" s="316"/>
      <c r="ELM69" s="316"/>
      <c r="ELN69" s="316"/>
      <c r="ELO69" s="316"/>
      <c r="ELP69" s="316"/>
      <c r="ELQ69" s="316"/>
      <c r="ELR69" s="316"/>
      <c r="ELS69" s="316"/>
      <c r="ELT69" s="316"/>
      <c r="ELU69" s="316"/>
      <c r="ELV69" s="316"/>
      <c r="ELW69" s="316"/>
      <c r="ELX69" s="316"/>
      <c r="ELY69" s="316"/>
      <c r="ELZ69" s="316"/>
      <c r="EMA69" s="316"/>
      <c r="EMB69" s="316"/>
      <c r="EMC69" s="316"/>
      <c r="EMD69" s="316"/>
      <c r="EME69" s="316"/>
      <c r="EMF69" s="316"/>
      <c r="EMG69" s="316"/>
      <c r="EMH69" s="316"/>
      <c r="EMI69" s="316"/>
      <c r="EMJ69" s="316"/>
      <c r="EMK69" s="316"/>
      <c r="EML69" s="316"/>
      <c r="EMM69" s="316"/>
      <c r="EMN69" s="316"/>
      <c r="EMO69" s="316"/>
      <c r="EMP69" s="316"/>
      <c r="EMQ69" s="316"/>
      <c r="EMR69" s="316"/>
      <c r="EMS69" s="316"/>
      <c r="EMT69" s="316"/>
      <c r="EMU69" s="316"/>
      <c r="EMV69" s="316"/>
      <c r="EMW69" s="316"/>
      <c r="EMX69" s="316"/>
      <c r="EMY69" s="316"/>
      <c r="EMZ69" s="316"/>
      <c r="ENA69" s="316"/>
      <c r="ENB69" s="316"/>
      <c r="ENC69" s="316"/>
      <c r="END69" s="316"/>
      <c r="ENE69" s="316"/>
      <c r="ENF69" s="316"/>
      <c r="ENG69" s="316"/>
      <c r="ENH69" s="316"/>
      <c r="ENI69" s="316"/>
      <c r="ENJ69" s="316"/>
      <c r="ENK69" s="316"/>
      <c r="ENL69" s="316"/>
      <c r="ENM69" s="316"/>
      <c r="ENN69" s="316"/>
      <c r="ENO69" s="316"/>
      <c r="ENP69" s="316"/>
      <c r="ENQ69" s="316"/>
      <c r="ENR69" s="316"/>
      <c r="ENS69" s="316"/>
      <c r="ENT69" s="316"/>
      <c r="ENU69" s="316"/>
      <c r="ENV69" s="316"/>
      <c r="ENW69" s="316"/>
      <c r="ENX69" s="316"/>
      <c r="ENY69" s="316"/>
      <c r="ENZ69" s="316"/>
      <c r="EOA69" s="316"/>
      <c r="EOB69" s="316"/>
      <c r="EOC69" s="316"/>
      <c r="EOD69" s="316"/>
      <c r="EOE69" s="316"/>
      <c r="EOF69" s="316"/>
      <c r="EOG69" s="316"/>
      <c r="EOH69" s="316"/>
      <c r="EOI69" s="316"/>
      <c r="EOJ69" s="316"/>
      <c r="EOK69" s="316"/>
      <c r="EOL69" s="316"/>
      <c r="EOM69" s="316"/>
      <c r="EON69" s="316"/>
      <c r="EOO69" s="316"/>
      <c r="EOP69" s="316"/>
      <c r="EOQ69" s="316"/>
      <c r="EOR69" s="316"/>
      <c r="EOS69" s="316"/>
      <c r="EOT69" s="316"/>
      <c r="EOU69" s="316"/>
      <c r="EOV69" s="316"/>
      <c r="EOW69" s="316"/>
      <c r="EOX69" s="316"/>
      <c r="EOY69" s="316"/>
      <c r="EOZ69" s="316"/>
      <c r="EPA69" s="316"/>
      <c r="EPB69" s="316"/>
      <c r="EPC69" s="316"/>
      <c r="EPD69" s="316"/>
      <c r="EPE69" s="316"/>
      <c r="EPF69" s="316"/>
      <c r="EPG69" s="316"/>
      <c r="EPH69" s="316"/>
      <c r="EPI69" s="316"/>
      <c r="EPJ69" s="316"/>
      <c r="EPK69" s="316"/>
      <c r="EPL69" s="316"/>
      <c r="EPM69" s="316"/>
      <c r="EPN69" s="316"/>
      <c r="EPO69" s="316"/>
      <c r="EPP69" s="316"/>
      <c r="EPQ69" s="316"/>
      <c r="EPR69" s="316"/>
      <c r="EPS69" s="316"/>
      <c r="EPT69" s="316"/>
      <c r="EPU69" s="316"/>
      <c r="EPV69" s="316"/>
      <c r="EPW69" s="316"/>
      <c r="EPX69" s="316"/>
      <c r="EPY69" s="316"/>
      <c r="EPZ69" s="316"/>
      <c r="EQA69" s="316"/>
      <c r="EQB69" s="316"/>
      <c r="EQC69" s="316"/>
      <c r="EQD69" s="316"/>
      <c r="EQE69" s="316"/>
      <c r="EQF69" s="316"/>
      <c r="EQG69" s="316"/>
      <c r="EQH69" s="316"/>
      <c r="EQI69" s="316"/>
      <c r="EQJ69" s="316"/>
      <c r="EQK69" s="316"/>
      <c r="EQL69" s="316"/>
      <c r="EQM69" s="316"/>
      <c r="EQN69" s="316"/>
      <c r="EQO69" s="316"/>
      <c r="EQP69" s="316"/>
      <c r="EQQ69" s="316"/>
      <c r="EQR69" s="316"/>
      <c r="EQS69" s="316"/>
      <c r="EQT69" s="316"/>
      <c r="EQU69" s="316"/>
      <c r="EQV69" s="316"/>
      <c r="EQW69" s="316"/>
      <c r="EQX69" s="316"/>
      <c r="EQY69" s="316"/>
      <c r="EQZ69" s="316"/>
      <c r="ERA69" s="316"/>
      <c r="ERB69" s="316"/>
      <c r="ERC69" s="316"/>
      <c r="ERD69" s="316"/>
      <c r="ERE69" s="316"/>
      <c r="ERF69" s="316"/>
      <c r="ERG69" s="316"/>
      <c r="ERH69" s="316"/>
      <c r="ERI69" s="316"/>
      <c r="ERJ69" s="316"/>
      <c r="ERK69" s="316"/>
      <c r="ERL69" s="316"/>
      <c r="ERM69" s="316"/>
      <c r="ERN69" s="316"/>
      <c r="ERO69" s="316"/>
      <c r="ERP69" s="316"/>
      <c r="ERQ69" s="316"/>
      <c r="ERR69" s="316"/>
      <c r="ERS69" s="316"/>
      <c r="ERT69" s="316"/>
      <c r="ERU69" s="316"/>
      <c r="ERV69" s="316"/>
      <c r="ERW69" s="316"/>
      <c r="ERX69" s="316"/>
      <c r="ERY69" s="316"/>
      <c r="ERZ69" s="316"/>
      <c r="ESA69" s="316"/>
      <c r="ESB69" s="316"/>
      <c r="ESC69" s="316"/>
      <c r="ESD69" s="316"/>
      <c r="ESE69" s="316"/>
      <c r="ESF69" s="316"/>
      <c r="ESG69" s="316"/>
      <c r="ESH69" s="316"/>
      <c r="ESI69" s="316"/>
      <c r="ESJ69" s="316"/>
      <c r="ESK69" s="316"/>
      <c r="ESL69" s="316"/>
      <c r="ESM69" s="316"/>
      <c r="ESN69" s="316"/>
      <c r="ESO69" s="316"/>
      <c r="ESP69" s="316"/>
      <c r="ESQ69" s="316"/>
      <c r="ESR69" s="316"/>
      <c r="ESS69" s="316"/>
      <c r="EST69" s="316"/>
      <c r="ESU69" s="316"/>
      <c r="ESV69" s="316"/>
      <c r="ESW69" s="316"/>
      <c r="ESX69" s="316"/>
      <c r="ESY69" s="316"/>
      <c r="ESZ69" s="316"/>
      <c r="ETA69" s="316"/>
      <c r="ETB69" s="316"/>
      <c r="ETC69" s="316"/>
      <c r="ETD69" s="316"/>
      <c r="ETE69" s="316"/>
      <c r="ETF69" s="316"/>
      <c r="ETG69" s="316"/>
      <c r="ETH69" s="316"/>
      <c r="ETI69" s="316"/>
      <c r="ETJ69" s="316"/>
      <c r="ETK69" s="316"/>
      <c r="ETL69" s="316"/>
      <c r="ETM69" s="316"/>
      <c r="ETN69" s="316"/>
      <c r="ETO69" s="316"/>
      <c r="ETP69" s="316"/>
      <c r="ETQ69" s="316"/>
      <c r="ETR69" s="316"/>
      <c r="ETS69" s="316"/>
      <c r="ETT69" s="316"/>
      <c r="ETU69" s="316"/>
      <c r="ETV69" s="316"/>
      <c r="ETW69" s="316"/>
      <c r="ETX69" s="316"/>
      <c r="ETY69" s="316"/>
      <c r="ETZ69" s="316"/>
      <c r="EUA69" s="316"/>
      <c r="EUB69" s="316"/>
      <c r="EUC69" s="316"/>
      <c r="EUD69" s="316"/>
      <c r="EUE69" s="316"/>
      <c r="EUF69" s="316"/>
      <c r="EUG69" s="316"/>
      <c r="EUH69" s="316"/>
      <c r="EUI69" s="316"/>
      <c r="EUJ69" s="316"/>
      <c r="EUK69" s="316"/>
      <c r="EUL69" s="316"/>
      <c r="EUM69" s="316"/>
      <c r="EUN69" s="316"/>
      <c r="EUO69" s="316"/>
      <c r="EUP69" s="316"/>
      <c r="EUQ69" s="316"/>
      <c r="EUR69" s="316"/>
      <c r="EUS69" s="316"/>
      <c r="EUT69" s="316"/>
      <c r="EUU69" s="316"/>
      <c r="EUV69" s="316"/>
      <c r="EUW69" s="316"/>
      <c r="EUX69" s="316"/>
      <c r="EUY69" s="316"/>
      <c r="EUZ69" s="316"/>
      <c r="EVA69" s="316"/>
      <c r="EVB69" s="316"/>
      <c r="EVC69" s="316"/>
      <c r="EVD69" s="316"/>
      <c r="EVE69" s="316"/>
      <c r="EVF69" s="316"/>
      <c r="EVG69" s="316"/>
      <c r="EVH69" s="316"/>
      <c r="EVI69" s="316"/>
      <c r="EVJ69" s="316"/>
      <c r="EVK69" s="316"/>
      <c r="EVL69" s="316"/>
      <c r="EVM69" s="316"/>
      <c r="EVN69" s="316"/>
      <c r="EVO69" s="316"/>
      <c r="EVP69" s="316"/>
      <c r="EVQ69" s="316"/>
      <c r="EVR69" s="316"/>
      <c r="EVS69" s="316"/>
      <c r="EVT69" s="316"/>
      <c r="EVU69" s="316"/>
      <c r="EVV69" s="316"/>
      <c r="EVW69" s="316"/>
      <c r="EVX69" s="316"/>
      <c r="EVY69" s="316"/>
      <c r="EVZ69" s="316"/>
      <c r="EWA69" s="316"/>
      <c r="EWB69" s="316"/>
      <c r="EWC69" s="316"/>
      <c r="EWD69" s="316"/>
      <c r="EWE69" s="316"/>
      <c r="EWF69" s="316"/>
      <c r="EWG69" s="316"/>
      <c r="EWH69" s="316"/>
      <c r="EWI69" s="316"/>
      <c r="EWJ69" s="316"/>
      <c r="EWK69" s="316"/>
      <c r="EWL69" s="316"/>
      <c r="EWM69" s="316"/>
      <c r="EWN69" s="316"/>
      <c r="EWO69" s="316"/>
      <c r="EWP69" s="316"/>
      <c r="EWQ69" s="316"/>
      <c r="EWR69" s="316"/>
      <c r="EWS69" s="316"/>
      <c r="EWT69" s="316"/>
      <c r="EWU69" s="316"/>
      <c r="EWV69" s="316"/>
      <c r="EWW69" s="316"/>
      <c r="EWX69" s="316"/>
      <c r="EWY69" s="316"/>
      <c r="EWZ69" s="316"/>
      <c r="EXA69" s="316"/>
      <c r="EXB69" s="316"/>
      <c r="EXC69" s="316"/>
      <c r="EXD69" s="316"/>
      <c r="EXE69" s="316"/>
      <c r="EXF69" s="316"/>
      <c r="EXG69" s="316"/>
      <c r="EXH69" s="316"/>
      <c r="EXI69" s="316"/>
      <c r="EXJ69" s="316"/>
      <c r="EXK69" s="316"/>
      <c r="EXL69" s="316"/>
      <c r="EXM69" s="316"/>
      <c r="EXN69" s="316"/>
      <c r="EXO69" s="316"/>
      <c r="EXP69" s="316"/>
      <c r="EXQ69" s="316"/>
      <c r="EXR69" s="316"/>
      <c r="EXS69" s="316"/>
      <c r="EXT69" s="316"/>
      <c r="EXU69" s="316"/>
      <c r="EXV69" s="316"/>
      <c r="EXW69" s="316"/>
      <c r="EXX69" s="316"/>
      <c r="EXY69" s="316"/>
      <c r="EXZ69" s="316"/>
      <c r="EYA69" s="316"/>
      <c r="EYB69" s="316"/>
      <c r="EYC69" s="316"/>
      <c r="EYD69" s="316"/>
      <c r="EYE69" s="316"/>
      <c r="EYF69" s="316"/>
      <c r="EYG69" s="316"/>
      <c r="EYH69" s="316"/>
      <c r="EYI69" s="316"/>
      <c r="EYJ69" s="316"/>
      <c r="EYK69" s="316"/>
      <c r="EYL69" s="316"/>
      <c r="EYM69" s="316"/>
      <c r="EYN69" s="316"/>
      <c r="EYO69" s="316"/>
      <c r="EYP69" s="316"/>
      <c r="EYQ69" s="316"/>
      <c r="EYR69" s="316"/>
      <c r="EYS69" s="316"/>
      <c r="EYT69" s="316"/>
      <c r="EYU69" s="316"/>
      <c r="EYV69" s="316"/>
      <c r="EYW69" s="316"/>
      <c r="EYX69" s="316"/>
      <c r="EYY69" s="316"/>
      <c r="EYZ69" s="316"/>
      <c r="EZA69" s="316"/>
      <c r="EZB69" s="316"/>
      <c r="EZC69" s="316"/>
      <c r="EZD69" s="316"/>
      <c r="EZE69" s="316"/>
      <c r="EZF69" s="316"/>
      <c r="EZG69" s="316"/>
      <c r="EZH69" s="316"/>
      <c r="EZI69" s="316"/>
      <c r="EZJ69" s="316"/>
      <c r="EZK69" s="316"/>
      <c r="EZL69" s="316"/>
      <c r="EZM69" s="316"/>
      <c r="EZN69" s="316"/>
      <c r="EZO69" s="316"/>
      <c r="EZP69" s="316"/>
      <c r="EZQ69" s="316"/>
      <c r="EZR69" s="316"/>
      <c r="EZS69" s="316"/>
      <c r="EZT69" s="316"/>
      <c r="EZU69" s="316"/>
      <c r="EZV69" s="316"/>
      <c r="EZW69" s="316"/>
      <c r="EZX69" s="316"/>
      <c r="EZY69" s="316"/>
      <c r="EZZ69" s="316"/>
      <c r="FAA69" s="316"/>
      <c r="FAB69" s="316"/>
      <c r="FAC69" s="316"/>
      <c r="FAD69" s="316"/>
      <c r="FAE69" s="316"/>
      <c r="FAF69" s="316"/>
      <c r="FAG69" s="316"/>
      <c r="FAH69" s="316"/>
      <c r="FAI69" s="316"/>
      <c r="FAJ69" s="316"/>
      <c r="FAK69" s="316"/>
      <c r="FAL69" s="316"/>
      <c r="FAM69" s="316"/>
      <c r="FAN69" s="316"/>
      <c r="FAO69" s="316"/>
      <c r="FAP69" s="316"/>
      <c r="FAQ69" s="316"/>
      <c r="FAR69" s="316"/>
      <c r="FAS69" s="316"/>
      <c r="FAT69" s="316"/>
      <c r="FAU69" s="316"/>
      <c r="FAV69" s="316"/>
      <c r="FAW69" s="316"/>
      <c r="FAX69" s="316"/>
      <c r="FAY69" s="316"/>
      <c r="FAZ69" s="316"/>
      <c r="FBA69" s="316"/>
      <c r="FBB69" s="316"/>
      <c r="FBC69" s="316"/>
      <c r="FBD69" s="316"/>
      <c r="FBE69" s="316"/>
      <c r="FBF69" s="316"/>
      <c r="FBG69" s="316"/>
      <c r="FBH69" s="316"/>
      <c r="FBI69" s="316"/>
      <c r="FBJ69" s="316"/>
      <c r="FBK69" s="316"/>
      <c r="FBL69" s="316"/>
      <c r="FBM69" s="316"/>
      <c r="FBN69" s="316"/>
      <c r="FBO69" s="316"/>
      <c r="FBP69" s="316"/>
      <c r="FBQ69" s="316"/>
      <c r="FBR69" s="316"/>
      <c r="FBS69" s="316"/>
      <c r="FBT69" s="316"/>
      <c r="FBU69" s="316"/>
      <c r="FBV69" s="316"/>
      <c r="FBW69" s="316"/>
      <c r="FBX69" s="316"/>
      <c r="FBY69" s="316"/>
      <c r="FBZ69" s="316"/>
      <c r="FCA69" s="316"/>
      <c r="FCB69" s="316"/>
      <c r="FCC69" s="316"/>
      <c r="FCD69" s="316"/>
      <c r="FCE69" s="316"/>
      <c r="FCF69" s="316"/>
      <c r="FCG69" s="316"/>
      <c r="FCH69" s="316"/>
      <c r="FCI69" s="316"/>
      <c r="FCJ69" s="316"/>
      <c r="FCK69" s="316"/>
      <c r="FCL69" s="316"/>
      <c r="FCM69" s="316"/>
      <c r="FCN69" s="316"/>
      <c r="FCO69" s="316"/>
      <c r="FCP69" s="316"/>
      <c r="FCQ69" s="316"/>
      <c r="FCR69" s="316"/>
      <c r="FCS69" s="316"/>
      <c r="FCT69" s="316"/>
      <c r="FCU69" s="316"/>
      <c r="FCV69" s="316"/>
      <c r="FCW69" s="316"/>
      <c r="FCX69" s="316"/>
      <c r="FCY69" s="316"/>
      <c r="FCZ69" s="316"/>
      <c r="FDA69" s="316"/>
      <c r="FDB69" s="316"/>
      <c r="FDC69" s="316"/>
      <c r="FDD69" s="316"/>
      <c r="FDE69" s="316"/>
      <c r="FDF69" s="316"/>
      <c r="FDG69" s="316"/>
      <c r="FDH69" s="316"/>
      <c r="FDI69" s="316"/>
      <c r="FDJ69" s="316"/>
      <c r="FDK69" s="316"/>
      <c r="FDL69" s="316"/>
      <c r="FDM69" s="316"/>
      <c r="FDN69" s="316"/>
      <c r="FDO69" s="316"/>
      <c r="FDP69" s="316"/>
      <c r="FDQ69" s="316"/>
      <c r="FDR69" s="316"/>
      <c r="FDS69" s="316"/>
      <c r="FDT69" s="316"/>
      <c r="FDU69" s="316"/>
      <c r="FDV69" s="316"/>
      <c r="FDW69" s="316"/>
      <c r="FDX69" s="316"/>
      <c r="FDY69" s="316"/>
      <c r="FDZ69" s="316"/>
      <c r="FEA69" s="316"/>
      <c r="FEB69" s="316"/>
      <c r="FEC69" s="316"/>
      <c r="FED69" s="316"/>
      <c r="FEE69" s="316"/>
      <c r="FEF69" s="316"/>
      <c r="FEG69" s="316"/>
      <c r="FEH69" s="316"/>
      <c r="FEI69" s="316"/>
      <c r="FEJ69" s="316"/>
      <c r="FEK69" s="316"/>
      <c r="FEL69" s="316"/>
      <c r="FEM69" s="316"/>
      <c r="FEN69" s="316"/>
      <c r="FEO69" s="316"/>
      <c r="FEP69" s="316"/>
      <c r="FEQ69" s="316"/>
      <c r="FER69" s="316"/>
      <c r="FES69" s="316"/>
      <c r="FET69" s="316"/>
      <c r="FEU69" s="316"/>
      <c r="FEV69" s="316"/>
      <c r="FEW69" s="316"/>
      <c r="FEX69" s="316"/>
      <c r="FEY69" s="316"/>
      <c r="FEZ69" s="316"/>
      <c r="FFA69" s="316"/>
      <c r="FFB69" s="316"/>
      <c r="FFC69" s="316"/>
      <c r="FFD69" s="316"/>
      <c r="FFE69" s="316"/>
      <c r="FFF69" s="316"/>
      <c r="FFG69" s="316"/>
      <c r="FFH69" s="316"/>
      <c r="FFI69" s="316"/>
      <c r="FFJ69" s="316"/>
      <c r="FFK69" s="316"/>
      <c r="FFL69" s="316"/>
      <c r="FFM69" s="316"/>
      <c r="FFN69" s="316"/>
      <c r="FFO69" s="316"/>
      <c r="FFP69" s="316"/>
      <c r="FFQ69" s="316"/>
      <c r="FFR69" s="316"/>
      <c r="FFS69" s="316"/>
      <c r="FFT69" s="316"/>
      <c r="FFU69" s="316"/>
      <c r="FFV69" s="316"/>
      <c r="FFW69" s="316"/>
      <c r="FFX69" s="316"/>
      <c r="FFY69" s="316"/>
      <c r="FFZ69" s="316"/>
      <c r="FGA69" s="316"/>
      <c r="FGB69" s="316"/>
      <c r="FGC69" s="316"/>
      <c r="FGD69" s="316"/>
      <c r="FGE69" s="316"/>
      <c r="FGF69" s="316"/>
      <c r="FGG69" s="316"/>
      <c r="FGH69" s="316"/>
      <c r="FGI69" s="316"/>
      <c r="FGJ69" s="316"/>
      <c r="FGK69" s="316"/>
      <c r="FGL69" s="316"/>
      <c r="FGM69" s="316"/>
      <c r="FGN69" s="316"/>
      <c r="FGO69" s="316"/>
      <c r="FGP69" s="316"/>
      <c r="FGQ69" s="316"/>
      <c r="FGR69" s="316"/>
      <c r="FGS69" s="316"/>
      <c r="FGT69" s="316"/>
      <c r="FGU69" s="316"/>
      <c r="FGV69" s="316"/>
      <c r="FGW69" s="316"/>
      <c r="FGX69" s="316"/>
      <c r="FGY69" s="316"/>
      <c r="FGZ69" s="316"/>
      <c r="FHA69" s="316"/>
      <c r="FHB69" s="316"/>
      <c r="FHC69" s="316"/>
      <c r="FHD69" s="316"/>
      <c r="FHE69" s="316"/>
      <c r="FHF69" s="316"/>
      <c r="FHG69" s="316"/>
      <c r="FHH69" s="316"/>
      <c r="FHI69" s="316"/>
      <c r="FHJ69" s="316"/>
      <c r="FHK69" s="316"/>
      <c r="FHL69" s="316"/>
      <c r="FHM69" s="316"/>
      <c r="FHN69" s="316"/>
      <c r="FHO69" s="316"/>
      <c r="FHP69" s="316"/>
      <c r="FHQ69" s="316"/>
      <c r="FHR69" s="316"/>
      <c r="FHS69" s="316"/>
      <c r="FHT69" s="316"/>
      <c r="FHU69" s="316"/>
      <c r="FHV69" s="316"/>
      <c r="FHW69" s="316"/>
      <c r="FHX69" s="316"/>
      <c r="FHY69" s="316"/>
      <c r="FHZ69" s="316"/>
      <c r="FIA69" s="316"/>
      <c r="FIB69" s="316"/>
      <c r="FIC69" s="316"/>
      <c r="FID69" s="316"/>
      <c r="FIE69" s="316"/>
      <c r="FIF69" s="316"/>
      <c r="FIG69" s="316"/>
      <c r="FIH69" s="316"/>
      <c r="FII69" s="316"/>
      <c r="FIJ69" s="316"/>
      <c r="FIK69" s="316"/>
      <c r="FIL69" s="316"/>
      <c r="FIM69" s="316"/>
      <c r="FIN69" s="316"/>
      <c r="FIO69" s="316"/>
      <c r="FIP69" s="316"/>
      <c r="FIQ69" s="316"/>
      <c r="FIR69" s="316"/>
      <c r="FIS69" s="316"/>
      <c r="FIT69" s="316"/>
      <c r="FIU69" s="316"/>
      <c r="FIV69" s="316"/>
      <c r="FIW69" s="316"/>
      <c r="FIX69" s="316"/>
      <c r="FIY69" s="316"/>
      <c r="FIZ69" s="316"/>
      <c r="FJA69" s="316"/>
      <c r="FJB69" s="316"/>
      <c r="FJC69" s="316"/>
      <c r="FJD69" s="316"/>
      <c r="FJE69" s="316"/>
      <c r="FJF69" s="316"/>
      <c r="FJG69" s="316"/>
      <c r="FJH69" s="316"/>
      <c r="FJI69" s="316"/>
      <c r="FJJ69" s="316"/>
      <c r="FJK69" s="316"/>
      <c r="FJL69" s="316"/>
      <c r="FJM69" s="316"/>
      <c r="FJN69" s="316"/>
      <c r="FJO69" s="316"/>
      <c r="FJP69" s="316"/>
      <c r="FJQ69" s="316"/>
      <c r="FJR69" s="316"/>
      <c r="FJS69" s="316"/>
      <c r="FJT69" s="316"/>
      <c r="FJU69" s="316"/>
      <c r="FJV69" s="316"/>
      <c r="FJW69" s="316"/>
      <c r="FJX69" s="316"/>
      <c r="FJY69" s="316"/>
      <c r="FJZ69" s="316"/>
      <c r="FKA69" s="316"/>
      <c r="FKB69" s="316"/>
      <c r="FKC69" s="316"/>
      <c r="FKD69" s="316"/>
      <c r="FKE69" s="316"/>
      <c r="FKF69" s="316"/>
      <c r="FKG69" s="316"/>
      <c r="FKH69" s="316"/>
      <c r="FKI69" s="316"/>
      <c r="FKJ69" s="316"/>
      <c r="FKK69" s="316"/>
      <c r="FKL69" s="316"/>
      <c r="FKM69" s="316"/>
      <c r="FKN69" s="316"/>
      <c r="FKO69" s="316"/>
      <c r="FKP69" s="316"/>
      <c r="FKQ69" s="316"/>
      <c r="FKR69" s="316"/>
      <c r="FKS69" s="316"/>
      <c r="FKT69" s="316"/>
      <c r="FKU69" s="316"/>
      <c r="FKV69" s="316"/>
      <c r="FKW69" s="316"/>
      <c r="FKX69" s="316"/>
      <c r="FKY69" s="316"/>
      <c r="FKZ69" s="316"/>
      <c r="FLA69" s="316"/>
      <c r="FLB69" s="316"/>
      <c r="FLC69" s="316"/>
      <c r="FLD69" s="316"/>
      <c r="FLE69" s="316"/>
      <c r="FLF69" s="316"/>
      <c r="FLG69" s="316"/>
      <c r="FLH69" s="316"/>
      <c r="FLI69" s="316"/>
      <c r="FLJ69" s="316"/>
      <c r="FLK69" s="316"/>
      <c r="FLL69" s="316"/>
      <c r="FLM69" s="316"/>
      <c r="FLN69" s="316"/>
      <c r="FLO69" s="316"/>
      <c r="FLP69" s="316"/>
      <c r="FLQ69" s="316"/>
      <c r="FLR69" s="316"/>
      <c r="FLS69" s="316"/>
      <c r="FLT69" s="316"/>
      <c r="FLU69" s="316"/>
      <c r="FLV69" s="316"/>
      <c r="FLW69" s="316"/>
      <c r="FLX69" s="316"/>
      <c r="FLY69" s="316"/>
      <c r="FLZ69" s="316"/>
      <c r="FMA69" s="316"/>
      <c r="FMB69" s="316"/>
      <c r="FMC69" s="316"/>
      <c r="FMD69" s="316"/>
      <c r="FME69" s="316"/>
      <c r="FMF69" s="316"/>
      <c r="FMG69" s="316"/>
      <c r="FMH69" s="316"/>
      <c r="FMI69" s="316"/>
      <c r="FMJ69" s="316"/>
      <c r="FMK69" s="316"/>
      <c r="FML69" s="316"/>
      <c r="FMM69" s="316"/>
      <c r="FMN69" s="316"/>
      <c r="FMO69" s="316"/>
      <c r="FMP69" s="316"/>
      <c r="FMQ69" s="316"/>
      <c r="FMR69" s="316"/>
      <c r="FMS69" s="316"/>
      <c r="FMT69" s="316"/>
      <c r="FMU69" s="316"/>
      <c r="FMV69" s="316"/>
      <c r="FMW69" s="316"/>
      <c r="FMX69" s="316"/>
      <c r="FMY69" s="316"/>
      <c r="FMZ69" s="316"/>
      <c r="FNA69" s="316"/>
      <c r="FNB69" s="316"/>
      <c r="FNC69" s="316"/>
      <c r="FND69" s="316"/>
      <c r="FNE69" s="316"/>
      <c r="FNF69" s="316"/>
      <c r="FNG69" s="316"/>
      <c r="FNH69" s="316"/>
      <c r="FNI69" s="316"/>
      <c r="FNJ69" s="316"/>
      <c r="FNK69" s="316"/>
      <c r="FNL69" s="316"/>
      <c r="FNM69" s="316"/>
      <c r="FNN69" s="316"/>
      <c r="FNO69" s="316"/>
      <c r="FNP69" s="316"/>
      <c r="FNQ69" s="316"/>
      <c r="FNR69" s="316"/>
      <c r="FNS69" s="316"/>
      <c r="FNT69" s="316"/>
      <c r="FNU69" s="316"/>
      <c r="FNV69" s="316"/>
      <c r="FNW69" s="316"/>
      <c r="FNX69" s="316"/>
      <c r="FNY69" s="316"/>
      <c r="FNZ69" s="316"/>
      <c r="FOA69" s="316"/>
      <c r="FOB69" s="316"/>
      <c r="FOC69" s="316"/>
      <c r="FOD69" s="316"/>
      <c r="FOE69" s="316"/>
      <c r="FOF69" s="316"/>
      <c r="FOG69" s="316"/>
      <c r="FOH69" s="316"/>
      <c r="FOI69" s="316"/>
      <c r="FOJ69" s="316"/>
      <c r="FOK69" s="316"/>
      <c r="FOL69" s="316"/>
      <c r="FOM69" s="316"/>
      <c r="FON69" s="316"/>
      <c r="FOO69" s="316"/>
      <c r="FOP69" s="316"/>
      <c r="FOQ69" s="316"/>
      <c r="FOR69" s="316"/>
      <c r="FOS69" s="316"/>
      <c r="FOT69" s="316"/>
      <c r="FOU69" s="316"/>
      <c r="FOV69" s="316"/>
      <c r="FOW69" s="316"/>
      <c r="FOX69" s="316"/>
      <c r="FOY69" s="316"/>
      <c r="FOZ69" s="316"/>
      <c r="FPA69" s="316"/>
      <c r="FPB69" s="316"/>
      <c r="FPC69" s="316"/>
      <c r="FPD69" s="316"/>
      <c r="FPE69" s="316"/>
      <c r="FPF69" s="316"/>
      <c r="FPG69" s="316"/>
      <c r="FPH69" s="316"/>
      <c r="FPI69" s="316"/>
      <c r="FPJ69" s="316"/>
      <c r="FPK69" s="316"/>
      <c r="FPL69" s="316"/>
      <c r="FPM69" s="316"/>
      <c r="FPN69" s="316"/>
      <c r="FPO69" s="316"/>
      <c r="FPP69" s="316"/>
      <c r="FPQ69" s="316"/>
      <c r="FPR69" s="316"/>
      <c r="FPS69" s="316"/>
      <c r="FPT69" s="316"/>
      <c r="FPU69" s="316"/>
      <c r="FPV69" s="316"/>
      <c r="FPW69" s="316"/>
      <c r="FPX69" s="316"/>
      <c r="FPY69" s="316"/>
      <c r="FPZ69" s="316"/>
      <c r="FQA69" s="316"/>
      <c r="FQB69" s="316"/>
      <c r="FQC69" s="316"/>
      <c r="FQD69" s="316"/>
      <c r="FQE69" s="316"/>
      <c r="FQF69" s="316"/>
      <c r="FQG69" s="316"/>
      <c r="FQH69" s="316"/>
      <c r="FQI69" s="316"/>
      <c r="FQJ69" s="316"/>
      <c r="FQK69" s="316"/>
      <c r="FQL69" s="316"/>
      <c r="FQM69" s="316"/>
      <c r="FQN69" s="316"/>
      <c r="FQO69" s="316"/>
      <c r="FQP69" s="316"/>
      <c r="FQQ69" s="316"/>
      <c r="FQR69" s="316"/>
      <c r="FQS69" s="316"/>
      <c r="FQT69" s="316"/>
      <c r="FQU69" s="316"/>
      <c r="FQV69" s="316"/>
      <c r="FQW69" s="316"/>
      <c r="FQX69" s="316"/>
      <c r="FQY69" s="316"/>
      <c r="FQZ69" s="316"/>
      <c r="FRA69" s="316"/>
      <c r="FRB69" s="316"/>
      <c r="FRC69" s="316"/>
      <c r="FRD69" s="316"/>
      <c r="FRE69" s="316"/>
      <c r="FRF69" s="316"/>
      <c r="FRG69" s="316"/>
      <c r="FRH69" s="316"/>
      <c r="FRI69" s="316"/>
      <c r="FRJ69" s="316"/>
      <c r="FRK69" s="316"/>
      <c r="FRL69" s="316"/>
      <c r="FRM69" s="316"/>
      <c r="FRN69" s="316"/>
      <c r="FRO69" s="316"/>
      <c r="FRP69" s="316"/>
      <c r="FRQ69" s="316"/>
      <c r="FRR69" s="316"/>
      <c r="FRS69" s="316"/>
      <c r="FRT69" s="316"/>
      <c r="FRU69" s="316"/>
      <c r="FRV69" s="316"/>
      <c r="FRW69" s="316"/>
      <c r="FRX69" s="316"/>
      <c r="FRY69" s="316"/>
      <c r="FRZ69" s="316"/>
      <c r="FSA69" s="316"/>
      <c r="FSB69" s="316"/>
      <c r="FSC69" s="316"/>
      <c r="FSD69" s="316"/>
      <c r="FSE69" s="316"/>
      <c r="FSF69" s="316"/>
      <c r="FSG69" s="316"/>
      <c r="FSH69" s="316"/>
      <c r="FSI69" s="316"/>
      <c r="FSJ69" s="316"/>
      <c r="FSK69" s="316"/>
      <c r="FSL69" s="316"/>
      <c r="FSM69" s="316"/>
      <c r="FSN69" s="316"/>
      <c r="FSO69" s="316"/>
      <c r="FSP69" s="316"/>
      <c r="FSQ69" s="316"/>
      <c r="FSR69" s="316"/>
      <c r="FSS69" s="316"/>
      <c r="FST69" s="316"/>
      <c r="FSU69" s="316"/>
      <c r="FSV69" s="316"/>
      <c r="FSW69" s="316"/>
      <c r="FSX69" s="316"/>
      <c r="FSY69" s="316"/>
      <c r="FSZ69" s="316"/>
      <c r="FTA69" s="316"/>
      <c r="FTB69" s="316"/>
      <c r="FTC69" s="316"/>
      <c r="FTD69" s="316"/>
      <c r="FTE69" s="316"/>
      <c r="FTF69" s="316"/>
      <c r="FTG69" s="316"/>
      <c r="FTH69" s="316"/>
      <c r="FTI69" s="316"/>
      <c r="FTJ69" s="316"/>
      <c r="FTK69" s="316"/>
      <c r="FTL69" s="316"/>
      <c r="FTM69" s="316"/>
      <c r="FTN69" s="316"/>
      <c r="FTO69" s="316"/>
      <c r="FTP69" s="316"/>
      <c r="FTQ69" s="316"/>
      <c r="FTR69" s="316"/>
      <c r="FTS69" s="316"/>
      <c r="FTT69" s="316"/>
      <c r="FTU69" s="316"/>
      <c r="FTV69" s="316"/>
      <c r="FTW69" s="316"/>
      <c r="FTX69" s="316"/>
      <c r="FTY69" s="316"/>
      <c r="FTZ69" s="316"/>
      <c r="FUA69" s="316"/>
      <c r="FUB69" s="316"/>
      <c r="FUC69" s="316"/>
      <c r="FUD69" s="316"/>
      <c r="FUE69" s="316"/>
      <c r="FUF69" s="316"/>
      <c r="FUG69" s="316"/>
      <c r="FUH69" s="316"/>
      <c r="FUI69" s="316"/>
      <c r="FUJ69" s="316"/>
      <c r="FUK69" s="316"/>
      <c r="FUL69" s="316"/>
      <c r="FUM69" s="316"/>
      <c r="FUN69" s="316"/>
      <c r="FUO69" s="316"/>
      <c r="FUP69" s="316"/>
      <c r="FUQ69" s="316"/>
      <c r="FUR69" s="316"/>
      <c r="FUS69" s="316"/>
      <c r="FUT69" s="316"/>
      <c r="FUU69" s="316"/>
      <c r="FUV69" s="316"/>
      <c r="FUW69" s="316"/>
      <c r="FUX69" s="316"/>
      <c r="FUY69" s="316"/>
      <c r="FUZ69" s="316"/>
      <c r="FVA69" s="316"/>
      <c r="FVB69" s="316"/>
      <c r="FVC69" s="316"/>
      <c r="FVD69" s="316"/>
      <c r="FVE69" s="316"/>
      <c r="FVF69" s="316"/>
      <c r="FVG69" s="316"/>
      <c r="FVH69" s="316"/>
      <c r="FVI69" s="316"/>
      <c r="FVJ69" s="316"/>
      <c r="FVK69" s="316"/>
      <c r="FVL69" s="316"/>
      <c r="FVM69" s="316"/>
      <c r="FVN69" s="316"/>
      <c r="FVO69" s="316"/>
      <c r="FVP69" s="316"/>
      <c r="FVQ69" s="316"/>
      <c r="FVR69" s="316"/>
      <c r="FVS69" s="316"/>
      <c r="FVT69" s="316"/>
      <c r="FVU69" s="316"/>
      <c r="FVV69" s="316"/>
      <c r="FVW69" s="316"/>
      <c r="FVX69" s="316"/>
      <c r="FVY69" s="316"/>
      <c r="FVZ69" s="316"/>
      <c r="FWA69" s="316"/>
      <c r="FWB69" s="316"/>
      <c r="FWC69" s="316"/>
      <c r="FWD69" s="316"/>
      <c r="FWE69" s="316"/>
      <c r="FWF69" s="316"/>
      <c r="FWG69" s="316"/>
      <c r="FWH69" s="316"/>
      <c r="FWI69" s="316"/>
      <c r="FWJ69" s="316"/>
      <c r="FWK69" s="316"/>
      <c r="FWL69" s="316"/>
      <c r="FWM69" s="316"/>
      <c r="FWN69" s="316"/>
      <c r="FWO69" s="316"/>
      <c r="FWP69" s="316"/>
      <c r="FWQ69" s="316"/>
      <c r="FWR69" s="316"/>
      <c r="FWS69" s="316"/>
      <c r="FWT69" s="316"/>
      <c r="FWU69" s="316"/>
      <c r="FWV69" s="316"/>
      <c r="FWW69" s="316"/>
      <c r="FWX69" s="316"/>
      <c r="FWY69" s="316"/>
      <c r="FWZ69" s="316"/>
      <c r="FXA69" s="316"/>
      <c r="FXB69" s="316"/>
      <c r="FXC69" s="316"/>
      <c r="FXD69" s="316"/>
      <c r="FXE69" s="316"/>
      <c r="FXF69" s="316"/>
      <c r="FXG69" s="316"/>
      <c r="FXH69" s="316"/>
      <c r="FXI69" s="316"/>
      <c r="FXJ69" s="316"/>
      <c r="FXK69" s="316"/>
      <c r="FXL69" s="316"/>
      <c r="FXM69" s="316"/>
      <c r="FXN69" s="316"/>
      <c r="FXO69" s="316"/>
      <c r="FXP69" s="316"/>
      <c r="FXQ69" s="316"/>
      <c r="FXR69" s="316"/>
      <c r="FXS69" s="316"/>
      <c r="FXT69" s="316"/>
      <c r="FXU69" s="316"/>
      <c r="FXV69" s="316"/>
      <c r="FXW69" s="316"/>
      <c r="FXX69" s="316"/>
      <c r="FXY69" s="316"/>
      <c r="FXZ69" s="316"/>
      <c r="FYA69" s="316"/>
      <c r="FYB69" s="316"/>
      <c r="FYC69" s="316"/>
      <c r="FYD69" s="316"/>
      <c r="FYE69" s="316"/>
      <c r="FYF69" s="316"/>
      <c r="FYG69" s="316"/>
      <c r="FYH69" s="316"/>
      <c r="FYI69" s="316"/>
      <c r="FYJ69" s="316"/>
      <c r="FYK69" s="316"/>
      <c r="FYL69" s="316"/>
      <c r="FYM69" s="316"/>
      <c r="FYN69" s="316"/>
      <c r="FYO69" s="316"/>
      <c r="FYP69" s="316"/>
      <c r="FYQ69" s="316"/>
      <c r="FYR69" s="316"/>
      <c r="FYS69" s="316"/>
      <c r="FYT69" s="316"/>
      <c r="FYU69" s="316"/>
      <c r="FYV69" s="316"/>
      <c r="FYW69" s="316"/>
      <c r="FYX69" s="316"/>
      <c r="FYY69" s="316"/>
      <c r="FYZ69" s="316"/>
      <c r="FZA69" s="316"/>
      <c r="FZB69" s="316"/>
      <c r="FZC69" s="316"/>
      <c r="FZD69" s="316"/>
      <c r="FZE69" s="316"/>
      <c r="FZF69" s="316"/>
      <c r="FZG69" s="316"/>
      <c r="FZH69" s="316"/>
      <c r="FZI69" s="316"/>
      <c r="FZJ69" s="316"/>
      <c r="FZK69" s="316"/>
      <c r="FZL69" s="316"/>
      <c r="FZM69" s="316"/>
      <c r="FZN69" s="316"/>
      <c r="FZO69" s="316"/>
      <c r="FZP69" s="316"/>
      <c r="FZQ69" s="316"/>
      <c r="FZR69" s="316"/>
      <c r="FZS69" s="316"/>
      <c r="FZT69" s="316"/>
      <c r="FZU69" s="316"/>
      <c r="FZV69" s="316"/>
      <c r="FZW69" s="316"/>
      <c r="FZX69" s="316"/>
      <c r="FZY69" s="316"/>
      <c r="FZZ69" s="316"/>
      <c r="GAA69" s="316"/>
      <c r="GAB69" s="316"/>
      <c r="GAC69" s="316"/>
      <c r="GAD69" s="316"/>
      <c r="GAE69" s="316"/>
      <c r="GAF69" s="316"/>
      <c r="GAG69" s="316"/>
      <c r="GAH69" s="316"/>
      <c r="GAI69" s="316"/>
      <c r="GAJ69" s="316"/>
      <c r="GAK69" s="316"/>
      <c r="GAL69" s="316"/>
      <c r="GAM69" s="316"/>
      <c r="GAN69" s="316"/>
      <c r="GAO69" s="316"/>
      <c r="GAP69" s="316"/>
      <c r="GAQ69" s="316"/>
      <c r="GAR69" s="316"/>
      <c r="GAS69" s="316"/>
      <c r="GAT69" s="316"/>
      <c r="GAU69" s="316"/>
      <c r="GAV69" s="316"/>
      <c r="GAW69" s="316"/>
      <c r="GAX69" s="316"/>
      <c r="GAY69" s="316"/>
      <c r="GAZ69" s="316"/>
      <c r="GBA69" s="316"/>
      <c r="GBB69" s="316"/>
      <c r="GBC69" s="316"/>
      <c r="GBD69" s="316"/>
      <c r="GBE69" s="316"/>
      <c r="GBF69" s="316"/>
      <c r="GBG69" s="316"/>
      <c r="GBH69" s="316"/>
      <c r="GBI69" s="316"/>
      <c r="GBJ69" s="316"/>
      <c r="GBK69" s="316"/>
      <c r="GBL69" s="316"/>
      <c r="GBM69" s="316"/>
      <c r="GBN69" s="316"/>
      <c r="GBO69" s="316"/>
      <c r="GBP69" s="316"/>
      <c r="GBQ69" s="316"/>
      <c r="GBR69" s="316"/>
      <c r="GBS69" s="316"/>
      <c r="GBT69" s="316"/>
      <c r="GBU69" s="316"/>
      <c r="GBV69" s="316"/>
      <c r="GBW69" s="316"/>
      <c r="GBX69" s="316"/>
      <c r="GBY69" s="316"/>
      <c r="GBZ69" s="316"/>
      <c r="GCA69" s="316"/>
      <c r="GCB69" s="316"/>
      <c r="GCC69" s="316"/>
      <c r="GCD69" s="316"/>
      <c r="GCE69" s="316"/>
      <c r="GCF69" s="316"/>
      <c r="GCG69" s="316"/>
      <c r="GCH69" s="316"/>
      <c r="GCI69" s="316"/>
      <c r="GCJ69" s="316"/>
      <c r="GCK69" s="316"/>
      <c r="GCL69" s="316"/>
      <c r="GCM69" s="316"/>
      <c r="GCN69" s="316"/>
      <c r="GCO69" s="316"/>
      <c r="GCP69" s="316"/>
      <c r="GCQ69" s="316"/>
      <c r="GCR69" s="316"/>
      <c r="GCS69" s="316"/>
      <c r="GCT69" s="316"/>
      <c r="GCU69" s="316"/>
      <c r="GCV69" s="316"/>
      <c r="GCW69" s="316"/>
      <c r="GCX69" s="316"/>
      <c r="GCY69" s="316"/>
      <c r="GCZ69" s="316"/>
      <c r="GDA69" s="316"/>
      <c r="GDB69" s="316"/>
      <c r="GDC69" s="316"/>
      <c r="GDD69" s="316"/>
      <c r="GDE69" s="316"/>
      <c r="GDF69" s="316"/>
      <c r="GDG69" s="316"/>
      <c r="GDH69" s="316"/>
      <c r="GDI69" s="316"/>
      <c r="GDJ69" s="316"/>
      <c r="GDK69" s="316"/>
      <c r="GDL69" s="316"/>
      <c r="GDM69" s="316"/>
      <c r="GDN69" s="316"/>
      <c r="GDO69" s="316"/>
      <c r="GDP69" s="316"/>
      <c r="GDQ69" s="316"/>
      <c r="GDR69" s="316"/>
      <c r="GDS69" s="316"/>
      <c r="GDT69" s="316"/>
      <c r="GDU69" s="316"/>
      <c r="GDV69" s="316"/>
      <c r="GDW69" s="316"/>
      <c r="GDX69" s="316"/>
      <c r="GDY69" s="316"/>
      <c r="GDZ69" s="316"/>
      <c r="GEA69" s="316"/>
      <c r="GEB69" s="316"/>
      <c r="GEC69" s="316"/>
      <c r="GED69" s="316"/>
      <c r="GEE69" s="316"/>
      <c r="GEF69" s="316"/>
      <c r="GEG69" s="316"/>
      <c r="GEH69" s="316"/>
      <c r="GEI69" s="316"/>
      <c r="GEJ69" s="316"/>
      <c r="GEK69" s="316"/>
      <c r="GEL69" s="316"/>
      <c r="GEM69" s="316"/>
      <c r="GEN69" s="316"/>
      <c r="GEO69" s="316"/>
      <c r="GEP69" s="316"/>
      <c r="GEQ69" s="316"/>
      <c r="GER69" s="316"/>
      <c r="GES69" s="316"/>
      <c r="GET69" s="316"/>
      <c r="GEU69" s="316"/>
      <c r="GEV69" s="316"/>
      <c r="GEW69" s="316"/>
      <c r="GEX69" s="316"/>
      <c r="GEY69" s="316"/>
      <c r="GEZ69" s="316"/>
      <c r="GFA69" s="316"/>
      <c r="GFB69" s="316"/>
      <c r="GFC69" s="316"/>
      <c r="GFD69" s="316"/>
      <c r="GFE69" s="316"/>
      <c r="GFF69" s="316"/>
      <c r="GFG69" s="316"/>
      <c r="GFH69" s="316"/>
      <c r="GFI69" s="316"/>
      <c r="GFJ69" s="316"/>
      <c r="GFK69" s="316"/>
      <c r="GFL69" s="316"/>
      <c r="GFM69" s="316"/>
      <c r="GFN69" s="316"/>
      <c r="GFO69" s="316"/>
      <c r="GFP69" s="316"/>
      <c r="GFQ69" s="316"/>
      <c r="GFR69" s="316"/>
      <c r="GFS69" s="316"/>
      <c r="GFT69" s="316"/>
      <c r="GFU69" s="316"/>
      <c r="GFV69" s="316"/>
      <c r="GFW69" s="316"/>
      <c r="GFX69" s="316"/>
      <c r="GFY69" s="316"/>
      <c r="GFZ69" s="316"/>
      <c r="GGA69" s="316"/>
      <c r="GGB69" s="316"/>
      <c r="GGC69" s="316"/>
      <c r="GGD69" s="316"/>
      <c r="GGE69" s="316"/>
      <c r="GGF69" s="316"/>
      <c r="GGG69" s="316"/>
      <c r="GGH69" s="316"/>
      <c r="GGI69" s="316"/>
      <c r="GGJ69" s="316"/>
      <c r="GGK69" s="316"/>
      <c r="GGL69" s="316"/>
      <c r="GGM69" s="316"/>
      <c r="GGN69" s="316"/>
      <c r="GGO69" s="316"/>
      <c r="GGP69" s="316"/>
      <c r="GGQ69" s="316"/>
      <c r="GGR69" s="316"/>
      <c r="GGS69" s="316"/>
      <c r="GGT69" s="316"/>
      <c r="GGU69" s="316"/>
      <c r="GGV69" s="316"/>
      <c r="GGW69" s="316"/>
      <c r="GGX69" s="316"/>
      <c r="GGY69" s="316"/>
      <c r="GGZ69" s="316"/>
      <c r="GHA69" s="316"/>
      <c r="GHB69" s="316"/>
      <c r="GHC69" s="316"/>
      <c r="GHD69" s="316"/>
      <c r="GHE69" s="316"/>
      <c r="GHF69" s="316"/>
      <c r="GHG69" s="316"/>
      <c r="GHH69" s="316"/>
      <c r="GHI69" s="316"/>
      <c r="GHJ69" s="316"/>
      <c r="GHK69" s="316"/>
      <c r="GHL69" s="316"/>
      <c r="GHM69" s="316"/>
      <c r="GHN69" s="316"/>
      <c r="GHO69" s="316"/>
      <c r="GHP69" s="316"/>
      <c r="GHQ69" s="316"/>
      <c r="GHR69" s="316"/>
      <c r="GHS69" s="316"/>
      <c r="GHT69" s="316"/>
      <c r="GHU69" s="316"/>
      <c r="GHV69" s="316"/>
      <c r="GHW69" s="316"/>
      <c r="GHX69" s="316"/>
      <c r="GHY69" s="316"/>
      <c r="GHZ69" s="316"/>
      <c r="GIA69" s="316"/>
      <c r="GIB69" s="316"/>
      <c r="GIC69" s="316"/>
      <c r="GID69" s="316"/>
      <c r="GIE69" s="316"/>
      <c r="GIF69" s="316"/>
      <c r="GIG69" s="316"/>
      <c r="GIH69" s="316"/>
      <c r="GII69" s="316"/>
      <c r="GIJ69" s="316"/>
      <c r="GIK69" s="316"/>
      <c r="GIL69" s="316"/>
      <c r="GIM69" s="316"/>
      <c r="GIN69" s="316"/>
      <c r="GIO69" s="316"/>
      <c r="GIP69" s="316"/>
      <c r="GIQ69" s="316"/>
      <c r="GIR69" s="316"/>
      <c r="GIS69" s="316"/>
      <c r="GIT69" s="316"/>
      <c r="GIU69" s="316"/>
      <c r="GIV69" s="316"/>
      <c r="GIW69" s="316"/>
      <c r="GIX69" s="316"/>
      <c r="GIY69" s="316"/>
      <c r="GIZ69" s="316"/>
      <c r="GJA69" s="316"/>
      <c r="GJB69" s="316"/>
      <c r="GJC69" s="316"/>
      <c r="GJD69" s="316"/>
      <c r="GJE69" s="316"/>
      <c r="GJF69" s="316"/>
      <c r="GJG69" s="316"/>
      <c r="GJH69" s="316"/>
      <c r="GJI69" s="316"/>
      <c r="GJJ69" s="316"/>
      <c r="GJK69" s="316"/>
      <c r="GJL69" s="316"/>
      <c r="GJM69" s="316"/>
      <c r="GJN69" s="316"/>
      <c r="GJO69" s="316"/>
      <c r="GJP69" s="316"/>
      <c r="GJQ69" s="316"/>
      <c r="GJR69" s="316"/>
      <c r="GJS69" s="316"/>
      <c r="GJT69" s="316"/>
      <c r="GJU69" s="316"/>
      <c r="GJV69" s="316"/>
      <c r="GJW69" s="316"/>
      <c r="GJX69" s="316"/>
      <c r="GJY69" s="316"/>
      <c r="GJZ69" s="316"/>
      <c r="GKA69" s="316"/>
      <c r="GKB69" s="316"/>
      <c r="GKC69" s="316"/>
      <c r="GKD69" s="316"/>
      <c r="GKE69" s="316"/>
      <c r="GKF69" s="316"/>
      <c r="GKG69" s="316"/>
      <c r="GKH69" s="316"/>
      <c r="GKI69" s="316"/>
      <c r="GKJ69" s="316"/>
      <c r="GKK69" s="316"/>
      <c r="GKL69" s="316"/>
      <c r="GKM69" s="316"/>
      <c r="GKN69" s="316"/>
      <c r="GKO69" s="316"/>
      <c r="GKP69" s="316"/>
      <c r="GKQ69" s="316"/>
      <c r="GKR69" s="316"/>
      <c r="GKS69" s="316"/>
      <c r="GKT69" s="316"/>
      <c r="GKU69" s="316"/>
      <c r="GKV69" s="316"/>
      <c r="GKW69" s="316"/>
      <c r="GKX69" s="316"/>
      <c r="GKY69" s="316"/>
      <c r="GKZ69" s="316"/>
      <c r="GLA69" s="316"/>
      <c r="GLB69" s="316"/>
      <c r="GLC69" s="316"/>
      <c r="GLD69" s="316"/>
      <c r="GLE69" s="316"/>
      <c r="GLF69" s="316"/>
      <c r="GLG69" s="316"/>
      <c r="GLH69" s="316"/>
      <c r="GLI69" s="316"/>
      <c r="GLJ69" s="316"/>
      <c r="GLK69" s="316"/>
      <c r="GLL69" s="316"/>
      <c r="GLM69" s="316"/>
      <c r="GLN69" s="316"/>
      <c r="GLO69" s="316"/>
      <c r="GLP69" s="316"/>
      <c r="GLQ69" s="316"/>
      <c r="GLR69" s="316"/>
      <c r="GLS69" s="316"/>
      <c r="GLT69" s="316"/>
      <c r="GLU69" s="316"/>
      <c r="GLV69" s="316"/>
      <c r="GLW69" s="316"/>
      <c r="GLX69" s="316"/>
      <c r="GLY69" s="316"/>
      <c r="GLZ69" s="316"/>
      <c r="GMA69" s="316"/>
      <c r="GMB69" s="316"/>
      <c r="GMC69" s="316"/>
      <c r="GMD69" s="316"/>
      <c r="GME69" s="316"/>
      <c r="GMF69" s="316"/>
      <c r="GMG69" s="316"/>
      <c r="GMH69" s="316"/>
      <c r="GMI69" s="316"/>
      <c r="GMJ69" s="316"/>
      <c r="GMK69" s="316"/>
      <c r="GML69" s="316"/>
      <c r="GMM69" s="316"/>
      <c r="GMN69" s="316"/>
      <c r="GMO69" s="316"/>
      <c r="GMP69" s="316"/>
      <c r="GMQ69" s="316"/>
      <c r="GMR69" s="316"/>
      <c r="GMS69" s="316"/>
      <c r="GMT69" s="316"/>
      <c r="GMU69" s="316"/>
      <c r="GMV69" s="316"/>
      <c r="GMW69" s="316"/>
      <c r="GMX69" s="316"/>
      <c r="GMY69" s="316"/>
      <c r="GMZ69" s="316"/>
      <c r="GNA69" s="316"/>
      <c r="GNB69" s="316"/>
      <c r="GNC69" s="316"/>
      <c r="GND69" s="316"/>
      <c r="GNE69" s="316"/>
      <c r="GNF69" s="316"/>
      <c r="GNG69" s="316"/>
      <c r="GNH69" s="316"/>
      <c r="GNI69" s="316"/>
      <c r="GNJ69" s="316"/>
      <c r="GNK69" s="316"/>
      <c r="GNL69" s="316"/>
      <c r="GNM69" s="316"/>
      <c r="GNN69" s="316"/>
      <c r="GNO69" s="316"/>
      <c r="GNP69" s="316"/>
      <c r="GNQ69" s="316"/>
      <c r="GNR69" s="316"/>
      <c r="GNS69" s="316"/>
      <c r="GNT69" s="316"/>
      <c r="GNU69" s="316"/>
      <c r="GNV69" s="316"/>
      <c r="GNW69" s="316"/>
      <c r="GNX69" s="316"/>
      <c r="GNY69" s="316"/>
      <c r="GNZ69" s="316"/>
      <c r="GOA69" s="316"/>
      <c r="GOB69" s="316"/>
      <c r="GOC69" s="316"/>
      <c r="GOD69" s="316"/>
      <c r="GOE69" s="316"/>
      <c r="GOF69" s="316"/>
      <c r="GOG69" s="316"/>
      <c r="GOH69" s="316"/>
      <c r="GOI69" s="316"/>
      <c r="GOJ69" s="316"/>
      <c r="GOK69" s="316"/>
      <c r="GOL69" s="316"/>
      <c r="GOM69" s="316"/>
      <c r="GON69" s="316"/>
      <c r="GOO69" s="316"/>
      <c r="GOP69" s="316"/>
      <c r="GOQ69" s="316"/>
      <c r="GOR69" s="316"/>
      <c r="GOS69" s="316"/>
      <c r="GOT69" s="316"/>
      <c r="GOU69" s="316"/>
      <c r="GOV69" s="316"/>
      <c r="GOW69" s="316"/>
      <c r="GOX69" s="316"/>
      <c r="GOY69" s="316"/>
      <c r="GOZ69" s="316"/>
      <c r="GPA69" s="316"/>
      <c r="GPB69" s="316"/>
      <c r="GPC69" s="316"/>
      <c r="GPD69" s="316"/>
      <c r="GPE69" s="316"/>
      <c r="GPF69" s="316"/>
      <c r="GPG69" s="316"/>
      <c r="GPH69" s="316"/>
      <c r="GPI69" s="316"/>
      <c r="GPJ69" s="316"/>
      <c r="GPK69" s="316"/>
      <c r="GPL69" s="316"/>
      <c r="GPM69" s="316"/>
      <c r="GPN69" s="316"/>
      <c r="GPO69" s="316"/>
      <c r="GPP69" s="316"/>
      <c r="GPQ69" s="316"/>
      <c r="GPR69" s="316"/>
      <c r="GPS69" s="316"/>
      <c r="GPT69" s="316"/>
      <c r="GPU69" s="316"/>
      <c r="GPV69" s="316"/>
      <c r="GPW69" s="316"/>
      <c r="GPX69" s="316"/>
      <c r="GPY69" s="316"/>
      <c r="GPZ69" s="316"/>
      <c r="GQA69" s="316"/>
      <c r="GQB69" s="316"/>
      <c r="GQC69" s="316"/>
      <c r="GQD69" s="316"/>
      <c r="GQE69" s="316"/>
      <c r="GQF69" s="316"/>
      <c r="GQG69" s="316"/>
      <c r="GQH69" s="316"/>
      <c r="GQI69" s="316"/>
      <c r="GQJ69" s="316"/>
      <c r="GQK69" s="316"/>
      <c r="GQL69" s="316"/>
      <c r="GQM69" s="316"/>
      <c r="GQN69" s="316"/>
      <c r="GQO69" s="316"/>
      <c r="GQP69" s="316"/>
      <c r="GQQ69" s="316"/>
      <c r="GQR69" s="316"/>
      <c r="GQS69" s="316"/>
      <c r="GQT69" s="316"/>
      <c r="GQU69" s="316"/>
      <c r="GQV69" s="316"/>
      <c r="GQW69" s="316"/>
      <c r="GQX69" s="316"/>
      <c r="GQY69" s="316"/>
      <c r="GQZ69" s="316"/>
      <c r="GRA69" s="316"/>
      <c r="GRB69" s="316"/>
      <c r="GRC69" s="316"/>
      <c r="GRD69" s="316"/>
      <c r="GRE69" s="316"/>
      <c r="GRF69" s="316"/>
      <c r="GRG69" s="316"/>
      <c r="GRH69" s="316"/>
      <c r="GRI69" s="316"/>
      <c r="GRJ69" s="316"/>
      <c r="GRK69" s="316"/>
      <c r="GRL69" s="316"/>
      <c r="GRM69" s="316"/>
      <c r="GRN69" s="316"/>
      <c r="GRO69" s="316"/>
      <c r="GRP69" s="316"/>
      <c r="GRQ69" s="316"/>
      <c r="GRR69" s="316"/>
      <c r="GRS69" s="316"/>
      <c r="GRT69" s="316"/>
      <c r="GRU69" s="316"/>
      <c r="GRV69" s="316"/>
      <c r="GRW69" s="316"/>
      <c r="GRX69" s="316"/>
      <c r="GRY69" s="316"/>
      <c r="GRZ69" s="316"/>
      <c r="GSA69" s="316"/>
      <c r="GSB69" s="316"/>
      <c r="GSC69" s="316"/>
      <c r="GSD69" s="316"/>
      <c r="GSE69" s="316"/>
      <c r="GSF69" s="316"/>
      <c r="GSG69" s="316"/>
      <c r="GSH69" s="316"/>
      <c r="GSI69" s="316"/>
      <c r="GSJ69" s="316"/>
      <c r="GSK69" s="316"/>
      <c r="GSL69" s="316"/>
      <c r="GSM69" s="316"/>
      <c r="GSN69" s="316"/>
      <c r="GSO69" s="316"/>
      <c r="GSP69" s="316"/>
      <c r="GSQ69" s="316"/>
      <c r="GSR69" s="316"/>
      <c r="GSS69" s="316"/>
      <c r="GST69" s="316"/>
      <c r="GSU69" s="316"/>
      <c r="GSV69" s="316"/>
      <c r="GSW69" s="316"/>
      <c r="GSX69" s="316"/>
      <c r="GSY69" s="316"/>
      <c r="GSZ69" s="316"/>
      <c r="GTA69" s="316"/>
      <c r="GTB69" s="316"/>
      <c r="GTC69" s="316"/>
      <c r="GTD69" s="316"/>
      <c r="GTE69" s="316"/>
      <c r="GTF69" s="316"/>
      <c r="GTG69" s="316"/>
      <c r="GTH69" s="316"/>
      <c r="GTI69" s="316"/>
      <c r="GTJ69" s="316"/>
      <c r="GTK69" s="316"/>
      <c r="GTL69" s="316"/>
      <c r="GTM69" s="316"/>
      <c r="GTN69" s="316"/>
      <c r="GTO69" s="316"/>
      <c r="GTP69" s="316"/>
      <c r="GTQ69" s="316"/>
      <c r="GTR69" s="316"/>
      <c r="GTS69" s="316"/>
      <c r="GTT69" s="316"/>
      <c r="GTU69" s="316"/>
      <c r="GTV69" s="316"/>
      <c r="GTW69" s="316"/>
      <c r="GTX69" s="316"/>
      <c r="GTY69" s="316"/>
      <c r="GTZ69" s="316"/>
      <c r="GUA69" s="316"/>
      <c r="GUB69" s="316"/>
      <c r="GUC69" s="316"/>
      <c r="GUD69" s="316"/>
      <c r="GUE69" s="316"/>
      <c r="GUF69" s="316"/>
      <c r="GUG69" s="316"/>
      <c r="GUH69" s="316"/>
      <c r="GUI69" s="316"/>
      <c r="GUJ69" s="316"/>
      <c r="GUK69" s="316"/>
      <c r="GUL69" s="316"/>
      <c r="GUM69" s="316"/>
      <c r="GUN69" s="316"/>
      <c r="GUO69" s="316"/>
      <c r="GUP69" s="316"/>
      <c r="GUQ69" s="316"/>
      <c r="GUR69" s="316"/>
      <c r="GUS69" s="316"/>
      <c r="GUT69" s="316"/>
      <c r="GUU69" s="316"/>
      <c r="GUV69" s="316"/>
      <c r="GUW69" s="316"/>
      <c r="GUX69" s="316"/>
      <c r="GUY69" s="316"/>
      <c r="GUZ69" s="316"/>
      <c r="GVA69" s="316"/>
      <c r="GVB69" s="316"/>
      <c r="GVC69" s="316"/>
      <c r="GVD69" s="316"/>
      <c r="GVE69" s="316"/>
      <c r="GVF69" s="316"/>
      <c r="GVG69" s="316"/>
      <c r="GVH69" s="316"/>
      <c r="GVI69" s="316"/>
      <c r="GVJ69" s="316"/>
      <c r="GVK69" s="316"/>
      <c r="GVL69" s="316"/>
      <c r="GVM69" s="316"/>
      <c r="GVN69" s="316"/>
      <c r="GVO69" s="316"/>
      <c r="GVP69" s="316"/>
      <c r="GVQ69" s="316"/>
      <c r="GVR69" s="316"/>
      <c r="GVS69" s="316"/>
      <c r="GVT69" s="316"/>
      <c r="GVU69" s="316"/>
      <c r="GVV69" s="316"/>
      <c r="GVW69" s="316"/>
      <c r="GVX69" s="316"/>
      <c r="GVY69" s="316"/>
      <c r="GVZ69" s="316"/>
      <c r="GWA69" s="316"/>
      <c r="GWB69" s="316"/>
      <c r="GWC69" s="316"/>
      <c r="GWD69" s="316"/>
      <c r="GWE69" s="316"/>
      <c r="GWF69" s="316"/>
      <c r="GWG69" s="316"/>
      <c r="GWH69" s="316"/>
      <c r="GWI69" s="316"/>
      <c r="GWJ69" s="316"/>
      <c r="GWK69" s="316"/>
      <c r="GWL69" s="316"/>
      <c r="GWM69" s="316"/>
      <c r="GWN69" s="316"/>
      <c r="GWO69" s="316"/>
      <c r="GWP69" s="316"/>
      <c r="GWQ69" s="316"/>
      <c r="GWR69" s="316"/>
      <c r="GWS69" s="316"/>
      <c r="GWT69" s="316"/>
      <c r="GWU69" s="316"/>
      <c r="GWV69" s="316"/>
      <c r="GWW69" s="316"/>
      <c r="GWX69" s="316"/>
      <c r="GWY69" s="316"/>
      <c r="GWZ69" s="316"/>
      <c r="GXA69" s="316"/>
      <c r="GXB69" s="316"/>
      <c r="GXC69" s="316"/>
      <c r="GXD69" s="316"/>
      <c r="GXE69" s="316"/>
      <c r="GXF69" s="316"/>
      <c r="GXG69" s="316"/>
      <c r="GXH69" s="316"/>
      <c r="GXI69" s="316"/>
      <c r="GXJ69" s="316"/>
      <c r="GXK69" s="316"/>
      <c r="GXL69" s="316"/>
      <c r="GXM69" s="316"/>
      <c r="GXN69" s="316"/>
      <c r="GXO69" s="316"/>
      <c r="GXP69" s="316"/>
      <c r="GXQ69" s="316"/>
      <c r="GXR69" s="316"/>
      <c r="GXS69" s="316"/>
      <c r="GXT69" s="316"/>
      <c r="GXU69" s="316"/>
      <c r="GXV69" s="316"/>
      <c r="GXW69" s="316"/>
      <c r="GXX69" s="316"/>
      <c r="GXY69" s="316"/>
      <c r="GXZ69" s="316"/>
      <c r="GYA69" s="316"/>
      <c r="GYB69" s="316"/>
      <c r="GYC69" s="316"/>
      <c r="GYD69" s="316"/>
      <c r="GYE69" s="316"/>
      <c r="GYF69" s="316"/>
      <c r="GYG69" s="316"/>
      <c r="GYH69" s="316"/>
      <c r="GYI69" s="316"/>
      <c r="GYJ69" s="316"/>
      <c r="GYK69" s="316"/>
      <c r="GYL69" s="316"/>
      <c r="GYM69" s="316"/>
      <c r="GYN69" s="316"/>
      <c r="GYO69" s="316"/>
      <c r="GYP69" s="316"/>
      <c r="GYQ69" s="316"/>
      <c r="GYR69" s="316"/>
      <c r="GYS69" s="316"/>
      <c r="GYT69" s="316"/>
      <c r="GYU69" s="316"/>
      <c r="GYV69" s="316"/>
      <c r="GYW69" s="316"/>
      <c r="GYX69" s="316"/>
      <c r="GYY69" s="316"/>
      <c r="GYZ69" s="316"/>
      <c r="GZA69" s="316"/>
      <c r="GZB69" s="316"/>
      <c r="GZC69" s="316"/>
      <c r="GZD69" s="316"/>
      <c r="GZE69" s="316"/>
      <c r="GZF69" s="316"/>
      <c r="GZG69" s="316"/>
      <c r="GZH69" s="316"/>
      <c r="GZI69" s="316"/>
      <c r="GZJ69" s="316"/>
      <c r="GZK69" s="316"/>
      <c r="GZL69" s="316"/>
      <c r="GZM69" s="316"/>
      <c r="GZN69" s="316"/>
      <c r="GZO69" s="316"/>
      <c r="GZP69" s="316"/>
      <c r="GZQ69" s="316"/>
      <c r="GZR69" s="316"/>
      <c r="GZS69" s="316"/>
      <c r="GZT69" s="316"/>
      <c r="GZU69" s="316"/>
      <c r="GZV69" s="316"/>
      <c r="GZW69" s="316"/>
      <c r="GZX69" s="316"/>
      <c r="GZY69" s="316"/>
      <c r="GZZ69" s="316"/>
      <c r="HAA69" s="316"/>
      <c r="HAB69" s="316"/>
      <c r="HAC69" s="316"/>
      <c r="HAD69" s="316"/>
      <c r="HAE69" s="316"/>
      <c r="HAF69" s="316"/>
      <c r="HAG69" s="316"/>
      <c r="HAH69" s="316"/>
      <c r="HAI69" s="316"/>
      <c r="HAJ69" s="316"/>
      <c r="HAK69" s="316"/>
      <c r="HAL69" s="316"/>
      <c r="HAM69" s="316"/>
      <c r="HAN69" s="316"/>
      <c r="HAO69" s="316"/>
      <c r="HAP69" s="316"/>
      <c r="HAQ69" s="316"/>
      <c r="HAR69" s="316"/>
      <c r="HAS69" s="316"/>
      <c r="HAT69" s="316"/>
      <c r="HAU69" s="316"/>
      <c r="HAV69" s="316"/>
      <c r="HAW69" s="316"/>
      <c r="HAX69" s="316"/>
      <c r="HAY69" s="316"/>
      <c r="HAZ69" s="316"/>
      <c r="HBA69" s="316"/>
      <c r="HBB69" s="316"/>
      <c r="HBC69" s="316"/>
      <c r="HBD69" s="316"/>
      <c r="HBE69" s="316"/>
      <c r="HBF69" s="316"/>
      <c r="HBG69" s="316"/>
      <c r="HBH69" s="316"/>
      <c r="HBI69" s="316"/>
      <c r="HBJ69" s="316"/>
      <c r="HBK69" s="316"/>
      <c r="HBL69" s="316"/>
      <c r="HBM69" s="316"/>
      <c r="HBN69" s="316"/>
      <c r="HBO69" s="316"/>
      <c r="HBP69" s="316"/>
      <c r="HBQ69" s="316"/>
      <c r="HBR69" s="316"/>
      <c r="HBS69" s="316"/>
      <c r="HBT69" s="316"/>
      <c r="HBU69" s="316"/>
      <c r="HBV69" s="316"/>
      <c r="HBW69" s="316"/>
      <c r="HBX69" s="316"/>
      <c r="HBY69" s="316"/>
      <c r="HBZ69" s="316"/>
      <c r="HCA69" s="316"/>
      <c r="HCB69" s="316"/>
      <c r="HCC69" s="316"/>
      <c r="HCD69" s="316"/>
      <c r="HCE69" s="316"/>
      <c r="HCF69" s="316"/>
      <c r="HCG69" s="316"/>
      <c r="HCH69" s="316"/>
      <c r="HCI69" s="316"/>
      <c r="HCJ69" s="316"/>
      <c r="HCK69" s="316"/>
      <c r="HCL69" s="316"/>
      <c r="HCM69" s="316"/>
      <c r="HCN69" s="316"/>
      <c r="HCO69" s="316"/>
      <c r="HCP69" s="316"/>
      <c r="HCQ69" s="316"/>
      <c r="HCR69" s="316"/>
      <c r="HCS69" s="316"/>
      <c r="HCT69" s="316"/>
      <c r="HCU69" s="316"/>
      <c r="HCV69" s="316"/>
      <c r="HCW69" s="316"/>
      <c r="HCX69" s="316"/>
      <c r="HCY69" s="316"/>
      <c r="HCZ69" s="316"/>
      <c r="HDA69" s="316"/>
      <c r="HDB69" s="316"/>
      <c r="HDC69" s="316"/>
      <c r="HDD69" s="316"/>
      <c r="HDE69" s="316"/>
      <c r="HDF69" s="316"/>
      <c r="HDG69" s="316"/>
      <c r="HDH69" s="316"/>
      <c r="HDI69" s="316"/>
      <c r="HDJ69" s="316"/>
      <c r="HDK69" s="316"/>
      <c r="HDL69" s="316"/>
      <c r="HDM69" s="316"/>
      <c r="HDN69" s="316"/>
      <c r="HDO69" s="316"/>
      <c r="HDP69" s="316"/>
      <c r="HDQ69" s="316"/>
      <c r="HDR69" s="316"/>
      <c r="HDS69" s="316"/>
      <c r="HDT69" s="316"/>
      <c r="HDU69" s="316"/>
      <c r="HDV69" s="316"/>
      <c r="HDW69" s="316"/>
      <c r="HDX69" s="316"/>
      <c r="HDY69" s="316"/>
      <c r="HDZ69" s="316"/>
      <c r="HEA69" s="316"/>
      <c r="HEB69" s="316"/>
      <c r="HEC69" s="316"/>
      <c r="HED69" s="316"/>
      <c r="HEE69" s="316"/>
      <c r="HEF69" s="316"/>
      <c r="HEG69" s="316"/>
      <c r="HEH69" s="316"/>
      <c r="HEI69" s="316"/>
      <c r="HEJ69" s="316"/>
      <c r="HEK69" s="316"/>
      <c r="HEL69" s="316"/>
      <c r="HEM69" s="316"/>
      <c r="HEN69" s="316"/>
      <c r="HEO69" s="316"/>
      <c r="HEP69" s="316"/>
      <c r="HEQ69" s="316"/>
      <c r="HER69" s="316"/>
      <c r="HES69" s="316"/>
      <c r="HET69" s="316"/>
      <c r="HEU69" s="316"/>
      <c r="HEV69" s="316"/>
      <c r="HEW69" s="316"/>
      <c r="HEX69" s="316"/>
      <c r="HEY69" s="316"/>
      <c r="HEZ69" s="316"/>
      <c r="HFA69" s="316"/>
      <c r="HFB69" s="316"/>
      <c r="HFC69" s="316"/>
      <c r="HFD69" s="316"/>
      <c r="HFE69" s="316"/>
      <c r="HFF69" s="316"/>
      <c r="HFG69" s="316"/>
      <c r="HFH69" s="316"/>
      <c r="HFI69" s="316"/>
      <c r="HFJ69" s="316"/>
      <c r="HFK69" s="316"/>
      <c r="HFL69" s="316"/>
      <c r="HFM69" s="316"/>
      <c r="HFN69" s="316"/>
      <c r="HFO69" s="316"/>
      <c r="HFP69" s="316"/>
      <c r="HFQ69" s="316"/>
      <c r="HFR69" s="316"/>
      <c r="HFS69" s="316"/>
      <c r="HFT69" s="316"/>
      <c r="HFU69" s="316"/>
      <c r="HFV69" s="316"/>
      <c r="HFW69" s="316"/>
      <c r="HFX69" s="316"/>
      <c r="HFY69" s="316"/>
      <c r="HFZ69" s="316"/>
      <c r="HGA69" s="316"/>
      <c r="HGB69" s="316"/>
      <c r="HGC69" s="316"/>
      <c r="HGD69" s="316"/>
      <c r="HGE69" s="316"/>
      <c r="HGF69" s="316"/>
      <c r="HGG69" s="316"/>
      <c r="HGH69" s="316"/>
      <c r="HGI69" s="316"/>
      <c r="HGJ69" s="316"/>
      <c r="HGK69" s="316"/>
      <c r="HGL69" s="316"/>
      <c r="HGM69" s="316"/>
      <c r="HGN69" s="316"/>
      <c r="HGO69" s="316"/>
      <c r="HGP69" s="316"/>
      <c r="HGQ69" s="316"/>
      <c r="HGR69" s="316"/>
      <c r="HGS69" s="316"/>
      <c r="HGT69" s="316"/>
      <c r="HGU69" s="316"/>
      <c r="HGV69" s="316"/>
      <c r="HGW69" s="316"/>
      <c r="HGX69" s="316"/>
      <c r="HGY69" s="316"/>
      <c r="HGZ69" s="316"/>
      <c r="HHA69" s="316"/>
      <c r="HHB69" s="316"/>
      <c r="HHC69" s="316"/>
      <c r="HHD69" s="316"/>
      <c r="HHE69" s="316"/>
      <c r="HHF69" s="316"/>
      <c r="HHG69" s="316"/>
      <c r="HHH69" s="316"/>
      <c r="HHI69" s="316"/>
      <c r="HHJ69" s="316"/>
      <c r="HHK69" s="316"/>
      <c r="HHL69" s="316"/>
      <c r="HHM69" s="316"/>
      <c r="HHN69" s="316"/>
      <c r="HHO69" s="316"/>
      <c r="HHP69" s="316"/>
      <c r="HHQ69" s="316"/>
      <c r="HHR69" s="316"/>
      <c r="HHS69" s="316"/>
      <c r="HHT69" s="316"/>
      <c r="HHU69" s="316"/>
      <c r="HHV69" s="316"/>
      <c r="HHW69" s="316"/>
      <c r="HHX69" s="316"/>
      <c r="HHY69" s="316"/>
      <c r="HHZ69" s="316"/>
      <c r="HIA69" s="316"/>
      <c r="HIB69" s="316"/>
      <c r="HIC69" s="316"/>
      <c r="HID69" s="316"/>
      <c r="HIE69" s="316"/>
      <c r="HIF69" s="316"/>
      <c r="HIG69" s="316"/>
      <c r="HIH69" s="316"/>
      <c r="HII69" s="316"/>
      <c r="HIJ69" s="316"/>
      <c r="HIK69" s="316"/>
      <c r="HIL69" s="316"/>
      <c r="HIM69" s="316"/>
      <c r="HIN69" s="316"/>
      <c r="HIO69" s="316"/>
      <c r="HIP69" s="316"/>
      <c r="HIQ69" s="316"/>
      <c r="HIR69" s="316"/>
      <c r="HIS69" s="316"/>
      <c r="HIT69" s="316"/>
      <c r="HIU69" s="316"/>
      <c r="HIV69" s="316"/>
      <c r="HIW69" s="316"/>
      <c r="HIX69" s="316"/>
      <c r="HIY69" s="316"/>
      <c r="HIZ69" s="316"/>
      <c r="HJA69" s="316"/>
      <c r="HJB69" s="316"/>
      <c r="HJC69" s="316"/>
      <c r="HJD69" s="316"/>
      <c r="HJE69" s="316"/>
      <c r="HJF69" s="316"/>
      <c r="HJG69" s="316"/>
      <c r="HJH69" s="316"/>
      <c r="HJI69" s="316"/>
      <c r="HJJ69" s="316"/>
      <c r="HJK69" s="316"/>
      <c r="HJL69" s="316"/>
      <c r="HJM69" s="316"/>
      <c r="HJN69" s="316"/>
      <c r="HJO69" s="316"/>
      <c r="HJP69" s="316"/>
      <c r="HJQ69" s="316"/>
      <c r="HJR69" s="316"/>
      <c r="HJS69" s="316"/>
      <c r="HJT69" s="316"/>
      <c r="HJU69" s="316"/>
      <c r="HJV69" s="316"/>
      <c r="HJW69" s="316"/>
      <c r="HJX69" s="316"/>
      <c r="HJY69" s="316"/>
      <c r="HJZ69" s="316"/>
      <c r="HKA69" s="316"/>
      <c r="HKB69" s="316"/>
      <c r="HKC69" s="316"/>
      <c r="HKD69" s="316"/>
      <c r="HKE69" s="316"/>
      <c r="HKF69" s="316"/>
      <c r="HKG69" s="316"/>
      <c r="HKH69" s="316"/>
      <c r="HKI69" s="316"/>
      <c r="HKJ69" s="316"/>
      <c r="HKK69" s="316"/>
      <c r="HKL69" s="316"/>
      <c r="HKM69" s="316"/>
      <c r="HKN69" s="316"/>
      <c r="HKO69" s="316"/>
      <c r="HKP69" s="316"/>
      <c r="HKQ69" s="316"/>
      <c r="HKR69" s="316"/>
      <c r="HKS69" s="316"/>
      <c r="HKT69" s="316"/>
      <c r="HKU69" s="316"/>
      <c r="HKV69" s="316"/>
      <c r="HKW69" s="316"/>
      <c r="HKX69" s="316"/>
      <c r="HKY69" s="316"/>
      <c r="HKZ69" s="316"/>
      <c r="HLA69" s="316"/>
      <c r="HLB69" s="316"/>
      <c r="HLC69" s="316"/>
      <c r="HLD69" s="316"/>
      <c r="HLE69" s="316"/>
      <c r="HLF69" s="316"/>
      <c r="HLG69" s="316"/>
      <c r="HLH69" s="316"/>
      <c r="HLI69" s="316"/>
      <c r="HLJ69" s="316"/>
      <c r="HLK69" s="316"/>
      <c r="HLL69" s="316"/>
      <c r="HLM69" s="316"/>
      <c r="HLN69" s="316"/>
      <c r="HLO69" s="316"/>
      <c r="HLP69" s="316"/>
      <c r="HLQ69" s="316"/>
      <c r="HLR69" s="316"/>
      <c r="HLS69" s="316"/>
      <c r="HLT69" s="316"/>
      <c r="HLU69" s="316"/>
      <c r="HLV69" s="316"/>
      <c r="HLW69" s="316"/>
      <c r="HLX69" s="316"/>
      <c r="HLY69" s="316"/>
      <c r="HLZ69" s="316"/>
      <c r="HMA69" s="316"/>
      <c r="HMB69" s="316"/>
      <c r="HMC69" s="316"/>
      <c r="HMD69" s="316"/>
      <c r="HME69" s="316"/>
      <c r="HMF69" s="316"/>
      <c r="HMG69" s="316"/>
      <c r="HMH69" s="316"/>
      <c r="HMI69" s="316"/>
      <c r="HMJ69" s="316"/>
      <c r="HMK69" s="316"/>
      <c r="HML69" s="316"/>
      <c r="HMM69" s="316"/>
      <c r="HMN69" s="316"/>
      <c r="HMO69" s="316"/>
      <c r="HMP69" s="316"/>
      <c r="HMQ69" s="316"/>
      <c r="HMR69" s="316"/>
      <c r="HMS69" s="316"/>
      <c r="HMT69" s="316"/>
      <c r="HMU69" s="316"/>
      <c r="HMV69" s="316"/>
      <c r="HMW69" s="316"/>
      <c r="HMX69" s="316"/>
      <c r="HMY69" s="316"/>
      <c r="HMZ69" s="316"/>
      <c r="HNA69" s="316"/>
      <c r="HNB69" s="316"/>
      <c r="HNC69" s="316"/>
      <c r="HND69" s="316"/>
      <c r="HNE69" s="316"/>
      <c r="HNF69" s="316"/>
      <c r="HNG69" s="316"/>
      <c r="HNH69" s="316"/>
      <c r="HNI69" s="316"/>
      <c r="HNJ69" s="316"/>
      <c r="HNK69" s="316"/>
      <c r="HNL69" s="316"/>
      <c r="HNM69" s="316"/>
      <c r="HNN69" s="316"/>
      <c r="HNO69" s="316"/>
      <c r="HNP69" s="316"/>
      <c r="HNQ69" s="316"/>
      <c r="HNR69" s="316"/>
      <c r="HNS69" s="316"/>
      <c r="HNT69" s="316"/>
      <c r="HNU69" s="316"/>
      <c r="HNV69" s="316"/>
      <c r="HNW69" s="316"/>
      <c r="HNX69" s="316"/>
      <c r="HNY69" s="316"/>
      <c r="HNZ69" s="316"/>
      <c r="HOA69" s="316"/>
      <c r="HOB69" s="316"/>
      <c r="HOC69" s="316"/>
      <c r="HOD69" s="316"/>
      <c r="HOE69" s="316"/>
      <c r="HOF69" s="316"/>
      <c r="HOG69" s="316"/>
      <c r="HOH69" s="316"/>
      <c r="HOI69" s="316"/>
      <c r="HOJ69" s="316"/>
      <c r="HOK69" s="316"/>
      <c r="HOL69" s="316"/>
      <c r="HOM69" s="316"/>
      <c r="HON69" s="316"/>
      <c r="HOO69" s="316"/>
      <c r="HOP69" s="316"/>
      <c r="HOQ69" s="316"/>
      <c r="HOR69" s="316"/>
      <c r="HOS69" s="316"/>
      <c r="HOT69" s="316"/>
      <c r="HOU69" s="316"/>
      <c r="HOV69" s="316"/>
      <c r="HOW69" s="316"/>
      <c r="HOX69" s="316"/>
      <c r="HOY69" s="316"/>
      <c r="HOZ69" s="316"/>
      <c r="HPA69" s="316"/>
      <c r="HPB69" s="316"/>
      <c r="HPC69" s="316"/>
      <c r="HPD69" s="316"/>
      <c r="HPE69" s="316"/>
      <c r="HPF69" s="316"/>
      <c r="HPG69" s="316"/>
      <c r="HPH69" s="316"/>
      <c r="HPI69" s="316"/>
      <c r="HPJ69" s="316"/>
      <c r="HPK69" s="316"/>
      <c r="HPL69" s="316"/>
      <c r="HPM69" s="316"/>
      <c r="HPN69" s="316"/>
      <c r="HPO69" s="316"/>
      <c r="HPP69" s="316"/>
      <c r="HPQ69" s="316"/>
      <c r="HPR69" s="316"/>
      <c r="HPS69" s="316"/>
      <c r="HPT69" s="316"/>
      <c r="HPU69" s="316"/>
      <c r="HPV69" s="316"/>
      <c r="HPW69" s="316"/>
      <c r="HPX69" s="316"/>
      <c r="HPY69" s="316"/>
      <c r="HPZ69" s="316"/>
      <c r="HQA69" s="316"/>
      <c r="HQB69" s="316"/>
      <c r="HQC69" s="316"/>
      <c r="HQD69" s="316"/>
      <c r="HQE69" s="316"/>
      <c r="HQF69" s="316"/>
      <c r="HQG69" s="316"/>
      <c r="HQH69" s="316"/>
      <c r="HQI69" s="316"/>
      <c r="HQJ69" s="316"/>
      <c r="HQK69" s="316"/>
      <c r="HQL69" s="316"/>
      <c r="HQM69" s="316"/>
      <c r="HQN69" s="316"/>
      <c r="HQO69" s="316"/>
      <c r="HQP69" s="316"/>
      <c r="HQQ69" s="316"/>
      <c r="HQR69" s="316"/>
      <c r="HQS69" s="316"/>
      <c r="HQT69" s="316"/>
      <c r="HQU69" s="316"/>
      <c r="HQV69" s="316"/>
      <c r="HQW69" s="316"/>
      <c r="HQX69" s="316"/>
      <c r="HQY69" s="316"/>
      <c r="HQZ69" s="316"/>
      <c r="HRA69" s="316"/>
      <c r="HRB69" s="316"/>
      <c r="HRC69" s="316"/>
      <c r="HRD69" s="316"/>
      <c r="HRE69" s="316"/>
      <c r="HRF69" s="316"/>
      <c r="HRG69" s="316"/>
      <c r="HRH69" s="316"/>
      <c r="HRI69" s="316"/>
      <c r="HRJ69" s="316"/>
      <c r="HRK69" s="316"/>
      <c r="HRL69" s="316"/>
      <c r="HRM69" s="316"/>
      <c r="HRN69" s="316"/>
      <c r="HRO69" s="316"/>
      <c r="HRP69" s="316"/>
      <c r="HRQ69" s="316"/>
      <c r="HRR69" s="316"/>
      <c r="HRS69" s="316"/>
      <c r="HRT69" s="316"/>
      <c r="HRU69" s="316"/>
      <c r="HRV69" s="316"/>
      <c r="HRW69" s="316"/>
      <c r="HRX69" s="316"/>
      <c r="HRY69" s="316"/>
      <c r="HRZ69" s="316"/>
      <c r="HSA69" s="316"/>
      <c r="HSB69" s="316"/>
      <c r="HSC69" s="316"/>
      <c r="HSD69" s="316"/>
      <c r="HSE69" s="316"/>
      <c r="HSF69" s="316"/>
      <c r="HSG69" s="316"/>
      <c r="HSH69" s="316"/>
      <c r="HSI69" s="316"/>
      <c r="HSJ69" s="316"/>
      <c r="HSK69" s="316"/>
      <c r="HSL69" s="316"/>
      <c r="HSM69" s="316"/>
      <c r="HSN69" s="316"/>
      <c r="HSO69" s="316"/>
      <c r="HSP69" s="316"/>
      <c r="HSQ69" s="316"/>
      <c r="HSR69" s="316"/>
      <c r="HSS69" s="316"/>
      <c r="HST69" s="316"/>
      <c r="HSU69" s="316"/>
      <c r="HSV69" s="316"/>
      <c r="HSW69" s="316"/>
      <c r="HSX69" s="316"/>
      <c r="HSY69" s="316"/>
      <c r="HSZ69" s="316"/>
      <c r="HTA69" s="316"/>
      <c r="HTB69" s="316"/>
      <c r="HTC69" s="316"/>
      <c r="HTD69" s="316"/>
      <c r="HTE69" s="316"/>
      <c r="HTF69" s="316"/>
      <c r="HTG69" s="316"/>
      <c r="HTH69" s="316"/>
      <c r="HTI69" s="316"/>
      <c r="HTJ69" s="316"/>
      <c r="HTK69" s="316"/>
      <c r="HTL69" s="316"/>
      <c r="HTM69" s="316"/>
      <c r="HTN69" s="316"/>
      <c r="HTO69" s="316"/>
      <c r="HTP69" s="316"/>
      <c r="HTQ69" s="316"/>
      <c r="HTR69" s="316"/>
      <c r="HTS69" s="316"/>
      <c r="HTT69" s="316"/>
      <c r="HTU69" s="316"/>
      <c r="HTV69" s="316"/>
      <c r="HTW69" s="316"/>
      <c r="HTX69" s="316"/>
      <c r="HTY69" s="316"/>
      <c r="HTZ69" s="316"/>
      <c r="HUA69" s="316"/>
      <c r="HUB69" s="316"/>
      <c r="HUC69" s="316"/>
      <c r="HUD69" s="316"/>
      <c r="HUE69" s="316"/>
      <c r="HUF69" s="316"/>
      <c r="HUG69" s="316"/>
      <c r="HUH69" s="316"/>
      <c r="HUI69" s="316"/>
      <c r="HUJ69" s="316"/>
      <c r="HUK69" s="316"/>
      <c r="HUL69" s="316"/>
      <c r="HUM69" s="316"/>
      <c r="HUN69" s="316"/>
      <c r="HUO69" s="316"/>
      <c r="HUP69" s="316"/>
      <c r="HUQ69" s="316"/>
      <c r="HUR69" s="316"/>
      <c r="HUS69" s="316"/>
      <c r="HUT69" s="316"/>
      <c r="HUU69" s="316"/>
      <c r="HUV69" s="316"/>
      <c r="HUW69" s="316"/>
      <c r="HUX69" s="316"/>
      <c r="HUY69" s="316"/>
      <c r="HUZ69" s="316"/>
      <c r="HVA69" s="316"/>
      <c r="HVB69" s="316"/>
      <c r="HVC69" s="316"/>
      <c r="HVD69" s="316"/>
      <c r="HVE69" s="316"/>
      <c r="HVF69" s="316"/>
      <c r="HVG69" s="316"/>
      <c r="HVH69" s="316"/>
      <c r="HVI69" s="316"/>
      <c r="HVJ69" s="316"/>
      <c r="HVK69" s="316"/>
      <c r="HVL69" s="316"/>
      <c r="HVM69" s="316"/>
      <c r="HVN69" s="316"/>
      <c r="HVO69" s="316"/>
      <c r="HVP69" s="316"/>
      <c r="HVQ69" s="316"/>
      <c r="HVR69" s="316"/>
      <c r="HVS69" s="316"/>
      <c r="HVT69" s="316"/>
      <c r="HVU69" s="316"/>
      <c r="HVV69" s="316"/>
      <c r="HVW69" s="316"/>
      <c r="HVX69" s="316"/>
      <c r="HVY69" s="316"/>
      <c r="HVZ69" s="316"/>
      <c r="HWA69" s="316"/>
      <c r="HWB69" s="316"/>
      <c r="HWC69" s="316"/>
      <c r="HWD69" s="316"/>
      <c r="HWE69" s="316"/>
      <c r="HWF69" s="316"/>
      <c r="HWG69" s="316"/>
      <c r="HWH69" s="316"/>
      <c r="HWI69" s="316"/>
      <c r="HWJ69" s="316"/>
      <c r="HWK69" s="316"/>
      <c r="HWL69" s="316"/>
      <c r="HWM69" s="316"/>
      <c r="HWN69" s="316"/>
      <c r="HWO69" s="316"/>
      <c r="HWP69" s="316"/>
      <c r="HWQ69" s="316"/>
      <c r="HWR69" s="316"/>
      <c r="HWS69" s="316"/>
      <c r="HWT69" s="316"/>
      <c r="HWU69" s="316"/>
      <c r="HWV69" s="316"/>
      <c r="HWW69" s="316"/>
      <c r="HWX69" s="316"/>
      <c r="HWY69" s="316"/>
      <c r="HWZ69" s="316"/>
      <c r="HXA69" s="316"/>
      <c r="HXB69" s="316"/>
      <c r="HXC69" s="316"/>
      <c r="HXD69" s="316"/>
      <c r="HXE69" s="316"/>
      <c r="HXF69" s="316"/>
      <c r="HXG69" s="316"/>
      <c r="HXH69" s="316"/>
      <c r="HXI69" s="316"/>
      <c r="HXJ69" s="316"/>
      <c r="HXK69" s="316"/>
      <c r="HXL69" s="316"/>
      <c r="HXM69" s="316"/>
      <c r="HXN69" s="316"/>
      <c r="HXO69" s="316"/>
      <c r="HXP69" s="316"/>
      <c r="HXQ69" s="316"/>
      <c r="HXR69" s="316"/>
      <c r="HXS69" s="316"/>
      <c r="HXT69" s="316"/>
      <c r="HXU69" s="316"/>
      <c r="HXV69" s="316"/>
      <c r="HXW69" s="316"/>
      <c r="HXX69" s="316"/>
      <c r="HXY69" s="316"/>
      <c r="HXZ69" s="316"/>
      <c r="HYA69" s="316"/>
      <c r="HYB69" s="316"/>
      <c r="HYC69" s="316"/>
      <c r="HYD69" s="316"/>
      <c r="HYE69" s="316"/>
      <c r="HYF69" s="316"/>
      <c r="HYG69" s="316"/>
      <c r="HYH69" s="316"/>
      <c r="HYI69" s="316"/>
      <c r="HYJ69" s="316"/>
      <c r="HYK69" s="316"/>
      <c r="HYL69" s="316"/>
      <c r="HYM69" s="316"/>
      <c r="HYN69" s="316"/>
      <c r="HYO69" s="316"/>
      <c r="HYP69" s="316"/>
      <c r="HYQ69" s="316"/>
      <c r="HYR69" s="316"/>
      <c r="HYS69" s="316"/>
      <c r="HYT69" s="316"/>
      <c r="HYU69" s="316"/>
      <c r="HYV69" s="316"/>
      <c r="HYW69" s="316"/>
      <c r="HYX69" s="316"/>
      <c r="HYY69" s="316"/>
      <c r="HYZ69" s="316"/>
      <c r="HZA69" s="316"/>
      <c r="HZB69" s="316"/>
      <c r="HZC69" s="316"/>
      <c r="HZD69" s="316"/>
      <c r="HZE69" s="316"/>
      <c r="HZF69" s="316"/>
      <c r="HZG69" s="316"/>
      <c r="HZH69" s="316"/>
      <c r="HZI69" s="316"/>
      <c r="HZJ69" s="316"/>
      <c r="HZK69" s="316"/>
      <c r="HZL69" s="316"/>
      <c r="HZM69" s="316"/>
      <c r="HZN69" s="316"/>
      <c r="HZO69" s="316"/>
      <c r="HZP69" s="316"/>
      <c r="HZQ69" s="316"/>
      <c r="HZR69" s="316"/>
      <c r="HZS69" s="316"/>
      <c r="HZT69" s="316"/>
      <c r="HZU69" s="316"/>
      <c r="HZV69" s="316"/>
      <c r="HZW69" s="316"/>
      <c r="HZX69" s="316"/>
      <c r="HZY69" s="316"/>
      <c r="HZZ69" s="316"/>
      <c r="IAA69" s="316"/>
      <c r="IAB69" s="316"/>
      <c r="IAC69" s="316"/>
      <c r="IAD69" s="316"/>
      <c r="IAE69" s="316"/>
      <c r="IAF69" s="316"/>
      <c r="IAG69" s="316"/>
      <c r="IAH69" s="316"/>
      <c r="IAI69" s="316"/>
      <c r="IAJ69" s="316"/>
      <c r="IAK69" s="316"/>
      <c r="IAL69" s="316"/>
      <c r="IAM69" s="316"/>
      <c r="IAN69" s="316"/>
      <c r="IAO69" s="316"/>
      <c r="IAP69" s="316"/>
      <c r="IAQ69" s="316"/>
      <c r="IAR69" s="316"/>
      <c r="IAS69" s="316"/>
      <c r="IAT69" s="316"/>
      <c r="IAU69" s="316"/>
      <c r="IAV69" s="316"/>
      <c r="IAW69" s="316"/>
      <c r="IAX69" s="316"/>
      <c r="IAY69" s="316"/>
      <c r="IAZ69" s="316"/>
      <c r="IBA69" s="316"/>
      <c r="IBB69" s="316"/>
      <c r="IBC69" s="316"/>
      <c r="IBD69" s="316"/>
      <c r="IBE69" s="316"/>
      <c r="IBF69" s="316"/>
      <c r="IBG69" s="316"/>
      <c r="IBH69" s="316"/>
      <c r="IBI69" s="316"/>
      <c r="IBJ69" s="316"/>
      <c r="IBK69" s="316"/>
      <c r="IBL69" s="316"/>
      <c r="IBM69" s="316"/>
      <c r="IBN69" s="316"/>
      <c r="IBO69" s="316"/>
      <c r="IBP69" s="316"/>
      <c r="IBQ69" s="316"/>
      <c r="IBR69" s="316"/>
      <c r="IBS69" s="316"/>
      <c r="IBT69" s="316"/>
      <c r="IBU69" s="316"/>
      <c r="IBV69" s="316"/>
      <c r="IBW69" s="316"/>
      <c r="IBX69" s="316"/>
      <c r="IBY69" s="316"/>
      <c r="IBZ69" s="316"/>
      <c r="ICA69" s="316"/>
      <c r="ICB69" s="316"/>
      <c r="ICC69" s="316"/>
      <c r="ICD69" s="316"/>
      <c r="ICE69" s="316"/>
      <c r="ICF69" s="316"/>
      <c r="ICG69" s="316"/>
      <c r="ICH69" s="316"/>
      <c r="ICI69" s="316"/>
      <c r="ICJ69" s="316"/>
      <c r="ICK69" s="316"/>
      <c r="ICL69" s="316"/>
      <c r="ICM69" s="316"/>
      <c r="ICN69" s="316"/>
      <c r="ICO69" s="316"/>
      <c r="ICP69" s="316"/>
      <c r="ICQ69" s="316"/>
      <c r="ICR69" s="316"/>
      <c r="ICS69" s="316"/>
      <c r="ICT69" s="316"/>
      <c r="ICU69" s="316"/>
      <c r="ICV69" s="316"/>
      <c r="ICW69" s="316"/>
      <c r="ICX69" s="316"/>
      <c r="ICY69" s="316"/>
      <c r="ICZ69" s="316"/>
      <c r="IDA69" s="316"/>
      <c r="IDB69" s="316"/>
      <c r="IDC69" s="316"/>
      <c r="IDD69" s="316"/>
      <c r="IDE69" s="316"/>
      <c r="IDF69" s="316"/>
      <c r="IDG69" s="316"/>
      <c r="IDH69" s="316"/>
      <c r="IDI69" s="316"/>
      <c r="IDJ69" s="316"/>
      <c r="IDK69" s="316"/>
      <c r="IDL69" s="316"/>
      <c r="IDM69" s="316"/>
      <c r="IDN69" s="316"/>
      <c r="IDO69" s="316"/>
      <c r="IDP69" s="316"/>
      <c r="IDQ69" s="316"/>
      <c r="IDR69" s="316"/>
      <c r="IDS69" s="316"/>
      <c r="IDT69" s="316"/>
      <c r="IDU69" s="316"/>
      <c r="IDV69" s="316"/>
      <c r="IDW69" s="316"/>
      <c r="IDX69" s="316"/>
      <c r="IDY69" s="316"/>
      <c r="IDZ69" s="316"/>
      <c r="IEA69" s="316"/>
      <c r="IEB69" s="316"/>
      <c r="IEC69" s="316"/>
      <c r="IED69" s="316"/>
      <c r="IEE69" s="316"/>
      <c r="IEF69" s="316"/>
      <c r="IEG69" s="316"/>
      <c r="IEH69" s="316"/>
      <c r="IEI69" s="316"/>
      <c r="IEJ69" s="316"/>
      <c r="IEK69" s="316"/>
      <c r="IEL69" s="316"/>
      <c r="IEM69" s="316"/>
      <c r="IEN69" s="316"/>
      <c r="IEO69" s="316"/>
      <c r="IEP69" s="316"/>
      <c r="IEQ69" s="316"/>
      <c r="IER69" s="316"/>
      <c r="IES69" s="316"/>
      <c r="IET69" s="316"/>
      <c r="IEU69" s="316"/>
      <c r="IEV69" s="316"/>
      <c r="IEW69" s="316"/>
      <c r="IEX69" s="316"/>
      <c r="IEY69" s="316"/>
      <c r="IEZ69" s="316"/>
      <c r="IFA69" s="316"/>
      <c r="IFB69" s="316"/>
      <c r="IFC69" s="316"/>
      <c r="IFD69" s="316"/>
      <c r="IFE69" s="316"/>
      <c r="IFF69" s="316"/>
      <c r="IFG69" s="316"/>
      <c r="IFH69" s="316"/>
      <c r="IFI69" s="316"/>
      <c r="IFJ69" s="316"/>
      <c r="IFK69" s="316"/>
      <c r="IFL69" s="316"/>
      <c r="IFM69" s="316"/>
      <c r="IFN69" s="316"/>
      <c r="IFO69" s="316"/>
      <c r="IFP69" s="316"/>
      <c r="IFQ69" s="316"/>
      <c r="IFR69" s="316"/>
      <c r="IFS69" s="316"/>
      <c r="IFT69" s="316"/>
      <c r="IFU69" s="316"/>
      <c r="IFV69" s="316"/>
      <c r="IFW69" s="316"/>
      <c r="IFX69" s="316"/>
      <c r="IFY69" s="316"/>
      <c r="IFZ69" s="316"/>
      <c r="IGA69" s="316"/>
      <c r="IGB69" s="316"/>
      <c r="IGC69" s="316"/>
      <c r="IGD69" s="316"/>
      <c r="IGE69" s="316"/>
      <c r="IGF69" s="316"/>
      <c r="IGG69" s="316"/>
      <c r="IGH69" s="316"/>
      <c r="IGI69" s="316"/>
      <c r="IGJ69" s="316"/>
      <c r="IGK69" s="316"/>
      <c r="IGL69" s="316"/>
      <c r="IGM69" s="316"/>
      <c r="IGN69" s="316"/>
      <c r="IGO69" s="316"/>
      <c r="IGP69" s="316"/>
      <c r="IGQ69" s="316"/>
      <c r="IGR69" s="316"/>
      <c r="IGS69" s="316"/>
      <c r="IGT69" s="316"/>
      <c r="IGU69" s="316"/>
      <c r="IGV69" s="316"/>
      <c r="IGW69" s="316"/>
      <c r="IGX69" s="316"/>
      <c r="IGY69" s="316"/>
      <c r="IGZ69" s="316"/>
      <c r="IHA69" s="316"/>
      <c r="IHB69" s="316"/>
      <c r="IHC69" s="316"/>
      <c r="IHD69" s="316"/>
      <c r="IHE69" s="316"/>
      <c r="IHF69" s="316"/>
      <c r="IHG69" s="316"/>
      <c r="IHH69" s="316"/>
      <c r="IHI69" s="316"/>
      <c r="IHJ69" s="316"/>
      <c r="IHK69" s="316"/>
      <c r="IHL69" s="316"/>
      <c r="IHM69" s="316"/>
      <c r="IHN69" s="316"/>
      <c r="IHO69" s="316"/>
      <c r="IHP69" s="316"/>
      <c r="IHQ69" s="316"/>
      <c r="IHR69" s="316"/>
      <c r="IHS69" s="316"/>
      <c r="IHT69" s="316"/>
      <c r="IHU69" s="316"/>
      <c r="IHV69" s="316"/>
      <c r="IHW69" s="316"/>
      <c r="IHX69" s="316"/>
      <c r="IHY69" s="316"/>
      <c r="IHZ69" s="316"/>
      <c r="IIA69" s="316"/>
      <c r="IIB69" s="316"/>
      <c r="IIC69" s="316"/>
      <c r="IID69" s="316"/>
      <c r="IIE69" s="316"/>
      <c r="IIF69" s="316"/>
      <c r="IIG69" s="316"/>
      <c r="IIH69" s="316"/>
      <c r="III69" s="316"/>
      <c r="IIJ69" s="316"/>
      <c r="IIK69" s="316"/>
      <c r="IIL69" s="316"/>
      <c r="IIM69" s="316"/>
      <c r="IIN69" s="316"/>
      <c r="IIO69" s="316"/>
      <c r="IIP69" s="316"/>
      <c r="IIQ69" s="316"/>
      <c r="IIR69" s="316"/>
      <c r="IIS69" s="316"/>
      <c r="IIT69" s="316"/>
      <c r="IIU69" s="316"/>
      <c r="IIV69" s="316"/>
      <c r="IIW69" s="316"/>
      <c r="IIX69" s="316"/>
      <c r="IIY69" s="316"/>
      <c r="IIZ69" s="316"/>
      <c r="IJA69" s="316"/>
      <c r="IJB69" s="316"/>
      <c r="IJC69" s="316"/>
      <c r="IJD69" s="316"/>
      <c r="IJE69" s="316"/>
      <c r="IJF69" s="316"/>
      <c r="IJG69" s="316"/>
      <c r="IJH69" s="316"/>
      <c r="IJI69" s="316"/>
      <c r="IJJ69" s="316"/>
      <c r="IJK69" s="316"/>
      <c r="IJL69" s="316"/>
      <c r="IJM69" s="316"/>
      <c r="IJN69" s="316"/>
      <c r="IJO69" s="316"/>
      <c r="IJP69" s="316"/>
      <c r="IJQ69" s="316"/>
      <c r="IJR69" s="316"/>
      <c r="IJS69" s="316"/>
      <c r="IJT69" s="316"/>
      <c r="IJU69" s="316"/>
      <c r="IJV69" s="316"/>
      <c r="IJW69" s="316"/>
      <c r="IJX69" s="316"/>
      <c r="IJY69" s="316"/>
      <c r="IJZ69" s="316"/>
      <c r="IKA69" s="316"/>
      <c r="IKB69" s="316"/>
      <c r="IKC69" s="316"/>
      <c r="IKD69" s="316"/>
      <c r="IKE69" s="316"/>
      <c r="IKF69" s="316"/>
      <c r="IKG69" s="316"/>
      <c r="IKH69" s="316"/>
      <c r="IKI69" s="316"/>
      <c r="IKJ69" s="316"/>
      <c r="IKK69" s="316"/>
      <c r="IKL69" s="316"/>
      <c r="IKM69" s="316"/>
      <c r="IKN69" s="316"/>
      <c r="IKO69" s="316"/>
      <c r="IKP69" s="316"/>
      <c r="IKQ69" s="316"/>
      <c r="IKR69" s="316"/>
      <c r="IKS69" s="316"/>
      <c r="IKT69" s="316"/>
      <c r="IKU69" s="316"/>
      <c r="IKV69" s="316"/>
      <c r="IKW69" s="316"/>
      <c r="IKX69" s="316"/>
      <c r="IKY69" s="316"/>
      <c r="IKZ69" s="316"/>
      <c r="ILA69" s="316"/>
      <c r="ILB69" s="316"/>
      <c r="ILC69" s="316"/>
      <c r="ILD69" s="316"/>
      <c r="ILE69" s="316"/>
      <c r="ILF69" s="316"/>
      <c r="ILG69" s="316"/>
      <c r="ILH69" s="316"/>
      <c r="ILI69" s="316"/>
      <c r="ILJ69" s="316"/>
      <c r="ILK69" s="316"/>
      <c r="ILL69" s="316"/>
      <c r="ILM69" s="316"/>
      <c r="ILN69" s="316"/>
      <c r="ILO69" s="316"/>
      <c r="ILP69" s="316"/>
      <c r="ILQ69" s="316"/>
      <c r="ILR69" s="316"/>
      <c r="ILS69" s="316"/>
      <c r="ILT69" s="316"/>
      <c r="ILU69" s="316"/>
      <c r="ILV69" s="316"/>
      <c r="ILW69" s="316"/>
      <c r="ILX69" s="316"/>
      <c r="ILY69" s="316"/>
      <c r="ILZ69" s="316"/>
      <c r="IMA69" s="316"/>
      <c r="IMB69" s="316"/>
      <c r="IMC69" s="316"/>
      <c r="IMD69" s="316"/>
      <c r="IME69" s="316"/>
      <c r="IMF69" s="316"/>
      <c r="IMG69" s="316"/>
      <c r="IMH69" s="316"/>
      <c r="IMI69" s="316"/>
      <c r="IMJ69" s="316"/>
      <c r="IMK69" s="316"/>
      <c r="IML69" s="316"/>
      <c r="IMM69" s="316"/>
      <c r="IMN69" s="316"/>
      <c r="IMO69" s="316"/>
      <c r="IMP69" s="316"/>
      <c r="IMQ69" s="316"/>
      <c r="IMR69" s="316"/>
      <c r="IMS69" s="316"/>
      <c r="IMT69" s="316"/>
      <c r="IMU69" s="316"/>
      <c r="IMV69" s="316"/>
      <c r="IMW69" s="316"/>
      <c r="IMX69" s="316"/>
      <c r="IMY69" s="316"/>
      <c r="IMZ69" s="316"/>
      <c r="INA69" s="316"/>
      <c r="INB69" s="316"/>
      <c r="INC69" s="316"/>
      <c r="IND69" s="316"/>
      <c r="INE69" s="316"/>
      <c r="INF69" s="316"/>
      <c r="ING69" s="316"/>
      <c r="INH69" s="316"/>
      <c r="INI69" s="316"/>
      <c r="INJ69" s="316"/>
      <c r="INK69" s="316"/>
      <c r="INL69" s="316"/>
      <c r="INM69" s="316"/>
      <c r="INN69" s="316"/>
      <c r="INO69" s="316"/>
      <c r="INP69" s="316"/>
      <c r="INQ69" s="316"/>
      <c r="INR69" s="316"/>
      <c r="INS69" s="316"/>
      <c r="INT69" s="316"/>
      <c r="INU69" s="316"/>
      <c r="INV69" s="316"/>
      <c r="INW69" s="316"/>
      <c r="INX69" s="316"/>
      <c r="INY69" s="316"/>
      <c r="INZ69" s="316"/>
      <c r="IOA69" s="316"/>
      <c r="IOB69" s="316"/>
      <c r="IOC69" s="316"/>
      <c r="IOD69" s="316"/>
      <c r="IOE69" s="316"/>
      <c r="IOF69" s="316"/>
      <c r="IOG69" s="316"/>
      <c r="IOH69" s="316"/>
      <c r="IOI69" s="316"/>
      <c r="IOJ69" s="316"/>
      <c r="IOK69" s="316"/>
      <c r="IOL69" s="316"/>
      <c r="IOM69" s="316"/>
      <c r="ION69" s="316"/>
      <c r="IOO69" s="316"/>
      <c r="IOP69" s="316"/>
      <c r="IOQ69" s="316"/>
      <c r="IOR69" s="316"/>
      <c r="IOS69" s="316"/>
      <c r="IOT69" s="316"/>
      <c r="IOU69" s="316"/>
      <c r="IOV69" s="316"/>
      <c r="IOW69" s="316"/>
      <c r="IOX69" s="316"/>
      <c r="IOY69" s="316"/>
      <c r="IOZ69" s="316"/>
      <c r="IPA69" s="316"/>
      <c r="IPB69" s="316"/>
      <c r="IPC69" s="316"/>
      <c r="IPD69" s="316"/>
      <c r="IPE69" s="316"/>
      <c r="IPF69" s="316"/>
      <c r="IPG69" s="316"/>
      <c r="IPH69" s="316"/>
      <c r="IPI69" s="316"/>
      <c r="IPJ69" s="316"/>
      <c r="IPK69" s="316"/>
      <c r="IPL69" s="316"/>
      <c r="IPM69" s="316"/>
      <c r="IPN69" s="316"/>
      <c r="IPO69" s="316"/>
      <c r="IPP69" s="316"/>
      <c r="IPQ69" s="316"/>
      <c r="IPR69" s="316"/>
      <c r="IPS69" s="316"/>
      <c r="IPT69" s="316"/>
      <c r="IPU69" s="316"/>
      <c r="IPV69" s="316"/>
      <c r="IPW69" s="316"/>
      <c r="IPX69" s="316"/>
      <c r="IPY69" s="316"/>
      <c r="IPZ69" s="316"/>
      <c r="IQA69" s="316"/>
      <c r="IQB69" s="316"/>
      <c r="IQC69" s="316"/>
      <c r="IQD69" s="316"/>
      <c r="IQE69" s="316"/>
      <c r="IQF69" s="316"/>
      <c r="IQG69" s="316"/>
      <c r="IQH69" s="316"/>
      <c r="IQI69" s="316"/>
      <c r="IQJ69" s="316"/>
      <c r="IQK69" s="316"/>
      <c r="IQL69" s="316"/>
      <c r="IQM69" s="316"/>
      <c r="IQN69" s="316"/>
      <c r="IQO69" s="316"/>
      <c r="IQP69" s="316"/>
      <c r="IQQ69" s="316"/>
      <c r="IQR69" s="316"/>
      <c r="IQS69" s="316"/>
      <c r="IQT69" s="316"/>
      <c r="IQU69" s="316"/>
      <c r="IQV69" s="316"/>
      <c r="IQW69" s="316"/>
      <c r="IQX69" s="316"/>
      <c r="IQY69" s="316"/>
      <c r="IQZ69" s="316"/>
      <c r="IRA69" s="316"/>
      <c r="IRB69" s="316"/>
      <c r="IRC69" s="316"/>
      <c r="IRD69" s="316"/>
      <c r="IRE69" s="316"/>
      <c r="IRF69" s="316"/>
      <c r="IRG69" s="316"/>
      <c r="IRH69" s="316"/>
      <c r="IRI69" s="316"/>
      <c r="IRJ69" s="316"/>
      <c r="IRK69" s="316"/>
      <c r="IRL69" s="316"/>
      <c r="IRM69" s="316"/>
      <c r="IRN69" s="316"/>
      <c r="IRO69" s="316"/>
      <c r="IRP69" s="316"/>
      <c r="IRQ69" s="316"/>
      <c r="IRR69" s="316"/>
      <c r="IRS69" s="316"/>
      <c r="IRT69" s="316"/>
      <c r="IRU69" s="316"/>
      <c r="IRV69" s="316"/>
      <c r="IRW69" s="316"/>
      <c r="IRX69" s="316"/>
      <c r="IRY69" s="316"/>
      <c r="IRZ69" s="316"/>
      <c r="ISA69" s="316"/>
      <c r="ISB69" s="316"/>
      <c r="ISC69" s="316"/>
      <c r="ISD69" s="316"/>
      <c r="ISE69" s="316"/>
      <c r="ISF69" s="316"/>
      <c r="ISG69" s="316"/>
      <c r="ISH69" s="316"/>
      <c r="ISI69" s="316"/>
      <c r="ISJ69" s="316"/>
      <c r="ISK69" s="316"/>
      <c r="ISL69" s="316"/>
      <c r="ISM69" s="316"/>
      <c r="ISN69" s="316"/>
      <c r="ISO69" s="316"/>
      <c r="ISP69" s="316"/>
      <c r="ISQ69" s="316"/>
      <c r="ISR69" s="316"/>
      <c r="ISS69" s="316"/>
      <c r="IST69" s="316"/>
      <c r="ISU69" s="316"/>
      <c r="ISV69" s="316"/>
      <c r="ISW69" s="316"/>
      <c r="ISX69" s="316"/>
      <c r="ISY69" s="316"/>
      <c r="ISZ69" s="316"/>
      <c r="ITA69" s="316"/>
      <c r="ITB69" s="316"/>
      <c r="ITC69" s="316"/>
      <c r="ITD69" s="316"/>
      <c r="ITE69" s="316"/>
      <c r="ITF69" s="316"/>
      <c r="ITG69" s="316"/>
      <c r="ITH69" s="316"/>
      <c r="ITI69" s="316"/>
      <c r="ITJ69" s="316"/>
      <c r="ITK69" s="316"/>
      <c r="ITL69" s="316"/>
      <c r="ITM69" s="316"/>
      <c r="ITN69" s="316"/>
      <c r="ITO69" s="316"/>
      <c r="ITP69" s="316"/>
      <c r="ITQ69" s="316"/>
      <c r="ITR69" s="316"/>
      <c r="ITS69" s="316"/>
      <c r="ITT69" s="316"/>
      <c r="ITU69" s="316"/>
      <c r="ITV69" s="316"/>
      <c r="ITW69" s="316"/>
      <c r="ITX69" s="316"/>
      <c r="ITY69" s="316"/>
      <c r="ITZ69" s="316"/>
      <c r="IUA69" s="316"/>
      <c r="IUB69" s="316"/>
      <c r="IUC69" s="316"/>
      <c r="IUD69" s="316"/>
      <c r="IUE69" s="316"/>
      <c r="IUF69" s="316"/>
      <c r="IUG69" s="316"/>
      <c r="IUH69" s="316"/>
      <c r="IUI69" s="316"/>
      <c r="IUJ69" s="316"/>
      <c r="IUK69" s="316"/>
      <c r="IUL69" s="316"/>
      <c r="IUM69" s="316"/>
      <c r="IUN69" s="316"/>
      <c r="IUO69" s="316"/>
      <c r="IUP69" s="316"/>
      <c r="IUQ69" s="316"/>
      <c r="IUR69" s="316"/>
      <c r="IUS69" s="316"/>
      <c r="IUT69" s="316"/>
      <c r="IUU69" s="316"/>
      <c r="IUV69" s="316"/>
      <c r="IUW69" s="316"/>
      <c r="IUX69" s="316"/>
      <c r="IUY69" s="316"/>
      <c r="IUZ69" s="316"/>
      <c r="IVA69" s="316"/>
      <c r="IVB69" s="316"/>
      <c r="IVC69" s="316"/>
      <c r="IVD69" s="316"/>
      <c r="IVE69" s="316"/>
      <c r="IVF69" s="316"/>
      <c r="IVG69" s="316"/>
      <c r="IVH69" s="316"/>
      <c r="IVI69" s="316"/>
      <c r="IVJ69" s="316"/>
      <c r="IVK69" s="316"/>
      <c r="IVL69" s="316"/>
      <c r="IVM69" s="316"/>
      <c r="IVN69" s="316"/>
      <c r="IVO69" s="316"/>
      <c r="IVP69" s="316"/>
      <c r="IVQ69" s="316"/>
      <c r="IVR69" s="316"/>
      <c r="IVS69" s="316"/>
      <c r="IVT69" s="316"/>
      <c r="IVU69" s="316"/>
      <c r="IVV69" s="316"/>
      <c r="IVW69" s="316"/>
      <c r="IVX69" s="316"/>
      <c r="IVY69" s="316"/>
      <c r="IVZ69" s="316"/>
      <c r="IWA69" s="316"/>
      <c r="IWB69" s="316"/>
      <c r="IWC69" s="316"/>
      <c r="IWD69" s="316"/>
      <c r="IWE69" s="316"/>
      <c r="IWF69" s="316"/>
      <c r="IWG69" s="316"/>
      <c r="IWH69" s="316"/>
      <c r="IWI69" s="316"/>
      <c r="IWJ69" s="316"/>
      <c r="IWK69" s="316"/>
      <c r="IWL69" s="316"/>
      <c r="IWM69" s="316"/>
      <c r="IWN69" s="316"/>
      <c r="IWO69" s="316"/>
      <c r="IWP69" s="316"/>
      <c r="IWQ69" s="316"/>
      <c r="IWR69" s="316"/>
      <c r="IWS69" s="316"/>
      <c r="IWT69" s="316"/>
      <c r="IWU69" s="316"/>
      <c r="IWV69" s="316"/>
      <c r="IWW69" s="316"/>
      <c r="IWX69" s="316"/>
      <c r="IWY69" s="316"/>
      <c r="IWZ69" s="316"/>
      <c r="IXA69" s="316"/>
      <c r="IXB69" s="316"/>
      <c r="IXC69" s="316"/>
      <c r="IXD69" s="316"/>
      <c r="IXE69" s="316"/>
      <c r="IXF69" s="316"/>
      <c r="IXG69" s="316"/>
      <c r="IXH69" s="316"/>
      <c r="IXI69" s="316"/>
      <c r="IXJ69" s="316"/>
      <c r="IXK69" s="316"/>
      <c r="IXL69" s="316"/>
      <c r="IXM69" s="316"/>
      <c r="IXN69" s="316"/>
      <c r="IXO69" s="316"/>
      <c r="IXP69" s="316"/>
      <c r="IXQ69" s="316"/>
      <c r="IXR69" s="316"/>
      <c r="IXS69" s="316"/>
      <c r="IXT69" s="316"/>
      <c r="IXU69" s="316"/>
      <c r="IXV69" s="316"/>
      <c r="IXW69" s="316"/>
      <c r="IXX69" s="316"/>
      <c r="IXY69" s="316"/>
      <c r="IXZ69" s="316"/>
      <c r="IYA69" s="316"/>
      <c r="IYB69" s="316"/>
      <c r="IYC69" s="316"/>
      <c r="IYD69" s="316"/>
      <c r="IYE69" s="316"/>
      <c r="IYF69" s="316"/>
      <c r="IYG69" s="316"/>
      <c r="IYH69" s="316"/>
      <c r="IYI69" s="316"/>
      <c r="IYJ69" s="316"/>
      <c r="IYK69" s="316"/>
      <c r="IYL69" s="316"/>
      <c r="IYM69" s="316"/>
      <c r="IYN69" s="316"/>
      <c r="IYO69" s="316"/>
      <c r="IYP69" s="316"/>
      <c r="IYQ69" s="316"/>
      <c r="IYR69" s="316"/>
      <c r="IYS69" s="316"/>
      <c r="IYT69" s="316"/>
      <c r="IYU69" s="316"/>
      <c r="IYV69" s="316"/>
      <c r="IYW69" s="316"/>
      <c r="IYX69" s="316"/>
      <c r="IYY69" s="316"/>
      <c r="IYZ69" s="316"/>
      <c r="IZA69" s="316"/>
      <c r="IZB69" s="316"/>
      <c r="IZC69" s="316"/>
      <c r="IZD69" s="316"/>
      <c r="IZE69" s="316"/>
      <c r="IZF69" s="316"/>
      <c r="IZG69" s="316"/>
      <c r="IZH69" s="316"/>
      <c r="IZI69" s="316"/>
      <c r="IZJ69" s="316"/>
      <c r="IZK69" s="316"/>
      <c r="IZL69" s="316"/>
      <c r="IZM69" s="316"/>
      <c r="IZN69" s="316"/>
      <c r="IZO69" s="316"/>
      <c r="IZP69" s="316"/>
      <c r="IZQ69" s="316"/>
      <c r="IZR69" s="316"/>
      <c r="IZS69" s="316"/>
      <c r="IZT69" s="316"/>
      <c r="IZU69" s="316"/>
      <c r="IZV69" s="316"/>
      <c r="IZW69" s="316"/>
      <c r="IZX69" s="316"/>
      <c r="IZY69" s="316"/>
      <c r="IZZ69" s="316"/>
      <c r="JAA69" s="316"/>
      <c r="JAB69" s="316"/>
      <c r="JAC69" s="316"/>
      <c r="JAD69" s="316"/>
      <c r="JAE69" s="316"/>
      <c r="JAF69" s="316"/>
      <c r="JAG69" s="316"/>
      <c r="JAH69" s="316"/>
      <c r="JAI69" s="316"/>
      <c r="JAJ69" s="316"/>
      <c r="JAK69" s="316"/>
      <c r="JAL69" s="316"/>
      <c r="JAM69" s="316"/>
      <c r="JAN69" s="316"/>
      <c r="JAO69" s="316"/>
      <c r="JAP69" s="316"/>
      <c r="JAQ69" s="316"/>
      <c r="JAR69" s="316"/>
      <c r="JAS69" s="316"/>
      <c r="JAT69" s="316"/>
      <c r="JAU69" s="316"/>
      <c r="JAV69" s="316"/>
      <c r="JAW69" s="316"/>
      <c r="JAX69" s="316"/>
      <c r="JAY69" s="316"/>
      <c r="JAZ69" s="316"/>
      <c r="JBA69" s="316"/>
      <c r="JBB69" s="316"/>
      <c r="JBC69" s="316"/>
      <c r="JBD69" s="316"/>
      <c r="JBE69" s="316"/>
      <c r="JBF69" s="316"/>
      <c r="JBG69" s="316"/>
      <c r="JBH69" s="316"/>
      <c r="JBI69" s="316"/>
      <c r="JBJ69" s="316"/>
      <c r="JBK69" s="316"/>
      <c r="JBL69" s="316"/>
      <c r="JBM69" s="316"/>
      <c r="JBN69" s="316"/>
      <c r="JBO69" s="316"/>
      <c r="JBP69" s="316"/>
      <c r="JBQ69" s="316"/>
      <c r="JBR69" s="316"/>
      <c r="JBS69" s="316"/>
      <c r="JBT69" s="316"/>
      <c r="JBU69" s="316"/>
      <c r="JBV69" s="316"/>
      <c r="JBW69" s="316"/>
      <c r="JBX69" s="316"/>
      <c r="JBY69" s="316"/>
      <c r="JBZ69" s="316"/>
      <c r="JCA69" s="316"/>
      <c r="JCB69" s="316"/>
      <c r="JCC69" s="316"/>
      <c r="JCD69" s="316"/>
      <c r="JCE69" s="316"/>
      <c r="JCF69" s="316"/>
      <c r="JCG69" s="316"/>
      <c r="JCH69" s="316"/>
      <c r="JCI69" s="316"/>
      <c r="JCJ69" s="316"/>
      <c r="JCK69" s="316"/>
      <c r="JCL69" s="316"/>
      <c r="JCM69" s="316"/>
      <c r="JCN69" s="316"/>
      <c r="JCO69" s="316"/>
      <c r="JCP69" s="316"/>
      <c r="JCQ69" s="316"/>
      <c r="JCR69" s="316"/>
      <c r="JCS69" s="316"/>
      <c r="JCT69" s="316"/>
      <c r="JCU69" s="316"/>
      <c r="JCV69" s="316"/>
      <c r="JCW69" s="316"/>
      <c r="JCX69" s="316"/>
      <c r="JCY69" s="316"/>
      <c r="JCZ69" s="316"/>
      <c r="JDA69" s="316"/>
      <c r="JDB69" s="316"/>
      <c r="JDC69" s="316"/>
      <c r="JDD69" s="316"/>
      <c r="JDE69" s="316"/>
      <c r="JDF69" s="316"/>
      <c r="JDG69" s="316"/>
      <c r="JDH69" s="316"/>
      <c r="JDI69" s="316"/>
      <c r="JDJ69" s="316"/>
      <c r="JDK69" s="316"/>
      <c r="JDL69" s="316"/>
      <c r="JDM69" s="316"/>
      <c r="JDN69" s="316"/>
      <c r="JDO69" s="316"/>
      <c r="JDP69" s="316"/>
      <c r="JDQ69" s="316"/>
      <c r="JDR69" s="316"/>
      <c r="JDS69" s="316"/>
      <c r="JDT69" s="316"/>
      <c r="JDU69" s="316"/>
      <c r="JDV69" s="316"/>
      <c r="JDW69" s="316"/>
      <c r="JDX69" s="316"/>
      <c r="JDY69" s="316"/>
      <c r="JDZ69" s="316"/>
      <c r="JEA69" s="316"/>
      <c r="JEB69" s="316"/>
      <c r="JEC69" s="316"/>
      <c r="JED69" s="316"/>
      <c r="JEE69" s="316"/>
      <c r="JEF69" s="316"/>
      <c r="JEG69" s="316"/>
      <c r="JEH69" s="316"/>
      <c r="JEI69" s="316"/>
      <c r="JEJ69" s="316"/>
      <c r="JEK69" s="316"/>
      <c r="JEL69" s="316"/>
      <c r="JEM69" s="316"/>
      <c r="JEN69" s="316"/>
      <c r="JEO69" s="316"/>
      <c r="JEP69" s="316"/>
      <c r="JEQ69" s="316"/>
      <c r="JER69" s="316"/>
      <c r="JES69" s="316"/>
      <c r="JET69" s="316"/>
      <c r="JEU69" s="316"/>
      <c r="JEV69" s="316"/>
      <c r="JEW69" s="316"/>
      <c r="JEX69" s="316"/>
      <c r="JEY69" s="316"/>
      <c r="JEZ69" s="316"/>
      <c r="JFA69" s="316"/>
      <c r="JFB69" s="316"/>
      <c r="JFC69" s="316"/>
      <c r="JFD69" s="316"/>
      <c r="JFE69" s="316"/>
      <c r="JFF69" s="316"/>
      <c r="JFG69" s="316"/>
      <c r="JFH69" s="316"/>
      <c r="JFI69" s="316"/>
      <c r="JFJ69" s="316"/>
      <c r="JFK69" s="316"/>
      <c r="JFL69" s="316"/>
      <c r="JFM69" s="316"/>
      <c r="JFN69" s="316"/>
      <c r="JFO69" s="316"/>
      <c r="JFP69" s="316"/>
      <c r="JFQ69" s="316"/>
      <c r="JFR69" s="316"/>
      <c r="JFS69" s="316"/>
      <c r="JFT69" s="316"/>
      <c r="JFU69" s="316"/>
      <c r="JFV69" s="316"/>
      <c r="JFW69" s="316"/>
      <c r="JFX69" s="316"/>
      <c r="JFY69" s="316"/>
      <c r="JFZ69" s="316"/>
      <c r="JGA69" s="316"/>
      <c r="JGB69" s="316"/>
      <c r="JGC69" s="316"/>
      <c r="JGD69" s="316"/>
      <c r="JGE69" s="316"/>
      <c r="JGF69" s="316"/>
      <c r="JGG69" s="316"/>
      <c r="JGH69" s="316"/>
      <c r="JGI69" s="316"/>
      <c r="JGJ69" s="316"/>
      <c r="JGK69" s="316"/>
      <c r="JGL69" s="316"/>
      <c r="JGM69" s="316"/>
      <c r="JGN69" s="316"/>
      <c r="JGO69" s="316"/>
      <c r="JGP69" s="316"/>
      <c r="JGQ69" s="316"/>
      <c r="JGR69" s="316"/>
      <c r="JGS69" s="316"/>
      <c r="JGT69" s="316"/>
      <c r="JGU69" s="316"/>
      <c r="JGV69" s="316"/>
      <c r="JGW69" s="316"/>
      <c r="JGX69" s="316"/>
      <c r="JGY69" s="316"/>
      <c r="JGZ69" s="316"/>
      <c r="JHA69" s="316"/>
      <c r="JHB69" s="316"/>
      <c r="JHC69" s="316"/>
      <c r="JHD69" s="316"/>
      <c r="JHE69" s="316"/>
      <c r="JHF69" s="316"/>
      <c r="JHG69" s="316"/>
      <c r="JHH69" s="316"/>
      <c r="JHI69" s="316"/>
      <c r="JHJ69" s="316"/>
      <c r="JHK69" s="316"/>
      <c r="JHL69" s="316"/>
      <c r="JHM69" s="316"/>
      <c r="JHN69" s="316"/>
      <c r="JHO69" s="316"/>
      <c r="JHP69" s="316"/>
      <c r="JHQ69" s="316"/>
      <c r="JHR69" s="316"/>
      <c r="JHS69" s="316"/>
      <c r="JHT69" s="316"/>
      <c r="JHU69" s="316"/>
      <c r="JHV69" s="316"/>
      <c r="JHW69" s="316"/>
      <c r="JHX69" s="316"/>
      <c r="JHY69" s="316"/>
      <c r="JHZ69" s="316"/>
      <c r="JIA69" s="316"/>
      <c r="JIB69" s="316"/>
      <c r="JIC69" s="316"/>
      <c r="JID69" s="316"/>
      <c r="JIE69" s="316"/>
      <c r="JIF69" s="316"/>
      <c r="JIG69" s="316"/>
      <c r="JIH69" s="316"/>
      <c r="JII69" s="316"/>
      <c r="JIJ69" s="316"/>
      <c r="JIK69" s="316"/>
      <c r="JIL69" s="316"/>
      <c r="JIM69" s="316"/>
      <c r="JIN69" s="316"/>
      <c r="JIO69" s="316"/>
      <c r="JIP69" s="316"/>
      <c r="JIQ69" s="316"/>
      <c r="JIR69" s="316"/>
      <c r="JIS69" s="316"/>
      <c r="JIT69" s="316"/>
      <c r="JIU69" s="316"/>
      <c r="JIV69" s="316"/>
      <c r="JIW69" s="316"/>
      <c r="JIX69" s="316"/>
      <c r="JIY69" s="316"/>
      <c r="JIZ69" s="316"/>
      <c r="JJA69" s="316"/>
      <c r="JJB69" s="316"/>
      <c r="JJC69" s="316"/>
      <c r="JJD69" s="316"/>
      <c r="JJE69" s="316"/>
      <c r="JJF69" s="316"/>
      <c r="JJG69" s="316"/>
      <c r="JJH69" s="316"/>
      <c r="JJI69" s="316"/>
      <c r="JJJ69" s="316"/>
      <c r="JJK69" s="316"/>
      <c r="JJL69" s="316"/>
      <c r="JJM69" s="316"/>
      <c r="JJN69" s="316"/>
      <c r="JJO69" s="316"/>
      <c r="JJP69" s="316"/>
      <c r="JJQ69" s="316"/>
      <c r="JJR69" s="316"/>
      <c r="JJS69" s="316"/>
      <c r="JJT69" s="316"/>
      <c r="JJU69" s="316"/>
      <c r="JJV69" s="316"/>
      <c r="JJW69" s="316"/>
      <c r="JJX69" s="316"/>
      <c r="JJY69" s="316"/>
      <c r="JJZ69" s="316"/>
      <c r="JKA69" s="316"/>
      <c r="JKB69" s="316"/>
      <c r="JKC69" s="316"/>
      <c r="JKD69" s="316"/>
      <c r="JKE69" s="316"/>
      <c r="JKF69" s="316"/>
      <c r="JKG69" s="316"/>
      <c r="JKH69" s="316"/>
      <c r="JKI69" s="316"/>
      <c r="JKJ69" s="316"/>
      <c r="JKK69" s="316"/>
      <c r="JKL69" s="316"/>
      <c r="JKM69" s="316"/>
      <c r="JKN69" s="316"/>
      <c r="JKO69" s="316"/>
      <c r="JKP69" s="316"/>
      <c r="JKQ69" s="316"/>
      <c r="JKR69" s="316"/>
      <c r="JKS69" s="316"/>
      <c r="JKT69" s="316"/>
      <c r="JKU69" s="316"/>
      <c r="JKV69" s="316"/>
      <c r="JKW69" s="316"/>
      <c r="JKX69" s="316"/>
      <c r="JKY69" s="316"/>
      <c r="JKZ69" s="316"/>
      <c r="JLA69" s="316"/>
      <c r="JLB69" s="316"/>
      <c r="JLC69" s="316"/>
      <c r="JLD69" s="316"/>
      <c r="JLE69" s="316"/>
      <c r="JLF69" s="316"/>
      <c r="JLG69" s="316"/>
      <c r="JLH69" s="316"/>
      <c r="JLI69" s="316"/>
      <c r="JLJ69" s="316"/>
      <c r="JLK69" s="316"/>
      <c r="JLL69" s="316"/>
      <c r="JLM69" s="316"/>
      <c r="JLN69" s="316"/>
      <c r="JLO69" s="316"/>
      <c r="JLP69" s="316"/>
      <c r="JLQ69" s="316"/>
      <c r="JLR69" s="316"/>
      <c r="JLS69" s="316"/>
      <c r="JLT69" s="316"/>
      <c r="JLU69" s="316"/>
      <c r="JLV69" s="316"/>
      <c r="JLW69" s="316"/>
      <c r="JLX69" s="316"/>
      <c r="JLY69" s="316"/>
      <c r="JLZ69" s="316"/>
      <c r="JMA69" s="316"/>
      <c r="JMB69" s="316"/>
      <c r="JMC69" s="316"/>
      <c r="JMD69" s="316"/>
      <c r="JME69" s="316"/>
      <c r="JMF69" s="316"/>
      <c r="JMG69" s="316"/>
      <c r="JMH69" s="316"/>
      <c r="JMI69" s="316"/>
      <c r="JMJ69" s="316"/>
      <c r="JMK69" s="316"/>
      <c r="JML69" s="316"/>
      <c r="JMM69" s="316"/>
      <c r="JMN69" s="316"/>
      <c r="JMO69" s="316"/>
      <c r="JMP69" s="316"/>
      <c r="JMQ69" s="316"/>
      <c r="JMR69" s="316"/>
      <c r="JMS69" s="316"/>
      <c r="JMT69" s="316"/>
      <c r="JMU69" s="316"/>
      <c r="JMV69" s="316"/>
      <c r="JMW69" s="316"/>
      <c r="JMX69" s="316"/>
      <c r="JMY69" s="316"/>
      <c r="JMZ69" s="316"/>
      <c r="JNA69" s="316"/>
      <c r="JNB69" s="316"/>
      <c r="JNC69" s="316"/>
      <c r="JND69" s="316"/>
      <c r="JNE69" s="316"/>
      <c r="JNF69" s="316"/>
      <c r="JNG69" s="316"/>
      <c r="JNH69" s="316"/>
      <c r="JNI69" s="316"/>
      <c r="JNJ69" s="316"/>
      <c r="JNK69" s="316"/>
      <c r="JNL69" s="316"/>
      <c r="JNM69" s="316"/>
      <c r="JNN69" s="316"/>
      <c r="JNO69" s="316"/>
      <c r="JNP69" s="316"/>
      <c r="JNQ69" s="316"/>
      <c r="JNR69" s="316"/>
      <c r="JNS69" s="316"/>
      <c r="JNT69" s="316"/>
      <c r="JNU69" s="316"/>
      <c r="JNV69" s="316"/>
      <c r="JNW69" s="316"/>
      <c r="JNX69" s="316"/>
      <c r="JNY69" s="316"/>
      <c r="JNZ69" s="316"/>
      <c r="JOA69" s="316"/>
      <c r="JOB69" s="316"/>
      <c r="JOC69" s="316"/>
      <c r="JOD69" s="316"/>
      <c r="JOE69" s="316"/>
      <c r="JOF69" s="316"/>
      <c r="JOG69" s="316"/>
      <c r="JOH69" s="316"/>
      <c r="JOI69" s="316"/>
      <c r="JOJ69" s="316"/>
      <c r="JOK69" s="316"/>
      <c r="JOL69" s="316"/>
      <c r="JOM69" s="316"/>
      <c r="JON69" s="316"/>
      <c r="JOO69" s="316"/>
      <c r="JOP69" s="316"/>
      <c r="JOQ69" s="316"/>
      <c r="JOR69" s="316"/>
      <c r="JOS69" s="316"/>
      <c r="JOT69" s="316"/>
      <c r="JOU69" s="316"/>
      <c r="JOV69" s="316"/>
      <c r="JOW69" s="316"/>
      <c r="JOX69" s="316"/>
      <c r="JOY69" s="316"/>
      <c r="JOZ69" s="316"/>
      <c r="JPA69" s="316"/>
      <c r="JPB69" s="316"/>
      <c r="JPC69" s="316"/>
      <c r="JPD69" s="316"/>
      <c r="JPE69" s="316"/>
      <c r="JPF69" s="316"/>
      <c r="JPG69" s="316"/>
      <c r="JPH69" s="316"/>
      <c r="JPI69" s="316"/>
      <c r="JPJ69" s="316"/>
      <c r="JPK69" s="316"/>
      <c r="JPL69" s="316"/>
      <c r="JPM69" s="316"/>
      <c r="JPN69" s="316"/>
      <c r="JPO69" s="316"/>
      <c r="JPP69" s="316"/>
      <c r="JPQ69" s="316"/>
      <c r="JPR69" s="316"/>
      <c r="JPS69" s="316"/>
      <c r="JPT69" s="316"/>
      <c r="JPU69" s="316"/>
      <c r="JPV69" s="316"/>
      <c r="JPW69" s="316"/>
      <c r="JPX69" s="316"/>
      <c r="JPY69" s="316"/>
      <c r="JPZ69" s="316"/>
      <c r="JQA69" s="316"/>
      <c r="JQB69" s="316"/>
      <c r="JQC69" s="316"/>
      <c r="JQD69" s="316"/>
      <c r="JQE69" s="316"/>
      <c r="JQF69" s="316"/>
      <c r="JQG69" s="316"/>
      <c r="JQH69" s="316"/>
      <c r="JQI69" s="316"/>
      <c r="JQJ69" s="316"/>
      <c r="JQK69" s="316"/>
      <c r="JQL69" s="316"/>
      <c r="JQM69" s="316"/>
      <c r="JQN69" s="316"/>
      <c r="JQO69" s="316"/>
      <c r="JQP69" s="316"/>
      <c r="JQQ69" s="316"/>
      <c r="JQR69" s="316"/>
      <c r="JQS69" s="316"/>
      <c r="JQT69" s="316"/>
      <c r="JQU69" s="316"/>
      <c r="JQV69" s="316"/>
      <c r="JQW69" s="316"/>
      <c r="JQX69" s="316"/>
      <c r="JQY69" s="316"/>
      <c r="JQZ69" s="316"/>
      <c r="JRA69" s="316"/>
      <c r="JRB69" s="316"/>
      <c r="JRC69" s="316"/>
      <c r="JRD69" s="316"/>
      <c r="JRE69" s="316"/>
      <c r="JRF69" s="316"/>
      <c r="JRG69" s="316"/>
      <c r="JRH69" s="316"/>
      <c r="JRI69" s="316"/>
      <c r="JRJ69" s="316"/>
      <c r="JRK69" s="316"/>
      <c r="JRL69" s="316"/>
      <c r="JRM69" s="316"/>
      <c r="JRN69" s="316"/>
      <c r="JRO69" s="316"/>
      <c r="JRP69" s="316"/>
      <c r="JRQ69" s="316"/>
      <c r="JRR69" s="316"/>
      <c r="JRS69" s="316"/>
      <c r="JRT69" s="316"/>
      <c r="JRU69" s="316"/>
      <c r="JRV69" s="316"/>
      <c r="JRW69" s="316"/>
      <c r="JRX69" s="316"/>
      <c r="JRY69" s="316"/>
      <c r="JRZ69" s="316"/>
      <c r="JSA69" s="316"/>
      <c r="JSB69" s="316"/>
      <c r="JSC69" s="316"/>
      <c r="JSD69" s="316"/>
      <c r="JSE69" s="316"/>
      <c r="JSF69" s="316"/>
      <c r="JSG69" s="316"/>
      <c r="JSH69" s="316"/>
      <c r="JSI69" s="316"/>
      <c r="JSJ69" s="316"/>
      <c r="JSK69" s="316"/>
      <c r="JSL69" s="316"/>
      <c r="JSM69" s="316"/>
      <c r="JSN69" s="316"/>
      <c r="JSO69" s="316"/>
      <c r="JSP69" s="316"/>
      <c r="JSQ69" s="316"/>
      <c r="JSR69" s="316"/>
      <c r="JSS69" s="316"/>
      <c r="JST69" s="316"/>
      <c r="JSU69" s="316"/>
      <c r="JSV69" s="316"/>
      <c r="JSW69" s="316"/>
      <c r="JSX69" s="316"/>
      <c r="JSY69" s="316"/>
      <c r="JSZ69" s="316"/>
      <c r="JTA69" s="316"/>
      <c r="JTB69" s="316"/>
      <c r="JTC69" s="316"/>
      <c r="JTD69" s="316"/>
      <c r="JTE69" s="316"/>
      <c r="JTF69" s="316"/>
      <c r="JTG69" s="316"/>
      <c r="JTH69" s="316"/>
      <c r="JTI69" s="316"/>
      <c r="JTJ69" s="316"/>
      <c r="JTK69" s="316"/>
      <c r="JTL69" s="316"/>
      <c r="JTM69" s="316"/>
      <c r="JTN69" s="316"/>
      <c r="JTO69" s="316"/>
      <c r="JTP69" s="316"/>
      <c r="JTQ69" s="316"/>
      <c r="JTR69" s="316"/>
      <c r="JTS69" s="316"/>
      <c r="JTT69" s="316"/>
      <c r="JTU69" s="316"/>
      <c r="JTV69" s="316"/>
      <c r="JTW69" s="316"/>
      <c r="JTX69" s="316"/>
      <c r="JTY69" s="316"/>
      <c r="JTZ69" s="316"/>
      <c r="JUA69" s="316"/>
      <c r="JUB69" s="316"/>
      <c r="JUC69" s="316"/>
      <c r="JUD69" s="316"/>
      <c r="JUE69" s="316"/>
      <c r="JUF69" s="316"/>
      <c r="JUG69" s="316"/>
      <c r="JUH69" s="316"/>
      <c r="JUI69" s="316"/>
      <c r="JUJ69" s="316"/>
      <c r="JUK69" s="316"/>
      <c r="JUL69" s="316"/>
      <c r="JUM69" s="316"/>
      <c r="JUN69" s="316"/>
      <c r="JUO69" s="316"/>
      <c r="JUP69" s="316"/>
      <c r="JUQ69" s="316"/>
      <c r="JUR69" s="316"/>
      <c r="JUS69" s="316"/>
      <c r="JUT69" s="316"/>
      <c r="JUU69" s="316"/>
      <c r="JUV69" s="316"/>
      <c r="JUW69" s="316"/>
      <c r="JUX69" s="316"/>
      <c r="JUY69" s="316"/>
      <c r="JUZ69" s="316"/>
      <c r="JVA69" s="316"/>
      <c r="JVB69" s="316"/>
      <c r="JVC69" s="316"/>
      <c r="JVD69" s="316"/>
      <c r="JVE69" s="316"/>
      <c r="JVF69" s="316"/>
      <c r="JVG69" s="316"/>
      <c r="JVH69" s="316"/>
      <c r="JVI69" s="316"/>
      <c r="JVJ69" s="316"/>
      <c r="JVK69" s="316"/>
      <c r="JVL69" s="316"/>
      <c r="JVM69" s="316"/>
      <c r="JVN69" s="316"/>
      <c r="JVO69" s="316"/>
      <c r="JVP69" s="316"/>
      <c r="JVQ69" s="316"/>
      <c r="JVR69" s="316"/>
      <c r="JVS69" s="316"/>
      <c r="JVT69" s="316"/>
      <c r="JVU69" s="316"/>
      <c r="JVV69" s="316"/>
      <c r="JVW69" s="316"/>
      <c r="JVX69" s="316"/>
      <c r="JVY69" s="316"/>
      <c r="JVZ69" s="316"/>
      <c r="JWA69" s="316"/>
      <c r="JWB69" s="316"/>
      <c r="JWC69" s="316"/>
      <c r="JWD69" s="316"/>
      <c r="JWE69" s="316"/>
      <c r="JWF69" s="316"/>
      <c r="JWG69" s="316"/>
      <c r="JWH69" s="316"/>
      <c r="JWI69" s="316"/>
      <c r="JWJ69" s="316"/>
      <c r="JWK69" s="316"/>
      <c r="JWL69" s="316"/>
      <c r="JWM69" s="316"/>
      <c r="JWN69" s="316"/>
      <c r="JWO69" s="316"/>
      <c r="JWP69" s="316"/>
      <c r="JWQ69" s="316"/>
      <c r="JWR69" s="316"/>
      <c r="JWS69" s="316"/>
      <c r="JWT69" s="316"/>
      <c r="JWU69" s="316"/>
      <c r="JWV69" s="316"/>
      <c r="JWW69" s="316"/>
      <c r="JWX69" s="316"/>
      <c r="JWY69" s="316"/>
      <c r="JWZ69" s="316"/>
      <c r="JXA69" s="316"/>
      <c r="JXB69" s="316"/>
      <c r="JXC69" s="316"/>
      <c r="JXD69" s="316"/>
      <c r="JXE69" s="316"/>
      <c r="JXF69" s="316"/>
      <c r="JXG69" s="316"/>
      <c r="JXH69" s="316"/>
      <c r="JXI69" s="316"/>
      <c r="JXJ69" s="316"/>
      <c r="JXK69" s="316"/>
      <c r="JXL69" s="316"/>
      <c r="JXM69" s="316"/>
      <c r="JXN69" s="316"/>
      <c r="JXO69" s="316"/>
      <c r="JXP69" s="316"/>
      <c r="JXQ69" s="316"/>
      <c r="JXR69" s="316"/>
      <c r="JXS69" s="316"/>
      <c r="JXT69" s="316"/>
      <c r="JXU69" s="316"/>
      <c r="JXV69" s="316"/>
      <c r="JXW69" s="316"/>
      <c r="JXX69" s="316"/>
      <c r="JXY69" s="316"/>
      <c r="JXZ69" s="316"/>
      <c r="JYA69" s="316"/>
      <c r="JYB69" s="316"/>
      <c r="JYC69" s="316"/>
      <c r="JYD69" s="316"/>
      <c r="JYE69" s="316"/>
      <c r="JYF69" s="316"/>
      <c r="JYG69" s="316"/>
      <c r="JYH69" s="316"/>
      <c r="JYI69" s="316"/>
      <c r="JYJ69" s="316"/>
      <c r="JYK69" s="316"/>
      <c r="JYL69" s="316"/>
      <c r="JYM69" s="316"/>
      <c r="JYN69" s="316"/>
      <c r="JYO69" s="316"/>
      <c r="JYP69" s="316"/>
      <c r="JYQ69" s="316"/>
      <c r="JYR69" s="316"/>
      <c r="JYS69" s="316"/>
      <c r="JYT69" s="316"/>
      <c r="JYU69" s="316"/>
      <c r="JYV69" s="316"/>
      <c r="JYW69" s="316"/>
      <c r="JYX69" s="316"/>
      <c r="JYY69" s="316"/>
      <c r="JYZ69" s="316"/>
      <c r="JZA69" s="316"/>
      <c r="JZB69" s="316"/>
      <c r="JZC69" s="316"/>
      <c r="JZD69" s="316"/>
      <c r="JZE69" s="316"/>
      <c r="JZF69" s="316"/>
      <c r="JZG69" s="316"/>
      <c r="JZH69" s="316"/>
      <c r="JZI69" s="316"/>
      <c r="JZJ69" s="316"/>
      <c r="JZK69" s="316"/>
      <c r="JZL69" s="316"/>
      <c r="JZM69" s="316"/>
      <c r="JZN69" s="316"/>
      <c r="JZO69" s="316"/>
      <c r="JZP69" s="316"/>
      <c r="JZQ69" s="316"/>
      <c r="JZR69" s="316"/>
      <c r="JZS69" s="316"/>
      <c r="JZT69" s="316"/>
      <c r="JZU69" s="316"/>
      <c r="JZV69" s="316"/>
      <c r="JZW69" s="316"/>
      <c r="JZX69" s="316"/>
      <c r="JZY69" s="316"/>
      <c r="JZZ69" s="316"/>
      <c r="KAA69" s="316"/>
      <c r="KAB69" s="316"/>
      <c r="KAC69" s="316"/>
      <c r="KAD69" s="316"/>
      <c r="KAE69" s="316"/>
      <c r="KAF69" s="316"/>
      <c r="KAG69" s="316"/>
      <c r="KAH69" s="316"/>
      <c r="KAI69" s="316"/>
      <c r="KAJ69" s="316"/>
      <c r="KAK69" s="316"/>
      <c r="KAL69" s="316"/>
      <c r="KAM69" s="316"/>
      <c r="KAN69" s="316"/>
      <c r="KAO69" s="316"/>
      <c r="KAP69" s="316"/>
      <c r="KAQ69" s="316"/>
      <c r="KAR69" s="316"/>
      <c r="KAS69" s="316"/>
      <c r="KAT69" s="316"/>
      <c r="KAU69" s="316"/>
      <c r="KAV69" s="316"/>
      <c r="KAW69" s="316"/>
      <c r="KAX69" s="316"/>
      <c r="KAY69" s="316"/>
      <c r="KAZ69" s="316"/>
      <c r="KBA69" s="316"/>
      <c r="KBB69" s="316"/>
      <c r="KBC69" s="316"/>
      <c r="KBD69" s="316"/>
      <c r="KBE69" s="316"/>
      <c r="KBF69" s="316"/>
      <c r="KBG69" s="316"/>
      <c r="KBH69" s="316"/>
      <c r="KBI69" s="316"/>
      <c r="KBJ69" s="316"/>
      <c r="KBK69" s="316"/>
      <c r="KBL69" s="316"/>
      <c r="KBM69" s="316"/>
      <c r="KBN69" s="316"/>
      <c r="KBO69" s="316"/>
      <c r="KBP69" s="316"/>
      <c r="KBQ69" s="316"/>
      <c r="KBR69" s="316"/>
      <c r="KBS69" s="316"/>
      <c r="KBT69" s="316"/>
      <c r="KBU69" s="316"/>
      <c r="KBV69" s="316"/>
      <c r="KBW69" s="316"/>
      <c r="KBX69" s="316"/>
      <c r="KBY69" s="316"/>
      <c r="KBZ69" s="316"/>
      <c r="KCA69" s="316"/>
      <c r="KCB69" s="316"/>
      <c r="KCC69" s="316"/>
      <c r="KCD69" s="316"/>
      <c r="KCE69" s="316"/>
      <c r="KCF69" s="316"/>
      <c r="KCG69" s="316"/>
      <c r="KCH69" s="316"/>
      <c r="KCI69" s="316"/>
      <c r="KCJ69" s="316"/>
      <c r="KCK69" s="316"/>
      <c r="KCL69" s="316"/>
      <c r="KCM69" s="316"/>
      <c r="KCN69" s="316"/>
      <c r="KCO69" s="316"/>
      <c r="KCP69" s="316"/>
      <c r="KCQ69" s="316"/>
      <c r="KCR69" s="316"/>
      <c r="KCS69" s="316"/>
      <c r="KCT69" s="316"/>
      <c r="KCU69" s="316"/>
      <c r="KCV69" s="316"/>
      <c r="KCW69" s="316"/>
      <c r="KCX69" s="316"/>
      <c r="KCY69" s="316"/>
      <c r="KCZ69" s="316"/>
      <c r="KDA69" s="316"/>
      <c r="KDB69" s="316"/>
      <c r="KDC69" s="316"/>
      <c r="KDD69" s="316"/>
      <c r="KDE69" s="316"/>
      <c r="KDF69" s="316"/>
      <c r="KDG69" s="316"/>
      <c r="KDH69" s="316"/>
      <c r="KDI69" s="316"/>
      <c r="KDJ69" s="316"/>
      <c r="KDK69" s="316"/>
      <c r="KDL69" s="316"/>
      <c r="KDM69" s="316"/>
      <c r="KDN69" s="316"/>
      <c r="KDO69" s="316"/>
      <c r="KDP69" s="316"/>
      <c r="KDQ69" s="316"/>
      <c r="KDR69" s="316"/>
      <c r="KDS69" s="316"/>
      <c r="KDT69" s="316"/>
      <c r="KDU69" s="316"/>
      <c r="KDV69" s="316"/>
      <c r="KDW69" s="316"/>
      <c r="KDX69" s="316"/>
      <c r="KDY69" s="316"/>
      <c r="KDZ69" s="316"/>
      <c r="KEA69" s="316"/>
      <c r="KEB69" s="316"/>
      <c r="KEC69" s="316"/>
      <c r="KED69" s="316"/>
      <c r="KEE69" s="316"/>
      <c r="KEF69" s="316"/>
      <c r="KEG69" s="316"/>
      <c r="KEH69" s="316"/>
      <c r="KEI69" s="316"/>
      <c r="KEJ69" s="316"/>
      <c r="KEK69" s="316"/>
      <c r="KEL69" s="316"/>
      <c r="KEM69" s="316"/>
      <c r="KEN69" s="316"/>
      <c r="KEO69" s="316"/>
      <c r="KEP69" s="316"/>
      <c r="KEQ69" s="316"/>
      <c r="KER69" s="316"/>
      <c r="KES69" s="316"/>
      <c r="KET69" s="316"/>
      <c r="KEU69" s="316"/>
      <c r="KEV69" s="316"/>
      <c r="KEW69" s="316"/>
      <c r="KEX69" s="316"/>
      <c r="KEY69" s="316"/>
      <c r="KEZ69" s="316"/>
      <c r="KFA69" s="316"/>
      <c r="KFB69" s="316"/>
      <c r="KFC69" s="316"/>
      <c r="KFD69" s="316"/>
      <c r="KFE69" s="316"/>
      <c r="KFF69" s="316"/>
      <c r="KFG69" s="316"/>
      <c r="KFH69" s="316"/>
      <c r="KFI69" s="316"/>
      <c r="KFJ69" s="316"/>
      <c r="KFK69" s="316"/>
      <c r="KFL69" s="316"/>
      <c r="KFM69" s="316"/>
      <c r="KFN69" s="316"/>
      <c r="KFO69" s="316"/>
      <c r="KFP69" s="316"/>
      <c r="KFQ69" s="316"/>
      <c r="KFR69" s="316"/>
      <c r="KFS69" s="316"/>
      <c r="KFT69" s="316"/>
      <c r="KFU69" s="316"/>
      <c r="KFV69" s="316"/>
      <c r="KFW69" s="316"/>
      <c r="KFX69" s="316"/>
      <c r="KFY69" s="316"/>
      <c r="KFZ69" s="316"/>
      <c r="KGA69" s="316"/>
      <c r="KGB69" s="316"/>
      <c r="KGC69" s="316"/>
      <c r="KGD69" s="316"/>
      <c r="KGE69" s="316"/>
      <c r="KGF69" s="316"/>
      <c r="KGG69" s="316"/>
      <c r="KGH69" s="316"/>
      <c r="KGI69" s="316"/>
      <c r="KGJ69" s="316"/>
      <c r="KGK69" s="316"/>
      <c r="KGL69" s="316"/>
      <c r="KGM69" s="316"/>
      <c r="KGN69" s="316"/>
      <c r="KGO69" s="316"/>
      <c r="KGP69" s="316"/>
      <c r="KGQ69" s="316"/>
      <c r="KGR69" s="316"/>
      <c r="KGS69" s="316"/>
      <c r="KGT69" s="316"/>
      <c r="KGU69" s="316"/>
      <c r="KGV69" s="316"/>
      <c r="KGW69" s="316"/>
      <c r="KGX69" s="316"/>
      <c r="KGY69" s="316"/>
      <c r="KGZ69" s="316"/>
      <c r="KHA69" s="316"/>
      <c r="KHB69" s="316"/>
      <c r="KHC69" s="316"/>
      <c r="KHD69" s="316"/>
      <c r="KHE69" s="316"/>
      <c r="KHF69" s="316"/>
      <c r="KHG69" s="316"/>
      <c r="KHH69" s="316"/>
      <c r="KHI69" s="316"/>
      <c r="KHJ69" s="316"/>
      <c r="KHK69" s="316"/>
      <c r="KHL69" s="316"/>
      <c r="KHM69" s="316"/>
      <c r="KHN69" s="316"/>
      <c r="KHO69" s="316"/>
      <c r="KHP69" s="316"/>
      <c r="KHQ69" s="316"/>
      <c r="KHR69" s="316"/>
      <c r="KHS69" s="316"/>
      <c r="KHT69" s="316"/>
      <c r="KHU69" s="316"/>
      <c r="KHV69" s="316"/>
      <c r="KHW69" s="316"/>
      <c r="KHX69" s="316"/>
      <c r="KHY69" s="316"/>
      <c r="KHZ69" s="316"/>
      <c r="KIA69" s="316"/>
      <c r="KIB69" s="316"/>
      <c r="KIC69" s="316"/>
      <c r="KID69" s="316"/>
      <c r="KIE69" s="316"/>
      <c r="KIF69" s="316"/>
      <c r="KIG69" s="316"/>
      <c r="KIH69" s="316"/>
      <c r="KII69" s="316"/>
      <c r="KIJ69" s="316"/>
      <c r="KIK69" s="316"/>
      <c r="KIL69" s="316"/>
      <c r="KIM69" s="316"/>
      <c r="KIN69" s="316"/>
      <c r="KIO69" s="316"/>
      <c r="KIP69" s="316"/>
      <c r="KIQ69" s="316"/>
      <c r="KIR69" s="316"/>
      <c r="KIS69" s="316"/>
      <c r="KIT69" s="316"/>
      <c r="KIU69" s="316"/>
      <c r="KIV69" s="316"/>
      <c r="KIW69" s="316"/>
      <c r="KIX69" s="316"/>
      <c r="KIY69" s="316"/>
      <c r="KIZ69" s="316"/>
      <c r="KJA69" s="316"/>
      <c r="KJB69" s="316"/>
      <c r="KJC69" s="316"/>
      <c r="KJD69" s="316"/>
      <c r="KJE69" s="316"/>
      <c r="KJF69" s="316"/>
      <c r="KJG69" s="316"/>
      <c r="KJH69" s="316"/>
      <c r="KJI69" s="316"/>
      <c r="KJJ69" s="316"/>
      <c r="KJK69" s="316"/>
      <c r="KJL69" s="316"/>
      <c r="KJM69" s="316"/>
      <c r="KJN69" s="316"/>
      <c r="KJO69" s="316"/>
      <c r="KJP69" s="316"/>
      <c r="KJQ69" s="316"/>
      <c r="KJR69" s="316"/>
      <c r="KJS69" s="316"/>
      <c r="KJT69" s="316"/>
      <c r="KJU69" s="316"/>
      <c r="KJV69" s="316"/>
      <c r="KJW69" s="316"/>
      <c r="KJX69" s="316"/>
      <c r="KJY69" s="316"/>
      <c r="KJZ69" s="316"/>
      <c r="KKA69" s="316"/>
      <c r="KKB69" s="316"/>
      <c r="KKC69" s="316"/>
      <c r="KKD69" s="316"/>
      <c r="KKE69" s="316"/>
      <c r="KKF69" s="316"/>
      <c r="KKG69" s="316"/>
      <c r="KKH69" s="316"/>
      <c r="KKI69" s="316"/>
      <c r="KKJ69" s="316"/>
      <c r="KKK69" s="316"/>
      <c r="KKL69" s="316"/>
      <c r="KKM69" s="316"/>
      <c r="KKN69" s="316"/>
      <c r="KKO69" s="316"/>
      <c r="KKP69" s="316"/>
      <c r="KKQ69" s="316"/>
      <c r="KKR69" s="316"/>
      <c r="KKS69" s="316"/>
      <c r="KKT69" s="316"/>
      <c r="KKU69" s="316"/>
      <c r="KKV69" s="316"/>
      <c r="KKW69" s="316"/>
      <c r="KKX69" s="316"/>
      <c r="KKY69" s="316"/>
      <c r="KKZ69" s="316"/>
      <c r="KLA69" s="316"/>
      <c r="KLB69" s="316"/>
      <c r="KLC69" s="316"/>
      <c r="KLD69" s="316"/>
      <c r="KLE69" s="316"/>
      <c r="KLF69" s="316"/>
      <c r="KLG69" s="316"/>
      <c r="KLH69" s="316"/>
      <c r="KLI69" s="316"/>
      <c r="KLJ69" s="316"/>
      <c r="KLK69" s="316"/>
      <c r="KLL69" s="316"/>
      <c r="KLM69" s="316"/>
      <c r="KLN69" s="316"/>
      <c r="KLO69" s="316"/>
      <c r="KLP69" s="316"/>
      <c r="KLQ69" s="316"/>
      <c r="KLR69" s="316"/>
      <c r="KLS69" s="316"/>
      <c r="KLT69" s="316"/>
      <c r="KLU69" s="316"/>
      <c r="KLV69" s="316"/>
      <c r="KLW69" s="316"/>
      <c r="KLX69" s="316"/>
      <c r="KLY69" s="316"/>
      <c r="KLZ69" s="316"/>
      <c r="KMA69" s="316"/>
      <c r="KMB69" s="316"/>
      <c r="KMC69" s="316"/>
      <c r="KMD69" s="316"/>
      <c r="KME69" s="316"/>
      <c r="KMF69" s="316"/>
      <c r="KMG69" s="316"/>
      <c r="KMH69" s="316"/>
      <c r="KMI69" s="316"/>
      <c r="KMJ69" s="316"/>
      <c r="KMK69" s="316"/>
      <c r="KML69" s="316"/>
      <c r="KMM69" s="316"/>
      <c r="KMN69" s="316"/>
      <c r="KMO69" s="316"/>
      <c r="KMP69" s="316"/>
      <c r="KMQ69" s="316"/>
      <c r="KMR69" s="316"/>
      <c r="KMS69" s="316"/>
      <c r="KMT69" s="316"/>
      <c r="KMU69" s="316"/>
      <c r="KMV69" s="316"/>
      <c r="KMW69" s="316"/>
      <c r="KMX69" s="316"/>
      <c r="KMY69" s="316"/>
      <c r="KMZ69" s="316"/>
      <c r="KNA69" s="316"/>
      <c r="KNB69" s="316"/>
      <c r="KNC69" s="316"/>
      <c r="KND69" s="316"/>
      <c r="KNE69" s="316"/>
      <c r="KNF69" s="316"/>
      <c r="KNG69" s="316"/>
      <c r="KNH69" s="316"/>
      <c r="KNI69" s="316"/>
      <c r="KNJ69" s="316"/>
      <c r="KNK69" s="316"/>
      <c r="KNL69" s="316"/>
      <c r="KNM69" s="316"/>
      <c r="KNN69" s="316"/>
      <c r="KNO69" s="316"/>
      <c r="KNP69" s="316"/>
      <c r="KNQ69" s="316"/>
      <c r="KNR69" s="316"/>
      <c r="KNS69" s="316"/>
      <c r="KNT69" s="316"/>
      <c r="KNU69" s="316"/>
      <c r="KNV69" s="316"/>
      <c r="KNW69" s="316"/>
      <c r="KNX69" s="316"/>
      <c r="KNY69" s="316"/>
      <c r="KNZ69" s="316"/>
      <c r="KOA69" s="316"/>
      <c r="KOB69" s="316"/>
      <c r="KOC69" s="316"/>
      <c r="KOD69" s="316"/>
      <c r="KOE69" s="316"/>
      <c r="KOF69" s="316"/>
      <c r="KOG69" s="316"/>
      <c r="KOH69" s="316"/>
      <c r="KOI69" s="316"/>
      <c r="KOJ69" s="316"/>
      <c r="KOK69" s="316"/>
      <c r="KOL69" s="316"/>
      <c r="KOM69" s="316"/>
      <c r="KON69" s="316"/>
      <c r="KOO69" s="316"/>
      <c r="KOP69" s="316"/>
      <c r="KOQ69" s="316"/>
      <c r="KOR69" s="316"/>
      <c r="KOS69" s="316"/>
      <c r="KOT69" s="316"/>
      <c r="KOU69" s="316"/>
      <c r="KOV69" s="316"/>
      <c r="KOW69" s="316"/>
      <c r="KOX69" s="316"/>
      <c r="KOY69" s="316"/>
      <c r="KOZ69" s="316"/>
      <c r="KPA69" s="316"/>
      <c r="KPB69" s="316"/>
      <c r="KPC69" s="316"/>
      <c r="KPD69" s="316"/>
      <c r="KPE69" s="316"/>
      <c r="KPF69" s="316"/>
      <c r="KPG69" s="316"/>
      <c r="KPH69" s="316"/>
      <c r="KPI69" s="316"/>
      <c r="KPJ69" s="316"/>
      <c r="KPK69" s="316"/>
      <c r="KPL69" s="316"/>
      <c r="KPM69" s="316"/>
      <c r="KPN69" s="316"/>
      <c r="KPO69" s="316"/>
      <c r="KPP69" s="316"/>
      <c r="KPQ69" s="316"/>
      <c r="KPR69" s="316"/>
      <c r="KPS69" s="316"/>
      <c r="KPT69" s="316"/>
      <c r="KPU69" s="316"/>
      <c r="KPV69" s="316"/>
      <c r="KPW69" s="316"/>
      <c r="KPX69" s="316"/>
      <c r="KPY69" s="316"/>
      <c r="KPZ69" s="316"/>
      <c r="KQA69" s="316"/>
      <c r="KQB69" s="316"/>
      <c r="KQC69" s="316"/>
      <c r="KQD69" s="316"/>
      <c r="KQE69" s="316"/>
      <c r="KQF69" s="316"/>
      <c r="KQG69" s="316"/>
      <c r="KQH69" s="316"/>
      <c r="KQI69" s="316"/>
      <c r="KQJ69" s="316"/>
      <c r="KQK69" s="316"/>
      <c r="KQL69" s="316"/>
      <c r="KQM69" s="316"/>
      <c r="KQN69" s="316"/>
      <c r="KQO69" s="316"/>
      <c r="KQP69" s="316"/>
      <c r="KQQ69" s="316"/>
      <c r="KQR69" s="316"/>
      <c r="KQS69" s="316"/>
      <c r="KQT69" s="316"/>
      <c r="KQU69" s="316"/>
      <c r="KQV69" s="316"/>
      <c r="KQW69" s="316"/>
      <c r="KQX69" s="316"/>
      <c r="KQY69" s="316"/>
      <c r="KQZ69" s="316"/>
      <c r="KRA69" s="316"/>
      <c r="KRB69" s="316"/>
      <c r="KRC69" s="316"/>
      <c r="KRD69" s="316"/>
      <c r="KRE69" s="316"/>
      <c r="KRF69" s="316"/>
      <c r="KRG69" s="316"/>
      <c r="KRH69" s="316"/>
      <c r="KRI69" s="316"/>
      <c r="KRJ69" s="316"/>
      <c r="KRK69" s="316"/>
      <c r="KRL69" s="316"/>
      <c r="KRM69" s="316"/>
      <c r="KRN69" s="316"/>
      <c r="KRO69" s="316"/>
      <c r="KRP69" s="316"/>
      <c r="KRQ69" s="316"/>
      <c r="KRR69" s="316"/>
      <c r="KRS69" s="316"/>
      <c r="KRT69" s="316"/>
      <c r="KRU69" s="316"/>
      <c r="KRV69" s="316"/>
      <c r="KRW69" s="316"/>
      <c r="KRX69" s="316"/>
      <c r="KRY69" s="316"/>
      <c r="KRZ69" s="316"/>
      <c r="KSA69" s="316"/>
      <c r="KSB69" s="316"/>
      <c r="KSC69" s="316"/>
      <c r="KSD69" s="316"/>
      <c r="KSE69" s="316"/>
      <c r="KSF69" s="316"/>
      <c r="KSG69" s="316"/>
      <c r="KSH69" s="316"/>
      <c r="KSI69" s="316"/>
      <c r="KSJ69" s="316"/>
      <c r="KSK69" s="316"/>
      <c r="KSL69" s="316"/>
      <c r="KSM69" s="316"/>
      <c r="KSN69" s="316"/>
      <c r="KSO69" s="316"/>
      <c r="KSP69" s="316"/>
      <c r="KSQ69" s="316"/>
      <c r="KSR69" s="316"/>
      <c r="KSS69" s="316"/>
      <c r="KST69" s="316"/>
      <c r="KSU69" s="316"/>
      <c r="KSV69" s="316"/>
      <c r="KSW69" s="316"/>
      <c r="KSX69" s="316"/>
      <c r="KSY69" s="316"/>
      <c r="KSZ69" s="316"/>
      <c r="KTA69" s="316"/>
      <c r="KTB69" s="316"/>
      <c r="KTC69" s="316"/>
      <c r="KTD69" s="316"/>
      <c r="KTE69" s="316"/>
      <c r="KTF69" s="316"/>
      <c r="KTG69" s="316"/>
      <c r="KTH69" s="316"/>
      <c r="KTI69" s="316"/>
      <c r="KTJ69" s="316"/>
      <c r="KTK69" s="316"/>
      <c r="KTL69" s="316"/>
      <c r="KTM69" s="316"/>
      <c r="KTN69" s="316"/>
      <c r="KTO69" s="316"/>
      <c r="KTP69" s="316"/>
      <c r="KTQ69" s="316"/>
      <c r="KTR69" s="316"/>
      <c r="KTS69" s="316"/>
      <c r="KTT69" s="316"/>
      <c r="KTU69" s="316"/>
      <c r="KTV69" s="316"/>
      <c r="KTW69" s="316"/>
      <c r="KTX69" s="316"/>
      <c r="KTY69" s="316"/>
      <c r="KTZ69" s="316"/>
      <c r="KUA69" s="316"/>
      <c r="KUB69" s="316"/>
      <c r="KUC69" s="316"/>
      <c r="KUD69" s="316"/>
      <c r="KUE69" s="316"/>
      <c r="KUF69" s="316"/>
      <c r="KUG69" s="316"/>
      <c r="KUH69" s="316"/>
      <c r="KUI69" s="316"/>
      <c r="KUJ69" s="316"/>
      <c r="KUK69" s="316"/>
      <c r="KUL69" s="316"/>
      <c r="KUM69" s="316"/>
      <c r="KUN69" s="316"/>
      <c r="KUO69" s="316"/>
      <c r="KUP69" s="316"/>
      <c r="KUQ69" s="316"/>
      <c r="KUR69" s="316"/>
      <c r="KUS69" s="316"/>
      <c r="KUT69" s="316"/>
      <c r="KUU69" s="316"/>
      <c r="KUV69" s="316"/>
      <c r="KUW69" s="316"/>
      <c r="KUX69" s="316"/>
      <c r="KUY69" s="316"/>
      <c r="KUZ69" s="316"/>
      <c r="KVA69" s="316"/>
      <c r="KVB69" s="316"/>
      <c r="KVC69" s="316"/>
      <c r="KVD69" s="316"/>
      <c r="KVE69" s="316"/>
      <c r="KVF69" s="316"/>
      <c r="KVG69" s="316"/>
      <c r="KVH69" s="316"/>
      <c r="KVI69" s="316"/>
      <c r="KVJ69" s="316"/>
      <c r="KVK69" s="316"/>
      <c r="KVL69" s="316"/>
      <c r="KVM69" s="316"/>
      <c r="KVN69" s="316"/>
      <c r="KVO69" s="316"/>
      <c r="KVP69" s="316"/>
      <c r="KVQ69" s="316"/>
      <c r="KVR69" s="316"/>
      <c r="KVS69" s="316"/>
      <c r="KVT69" s="316"/>
      <c r="KVU69" s="316"/>
      <c r="KVV69" s="316"/>
      <c r="KVW69" s="316"/>
      <c r="KVX69" s="316"/>
      <c r="KVY69" s="316"/>
      <c r="KVZ69" s="316"/>
      <c r="KWA69" s="316"/>
      <c r="KWB69" s="316"/>
      <c r="KWC69" s="316"/>
      <c r="KWD69" s="316"/>
      <c r="KWE69" s="316"/>
      <c r="KWF69" s="316"/>
      <c r="KWG69" s="316"/>
      <c r="KWH69" s="316"/>
      <c r="KWI69" s="316"/>
      <c r="KWJ69" s="316"/>
      <c r="KWK69" s="316"/>
      <c r="KWL69" s="316"/>
      <c r="KWM69" s="316"/>
      <c r="KWN69" s="316"/>
      <c r="KWO69" s="316"/>
      <c r="KWP69" s="316"/>
      <c r="KWQ69" s="316"/>
      <c r="KWR69" s="316"/>
      <c r="KWS69" s="316"/>
      <c r="KWT69" s="316"/>
      <c r="KWU69" s="316"/>
      <c r="KWV69" s="316"/>
      <c r="KWW69" s="316"/>
      <c r="KWX69" s="316"/>
      <c r="KWY69" s="316"/>
      <c r="KWZ69" s="316"/>
      <c r="KXA69" s="316"/>
      <c r="KXB69" s="316"/>
      <c r="KXC69" s="316"/>
      <c r="KXD69" s="316"/>
      <c r="KXE69" s="316"/>
      <c r="KXF69" s="316"/>
      <c r="KXG69" s="316"/>
      <c r="KXH69" s="316"/>
      <c r="KXI69" s="316"/>
      <c r="KXJ69" s="316"/>
      <c r="KXK69" s="316"/>
      <c r="KXL69" s="316"/>
      <c r="KXM69" s="316"/>
      <c r="KXN69" s="316"/>
      <c r="KXO69" s="316"/>
      <c r="KXP69" s="316"/>
      <c r="KXQ69" s="316"/>
      <c r="KXR69" s="316"/>
      <c r="KXS69" s="316"/>
      <c r="KXT69" s="316"/>
      <c r="KXU69" s="316"/>
      <c r="KXV69" s="316"/>
      <c r="KXW69" s="316"/>
      <c r="KXX69" s="316"/>
      <c r="KXY69" s="316"/>
      <c r="KXZ69" s="316"/>
      <c r="KYA69" s="316"/>
      <c r="KYB69" s="316"/>
      <c r="KYC69" s="316"/>
      <c r="KYD69" s="316"/>
      <c r="KYE69" s="316"/>
      <c r="KYF69" s="316"/>
      <c r="KYG69" s="316"/>
      <c r="KYH69" s="316"/>
      <c r="KYI69" s="316"/>
      <c r="KYJ69" s="316"/>
      <c r="KYK69" s="316"/>
      <c r="KYL69" s="316"/>
      <c r="KYM69" s="316"/>
      <c r="KYN69" s="316"/>
      <c r="KYO69" s="316"/>
      <c r="KYP69" s="316"/>
      <c r="KYQ69" s="316"/>
      <c r="KYR69" s="316"/>
      <c r="KYS69" s="316"/>
      <c r="KYT69" s="316"/>
      <c r="KYU69" s="316"/>
      <c r="KYV69" s="316"/>
      <c r="KYW69" s="316"/>
      <c r="KYX69" s="316"/>
      <c r="KYY69" s="316"/>
      <c r="KYZ69" s="316"/>
      <c r="KZA69" s="316"/>
      <c r="KZB69" s="316"/>
      <c r="KZC69" s="316"/>
      <c r="KZD69" s="316"/>
      <c r="KZE69" s="316"/>
      <c r="KZF69" s="316"/>
      <c r="KZG69" s="316"/>
      <c r="KZH69" s="316"/>
      <c r="KZI69" s="316"/>
      <c r="KZJ69" s="316"/>
      <c r="KZK69" s="316"/>
      <c r="KZL69" s="316"/>
      <c r="KZM69" s="316"/>
      <c r="KZN69" s="316"/>
      <c r="KZO69" s="316"/>
      <c r="KZP69" s="316"/>
      <c r="KZQ69" s="316"/>
      <c r="KZR69" s="316"/>
      <c r="KZS69" s="316"/>
      <c r="KZT69" s="316"/>
      <c r="KZU69" s="316"/>
      <c r="KZV69" s="316"/>
      <c r="KZW69" s="316"/>
      <c r="KZX69" s="316"/>
      <c r="KZY69" s="316"/>
      <c r="KZZ69" s="316"/>
      <c r="LAA69" s="316"/>
      <c r="LAB69" s="316"/>
      <c r="LAC69" s="316"/>
      <c r="LAD69" s="316"/>
      <c r="LAE69" s="316"/>
      <c r="LAF69" s="316"/>
      <c r="LAG69" s="316"/>
      <c r="LAH69" s="316"/>
      <c r="LAI69" s="316"/>
      <c r="LAJ69" s="316"/>
      <c r="LAK69" s="316"/>
      <c r="LAL69" s="316"/>
      <c r="LAM69" s="316"/>
      <c r="LAN69" s="316"/>
      <c r="LAO69" s="316"/>
      <c r="LAP69" s="316"/>
      <c r="LAQ69" s="316"/>
      <c r="LAR69" s="316"/>
      <c r="LAS69" s="316"/>
      <c r="LAT69" s="316"/>
      <c r="LAU69" s="316"/>
      <c r="LAV69" s="316"/>
      <c r="LAW69" s="316"/>
      <c r="LAX69" s="316"/>
      <c r="LAY69" s="316"/>
      <c r="LAZ69" s="316"/>
      <c r="LBA69" s="316"/>
      <c r="LBB69" s="316"/>
      <c r="LBC69" s="316"/>
      <c r="LBD69" s="316"/>
      <c r="LBE69" s="316"/>
      <c r="LBF69" s="316"/>
      <c r="LBG69" s="316"/>
      <c r="LBH69" s="316"/>
      <c r="LBI69" s="316"/>
      <c r="LBJ69" s="316"/>
      <c r="LBK69" s="316"/>
      <c r="LBL69" s="316"/>
      <c r="LBM69" s="316"/>
      <c r="LBN69" s="316"/>
      <c r="LBO69" s="316"/>
      <c r="LBP69" s="316"/>
      <c r="LBQ69" s="316"/>
      <c r="LBR69" s="316"/>
      <c r="LBS69" s="316"/>
      <c r="LBT69" s="316"/>
      <c r="LBU69" s="316"/>
      <c r="LBV69" s="316"/>
      <c r="LBW69" s="316"/>
      <c r="LBX69" s="316"/>
      <c r="LBY69" s="316"/>
      <c r="LBZ69" s="316"/>
      <c r="LCA69" s="316"/>
      <c r="LCB69" s="316"/>
      <c r="LCC69" s="316"/>
      <c r="LCD69" s="316"/>
      <c r="LCE69" s="316"/>
      <c r="LCF69" s="316"/>
      <c r="LCG69" s="316"/>
      <c r="LCH69" s="316"/>
      <c r="LCI69" s="316"/>
      <c r="LCJ69" s="316"/>
      <c r="LCK69" s="316"/>
      <c r="LCL69" s="316"/>
      <c r="LCM69" s="316"/>
      <c r="LCN69" s="316"/>
      <c r="LCO69" s="316"/>
      <c r="LCP69" s="316"/>
      <c r="LCQ69" s="316"/>
      <c r="LCR69" s="316"/>
      <c r="LCS69" s="316"/>
      <c r="LCT69" s="316"/>
      <c r="LCU69" s="316"/>
      <c r="LCV69" s="316"/>
      <c r="LCW69" s="316"/>
      <c r="LCX69" s="316"/>
      <c r="LCY69" s="316"/>
      <c r="LCZ69" s="316"/>
      <c r="LDA69" s="316"/>
      <c r="LDB69" s="316"/>
      <c r="LDC69" s="316"/>
      <c r="LDD69" s="316"/>
      <c r="LDE69" s="316"/>
      <c r="LDF69" s="316"/>
      <c r="LDG69" s="316"/>
      <c r="LDH69" s="316"/>
      <c r="LDI69" s="316"/>
      <c r="LDJ69" s="316"/>
      <c r="LDK69" s="316"/>
      <c r="LDL69" s="316"/>
      <c r="LDM69" s="316"/>
      <c r="LDN69" s="316"/>
      <c r="LDO69" s="316"/>
      <c r="LDP69" s="316"/>
      <c r="LDQ69" s="316"/>
      <c r="LDR69" s="316"/>
      <c r="LDS69" s="316"/>
      <c r="LDT69" s="316"/>
      <c r="LDU69" s="316"/>
      <c r="LDV69" s="316"/>
      <c r="LDW69" s="316"/>
      <c r="LDX69" s="316"/>
      <c r="LDY69" s="316"/>
      <c r="LDZ69" s="316"/>
      <c r="LEA69" s="316"/>
      <c r="LEB69" s="316"/>
      <c r="LEC69" s="316"/>
      <c r="LED69" s="316"/>
      <c r="LEE69" s="316"/>
      <c r="LEF69" s="316"/>
      <c r="LEG69" s="316"/>
      <c r="LEH69" s="316"/>
      <c r="LEI69" s="316"/>
      <c r="LEJ69" s="316"/>
      <c r="LEK69" s="316"/>
      <c r="LEL69" s="316"/>
      <c r="LEM69" s="316"/>
      <c r="LEN69" s="316"/>
      <c r="LEO69" s="316"/>
      <c r="LEP69" s="316"/>
      <c r="LEQ69" s="316"/>
      <c r="LER69" s="316"/>
      <c r="LES69" s="316"/>
      <c r="LET69" s="316"/>
      <c r="LEU69" s="316"/>
      <c r="LEV69" s="316"/>
      <c r="LEW69" s="316"/>
      <c r="LEX69" s="316"/>
      <c r="LEY69" s="316"/>
      <c r="LEZ69" s="316"/>
      <c r="LFA69" s="316"/>
      <c r="LFB69" s="316"/>
      <c r="LFC69" s="316"/>
      <c r="LFD69" s="316"/>
      <c r="LFE69" s="316"/>
      <c r="LFF69" s="316"/>
      <c r="LFG69" s="316"/>
      <c r="LFH69" s="316"/>
      <c r="LFI69" s="316"/>
      <c r="LFJ69" s="316"/>
      <c r="LFK69" s="316"/>
      <c r="LFL69" s="316"/>
      <c r="LFM69" s="316"/>
      <c r="LFN69" s="316"/>
      <c r="LFO69" s="316"/>
      <c r="LFP69" s="316"/>
      <c r="LFQ69" s="316"/>
      <c r="LFR69" s="316"/>
      <c r="LFS69" s="316"/>
      <c r="LFT69" s="316"/>
      <c r="LFU69" s="316"/>
      <c r="LFV69" s="316"/>
      <c r="LFW69" s="316"/>
      <c r="LFX69" s="316"/>
      <c r="LFY69" s="316"/>
      <c r="LFZ69" s="316"/>
      <c r="LGA69" s="316"/>
      <c r="LGB69" s="316"/>
      <c r="LGC69" s="316"/>
      <c r="LGD69" s="316"/>
      <c r="LGE69" s="316"/>
      <c r="LGF69" s="316"/>
      <c r="LGG69" s="316"/>
      <c r="LGH69" s="316"/>
      <c r="LGI69" s="316"/>
      <c r="LGJ69" s="316"/>
      <c r="LGK69" s="316"/>
      <c r="LGL69" s="316"/>
      <c r="LGM69" s="316"/>
      <c r="LGN69" s="316"/>
      <c r="LGO69" s="316"/>
      <c r="LGP69" s="316"/>
      <c r="LGQ69" s="316"/>
      <c r="LGR69" s="316"/>
      <c r="LGS69" s="316"/>
      <c r="LGT69" s="316"/>
      <c r="LGU69" s="316"/>
      <c r="LGV69" s="316"/>
      <c r="LGW69" s="316"/>
      <c r="LGX69" s="316"/>
      <c r="LGY69" s="316"/>
      <c r="LGZ69" s="316"/>
      <c r="LHA69" s="316"/>
      <c r="LHB69" s="316"/>
      <c r="LHC69" s="316"/>
      <c r="LHD69" s="316"/>
      <c r="LHE69" s="316"/>
      <c r="LHF69" s="316"/>
      <c r="LHG69" s="316"/>
      <c r="LHH69" s="316"/>
      <c r="LHI69" s="316"/>
      <c r="LHJ69" s="316"/>
      <c r="LHK69" s="316"/>
      <c r="LHL69" s="316"/>
      <c r="LHM69" s="316"/>
      <c r="LHN69" s="316"/>
      <c r="LHO69" s="316"/>
      <c r="LHP69" s="316"/>
      <c r="LHQ69" s="316"/>
      <c r="LHR69" s="316"/>
      <c r="LHS69" s="316"/>
      <c r="LHT69" s="316"/>
      <c r="LHU69" s="316"/>
      <c r="LHV69" s="316"/>
      <c r="LHW69" s="316"/>
      <c r="LHX69" s="316"/>
      <c r="LHY69" s="316"/>
      <c r="LHZ69" s="316"/>
      <c r="LIA69" s="316"/>
      <c r="LIB69" s="316"/>
      <c r="LIC69" s="316"/>
      <c r="LID69" s="316"/>
      <c r="LIE69" s="316"/>
      <c r="LIF69" s="316"/>
      <c r="LIG69" s="316"/>
      <c r="LIH69" s="316"/>
      <c r="LII69" s="316"/>
      <c r="LIJ69" s="316"/>
      <c r="LIK69" s="316"/>
      <c r="LIL69" s="316"/>
      <c r="LIM69" s="316"/>
      <c r="LIN69" s="316"/>
      <c r="LIO69" s="316"/>
      <c r="LIP69" s="316"/>
      <c r="LIQ69" s="316"/>
      <c r="LIR69" s="316"/>
      <c r="LIS69" s="316"/>
      <c r="LIT69" s="316"/>
      <c r="LIU69" s="316"/>
      <c r="LIV69" s="316"/>
      <c r="LIW69" s="316"/>
      <c r="LIX69" s="316"/>
      <c r="LIY69" s="316"/>
      <c r="LIZ69" s="316"/>
      <c r="LJA69" s="316"/>
      <c r="LJB69" s="316"/>
      <c r="LJC69" s="316"/>
      <c r="LJD69" s="316"/>
      <c r="LJE69" s="316"/>
      <c r="LJF69" s="316"/>
      <c r="LJG69" s="316"/>
      <c r="LJH69" s="316"/>
      <c r="LJI69" s="316"/>
      <c r="LJJ69" s="316"/>
      <c r="LJK69" s="316"/>
      <c r="LJL69" s="316"/>
      <c r="LJM69" s="316"/>
      <c r="LJN69" s="316"/>
      <c r="LJO69" s="316"/>
      <c r="LJP69" s="316"/>
      <c r="LJQ69" s="316"/>
      <c r="LJR69" s="316"/>
      <c r="LJS69" s="316"/>
      <c r="LJT69" s="316"/>
      <c r="LJU69" s="316"/>
      <c r="LJV69" s="316"/>
      <c r="LJW69" s="316"/>
      <c r="LJX69" s="316"/>
      <c r="LJY69" s="316"/>
      <c r="LJZ69" s="316"/>
      <c r="LKA69" s="316"/>
      <c r="LKB69" s="316"/>
      <c r="LKC69" s="316"/>
      <c r="LKD69" s="316"/>
      <c r="LKE69" s="316"/>
      <c r="LKF69" s="316"/>
      <c r="LKG69" s="316"/>
      <c r="LKH69" s="316"/>
      <c r="LKI69" s="316"/>
      <c r="LKJ69" s="316"/>
      <c r="LKK69" s="316"/>
      <c r="LKL69" s="316"/>
      <c r="LKM69" s="316"/>
      <c r="LKN69" s="316"/>
      <c r="LKO69" s="316"/>
      <c r="LKP69" s="316"/>
      <c r="LKQ69" s="316"/>
      <c r="LKR69" s="316"/>
      <c r="LKS69" s="316"/>
      <c r="LKT69" s="316"/>
      <c r="LKU69" s="316"/>
      <c r="LKV69" s="316"/>
      <c r="LKW69" s="316"/>
      <c r="LKX69" s="316"/>
      <c r="LKY69" s="316"/>
      <c r="LKZ69" s="316"/>
      <c r="LLA69" s="316"/>
      <c r="LLB69" s="316"/>
      <c r="LLC69" s="316"/>
      <c r="LLD69" s="316"/>
      <c r="LLE69" s="316"/>
      <c r="LLF69" s="316"/>
      <c r="LLG69" s="316"/>
      <c r="LLH69" s="316"/>
      <c r="LLI69" s="316"/>
      <c r="LLJ69" s="316"/>
      <c r="LLK69" s="316"/>
      <c r="LLL69" s="316"/>
      <c r="LLM69" s="316"/>
      <c r="LLN69" s="316"/>
      <c r="LLO69" s="316"/>
      <c r="LLP69" s="316"/>
      <c r="LLQ69" s="316"/>
      <c r="LLR69" s="316"/>
      <c r="LLS69" s="316"/>
      <c r="LLT69" s="316"/>
      <c r="LLU69" s="316"/>
      <c r="LLV69" s="316"/>
      <c r="LLW69" s="316"/>
      <c r="LLX69" s="316"/>
      <c r="LLY69" s="316"/>
      <c r="LLZ69" s="316"/>
      <c r="LMA69" s="316"/>
      <c r="LMB69" s="316"/>
      <c r="LMC69" s="316"/>
      <c r="LMD69" s="316"/>
      <c r="LME69" s="316"/>
      <c r="LMF69" s="316"/>
      <c r="LMG69" s="316"/>
      <c r="LMH69" s="316"/>
      <c r="LMI69" s="316"/>
      <c r="LMJ69" s="316"/>
      <c r="LMK69" s="316"/>
      <c r="LML69" s="316"/>
      <c r="LMM69" s="316"/>
      <c r="LMN69" s="316"/>
      <c r="LMO69" s="316"/>
      <c r="LMP69" s="316"/>
      <c r="LMQ69" s="316"/>
      <c r="LMR69" s="316"/>
      <c r="LMS69" s="316"/>
      <c r="LMT69" s="316"/>
      <c r="LMU69" s="316"/>
      <c r="LMV69" s="316"/>
      <c r="LMW69" s="316"/>
      <c r="LMX69" s="316"/>
      <c r="LMY69" s="316"/>
      <c r="LMZ69" s="316"/>
      <c r="LNA69" s="316"/>
      <c r="LNB69" s="316"/>
      <c r="LNC69" s="316"/>
      <c r="LND69" s="316"/>
      <c r="LNE69" s="316"/>
      <c r="LNF69" s="316"/>
      <c r="LNG69" s="316"/>
      <c r="LNH69" s="316"/>
      <c r="LNI69" s="316"/>
      <c r="LNJ69" s="316"/>
      <c r="LNK69" s="316"/>
      <c r="LNL69" s="316"/>
      <c r="LNM69" s="316"/>
      <c r="LNN69" s="316"/>
      <c r="LNO69" s="316"/>
      <c r="LNP69" s="316"/>
      <c r="LNQ69" s="316"/>
      <c r="LNR69" s="316"/>
      <c r="LNS69" s="316"/>
      <c r="LNT69" s="316"/>
      <c r="LNU69" s="316"/>
      <c r="LNV69" s="316"/>
      <c r="LNW69" s="316"/>
      <c r="LNX69" s="316"/>
      <c r="LNY69" s="316"/>
      <c r="LNZ69" s="316"/>
      <c r="LOA69" s="316"/>
      <c r="LOB69" s="316"/>
      <c r="LOC69" s="316"/>
      <c r="LOD69" s="316"/>
      <c r="LOE69" s="316"/>
      <c r="LOF69" s="316"/>
      <c r="LOG69" s="316"/>
      <c r="LOH69" s="316"/>
      <c r="LOI69" s="316"/>
      <c r="LOJ69" s="316"/>
      <c r="LOK69" s="316"/>
      <c r="LOL69" s="316"/>
      <c r="LOM69" s="316"/>
      <c r="LON69" s="316"/>
      <c r="LOO69" s="316"/>
      <c r="LOP69" s="316"/>
      <c r="LOQ69" s="316"/>
      <c r="LOR69" s="316"/>
      <c r="LOS69" s="316"/>
      <c r="LOT69" s="316"/>
      <c r="LOU69" s="316"/>
      <c r="LOV69" s="316"/>
      <c r="LOW69" s="316"/>
      <c r="LOX69" s="316"/>
      <c r="LOY69" s="316"/>
      <c r="LOZ69" s="316"/>
      <c r="LPA69" s="316"/>
      <c r="LPB69" s="316"/>
      <c r="LPC69" s="316"/>
      <c r="LPD69" s="316"/>
      <c r="LPE69" s="316"/>
      <c r="LPF69" s="316"/>
      <c r="LPG69" s="316"/>
      <c r="LPH69" s="316"/>
      <c r="LPI69" s="316"/>
      <c r="LPJ69" s="316"/>
      <c r="LPK69" s="316"/>
      <c r="LPL69" s="316"/>
      <c r="LPM69" s="316"/>
      <c r="LPN69" s="316"/>
      <c r="LPO69" s="316"/>
      <c r="LPP69" s="316"/>
      <c r="LPQ69" s="316"/>
      <c r="LPR69" s="316"/>
      <c r="LPS69" s="316"/>
      <c r="LPT69" s="316"/>
      <c r="LPU69" s="316"/>
      <c r="LPV69" s="316"/>
      <c r="LPW69" s="316"/>
      <c r="LPX69" s="316"/>
      <c r="LPY69" s="316"/>
      <c r="LPZ69" s="316"/>
      <c r="LQA69" s="316"/>
      <c r="LQB69" s="316"/>
      <c r="LQC69" s="316"/>
      <c r="LQD69" s="316"/>
      <c r="LQE69" s="316"/>
      <c r="LQF69" s="316"/>
      <c r="LQG69" s="316"/>
      <c r="LQH69" s="316"/>
      <c r="LQI69" s="316"/>
      <c r="LQJ69" s="316"/>
      <c r="LQK69" s="316"/>
      <c r="LQL69" s="316"/>
      <c r="LQM69" s="316"/>
      <c r="LQN69" s="316"/>
      <c r="LQO69" s="316"/>
      <c r="LQP69" s="316"/>
      <c r="LQQ69" s="316"/>
      <c r="LQR69" s="316"/>
      <c r="LQS69" s="316"/>
      <c r="LQT69" s="316"/>
      <c r="LQU69" s="316"/>
      <c r="LQV69" s="316"/>
      <c r="LQW69" s="316"/>
      <c r="LQX69" s="316"/>
      <c r="LQY69" s="316"/>
      <c r="LQZ69" s="316"/>
      <c r="LRA69" s="316"/>
      <c r="LRB69" s="316"/>
      <c r="LRC69" s="316"/>
      <c r="LRD69" s="316"/>
      <c r="LRE69" s="316"/>
      <c r="LRF69" s="316"/>
      <c r="LRG69" s="316"/>
      <c r="LRH69" s="316"/>
      <c r="LRI69" s="316"/>
      <c r="LRJ69" s="316"/>
      <c r="LRK69" s="316"/>
      <c r="LRL69" s="316"/>
      <c r="LRM69" s="316"/>
      <c r="LRN69" s="316"/>
      <c r="LRO69" s="316"/>
      <c r="LRP69" s="316"/>
      <c r="LRQ69" s="316"/>
      <c r="LRR69" s="316"/>
      <c r="LRS69" s="316"/>
      <c r="LRT69" s="316"/>
      <c r="LRU69" s="316"/>
      <c r="LRV69" s="316"/>
      <c r="LRW69" s="316"/>
      <c r="LRX69" s="316"/>
      <c r="LRY69" s="316"/>
      <c r="LRZ69" s="316"/>
      <c r="LSA69" s="316"/>
      <c r="LSB69" s="316"/>
      <c r="LSC69" s="316"/>
      <c r="LSD69" s="316"/>
      <c r="LSE69" s="316"/>
      <c r="LSF69" s="316"/>
      <c r="LSG69" s="316"/>
      <c r="LSH69" s="316"/>
      <c r="LSI69" s="316"/>
      <c r="LSJ69" s="316"/>
      <c r="LSK69" s="316"/>
      <c r="LSL69" s="316"/>
      <c r="LSM69" s="316"/>
      <c r="LSN69" s="316"/>
      <c r="LSO69" s="316"/>
      <c r="LSP69" s="316"/>
      <c r="LSQ69" s="316"/>
      <c r="LSR69" s="316"/>
      <c r="LSS69" s="316"/>
      <c r="LST69" s="316"/>
      <c r="LSU69" s="316"/>
      <c r="LSV69" s="316"/>
      <c r="LSW69" s="316"/>
      <c r="LSX69" s="316"/>
      <c r="LSY69" s="316"/>
      <c r="LSZ69" s="316"/>
      <c r="LTA69" s="316"/>
      <c r="LTB69" s="316"/>
      <c r="LTC69" s="316"/>
      <c r="LTD69" s="316"/>
      <c r="LTE69" s="316"/>
      <c r="LTF69" s="316"/>
      <c r="LTG69" s="316"/>
      <c r="LTH69" s="316"/>
      <c r="LTI69" s="316"/>
      <c r="LTJ69" s="316"/>
      <c r="LTK69" s="316"/>
      <c r="LTL69" s="316"/>
      <c r="LTM69" s="316"/>
      <c r="LTN69" s="316"/>
      <c r="LTO69" s="316"/>
      <c r="LTP69" s="316"/>
      <c r="LTQ69" s="316"/>
      <c r="LTR69" s="316"/>
      <c r="LTS69" s="316"/>
      <c r="LTT69" s="316"/>
      <c r="LTU69" s="316"/>
      <c r="LTV69" s="316"/>
      <c r="LTW69" s="316"/>
      <c r="LTX69" s="316"/>
      <c r="LTY69" s="316"/>
      <c r="LTZ69" s="316"/>
      <c r="LUA69" s="316"/>
      <c r="LUB69" s="316"/>
      <c r="LUC69" s="316"/>
      <c r="LUD69" s="316"/>
      <c r="LUE69" s="316"/>
      <c r="LUF69" s="316"/>
      <c r="LUG69" s="316"/>
      <c r="LUH69" s="316"/>
      <c r="LUI69" s="316"/>
      <c r="LUJ69" s="316"/>
      <c r="LUK69" s="316"/>
      <c r="LUL69" s="316"/>
      <c r="LUM69" s="316"/>
      <c r="LUN69" s="316"/>
      <c r="LUO69" s="316"/>
      <c r="LUP69" s="316"/>
      <c r="LUQ69" s="316"/>
      <c r="LUR69" s="316"/>
      <c r="LUS69" s="316"/>
      <c r="LUT69" s="316"/>
      <c r="LUU69" s="316"/>
      <c r="LUV69" s="316"/>
      <c r="LUW69" s="316"/>
      <c r="LUX69" s="316"/>
      <c r="LUY69" s="316"/>
      <c r="LUZ69" s="316"/>
      <c r="LVA69" s="316"/>
      <c r="LVB69" s="316"/>
      <c r="LVC69" s="316"/>
      <c r="LVD69" s="316"/>
      <c r="LVE69" s="316"/>
      <c r="LVF69" s="316"/>
      <c r="LVG69" s="316"/>
      <c r="LVH69" s="316"/>
      <c r="LVI69" s="316"/>
      <c r="LVJ69" s="316"/>
      <c r="LVK69" s="316"/>
      <c r="LVL69" s="316"/>
      <c r="LVM69" s="316"/>
      <c r="LVN69" s="316"/>
      <c r="LVO69" s="316"/>
      <c r="LVP69" s="316"/>
      <c r="LVQ69" s="316"/>
      <c r="LVR69" s="316"/>
      <c r="LVS69" s="316"/>
      <c r="LVT69" s="316"/>
      <c r="LVU69" s="316"/>
      <c r="LVV69" s="316"/>
      <c r="LVW69" s="316"/>
      <c r="LVX69" s="316"/>
      <c r="LVY69" s="316"/>
      <c r="LVZ69" s="316"/>
      <c r="LWA69" s="316"/>
      <c r="LWB69" s="316"/>
      <c r="LWC69" s="316"/>
      <c r="LWD69" s="316"/>
      <c r="LWE69" s="316"/>
      <c r="LWF69" s="316"/>
      <c r="LWG69" s="316"/>
      <c r="LWH69" s="316"/>
      <c r="LWI69" s="316"/>
      <c r="LWJ69" s="316"/>
      <c r="LWK69" s="316"/>
      <c r="LWL69" s="316"/>
      <c r="LWM69" s="316"/>
      <c r="LWN69" s="316"/>
      <c r="LWO69" s="316"/>
      <c r="LWP69" s="316"/>
      <c r="LWQ69" s="316"/>
      <c r="LWR69" s="316"/>
      <c r="LWS69" s="316"/>
      <c r="LWT69" s="316"/>
      <c r="LWU69" s="316"/>
      <c r="LWV69" s="316"/>
      <c r="LWW69" s="316"/>
      <c r="LWX69" s="316"/>
      <c r="LWY69" s="316"/>
      <c r="LWZ69" s="316"/>
      <c r="LXA69" s="316"/>
      <c r="LXB69" s="316"/>
      <c r="LXC69" s="316"/>
      <c r="LXD69" s="316"/>
      <c r="LXE69" s="316"/>
      <c r="LXF69" s="316"/>
      <c r="LXG69" s="316"/>
      <c r="LXH69" s="316"/>
      <c r="LXI69" s="316"/>
      <c r="LXJ69" s="316"/>
      <c r="LXK69" s="316"/>
      <c r="LXL69" s="316"/>
      <c r="LXM69" s="316"/>
      <c r="LXN69" s="316"/>
      <c r="LXO69" s="316"/>
      <c r="LXP69" s="316"/>
      <c r="LXQ69" s="316"/>
      <c r="LXR69" s="316"/>
      <c r="LXS69" s="316"/>
      <c r="LXT69" s="316"/>
      <c r="LXU69" s="316"/>
      <c r="LXV69" s="316"/>
      <c r="LXW69" s="316"/>
      <c r="LXX69" s="316"/>
      <c r="LXY69" s="316"/>
      <c r="LXZ69" s="316"/>
      <c r="LYA69" s="316"/>
      <c r="LYB69" s="316"/>
      <c r="LYC69" s="316"/>
      <c r="LYD69" s="316"/>
      <c r="LYE69" s="316"/>
      <c r="LYF69" s="316"/>
      <c r="LYG69" s="316"/>
      <c r="LYH69" s="316"/>
      <c r="LYI69" s="316"/>
      <c r="LYJ69" s="316"/>
      <c r="LYK69" s="316"/>
      <c r="LYL69" s="316"/>
      <c r="LYM69" s="316"/>
      <c r="LYN69" s="316"/>
      <c r="LYO69" s="316"/>
      <c r="LYP69" s="316"/>
      <c r="LYQ69" s="316"/>
      <c r="LYR69" s="316"/>
      <c r="LYS69" s="316"/>
      <c r="LYT69" s="316"/>
      <c r="LYU69" s="316"/>
      <c r="LYV69" s="316"/>
      <c r="LYW69" s="316"/>
      <c r="LYX69" s="316"/>
      <c r="LYY69" s="316"/>
      <c r="LYZ69" s="316"/>
      <c r="LZA69" s="316"/>
      <c r="LZB69" s="316"/>
      <c r="LZC69" s="316"/>
      <c r="LZD69" s="316"/>
      <c r="LZE69" s="316"/>
      <c r="LZF69" s="316"/>
      <c r="LZG69" s="316"/>
      <c r="LZH69" s="316"/>
      <c r="LZI69" s="316"/>
      <c r="LZJ69" s="316"/>
      <c r="LZK69" s="316"/>
      <c r="LZL69" s="316"/>
      <c r="LZM69" s="316"/>
      <c r="LZN69" s="316"/>
      <c r="LZO69" s="316"/>
      <c r="LZP69" s="316"/>
      <c r="LZQ69" s="316"/>
      <c r="LZR69" s="316"/>
      <c r="LZS69" s="316"/>
      <c r="LZT69" s="316"/>
      <c r="LZU69" s="316"/>
      <c r="LZV69" s="316"/>
      <c r="LZW69" s="316"/>
      <c r="LZX69" s="316"/>
      <c r="LZY69" s="316"/>
      <c r="LZZ69" s="316"/>
      <c r="MAA69" s="316"/>
      <c r="MAB69" s="316"/>
      <c r="MAC69" s="316"/>
      <c r="MAD69" s="316"/>
      <c r="MAE69" s="316"/>
      <c r="MAF69" s="316"/>
      <c r="MAG69" s="316"/>
      <c r="MAH69" s="316"/>
      <c r="MAI69" s="316"/>
      <c r="MAJ69" s="316"/>
      <c r="MAK69" s="316"/>
      <c r="MAL69" s="316"/>
      <c r="MAM69" s="316"/>
      <c r="MAN69" s="316"/>
      <c r="MAO69" s="316"/>
      <c r="MAP69" s="316"/>
      <c r="MAQ69" s="316"/>
      <c r="MAR69" s="316"/>
      <c r="MAS69" s="316"/>
      <c r="MAT69" s="316"/>
      <c r="MAU69" s="316"/>
      <c r="MAV69" s="316"/>
      <c r="MAW69" s="316"/>
      <c r="MAX69" s="316"/>
      <c r="MAY69" s="316"/>
      <c r="MAZ69" s="316"/>
      <c r="MBA69" s="316"/>
      <c r="MBB69" s="316"/>
      <c r="MBC69" s="316"/>
      <c r="MBD69" s="316"/>
      <c r="MBE69" s="316"/>
      <c r="MBF69" s="316"/>
      <c r="MBG69" s="316"/>
      <c r="MBH69" s="316"/>
      <c r="MBI69" s="316"/>
      <c r="MBJ69" s="316"/>
      <c r="MBK69" s="316"/>
      <c r="MBL69" s="316"/>
      <c r="MBM69" s="316"/>
      <c r="MBN69" s="316"/>
      <c r="MBO69" s="316"/>
      <c r="MBP69" s="316"/>
      <c r="MBQ69" s="316"/>
      <c r="MBR69" s="316"/>
      <c r="MBS69" s="316"/>
      <c r="MBT69" s="316"/>
      <c r="MBU69" s="316"/>
      <c r="MBV69" s="316"/>
      <c r="MBW69" s="316"/>
      <c r="MBX69" s="316"/>
      <c r="MBY69" s="316"/>
      <c r="MBZ69" s="316"/>
      <c r="MCA69" s="316"/>
      <c r="MCB69" s="316"/>
      <c r="MCC69" s="316"/>
      <c r="MCD69" s="316"/>
      <c r="MCE69" s="316"/>
      <c r="MCF69" s="316"/>
      <c r="MCG69" s="316"/>
      <c r="MCH69" s="316"/>
      <c r="MCI69" s="316"/>
      <c r="MCJ69" s="316"/>
      <c r="MCK69" s="316"/>
      <c r="MCL69" s="316"/>
      <c r="MCM69" s="316"/>
      <c r="MCN69" s="316"/>
      <c r="MCO69" s="316"/>
      <c r="MCP69" s="316"/>
      <c r="MCQ69" s="316"/>
      <c r="MCR69" s="316"/>
      <c r="MCS69" s="316"/>
      <c r="MCT69" s="316"/>
      <c r="MCU69" s="316"/>
      <c r="MCV69" s="316"/>
      <c r="MCW69" s="316"/>
      <c r="MCX69" s="316"/>
      <c r="MCY69" s="316"/>
      <c r="MCZ69" s="316"/>
      <c r="MDA69" s="316"/>
      <c r="MDB69" s="316"/>
      <c r="MDC69" s="316"/>
      <c r="MDD69" s="316"/>
      <c r="MDE69" s="316"/>
      <c r="MDF69" s="316"/>
      <c r="MDG69" s="316"/>
      <c r="MDH69" s="316"/>
      <c r="MDI69" s="316"/>
      <c r="MDJ69" s="316"/>
      <c r="MDK69" s="316"/>
      <c r="MDL69" s="316"/>
      <c r="MDM69" s="316"/>
      <c r="MDN69" s="316"/>
      <c r="MDO69" s="316"/>
      <c r="MDP69" s="316"/>
      <c r="MDQ69" s="316"/>
      <c r="MDR69" s="316"/>
      <c r="MDS69" s="316"/>
      <c r="MDT69" s="316"/>
      <c r="MDU69" s="316"/>
      <c r="MDV69" s="316"/>
      <c r="MDW69" s="316"/>
      <c r="MDX69" s="316"/>
      <c r="MDY69" s="316"/>
      <c r="MDZ69" s="316"/>
      <c r="MEA69" s="316"/>
      <c r="MEB69" s="316"/>
      <c r="MEC69" s="316"/>
      <c r="MED69" s="316"/>
      <c r="MEE69" s="316"/>
      <c r="MEF69" s="316"/>
      <c r="MEG69" s="316"/>
      <c r="MEH69" s="316"/>
      <c r="MEI69" s="316"/>
      <c r="MEJ69" s="316"/>
      <c r="MEK69" s="316"/>
      <c r="MEL69" s="316"/>
      <c r="MEM69" s="316"/>
      <c r="MEN69" s="316"/>
      <c r="MEO69" s="316"/>
      <c r="MEP69" s="316"/>
      <c r="MEQ69" s="316"/>
      <c r="MER69" s="316"/>
      <c r="MES69" s="316"/>
      <c r="MET69" s="316"/>
      <c r="MEU69" s="316"/>
      <c r="MEV69" s="316"/>
      <c r="MEW69" s="316"/>
      <c r="MEX69" s="316"/>
      <c r="MEY69" s="316"/>
      <c r="MEZ69" s="316"/>
      <c r="MFA69" s="316"/>
      <c r="MFB69" s="316"/>
      <c r="MFC69" s="316"/>
      <c r="MFD69" s="316"/>
      <c r="MFE69" s="316"/>
      <c r="MFF69" s="316"/>
      <c r="MFG69" s="316"/>
      <c r="MFH69" s="316"/>
      <c r="MFI69" s="316"/>
      <c r="MFJ69" s="316"/>
      <c r="MFK69" s="316"/>
      <c r="MFL69" s="316"/>
      <c r="MFM69" s="316"/>
      <c r="MFN69" s="316"/>
      <c r="MFO69" s="316"/>
      <c r="MFP69" s="316"/>
      <c r="MFQ69" s="316"/>
      <c r="MFR69" s="316"/>
      <c r="MFS69" s="316"/>
      <c r="MFT69" s="316"/>
      <c r="MFU69" s="316"/>
      <c r="MFV69" s="316"/>
      <c r="MFW69" s="316"/>
      <c r="MFX69" s="316"/>
      <c r="MFY69" s="316"/>
      <c r="MFZ69" s="316"/>
      <c r="MGA69" s="316"/>
      <c r="MGB69" s="316"/>
      <c r="MGC69" s="316"/>
      <c r="MGD69" s="316"/>
      <c r="MGE69" s="316"/>
      <c r="MGF69" s="316"/>
      <c r="MGG69" s="316"/>
      <c r="MGH69" s="316"/>
      <c r="MGI69" s="316"/>
      <c r="MGJ69" s="316"/>
      <c r="MGK69" s="316"/>
      <c r="MGL69" s="316"/>
      <c r="MGM69" s="316"/>
      <c r="MGN69" s="316"/>
      <c r="MGO69" s="316"/>
      <c r="MGP69" s="316"/>
      <c r="MGQ69" s="316"/>
      <c r="MGR69" s="316"/>
      <c r="MGS69" s="316"/>
      <c r="MGT69" s="316"/>
      <c r="MGU69" s="316"/>
      <c r="MGV69" s="316"/>
      <c r="MGW69" s="316"/>
      <c r="MGX69" s="316"/>
      <c r="MGY69" s="316"/>
      <c r="MGZ69" s="316"/>
      <c r="MHA69" s="316"/>
      <c r="MHB69" s="316"/>
      <c r="MHC69" s="316"/>
      <c r="MHD69" s="316"/>
      <c r="MHE69" s="316"/>
      <c r="MHF69" s="316"/>
      <c r="MHG69" s="316"/>
      <c r="MHH69" s="316"/>
      <c r="MHI69" s="316"/>
      <c r="MHJ69" s="316"/>
      <c r="MHK69" s="316"/>
      <c r="MHL69" s="316"/>
      <c r="MHM69" s="316"/>
      <c r="MHN69" s="316"/>
      <c r="MHO69" s="316"/>
      <c r="MHP69" s="316"/>
      <c r="MHQ69" s="316"/>
      <c r="MHR69" s="316"/>
      <c r="MHS69" s="316"/>
      <c r="MHT69" s="316"/>
      <c r="MHU69" s="316"/>
      <c r="MHV69" s="316"/>
      <c r="MHW69" s="316"/>
      <c r="MHX69" s="316"/>
      <c r="MHY69" s="316"/>
      <c r="MHZ69" s="316"/>
      <c r="MIA69" s="316"/>
      <c r="MIB69" s="316"/>
      <c r="MIC69" s="316"/>
      <c r="MID69" s="316"/>
      <c r="MIE69" s="316"/>
      <c r="MIF69" s="316"/>
      <c r="MIG69" s="316"/>
      <c r="MIH69" s="316"/>
      <c r="MII69" s="316"/>
      <c r="MIJ69" s="316"/>
      <c r="MIK69" s="316"/>
      <c r="MIL69" s="316"/>
      <c r="MIM69" s="316"/>
      <c r="MIN69" s="316"/>
      <c r="MIO69" s="316"/>
      <c r="MIP69" s="316"/>
      <c r="MIQ69" s="316"/>
      <c r="MIR69" s="316"/>
      <c r="MIS69" s="316"/>
      <c r="MIT69" s="316"/>
      <c r="MIU69" s="316"/>
      <c r="MIV69" s="316"/>
      <c r="MIW69" s="316"/>
      <c r="MIX69" s="316"/>
      <c r="MIY69" s="316"/>
      <c r="MIZ69" s="316"/>
      <c r="MJA69" s="316"/>
      <c r="MJB69" s="316"/>
      <c r="MJC69" s="316"/>
      <c r="MJD69" s="316"/>
      <c r="MJE69" s="316"/>
      <c r="MJF69" s="316"/>
      <c r="MJG69" s="316"/>
      <c r="MJH69" s="316"/>
      <c r="MJI69" s="316"/>
      <c r="MJJ69" s="316"/>
      <c r="MJK69" s="316"/>
      <c r="MJL69" s="316"/>
      <c r="MJM69" s="316"/>
      <c r="MJN69" s="316"/>
      <c r="MJO69" s="316"/>
      <c r="MJP69" s="316"/>
      <c r="MJQ69" s="316"/>
      <c r="MJR69" s="316"/>
      <c r="MJS69" s="316"/>
      <c r="MJT69" s="316"/>
      <c r="MJU69" s="316"/>
      <c r="MJV69" s="316"/>
      <c r="MJW69" s="316"/>
      <c r="MJX69" s="316"/>
      <c r="MJY69" s="316"/>
      <c r="MJZ69" s="316"/>
      <c r="MKA69" s="316"/>
      <c r="MKB69" s="316"/>
      <c r="MKC69" s="316"/>
      <c r="MKD69" s="316"/>
      <c r="MKE69" s="316"/>
      <c r="MKF69" s="316"/>
      <c r="MKG69" s="316"/>
      <c r="MKH69" s="316"/>
      <c r="MKI69" s="316"/>
      <c r="MKJ69" s="316"/>
      <c r="MKK69" s="316"/>
      <c r="MKL69" s="316"/>
      <c r="MKM69" s="316"/>
      <c r="MKN69" s="316"/>
      <c r="MKO69" s="316"/>
      <c r="MKP69" s="316"/>
      <c r="MKQ69" s="316"/>
      <c r="MKR69" s="316"/>
      <c r="MKS69" s="316"/>
      <c r="MKT69" s="316"/>
      <c r="MKU69" s="316"/>
      <c r="MKV69" s="316"/>
      <c r="MKW69" s="316"/>
      <c r="MKX69" s="316"/>
      <c r="MKY69" s="316"/>
      <c r="MKZ69" s="316"/>
      <c r="MLA69" s="316"/>
      <c r="MLB69" s="316"/>
      <c r="MLC69" s="316"/>
      <c r="MLD69" s="316"/>
      <c r="MLE69" s="316"/>
      <c r="MLF69" s="316"/>
      <c r="MLG69" s="316"/>
      <c r="MLH69" s="316"/>
      <c r="MLI69" s="316"/>
      <c r="MLJ69" s="316"/>
      <c r="MLK69" s="316"/>
      <c r="MLL69" s="316"/>
      <c r="MLM69" s="316"/>
      <c r="MLN69" s="316"/>
      <c r="MLO69" s="316"/>
      <c r="MLP69" s="316"/>
      <c r="MLQ69" s="316"/>
      <c r="MLR69" s="316"/>
      <c r="MLS69" s="316"/>
      <c r="MLT69" s="316"/>
      <c r="MLU69" s="316"/>
      <c r="MLV69" s="316"/>
      <c r="MLW69" s="316"/>
      <c r="MLX69" s="316"/>
      <c r="MLY69" s="316"/>
      <c r="MLZ69" s="316"/>
      <c r="MMA69" s="316"/>
      <c r="MMB69" s="316"/>
      <c r="MMC69" s="316"/>
      <c r="MMD69" s="316"/>
      <c r="MME69" s="316"/>
      <c r="MMF69" s="316"/>
      <c r="MMG69" s="316"/>
      <c r="MMH69" s="316"/>
      <c r="MMI69" s="316"/>
      <c r="MMJ69" s="316"/>
      <c r="MMK69" s="316"/>
      <c r="MML69" s="316"/>
      <c r="MMM69" s="316"/>
      <c r="MMN69" s="316"/>
      <c r="MMO69" s="316"/>
      <c r="MMP69" s="316"/>
      <c r="MMQ69" s="316"/>
      <c r="MMR69" s="316"/>
      <c r="MMS69" s="316"/>
      <c r="MMT69" s="316"/>
      <c r="MMU69" s="316"/>
      <c r="MMV69" s="316"/>
      <c r="MMW69" s="316"/>
      <c r="MMX69" s="316"/>
      <c r="MMY69" s="316"/>
      <c r="MMZ69" s="316"/>
      <c r="MNA69" s="316"/>
      <c r="MNB69" s="316"/>
      <c r="MNC69" s="316"/>
      <c r="MND69" s="316"/>
      <c r="MNE69" s="316"/>
      <c r="MNF69" s="316"/>
      <c r="MNG69" s="316"/>
      <c r="MNH69" s="316"/>
      <c r="MNI69" s="316"/>
      <c r="MNJ69" s="316"/>
      <c r="MNK69" s="316"/>
      <c r="MNL69" s="316"/>
      <c r="MNM69" s="316"/>
      <c r="MNN69" s="316"/>
      <c r="MNO69" s="316"/>
      <c r="MNP69" s="316"/>
      <c r="MNQ69" s="316"/>
      <c r="MNR69" s="316"/>
      <c r="MNS69" s="316"/>
      <c r="MNT69" s="316"/>
      <c r="MNU69" s="316"/>
      <c r="MNV69" s="316"/>
      <c r="MNW69" s="316"/>
      <c r="MNX69" s="316"/>
      <c r="MNY69" s="316"/>
      <c r="MNZ69" s="316"/>
      <c r="MOA69" s="316"/>
      <c r="MOB69" s="316"/>
      <c r="MOC69" s="316"/>
      <c r="MOD69" s="316"/>
      <c r="MOE69" s="316"/>
      <c r="MOF69" s="316"/>
      <c r="MOG69" s="316"/>
      <c r="MOH69" s="316"/>
      <c r="MOI69" s="316"/>
      <c r="MOJ69" s="316"/>
      <c r="MOK69" s="316"/>
      <c r="MOL69" s="316"/>
      <c r="MOM69" s="316"/>
      <c r="MON69" s="316"/>
      <c r="MOO69" s="316"/>
      <c r="MOP69" s="316"/>
      <c r="MOQ69" s="316"/>
      <c r="MOR69" s="316"/>
      <c r="MOS69" s="316"/>
      <c r="MOT69" s="316"/>
      <c r="MOU69" s="316"/>
      <c r="MOV69" s="316"/>
      <c r="MOW69" s="316"/>
      <c r="MOX69" s="316"/>
      <c r="MOY69" s="316"/>
      <c r="MOZ69" s="316"/>
      <c r="MPA69" s="316"/>
      <c r="MPB69" s="316"/>
      <c r="MPC69" s="316"/>
      <c r="MPD69" s="316"/>
      <c r="MPE69" s="316"/>
      <c r="MPF69" s="316"/>
      <c r="MPG69" s="316"/>
      <c r="MPH69" s="316"/>
      <c r="MPI69" s="316"/>
      <c r="MPJ69" s="316"/>
      <c r="MPK69" s="316"/>
      <c r="MPL69" s="316"/>
      <c r="MPM69" s="316"/>
      <c r="MPN69" s="316"/>
      <c r="MPO69" s="316"/>
      <c r="MPP69" s="316"/>
      <c r="MPQ69" s="316"/>
      <c r="MPR69" s="316"/>
      <c r="MPS69" s="316"/>
      <c r="MPT69" s="316"/>
      <c r="MPU69" s="316"/>
      <c r="MPV69" s="316"/>
      <c r="MPW69" s="316"/>
      <c r="MPX69" s="316"/>
      <c r="MPY69" s="316"/>
      <c r="MPZ69" s="316"/>
      <c r="MQA69" s="316"/>
      <c r="MQB69" s="316"/>
      <c r="MQC69" s="316"/>
      <c r="MQD69" s="316"/>
      <c r="MQE69" s="316"/>
      <c r="MQF69" s="316"/>
      <c r="MQG69" s="316"/>
      <c r="MQH69" s="316"/>
      <c r="MQI69" s="316"/>
      <c r="MQJ69" s="316"/>
      <c r="MQK69" s="316"/>
      <c r="MQL69" s="316"/>
      <c r="MQM69" s="316"/>
      <c r="MQN69" s="316"/>
      <c r="MQO69" s="316"/>
      <c r="MQP69" s="316"/>
      <c r="MQQ69" s="316"/>
      <c r="MQR69" s="316"/>
      <c r="MQS69" s="316"/>
      <c r="MQT69" s="316"/>
      <c r="MQU69" s="316"/>
      <c r="MQV69" s="316"/>
      <c r="MQW69" s="316"/>
      <c r="MQX69" s="316"/>
      <c r="MQY69" s="316"/>
      <c r="MQZ69" s="316"/>
      <c r="MRA69" s="316"/>
      <c r="MRB69" s="316"/>
      <c r="MRC69" s="316"/>
      <c r="MRD69" s="316"/>
      <c r="MRE69" s="316"/>
      <c r="MRF69" s="316"/>
      <c r="MRG69" s="316"/>
      <c r="MRH69" s="316"/>
      <c r="MRI69" s="316"/>
      <c r="MRJ69" s="316"/>
      <c r="MRK69" s="316"/>
      <c r="MRL69" s="316"/>
      <c r="MRM69" s="316"/>
      <c r="MRN69" s="316"/>
      <c r="MRO69" s="316"/>
      <c r="MRP69" s="316"/>
      <c r="MRQ69" s="316"/>
      <c r="MRR69" s="316"/>
      <c r="MRS69" s="316"/>
      <c r="MRT69" s="316"/>
      <c r="MRU69" s="316"/>
      <c r="MRV69" s="316"/>
      <c r="MRW69" s="316"/>
      <c r="MRX69" s="316"/>
      <c r="MRY69" s="316"/>
      <c r="MRZ69" s="316"/>
      <c r="MSA69" s="316"/>
      <c r="MSB69" s="316"/>
      <c r="MSC69" s="316"/>
      <c r="MSD69" s="316"/>
      <c r="MSE69" s="316"/>
      <c r="MSF69" s="316"/>
      <c r="MSG69" s="316"/>
      <c r="MSH69" s="316"/>
      <c r="MSI69" s="316"/>
      <c r="MSJ69" s="316"/>
      <c r="MSK69" s="316"/>
      <c r="MSL69" s="316"/>
      <c r="MSM69" s="316"/>
      <c r="MSN69" s="316"/>
      <c r="MSO69" s="316"/>
      <c r="MSP69" s="316"/>
      <c r="MSQ69" s="316"/>
      <c r="MSR69" s="316"/>
      <c r="MSS69" s="316"/>
      <c r="MST69" s="316"/>
      <c r="MSU69" s="316"/>
      <c r="MSV69" s="316"/>
      <c r="MSW69" s="316"/>
      <c r="MSX69" s="316"/>
      <c r="MSY69" s="316"/>
      <c r="MSZ69" s="316"/>
      <c r="MTA69" s="316"/>
      <c r="MTB69" s="316"/>
      <c r="MTC69" s="316"/>
      <c r="MTD69" s="316"/>
      <c r="MTE69" s="316"/>
      <c r="MTF69" s="316"/>
      <c r="MTG69" s="316"/>
      <c r="MTH69" s="316"/>
      <c r="MTI69" s="316"/>
      <c r="MTJ69" s="316"/>
      <c r="MTK69" s="316"/>
      <c r="MTL69" s="316"/>
      <c r="MTM69" s="316"/>
      <c r="MTN69" s="316"/>
      <c r="MTO69" s="316"/>
      <c r="MTP69" s="316"/>
      <c r="MTQ69" s="316"/>
      <c r="MTR69" s="316"/>
      <c r="MTS69" s="316"/>
      <c r="MTT69" s="316"/>
      <c r="MTU69" s="316"/>
      <c r="MTV69" s="316"/>
      <c r="MTW69" s="316"/>
      <c r="MTX69" s="316"/>
      <c r="MTY69" s="316"/>
      <c r="MTZ69" s="316"/>
      <c r="MUA69" s="316"/>
      <c r="MUB69" s="316"/>
      <c r="MUC69" s="316"/>
      <c r="MUD69" s="316"/>
      <c r="MUE69" s="316"/>
      <c r="MUF69" s="316"/>
      <c r="MUG69" s="316"/>
      <c r="MUH69" s="316"/>
      <c r="MUI69" s="316"/>
      <c r="MUJ69" s="316"/>
      <c r="MUK69" s="316"/>
      <c r="MUL69" s="316"/>
      <c r="MUM69" s="316"/>
      <c r="MUN69" s="316"/>
      <c r="MUO69" s="316"/>
      <c r="MUP69" s="316"/>
      <c r="MUQ69" s="316"/>
      <c r="MUR69" s="316"/>
      <c r="MUS69" s="316"/>
      <c r="MUT69" s="316"/>
      <c r="MUU69" s="316"/>
      <c r="MUV69" s="316"/>
      <c r="MUW69" s="316"/>
      <c r="MUX69" s="316"/>
      <c r="MUY69" s="316"/>
      <c r="MUZ69" s="316"/>
      <c r="MVA69" s="316"/>
      <c r="MVB69" s="316"/>
      <c r="MVC69" s="316"/>
      <c r="MVD69" s="316"/>
      <c r="MVE69" s="316"/>
      <c r="MVF69" s="316"/>
      <c r="MVG69" s="316"/>
      <c r="MVH69" s="316"/>
      <c r="MVI69" s="316"/>
      <c r="MVJ69" s="316"/>
      <c r="MVK69" s="316"/>
      <c r="MVL69" s="316"/>
      <c r="MVM69" s="316"/>
      <c r="MVN69" s="316"/>
      <c r="MVO69" s="316"/>
      <c r="MVP69" s="316"/>
      <c r="MVQ69" s="316"/>
      <c r="MVR69" s="316"/>
      <c r="MVS69" s="316"/>
      <c r="MVT69" s="316"/>
      <c r="MVU69" s="316"/>
      <c r="MVV69" s="316"/>
      <c r="MVW69" s="316"/>
      <c r="MVX69" s="316"/>
      <c r="MVY69" s="316"/>
      <c r="MVZ69" s="316"/>
      <c r="MWA69" s="316"/>
      <c r="MWB69" s="316"/>
      <c r="MWC69" s="316"/>
      <c r="MWD69" s="316"/>
      <c r="MWE69" s="316"/>
      <c r="MWF69" s="316"/>
      <c r="MWG69" s="316"/>
      <c r="MWH69" s="316"/>
      <c r="MWI69" s="316"/>
      <c r="MWJ69" s="316"/>
      <c r="MWK69" s="316"/>
      <c r="MWL69" s="316"/>
      <c r="MWM69" s="316"/>
      <c r="MWN69" s="316"/>
      <c r="MWO69" s="316"/>
      <c r="MWP69" s="316"/>
      <c r="MWQ69" s="316"/>
      <c r="MWR69" s="316"/>
      <c r="MWS69" s="316"/>
      <c r="MWT69" s="316"/>
      <c r="MWU69" s="316"/>
      <c r="MWV69" s="316"/>
      <c r="MWW69" s="316"/>
      <c r="MWX69" s="316"/>
      <c r="MWY69" s="316"/>
      <c r="MWZ69" s="316"/>
      <c r="MXA69" s="316"/>
      <c r="MXB69" s="316"/>
      <c r="MXC69" s="316"/>
      <c r="MXD69" s="316"/>
      <c r="MXE69" s="316"/>
      <c r="MXF69" s="316"/>
      <c r="MXG69" s="316"/>
      <c r="MXH69" s="316"/>
      <c r="MXI69" s="316"/>
      <c r="MXJ69" s="316"/>
      <c r="MXK69" s="316"/>
      <c r="MXL69" s="316"/>
      <c r="MXM69" s="316"/>
      <c r="MXN69" s="316"/>
      <c r="MXO69" s="316"/>
      <c r="MXP69" s="316"/>
      <c r="MXQ69" s="316"/>
      <c r="MXR69" s="316"/>
      <c r="MXS69" s="316"/>
      <c r="MXT69" s="316"/>
      <c r="MXU69" s="316"/>
      <c r="MXV69" s="316"/>
      <c r="MXW69" s="316"/>
      <c r="MXX69" s="316"/>
      <c r="MXY69" s="316"/>
      <c r="MXZ69" s="316"/>
      <c r="MYA69" s="316"/>
      <c r="MYB69" s="316"/>
      <c r="MYC69" s="316"/>
      <c r="MYD69" s="316"/>
      <c r="MYE69" s="316"/>
      <c r="MYF69" s="316"/>
      <c r="MYG69" s="316"/>
      <c r="MYH69" s="316"/>
      <c r="MYI69" s="316"/>
      <c r="MYJ69" s="316"/>
      <c r="MYK69" s="316"/>
      <c r="MYL69" s="316"/>
      <c r="MYM69" s="316"/>
      <c r="MYN69" s="316"/>
      <c r="MYO69" s="316"/>
      <c r="MYP69" s="316"/>
      <c r="MYQ69" s="316"/>
      <c r="MYR69" s="316"/>
      <c r="MYS69" s="316"/>
      <c r="MYT69" s="316"/>
      <c r="MYU69" s="316"/>
      <c r="MYV69" s="316"/>
      <c r="MYW69" s="316"/>
      <c r="MYX69" s="316"/>
      <c r="MYY69" s="316"/>
      <c r="MYZ69" s="316"/>
      <c r="MZA69" s="316"/>
      <c r="MZB69" s="316"/>
      <c r="MZC69" s="316"/>
      <c r="MZD69" s="316"/>
      <c r="MZE69" s="316"/>
      <c r="MZF69" s="316"/>
      <c r="MZG69" s="316"/>
      <c r="MZH69" s="316"/>
      <c r="MZI69" s="316"/>
      <c r="MZJ69" s="316"/>
      <c r="MZK69" s="316"/>
      <c r="MZL69" s="316"/>
      <c r="MZM69" s="316"/>
      <c r="MZN69" s="316"/>
      <c r="MZO69" s="316"/>
      <c r="MZP69" s="316"/>
      <c r="MZQ69" s="316"/>
      <c r="MZR69" s="316"/>
      <c r="MZS69" s="316"/>
      <c r="MZT69" s="316"/>
      <c r="MZU69" s="316"/>
      <c r="MZV69" s="316"/>
      <c r="MZW69" s="316"/>
      <c r="MZX69" s="316"/>
      <c r="MZY69" s="316"/>
      <c r="MZZ69" s="316"/>
      <c r="NAA69" s="316"/>
      <c r="NAB69" s="316"/>
      <c r="NAC69" s="316"/>
      <c r="NAD69" s="316"/>
      <c r="NAE69" s="316"/>
      <c r="NAF69" s="316"/>
      <c r="NAG69" s="316"/>
      <c r="NAH69" s="316"/>
      <c r="NAI69" s="316"/>
      <c r="NAJ69" s="316"/>
      <c r="NAK69" s="316"/>
      <c r="NAL69" s="316"/>
      <c r="NAM69" s="316"/>
      <c r="NAN69" s="316"/>
      <c r="NAO69" s="316"/>
      <c r="NAP69" s="316"/>
      <c r="NAQ69" s="316"/>
      <c r="NAR69" s="316"/>
      <c r="NAS69" s="316"/>
      <c r="NAT69" s="316"/>
      <c r="NAU69" s="316"/>
      <c r="NAV69" s="316"/>
      <c r="NAW69" s="316"/>
      <c r="NAX69" s="316"/>
      <c r="NAY69" s="316"/>
      <c r="NAZ69" s="316"/>
      <c r="NBA69" s="316"/>
      <c r="NBB69" s="316"/>
      <c r="NBC69" s="316"/>
      <c r="NBD69" s="316"/>
      <c r="NBE69" s="316"/>
      <c r="NBF69" s="316"/>
      <c r="NBG69" s="316"/>
      <c r="NBH69" s="316"/>
      <c r="NBI69" s="316"/>
      <c r="NBJ69" s="316"/>
      <c r="NBK69" s="316"/>
      <c r="NBL69" s="316"/>
      <c r="NBM69" s="316"/>
      <c r="NBN69" s="316"/>
      <c r="NBO69" s="316"/>
      <c r="NBP69" s="316"/>
      <c r="NBQ69" s="316"/>
      <c r="NBR69" s="316"/>
      <c r="NBS69" s="316"/>
      <c r="NBT69" s="316"/>
      <c r="NBU69" s="316"/>
      <c r="NBV69" s="316"/>
      <c r="NBW69" s="316"/>
      <c r="NBX69" s="316"/>
      <c r="NBY69" s="316"/>
      <c r="NBZ69" s="316"/>
      <c r="NCA69" s="316"/>
      <c r="NCB69" s="316"/>
      <c r="NCC69" s="316"/>
      <c r="NCD69" s="316"/>
      <c r="NCE69" s="316"/>
      <c r="NCF69" s="316"/>
      <c r="NCG69" s="316"/>
      <c r="NCH69" s="316"/>
      <c r="NCI69" s="316"/>
      <c r="NCJ69" s="316"/>
      <c r="NCK69" s="316"/>
      <c r="NCL69" s="316"/>
      <c r="NCM69" s="316"/>
      <c r="NCN69" s="316"/>
      <c r="NCO69" s="316"/>
      <c r="NCP69" s="316"/>
      <c r="NCQ69" s="316"/>
      <c r="NCR69" s="316"/>
      <c r="NCS69" s="316"/>
      <c r="NCT69" s="316"/>
      <c r="NCU69" s="316"/>
      <c r="NCV69" s="316"/>
      <c r="NCW69" s="316"/>
      <c r="NCX69" s="316"/>
      <c r="NCY69" s="316"/>
      <c r="NCZ69" s="316"/>
      <c r="NDA69" s="316"/>
      <c r="NDB69" s="316"/>
      <c r="NDC69" s="316"/>
      <c r="NDD69" s="316"/>
      <c r="NDE69" s="316"/>
      <c r="NDF69" s="316"/>
      <c r="NDG69" s="316"/>
      <c r="NDH69" s="316"/>
      <c r="NDI69" s="316"/>
      <c r="NDJ69" s="316"/>
      <c r="NDK69" s="316"/>
      <c r="NDL69" s="316"/>
      <c r="NDM69" s="316"/>
      <c r="NDN69" s="316"/>
      <c r="NDO69" s="316"/>
      <c r="NDP69" s="316"/>
      <c r="NDQ69" s="316"/>
      <c r="NDR69" s="316"/>
      <c r="NDS69" s="316"/>
      <c r="NDT69" s="316"/>
      <c r="NDU69" s="316"/>
      <c r="NDV69" s="316"/>
      <c r="NDW69" s="316"/>
      <c r="NDX69" s="316"/>
      <c r="NDY69" s="316"/>
      <c r="NDZ69" s="316"/>
      <c r="NEA69" s="316"/>
      <c r="NEB69" s="316"/>
      <c r="NEC69" s="316"/>
      <c r="NED69" s="316"/>
      <c r="NEE69" s="316"/>
      <c r="NEF69" s="316"/>
      <c r="NEG69" s="316"/>
      <c r="NEH69" s="316"/>
      <c r="NEI69" s="316"/>
      <c r="NEJ69" s="316"/>
      <c r="NEK69" s="316"/>
      <c r="NEL69" s="316"/>
      <c r="NEM69" s="316"/>
      <c r="NEN69" s="316"/>
      <c r="NEO69" s="316"/>
      <c r="NEP69" s="316"/>
      <c r="NEQ69" s="316"/>
      <c r="NER69" s="316"/>
      <c r="NES69" s="316"/>
      <c r="NET69" s="316"/>
      <c r="NEU69" s="316"/>
      <c r="NEV69" s="316"/>
      <c r="NEW69" s="316"/>
      <c r="NEX69" s="316"/>
      <c r="NEY69" s="316"/>
      <c r="NEZ69" s="316"/>
      <c r="NFA69" s="316"/>
      <c r="NFB69" s="316"/>
      <c r="NFC69" s="316"/>
      <c r="NFD69" s="316"/>
      <c r="NFE69" s="316"/>
      <c r="NFF69" s="316"/>
      <c r="NFG69" s="316"/>
      <c r="NFH69" s="316"/>
      <c r="NFI69" s="316"/>
      <c r="NFJ69" s="316"/>
      <c r="NFK69" s="316"/>
      <c r="NFL69" s="316"/>
      <c r="NFM69" s="316"/>
      <c r="NFN69" s="316"/>
      <c r="NFO69" s="316"/>
      <c r="NFP69" s="316"/>
      <c r="NFQ69" s="316"/>
      <c r="NFR69" s="316"/>
      <c r="NFS69" s="316"/>
      <c r="NFT69" s="316"/>
      <c r="NFU69" s="316"/>
      <c r="NFV69" s="316"/>
      <c r="NFW69" s="316"/>
      <c r="NFX69" s="316"/>
      <c r="NFY69" s="316"/>
      <c r="NFZ69" s="316"/>
      <c r="NGA69" s="316"/>
      <c r="NGB69" s="316"/>
      <c r="NGC69" s="316"/>
      <c r="NGD69" s="316"/>
      <c r="NGE69" s="316"/>
      <c r="NGF69" s="316"/>
      <c r="NGG69" s="316"/>
      <c r="NGH69" s="316"/>
      <c r="NGI69" s="316"/>
      <c r="NGJ69" s="316"/>
      <c r="NGK69" s="316"/>
      <c r="NGL69" s="316"/>
      <c r="NGM69" s="316"/>
      <c r="NGN69" s="316"/>
      <c r="NGO69" s="316"/>
      <c r="NGP69" s="316"/>
      <c r="NGQ69" s="316"/>
      <c r="NGR69" s="316"/>
      <c r="NGS69" s="316"/>
      <c r="NGT69" s="316"/>
      <c r="NGU69" s="316"/>
      <c r="NGV69" s="316"/>
      <c r="NGW69" s="316"/>
      <c r="NGX69" s="316"/>
      <c r="NGY69" s="316"/>
      <c r="NGZ69" s="316"/>
      <c r="NHA69" s="316"/>
      <c r="NHB69" s="316"/>
      <c r="NHC69" s="316"/>
      <c r="NHD69" s="316"/>
      <c r="NHE69" s="316"/>
      <c r="NHF69" s="316"/>
      <c r="NHG69" s="316"/>
      <c r="NHH69" s="316"/>
      <c r="NHI69" s="316"/>
      <c r="NHJ69" s="316"/>
      <c r="NHK69" s="316"/>
      <c r="NHL69" s="316"/>
      <c r="NHM69" s="316"/>
      <c r="NHN69" s="316"/>
      <c r="NHO69" s="316"/>
      <c r="NHP69" s="316"/>
      <c r="NHQ69" s="316"/>
      <c r="NHR69" s="316"/>
      <c r="NHS69" s="316"/>
      <c r="NHT69" s="316"/>
      <c r="NHU69" s="316"/>
      <c r="NHV69" s="316"/>
      <c r="NHW69" s="316"/>
      <c r="NHX69" s="316"/>
      <c r="NHY69" s="316"/>
      <c r="NHZ69" s="316"/>
      <c r="NIA69" s="316"/>
      <c r="NIB69" s="316"/>
      <c r="NIC69" s="316"/>
      <c r="NID69" s="316"/>
      <c r="NIE69" s="316"/>
      <c r="NIF69" s="316"/>
      <c r="NIG69" s="316"/>
      <c r="NIH69" s="316"/>
      <c r="NII69" s="316"/>
      <c r="NIJ69" s="316"/>
      <c r="NIK69" s="316"/>
      <c r="NIL69" s="316"/>
      <c r="NIM69" s="316"/>
      <c r="NIN69" s="316"/>
      <c r="NIO69" s="316"/>
      <c r="NIP69" s="316"/>
      <c r="NIQ69" s="316"/>
      <c r="NIR69" s="316"/>
      <c r="NIS69" s="316"/>
      <c r="NIT69" s="316"/>
      <c r="NIU69" s="316"/>
      <c r="NIV69" s="316"/>
      <c r="NIW69" s="316"/>
      <c r="NIX69" s="316"/>
      <c r="NIY69" s="316"/>
      <c r="NIZ69" s="316"/>
      <c r="NJA69" s="316"/>
      <c r="NJB69" s="316"/>
      <c r="NJC69" s="316"/>
      <c r="NJD69" s="316"/>
      <c r="NJE69" s="316"/>
      <c r="NJF69" s="316"/>
      <c r="NJG69" s="316"/>
      <c r="NJH69" s="316"/>
      <c r="NJI69" s="316"/>
      <c r="NJJ69" s="316"/>
      <c r="NJK69" s="316"/>
      <c r="NJL69" s="316"/>
      <c r="NJM69" s="316"/>
      <c r="NJN69" s="316"/>
      <c r="NJO69" s="316"/>
      <c r="NJP69" s="316"/>
      <c r="NJQ69" s="316"/>
      <c r="NJR69" s="316"/>
      <c r="NJS69" s="316"/>
      <c r="NJT69" s="316"/>
      <c r="NJU69" s="316"/>
      <c r="NJV69" s="316"/>
      <c r="NJW69" s="316"/>
      <c r="NJX69" s="316"/>
      <c r="NJY69" s="316"/>
      <c r="NJZ69" s="316"/>
      <c r="NKA69" s="316"/>
      <c r="NKB69" s="316"/>
      <c r="NKC69" s="316"/>
      <c r="NKD69" s="316"/>
      <c r="NKE69" s="316"/>
      <c r="NKF69" s="316"/>
      <c r="NKG69" s="316"/>
      <c r="NKH69" s="316"/>
      <c r="NKI69" s="316"/>
      <c r="NKJ69" s="316"/>
      <c r="NKK69" s="316"/>
      <c r="NKL69" s="316"/>
      <c r="NKM69" s="316"/>
      <c r="NKN69" s="316"/>
      <c r="NKO69" s="316"/>
      <c r="NKP69" s="316"/>
      <c r="NKQ69" s="316"/>
      <c r="NKR69" s="316"/>
      <c r="NKS69" s="316"/>
      <c r="NKT69" s="316"/>
      <c r="NKU69" s="316"/>
      <c r="NKV69" s="316"/>
      <c r="NKW69" s="316"/>
      <c r="NKX69" s="316"/>
      <c r="NKY69" s="316"/>
      <c r="NKZ69" s="316"/>
      <c r="NLA69" s="316"/>
      <c r="NLB69" s="316"/>
      <c r="NLC69" s="316"/>
      <c r="NLD69" s="316"/>
      <c r="NLE69" s="316"/>
      <c r="NLF69" s="316"/>
      <c r="NLG69" s="316"/>
      <c r="NLH69" s="316"/>
      <c r="NLI69" s="316"/>
      <c r="NLJ69" s="316"/>
      <c r="NLK69" s="316"/>
      <c r="NLL69" s="316"/>
      <c r="NLM69" s="316"/>
      <c r="NLN69" s="316"/>
      <c r="NLO69" s="316"/>
      <c r="NLP69" s="316"/>
      <c r="NLQ69" s="316"/>
      <c r="NLR69" s="316"/>
      <c r="NLS69" s="316"/>
      <c r="NLT69" s="316"/>
      <c r="NLU69" s="316"/>
      <c r="NLV69" s="316"/>
      <c r="NLW69" s="316"/>
      <c r="NLX69" s="316"/>
      <c r="NLY69" s="316"/>
      <c r="NLZ69" s="316"/>
      <c r="NMA69" s="316"/>
      <c r="NMB69" s="316"/>
      <c r="NMC69" s="316"/>
      <c r="NMD69" s="316"/>
      <c r="NME69" s="316"/>
      <c r="NMF69" s="316"/>
      <c r="NMG69" s="316"/>
      <c r="NMH69" s="316"/>
      <c r="NMI69" s="316"/>
      <c r="NMJ69" s="316"/>
      <c r="NMK69" s="316"/>
      <c r="NML69" s="316"/>
      <c r="NMM69" s="316"/>
      <c r="NMN69" s="316"/>
      <c r="NMO69" s="316"/>
      <c r="NMP69" s="316"/>
      <c r="NMQ69" s="316"/>
      <c r="NMR69" s="316"/>
      <c r="NMS69" s="316"/>
      <c r="NMT69" s="316"/>
      <c r="NMU69" s="316"/>
      <c r="NMV69" s="316"/>
      <c r="NMW69" s="316"/>
      <c r="NMX69" s="316"/>
      <c r="NMY69" s="316"/>
      <c r="NMZ69" s="316"/>
      <c r="NNA69" s="316"/>
      <c r="NNB69" s="316"/>
      <c r="NNC69" s="316"/>
      <c r="NND69" s="316"/>
      <c r="NNE69" s="316"/>
      <c r="NNF69" s="316"/>
      <c r="NNG69" s="316"/>
      <c r="NNH69" s="316"/>
      <c r="NNI69" s="316"/>
      <c r="NNJ69" s="316"/>
      <c r="NNK69" s="316"/>
      <c r="NNL69" s="316"/>
      <c r="NNM69" s="316"/>
      <c r="NNN69" s="316"/>
      <c r="NNO69" s="316"/>
      <c r="NNP69" s="316"/>
      <c r="NNQ69" s="316"/>
      <c r="NNR69" s="316"/>
      <c r="NNS69" s="316"/>
      <c r="NNT69" s="316"/>
      <c r="NNU69" s="316"/>
      <c r="NNV69" s="316"/>
      <c r="NNW69" s="316"/>
      <c r="NNX69" s="316"/>
      <c r="NNY69" s="316"/>
      <c r="NNZ69" s="316"/>
      <c r="NOA69" s="316"/>
      <c r="NOB69" s="316"/>
      <c r="NOC69" s="316"/>
      <c r="NOD69" s="316"/>
      <c r="NOE69" s="316"/>
      <c r="NOF69" s="316"/>
      <c r="NOG69" s="316"/>
      <c r="NOH69" s="316"/>
      <c r="NOI69" s="316"/>
      <c r="NOJ69" s="316"/>
      <c r="NOK69" s="316"/>
      <c r="NOL69" s="316"/>
      <c r="NOM69" s="316"/>
      <c r="NON69" s="316"/>
      <c r="NOO69" s="316"/>
      <c r="NOP69" s="316"/>
      <c r="NOQ69" s="316"/>
      <c r="NOR69" s="316"/>
      <c r="NOS69" s="316"/>
      <c r="NOT69" s="316"/>
      <c r="NOU69" s="316"/>
      <c r="NOV69" s="316"/>
      <c r="NOW69" s="316"/>
      <c r="NOX69" s="316"/>
      <c r="NOY69" s="316"/>
      <c r="NOZ69" s="316"/>
      <c r="NPA69" s="316"/>
      <c r="NPB69" s="316"/>
      <c r="NPC69" s="316"/>
      <c r="NPD69" s="316"/>
      <c r="NPE69" s="316"/>
      <c r="NPF69" s="316"/>
      <c r="NPG69" s="316"/>
      <c r="NPH69" s="316"/>
      <c r="NPI69" s="316"/>
      <c r="NPJ69" s="316"/>
      <c r="NPK69" s="316"/>
      <c r="NPL69" s="316"/>
      <c r="NPM69" s="316"/>
      <c r="NPN69" s="316"/>
      <c r="NPO69" s="316"/>
      <c r="NPP69" s="316"/>
      <c r="NPQ69" s="316"/>
      <c r="NPR69" s="316"/>
      <c r="NPS69" s="316"/>
      <c r="NPT69" s="316"/>
      <c r="NPU69" s="316"/>
      <c r="NPV69" s="316"/>
      <c r="NPW69" s="316"/>
      <c r="NPX69" s="316"/>
      <c r="NPY69" s="316"/>
      <c r="NPZ69" s="316"/>
      <c r="NQA69" s="316"/>
      <c r="NQB69" s="316"/>
      <c r="NQC69" s="316"/>
      <c r="NQD69" s="316"/>
      <c r="NQE69" s="316"/>
      <c r="NQF69" s="316"/>
      <c r="NQG69" s="316"/>
      <c r="NQH69" s="316"/>
      <c r="NQI69" s="316"/>
      <c r="NQJ69" s="316"/>
      <c r="NQK69" s="316"/>
      <c r="NQL69" s="316"/>
      <c r="NQM69" s="316"/>
      <c r="NQN69" s="316"/>
      <c r="NQO69" s="316"/>
      <c r="NQP69" s="316"/>
      <c r="NQQ69" s="316"/>
      <c r="NQR69" s="316"/>
      <c r="NQS69" s="316"/>
      <c r="NQT69" s="316"/>
      <c r="NQU69" s="316"/>
      <c r="NQV69" s="316"/>
      <c r="NQW69" s="316"/>
      <c r="NQX69" s="316"/>
      <c r="NQY69" s="316"/>
      <c r="NQZ69" s="316"/>
      <c r="NRA69" s="316"/>
      <c r="NRB69" s="316"/>
      <c r="NRC69" s="316"/>
      <c r="NRD69" s="316"/>
      <c r="NRE69" s="316"/>
      <c r="NRF69" s="316"/>
      <c r="NRG69" s="316"/>
      <c r="NRH69" s="316"/>
      <c r="NRI69" s="316"/>
      <c r="NRJ69" s="316"/>
      <c r="NRK69" s="316"/>
      <c r="NRL69" s="316"/>
      <c r="NRM69" s="316"/>
      <c r="NRN69" s="316"/>
      <c r="NRO69" s="316"/>
      <c r="NRP69" s="316"/>
      <c r="NRQ69" s="316"/>
      <c r="NRR69" s="316"/>
      <c r="NRS69" s="316"/>
      <c r="NRT69" s="316"/>
      <c r="NRU69" s="316"/>
      <c r="NRV69" s="316"/>
      <c r="NRW69" s="316"/>
      <c r="NRX69" s="316"/>
      <c r="NRY69" s="316"/>
      <c r="NRZ69" s="316"/>
      <c r="NSA69" s="316"/>
      <c r="NSB69" s="316"/>
      <c r="NSC69" s="316"/>
      <c r="NSD69" s="316"/>
      <c r="NSE69" s="316"/>
      <c r="NSF69" s="316"/>
      <c r="NSG69" s="316"/>
      <c r="NSH69" s="316"/>
      <c r="NSI69" s="316"/>
      <c r="NSJ69" s="316"/>
      <c r="NSK69" s="316"/>
      <c r="NSL69" s="316"/>
      <c r="NSM69" s="316"/>
      <c r="NSN69" s="316"/>
      <c r="NSO69" s="316"/>
      <c r="NSP69" s="316"/>
      <c r="NSQ69" s="316"/>
      <c r="NSR69" s="316"/>
      <c r="NSS69" s="316"/>
      <c r="NST69" s="316"/>
      <c r="NSU69" s="316"/>
      <c r="NSV69" s="316"/>
      <c r="NSW69" s="316"/>
      <c r="NSX69" s="316"/>
      <c r="NSY69" s="316"/>
      <c r="NSZ69" s="316"/>
      <c r="NTA69" s="316"/>
      <c r="NTB69" s="316"/>
      <c r="NTC69" s="316"/>
      <c r="NTD69" s="316"/>
      <c r="NTE69" s="316"/>
      <c r="NTF69" s="316"/>
      <c r="NTG69" s="316"/>
      <c r="NTH69" s="316"/>
      <c r="NTI69" s="316"/>
      <c r="NTJ69" s="316"/>
      <c r="NTK69" s="316"/>
      <c r="NTL69" s="316"/>
      <c r="NTM69" s="316"/>
      <c r="NTN69" s="316"/>
      <c r="NTO69" s="316"/>
      <c r="NTP69" s="316"/>
      <c r="NTQ69" s="316"/>
      <c r="NTR69" s="316"/>
      <c r="NTS69" s="316"/>
      <c r="NTT69" s="316"/>
      <c r="NTU69" s="316"/>
      <c r="NTV69" s="316"/>
      <c r="NTW69" s="316"/>
      <c r="NTX69" s="316"/>
      <c r="NTY69" s="316"/>
      <c r="NTZ69" s="316"/>
      <c r="NUA69" s="316"/>
      <c r="NUB69" s="316"/>
      <c r="NUC69" s="316"/>
      <c r="NUD69" s="316"/>
      <c r="NUE69" s="316"/>
      <c r="NUF69" s="316"/>
      <c r="NUG69" s="316"/>
      <c r="NUH69" s="316"/>
      <c r="NUI69" s="316"/>
      <c r="NUJ69" s="316"/>
      <c r="NUK69" s="316"/>
      <c r="NUL69" s="316"/>
      <c r="NUM69" s="316"/>
      <c r="NUN69" s="316"/>
      <c r="NUO69" s="316"/>
      <c r="NUP69" s="316"/>
      <c r="NUQ69" s="316"/>
      <c r="NUR69" s="316"/>
      <c r="NUS69" s="316"/>
      <c r="NUT69" s="316"/>
      <c r="NUU69" s="316"/>
      <c r="NUV69" s="316"/>
      <c r="NUW69" s="316"/>
      <c r="NUX69" s="316"/>
      <c r="NUY69" s="316"/>
      <c r="NUZ69" s="316"/>
      <c r="NVA69" s="316"/>
      <c r="NVB69" s="316"/>
      <c r="NVC69" s="316"/>
      <c r="NVD69" s="316"/>
      <c r="NVE69" s="316"/>
      <c r="NVF69" s="316"/>
      <c r="NVG69" s="316"/>
      <c r="NVH69" s="316"/>
      <c r="NVI69" s="316"/>
      <c r="NVJ69" s="316"/>
      <c r="NVK69" s="316"/>
      <c r="NVL69" s="316"/>
      <c r="NVM69" s="316"/>
      <c r="NVN69" s="316"/>
      <c r="NVO69" s="316"/>
      <c r="NVP69" s="316"/>
      <c r="NVQ69" s="316"/>
      <c r="NVR69" s="316"/>
      <c r="NVS69" s="316"/>
      <c r="NVT69" s="316"/>
      <c r="NVU69" s="316"/>
      <c r="NVV69" s="316"/>
      <c r="NVW69" s="316"/>
      <c r="NVX69" s="316"/>
      <c r="NVY69" s="316"/>
      <c r="NVZ69" s="316"/>
      <c r="NWA69" s="316"/>
      <c r="NWB69" s="316"/>
      <c r="NWC69" s="316"/>
      <c r="NWD69" s="316"/>
      <c r="NWE69" s="316"/>
      <c r="NWF69" s="316"/>
      <c r="NWG69" s="316"/>
      <c r="NWH69" s="316"/>
      <c r="NWI69" s="316"/>
      <c r="NWJ69" s="316"/>
      <c r="NWK69" s="316"/>
      <c r="NWL69" s="316"/>
      <c r="NWM69" s="316"/>
      <c r="NWN69" s="316"/>
      <c r="NWO69" s="316"/>
      <c r="NWP69" s="316"/>
      <c r="NWQ69" s="316"/>
      <c r="NWR69" s="316"/>
      <c r="NWS69" s="316"/>
      <c r="NWT69" s="316"/>
      <c r="NWU69" s="316"/>
      <c r="NWV69" s="316"/>
      <c r="NWW69" s="316"/>
      <c r="NWX69" s="316"/>
      <c r="NWY69" s="316"/>
      <c r="NWZ69" s="316"/>
      <c r="NXA69" s="316"/>
      <c r="NXB69" s="316"/>
      <c r="NXC69" s="316"/>
      <c r="NXD69" s="316"/>
      <c r="NXE69" s="316"/>
      <c r="NXF69" s="316"/>
      <c r="NXG69" s="316"/>
      <c r="NXH69" s="316"/>
      <c r="NXI69" s="316"/>
      <c r="NXJ69" s="316"/>
      <c r="NXK69" s="316"/>
      <c r="NXL69" s="316"/>
      <c r="NXM69" s="316"/>
      <c r="NXN69" s="316"/>
      <c r="NXO69" s="316"/>
      <c r="NXP69" s="316"/>
      <c r="NXQ69" s="316"/>
      <c r="NXR69" s="316"/>
      <c r="NXS69" s="316"/>
      <c r="NXT69" s="316"/>
      <c r="NXU69" s="316"/>
      <c r="NXV69" s="316"/>
      <c r="NXW69" s="316"/>
      <c r="NXX69" s="316"/>
      <c r="NXY69" s="316"/>
      <c r="NXZ69" s="316"/>
      <c r="NYA69" s="316"/>
      <c r="NYB69" s="316"/>
      <c r="NYC69" s="316"/>
      <c r="NYD69" s="316"/>
      <c r="NYE69" s="316"/>
      <c r="NYF69" s="316"/>
      <c r="NYG69" s="316"/>
      <c r="NYH69" s="316"/>
      <c r="NYI69" s="316"/>
      <c r="NYJ69" s="316"/>
      <c r="NYK69" s="316"/>
      <c r="NYL69" s="316"/>
      <c r="NYM69" s="316"/>
      <c r="NYN69" s="316"/>
      <c r="NYO69" s="316"/>
      <c r="NYP69" s="316"/>
      <c r="NYQ69" s="316"/>
      <c r="NYR69" s="316"/>
      <c r="NYS69" s="316"/>
      <c r="NYT69" s="316"/>
      <c r="NYU69" s="316"/>
      <c r="NYV69" s="316"/>
      <c r="NYW69" s="316"/>
      <c r="NYX69" s="316"/>
      <c r="NYY69" s="316"/>
      <c r="NYZ69" s="316"/>
      <c r="NZA69" s="316"/>
      <c r="NZB69" s="316"/>
      <c r="NZC69" s="316"/>
      <c r="NZD69" s="316"/>
      <c r="NZE69" s="316"/>
      <c r="NZF69" s="316"/>
      <c r="NZG69" s="316"/>
      <c r="NZH69" s="316"/>
      <c r="NZI69" s="316"/>
      <c r="NZJ69" s="316"/>
      <c r="NZK69" s="316"/>
      <c r="NZL69" s="316"/>
      <c r="NZM69" s="316"/>
      <c r="NZN69" s="316"/>
      <c r="NZO69" s="316"/>
      <c r="NZP69" s="316"/>
      <c r="NZQ69" s="316"/>
      <c r="NZR69" s="316"/>
      <c r="NZS69" s="316"/>
      <c r="NZT69" s="316"/>
      <c r="NZU69" s="316"/>
      <c r="NZV69" s="316"/>
      <c r="NZW69" s="316"/>
      <c r="NZX69" s="316"/>
      <c r="NZY69" s="316"/>
      <c r="NZZ69" s="316"/>
      <c r="OAA69" s="316"/>
      <c r="OAB69" s="316"/>
      <c r="OAC69" s="316"/>
      <c r="OAD69" s="316"/>
      <c r="OAE69" s="316"/>
      <c r="OAF69" s="316"/>
      <c r="OAG69" s="316"/>
      <c r="OAH69" s="316"/>
      <c r="OAI69" s="316"/>
      <c r="OAJ69" s="316"/>
      <c r="OAK69" s="316"/>
      <c r="OAL69" s="316"/>
      <c r="OAM69" s="316"/>
      <c r="OAN69" s="316"/>
      <c r="OAO69" s="316"/>
      <c r="OAP69" s="316"/>
      <c r="OAQ69" s="316"/>
      <c r="OAR69" s="316"/>
      <c r="OAS69" s="316"/>
      <c r="OAT69" s="316"/>
      <c r="OAU69" s="316"/>
      <c r="OAV69" s="316"/>
      <c r="OAW69" s="316"/>
      <c r="OAX69" s="316"/>
      <c r="OAY69" s="316"/>
      <c r="OAZ69" s="316"/>
      <c r="OBA69" s="316"/>
      <c r="OBB69" s="316"/>
      <c r="OBC69" s="316"/>
      <c r="OBD69" s="316"/>
      <c r="OBE69" s="316"/>
      <c r="OBF69" s="316"/>
      <c r="OBG69" s="316"/>
      <c r="OBH69" s="316"/>
      <c r="OBI69" s="316"/>
      <c r="OBJ69" s="316"/>
      <c r="OBK69" s="316"/>
      <c r="OBL69" s="316"/>
      <c r="OBM69" s="316"/>
      <c r="OBN69" s="316"/>
      <c r="OBO69" s="316"/>
      <c r="OBP69" s="316"/>
      <c r="OBQ69" s="316"/>
      <c r="OBR69" s="316"/>
      <c r="OBS69" s="316"/>
      <c r="OBT69" s="316"/>
      <c r="OBU69" s="316"/>
      <c r="OBV69" s="316"/>
      <c r="OBW69" s="316"/>
      <c r="OBX69" s="316"/>
      <c r="OBY69" s="316"/>
      <c r="OBZ69" s="316"/>
      <c r="OCA69" s="316"/>
      <c r="OCB69" s="316"/>
      <c r="OCC69" s="316"/>
      <c r="OCD69" s="316"/>
      <c r="OCE69" s="316"/>
      <c r="OCF69" s="316"/>
      <c r="OCG69" s="316"/>
      <c r="OCH69" s="316"/>
      <c r="OCI69" s="316"/>
      <c r="OCJ69" s="316"/>
      <c r="OCK69" s="316"/>
      <c r="OCL69" s="316"/>
      <c r="OCM69" s="316"/>
      <c r="OCN69" s="316"/>
      <c r="OCO69" s="316"/>
      <c r="OCP69" s="316"/>
      <c r="OCQ69" s="316"/>
      <c r="OCR69" s="316"/>
      <c r="OCS69" s="316"/>
      <c r="OCT69" s="316"/>
      <c r="OCU69" s="316"/>
      <c r="OCV69" s="316"/>
      <c r="OCW69" s="316"/>
      <c r="OCX69" s="316"/>
      <c r="OCY69" s="316"/>
      <c r="OCZ69" s="316"/>
      <c r="ODA69" s="316"/>
      <c r="ODB69" s="316"/>
      <c r="ODC69" s="316"/>
      <c r="ODD69" s="316"/>
      <c r="ODE69" s="316"/>
      <c r="ODF69" s="316"/>
      <c r="ODG69" s="316"/>
      <c r="ODH69" s="316"/>
      <c r="ODI69" s="316"/>
      <c r="ODJ69" s="316"/>
      <c r="ODK69" s="316"/>
      <c r="ODL69" s="316"/>
      <c r="ODM69" s="316"/>
      <c r="ODN69" s="316"/>
      <c r="ODO69" s="316"/>
      <c r="ODP69" s="316"/>
      <c r="ODQ69" s="316"/>
      <c r="ODR69" s="316"/>
      <c r="ODS69" s="316"/>
      <c r="ODT69" s="316"/>
      <c r="ODU69" s="316"/>
      <c r="ODV69" s="316"/>
      <c r="ODW69" s="316"/>
      <c r="ODX69" s="316"/>
      <c r="ODY69" s="316"/>
      <c r="ODZ69" s="316"/>
      <c r="OEA69" s="316"/>
      <c r="OEB69" s="316"/>
      <c r="OEC69" s="316"/>
      <c r="OED69" s="316"/>
      <c r="OEE69" s="316"/>
      <c r="OEF69" s="316"/>
      <c r="OEG69" s="316"/>
      <c r="OEH69" s="316"/>
      <c r="OEI69" s="316"/>
      <c r="OEJ69" s="316"/>
      <c r="OEK69" s="316"/>
      <c r="OEL69" s="316"/>
      <c r="OEM69" s="316"/>
      <c r="OEN69" s="316"/>
      <c r="OEO69" s="316"/>
      <c r="OEP69" s="316"/>
      <c r="OEQ69" s="316"/>
      <c r="OER69" s="316"/>
      <c r="OES69" s="316"/>
      <c r="OET69" s="316"/>
      <c r="OEU69" s="316"/>
      <c r="OEV69" s="316"/>
      <c r="OEW69" s="316"/>
      <c r="OEX69" s="316"/>
      <c r="OEY69" s="316"/>
      <c r="OEZ69" s="316"/>
      <c r="OFA69" s="316"/>
      <c r="OFB69" s="316"/>
      <c r="OFC69" s="316"/>
      <c r="OFD69" s="316"/>
      <c r="OFE69" s="316"/>
      <c r="OFF69" s="316"/>
      <c r="OFG69" s="316"/>
      <c r="OFH69" s="316"/>
      <c r="OFI69" s="316"/>
      <c r="OFJ69" s="316"/>
      <c r="OFK69" s="316"/>
      <c r="OFL69" s="316"/>
      <c r="OFM69" s="316"/>
      <c r="OFN69" s="316"/>
      <c r="OFO69" s="316"/>
      <c r="OFP69" s="316"/>
      <c r="OFQ69" s="316"/>
      <c r="OFR69" s="316"/>
      <c r="OFS69" s="316"/>
      <c r="OFT69" s="316"/>
      <c r="OFU69" s="316"/>
      <c r="OFV69" s="316"/>
      <c r="OFW69" s="316"/>
      <c r="OFX69" s="316"/>
      <c r="OFY69" s="316"/>
      <c r="OFZ69" s="316"/>
      <c r="OGA69" s="316"/>
      <c r="OGB69" s="316"/>
      <c r="OGC69" s="316"/>
      <c r="OGD69" s="316"/>
      <c r="OGE69" s="316"/>
      <c r="OGF69" s="316"/>
      <c r="OGG69" s="316"/>
      <c r="OGH69" s="316"/>
      <c r="OGI69" s="316"/>
      <c r="OGJ69" s="316"/>
      <c r="OGK69" s="316"/>
      <c r="OGL69" s="316"/>
      <c r="OGM69" s="316"/>
      <c r="OGN69" s="316"/>
      <c r="OGO69" s="316"/>
      <c r="OGP69" s="316"/>
      <c r="OGQ69" s="316"/>
      <c r="OGR69" s="316"/>
      <c r="OGS69" s="316"/>
      <c r="OGT69" s="316"/>
      <c r="OGU69" s="316"/>
      <c r="OGV69" s="316"/>
      <c r="OGW69" s="316"/>
      <c r="OGX69" s="316"/>
      <c r="OGY69" s="316"/>
      <c r="OGZ69" s="316"/>
      <c r="OHA69" s="316"/>
      <c r="OHB69" s="316"/>
      <c r="OHC69" s="316"/>
      <c r="OHD69" s="316"/>
      <c r="OHE69" s="316"/>
      <c r="OHF69" s="316"/>
      <c r="OHG69" s="316"/>
      <c r="OHH69" s="316"/>
      <c r="OHI69" s="316"/>
      <c r="OHJ69" s="316"/>
      <c r="OHK69" s="316"/>
      <c r="OHL69" s="316"/>
      <c r="OHM69" s="316"/>
      <c r="OHN69" s="316"/>
      <c r="OHO69" s="316"/>
      <c r="OHP69" s="316"/>
      <c r="OHQ69" s="316"/>
      <c r="OHR69" s="316"/>
      <c r="OHS69" s="316"/>
      <c r="OHT69" s="316"/>
      <c r="OHU69" s="316"/>
      <c r="OHV69" s="316"/>
      <c r="OHW69" s="316"/>
      <c r="OHX69" s="316"/>
      <c r="OHY69" s="316"/>
      <c r="OHZ69" s="316"/>
      <c r="OIA69" s="316"/>
      <c r="OIB69" s="316"/>
      <c r="OIC69" s="316"/>
      <c r="OID69" s="316"/>
      <c r="OIE69" s="316"/>
      <c r="OIF69" s="316"/>
      <c r="OIG69" s="316"/>
      <c r="OIH69" s="316"/>
      <c r="OII69" s="316"/>
      <c r="OIJ69" s="316"/>
      <c r="OIK69" s="316"/>
      <c r="OIL69" s="316"/>
      <c r="OIM69" s="316"/>
      <c r="OIN69" s="316"/>
      <c r="OIO69" s="316"/>
      <c r="OIP69" s="316"/>
      <c r="OIQ69" s="316"/>
      <c r="OIR69" s="316"/>
      <c r="OIS69" s="316"/>
      <c r="OIT69" s="316"/>
      <c r="OIU69" s="316"/>
      <c r="OIV69" s="316"/>
      <c r="OIW69" s="316"/>
      <c r="OIX69" s="316"/>
      <c r="OIY69" s="316"/>
      <c r="OIZ69" s="316"/>
      <c r="OJA69" s="316"/>
      <c r="OJB69" s="316"/>
      <c r="OJC69" s="316"/>
      <c r="OJD69" s="316"/>
      <c r="OJE69" s="316"/>
      <c r="OJF69" s="316"/>
      <c r="OJG69" s="316"/>
      <c r="OJH69" s="316"/>
      <c r="OJI69" s="316"/>
      <c r="OJJ69" s="316"/>
      <c r="OJK69" s="316"/>
      <c r="OJL69" s="316"/>
      <c r="OJM69" s="316"/>
      <c r="OJN69" s="316"/>
      <c r="OJO69" s="316"/>
      <c r="OJP69" s="316"/>
      <c r="OJQ69" s="316"/>
      <c r="OJR69" s="316"/>
      <c r="OJS69" s="316"/>
      <c r="OJT69" s="316"/>
      <c r="OJU69" s="316"/>
      <c r="OJV69" s="316"/>
      <c r="OJW69" s="316"/>
      <c r="OJX69" s="316"/>
      <c r="OJY69" s="316"/>
      <c r="OJZ69" s="316"/>
      <c r="OKA69" s="316"/>
      <c r="OKB69" s="316"/>
      <c r="OKC69" s="316"/>
      <c r="OKD69" s="316"/>
      <c r="OKE69" s="316"/>
      <c r="OKF69" s="316"/>
      <c r="OKG69" s="316"/>
      <c r="OKH69" s="316"/>
      <c r="OKI69" s="316"/>
      <c r="OKJ69" s="316"/>
      <c r="OKK69" s="316"/>
      <c r="OKL69" s="316"/>
      <c r="OKM69" s="316"/>
      <c r="OKN69" s="316"/>
      <c r="OKO69" s="316"/>
      <c r="OKP69" s="316"/>
      <c r="OKQ69" s="316"/>
      <c r="OKR69" s="316"/>
      <c r="OKS69" s="316"/>
      <c r="OKT69" s="316"/>
      <c r="OKU69" s="316"/>
      <c r="OKV69" s="316"/>
      <c r="OKW69" s="316"/>
      <c r="OKX69" s="316"/>
      <c r="OKY69" s="316"/>
      <c r="OKZ69" s="316"/>
      <c r="OLA69" s="316"/>
      <c r="OLB69" s="316"/>
      <c r="OLC69" s="316"/>
      <c r="OLD69" s="316"/>
      <c r="OLE69" s="316"/>
      <c r="OLF69" s="316"/>
      <c r="OLG69" s="316"/>
      <c r="OLH69" s="316"/>
      <c r="OLI69" s="316"/>
      <c r="OLJ69" s="316"/>
      <c r="OLK69" s="316"/>
      <c r="OLL69" s="316"/>
      <c r="OLM69" s="316"/>
      <c r="OLN69" s="316"/>
      <c r="OLO69" s="316"/>
      <c r="OLP69" s="316"/>
      <c r="OLQ69" s="316"/>
      <c r="OLR69" s="316"/>
      <c r="OLS69" s="316"/>
      <c r="OLT69" s="316"/>
      <c r="OLU69" s="316"/>
      <c r="OLV69" s="316"/>
      <c r="OLW69" s="316"/>
      <c r="OLX69" s="316"/>
      <c r="OLY69" s="316"/>
      <c r="OLZ69" s="316"/>
      <c r="OMA69" s="316"/>
      <c r="OMB69" s="316"/>
      <c r="OMC69" s="316"/>
      <c r="OMD69" s="316"/>
      <c r="OME69" s="316"/>
      <c r="OMF69" s="316"/>
      <c r="OMG69" s="316"/>
      <c r="OMH69" s="316"/>
      <c r="OMI69" s="316"/>
      <c r="OMJ69" s="316"/>
      <c r="OMK69" s="316"/>
      <c r="OML69" s="316"/>
      <c r="OMM69" s="316"/>
      <c r="OMN69" s="316"/>
      <c r="OMO69" s="316"/>
      <c r="OMP69" s="316"/>
      <c r="OMQ69" s="316"/>
      <c r="OMR69" s="316"/>
      <c r="OMS69" s="316"/>
      <c r="OMT69" s="316"/>
      <c r="OMU69" s="316"/>
      <c r="OMV69" s="316"/>
      <c r="OMW69" s="316"/>
      <c r="OMX69" s="316"/>
      <c r="OMY69" s="316"/>
      <c r="OMZ69" s="316"/>
      <c r="ONA69" s="316"/>
      <c r="ONB69" s="316"/>
      <c r="ONC69" s="316"/>
      <c r="OND69" s="316"/>
      <c r="ONE69" s="316"/>
      <c r="ONF69" s="316"/>
      <c r="ONG69" s="316"/>
      <c r="ONH69" s="316"/>
      <c r="ONI69" s="316"/>
      <c r="ONJ69" s="316"/>
      <c r="ONK69" s="316"/>
      <c r="ONL69" s="316"/>
      <c r="ONM69" s="316"/>
      <c r="ONN69" s="316"/>
      <c r="ONO69" s="316"/>
      <c r="ONP69" s="316"/>
      <c r="ONQ69" s="316"/>
      <c r="ONR69" s="316"/>
      <c r="ONS69" s="316"/>
      <c r="ONT69" s="316"/>
      <c r="ONU69" s="316"/>
      <c r="ONV69" s="316"/>
      <c r="ONW69" s="316"/>
      <c r="ONX69" s="316"/>
      <c r="ONY69" s="316"/>
      <c r="ONZ69" s="316"/>
      <c r="OOA69" s="316"/>
      <c r="OOB69" s="316"/>
      <c r="OOC69" s="316"/>
      <c r="OOD69" s="316"/>
      <c r="OOE69" s="316"/>
      <c r="OOF69" s="316"/>
      <c r="OOG69" s="316"/>
      <c r="OOH69" s="316"/>
      <c r="OOI69" s="316"/>
      <c r="OOJ69" s="316"/>
      <c r="OOK69" s="316"/>
      <c r="OOL69" s="316"/>
      <c r="OOM69" s="316"/>
      <c r="OON69" s="316"/>
      <c r="OOO69" s="316"/>
      <c r="OOP69" s="316"/>
      <c r="OOQ69" s="316"/>
      <c r="OOR69" s="316"/>
      <c r="OOS69" s="316"/>
      <c r="OOT69" s="316"/>
      <c r="OOU69" s="316"/>
      <c r="OOV69" s="316"/>
      <c r="OOW69" s="316"/>
      <c r="OOX69" s="316"/>
      <c r="OOY69" s="316"/>
      <c r="OOZ69" s="316"/>
      <c r="OPA69" s="316"/>
      <c r="OPB69" s="316"/>
      <c r="OPC69" s="316"/>
      <c r="OPD69" s="316"/>
      <c r="OPE69" s="316"/>
      <c r="OPF69" s="316"/>
      <c r="OPG69" s="316"/>
      <c r="OPH69" s="316"/>
      <c r="OPI69" s="316"/>
      <c r="OPJ69" s="316"/>
      <c r="OPK69" s="316"/>
      <c r="OPL69" s="316"/>
      <c r="OPM69" s="316"/>
      <c r="OPN69" s="316"/>
      <c r="OPO69" s="316"/>
      <c r="OPP69" s="316"/>
      <c r="OPQ69" s="316"/>
      <c r="OPR69" s="316"/>
      <c r="OPS69" s="316"/>
      <c r="OPT69" s="316"/>
      <c r="OPU69" s="316"/>
      <c r="OPV69" s="316"/>
      <c r="OPW69" s="316"/>
      <c r="OPX69" s="316"/>
      <c r="OPY69" s="316"/>
      <c r="OPZ69" s="316"/>
      <c r="OQA69" s="316"/>
      <c r="OQB69" s="316"/>
      <c r="OQC69" s="316"/>
      <c r="OQD69" s="316"/>
      <c r="OQE69" s="316"/>
      <c r="OQF69" s="316"/>
      <c r="OQG69" s="316"/>
      <c r="OQH69" s="316"/>
      <c r="OQI69" s="316"/>
      <c r="OQJ69" s="316"/>
      <c r="OQK69" s="316"/>
      <c r="OQL69" s="316"/>
      <c r="OQM69" s="316"/>
      <c r="OQN69" s="316"/>
      <c r="OQO69" s="316"/>
      <c r="OQP69" s="316"/>
      <c r="OQQ69" s="316"/>
      <c r="OQR69" s="316"/>
      <c r="OQS69" s="316"/>
      <c r="OQT69" s="316"/>
      <c r="OQU69" s="316"/>
      <c r="OQV69" s="316"/>
      <c r="OQW69" s="316"/>
      <c r="OQX69" s="316"/>
      <c r="OQY69" s="316"/>
      <c r="OQZ69" s="316"/>
      <c r="ORA69" s="316"/>
      <c r="ORB69" s="316"/>
      <c r="ORC69" s="316"/>
      <c r="ORD69" s="316"/>
      <c r="ORE69" s="316"/>
      <c r="ORF69" s="316"/>
      <c r="ORG69" s="316"/>
      <c r="ORH69" s="316"/>
      <c r="ORI69" s="316"/>
      <c r="ORJ69" s="316"/>
      <c r="ORK69" s="316"/>
      <c r="ORL69" s="316"/>
      <c r="ORM69" s="316"/>
      <c r="ORN69" s="316"/>
      <c r="ORO69" s="316"/>
      <c r="ORP69" s="316"/>
      <c r="ORQ69" s="316"/>
      <c r="ORR69" s="316"/>
      <c r="ORS69" s="316"/>
      <c r="ORT69" s="316"/>
      <c r="ORU69" s="316"/>
      <c r="ORV69" s="316"/>
      <c r="ORW69" s="316"/>
      <c r="ORX69" s="316"/>
      <c r="ORY69" s="316"/>
      <c r="ORZ69" s="316"/>
      <c r="OSA69" s="316"/>
      <c r="OSB69" s="316"/>
      <c r="OSC69" s="316"/>
      <c r="OSD69" s="316"/>
      <c r="OSE69" s="316"/>
      <c r="OSF69" s="316"/>
      <c r="OSG69" s="316"/>
      <c r="OSH69" s="316"/>
      <c r="OSI69" s="316"/>
      <c r="OSJ69" s="316"/>
      <c r="OSK69" s="316"/>
      <c r="OSL69" s="316"/>
      <c r="OSM69" s="316"/>
      <c r="OSN69" s="316"/>
      <c r="OSO69" s="316"/>
      <c r="OSP69" s="316"/>
      <c r="OSQ69" s="316"/>
      <c r="OSR69" s="316"/>
      <c r="OSS69" s="316"/>
      <c r="OST69" s="316"/>
      <c r="OSU69" s="316"/>
      <c r="OSV69" s="316"/>
      <c r="OSW69" s="316"/>
      <c r="OSX69" s="316"/>
      <c r="OSY69" s="316"/>
      <c r="OSZ69" s="316"/>
      <c r="OTA69" s="316"/>
      <c r="OTB69" s="316"/>
      <c r="OTC69" s="316"/>
      <c r="OTD69" s="316"/>
      <c r="OTE69" s="316"/>
      <c r="OTF69" s="316"/>
      <c r="OTG69" s="316"/>
      <c r="OTH69" s="316"/>
      <c r="OTI69" s="316"/>
      <c r="OTJ69" s="316"/>
      <c r="OTK69" s="316"/>
      <c r="OTL69" s="316"/>
      <c r="OTM69" s="316"/>
      <c r="OTN69" s="316"/>
      <c r="OTO69" s="316"/>
      <c r="OTP69" s="316"/>
      <c r="OTQ69" s="316"/>
      <c r="OTR69" s="316"/>
      <c r="OTS69" s="316"/>
      <c r="OTT69" s="316"/>
      <c r="OTU69" s="316"/>
      <c r="OTV69" s="316"/>
      <c r="OTW69" s="316"/>
      <c r="OTX69" s="316"/>
      <c r="OTY69" s="316"/>
      <c r="OTZ69" s="316"/>
      <c r="OUA69" s="316"/>
      <c r="OUB69" s="316"/>
      <c r="OUC69" s="316"/>
      <c r="OUD69" s="316"/>
      <c r="OUE69" s="316"/>
      <c r="OUF69" s="316"/>
      <c r="OUG69" s="316"/>
      <c r="OUH69" s="316"/>
      <c r="OUI69" s="316"/>
      <c r="OUJ69" s="316"/>
      <c r="OUK69" s="316"/>
      <c r="OUL69" s="316"/>
      <c r="OUM69" s="316"/>
      <c r="OUN69" s="316"/>
      <c r="OUO69" s="316"/>
      <c r="OUP69" s="316"/>
      <c r="OUQ69" s="316"/>
      <c r="OUR69" s="316"/>
      <c r="OUS69" s="316"/>
      <c r="OUT69" s="316"/>
      <c r="OUU69" s="316"/>
      <c r="OUV69" s="316"/>
      <c r="OUW69" s="316"/>
      <c r="OUX69" s="316"/>
      <c r="OUY69" s="316"/>
      <c r="OUZ69" s="316"/>
      <c r="OVA69" s="316"/>
      <c r="OVB69" s="316"/>
      <c r="OVC69" s="316"/>
      <c r="OVD69" s="316"/>
      <c r="OVE69" s="316"/>
      <c r="OVF69" s="316"/>
      <c r="OVG69" s="316"/>
      <c r="OVH69" s="316"/>
      <c r="OVI69" s="316"/>
      <c r="OVJ69" s="316"/>
      <c r="OVK69" s="316"/>
      <c r="OVL69" s="316"/>
      <c r="OVM69" s="316"/>
      <c r="OVN69" s="316"/>
      <c r="OVO69" s="316"/>
      <c r="OVP69" s="316"/>
      <c r="OVQ69" s="316"/>
      <c r="OVR69" s="316"/>
      <c r="OVS69" s="316"/>
      <c r="OVT69" s="316"/>
      <c r="OVU69" s="316"/>
      <c r="OVV69" s="316"/>
      <c r="OVW69" s="316"/>
      <c r="OVX69" s="316"/>
      <c r="OVY69" s="316"/>
      <c r="OVZ69" s="316"/>
      <c r="OWA69" s="316"/>
      <c r="OWB69" s="316"/>
      <c r="OWC69" s="316"/>
      <c r="OWD69" s="316"/>
      <c r="OWE69" s="316"/>
      <c r="OWF69" s="316"/>
      <c r="OWG69" s="316"/>
      <c r="OWH69" s="316"/>
      <c r="OWI69" s="316"/>
      <c r="OWJ69" s="316"/>
      <c r="OWK69" s="316"/>
      <c r="OWL69" s="316"/>
      <c r="OWM69" s="316"/>
      <c r="OWN69" s="316"/>
      <c r="OWO69" s="316"/>
      <c r="OWP69" s="316"/>
      <c r="OWQ69" s="316"/>
      <c r="OWR69" s="316"/>
      <c r="OWS69" s="316"/>
      <c r="OWT69" s="316"/>
      <c r="OWU69" s="316"/>
      <c r="OWV69" s="316"/>
      <c r="OWW69" s="316"/>
      <c r="OWX69" s="316"/>
      <c r="OWY69" s="316"/>
      <c r="OWZ69" s="316"/>
      <c r="OXA69" s="316"/>
      <c r="OXB69" s="316"/>
      <c r="OXC69" s="316"/>
      <c r="OXD69" s="316"/>
      <c r="OXE69" s="316"/>
      <c r="OXF69" s="316"/>
      <c r="OXG69" s="316"/>
      <c r="OXH69" s="316"/>
      <c r="OXI69" s="316"/>
      <c r="OXJ69" s="316"/>
      <c r="OXK69" s="316"/>
      <c r="OXL69" s="316"/>
      <c r="OXM69" s="316"/>
      <c r="OXN69" s="316"/>
      <c r="OXO69" s="316"/>
      <c r="OXP69" s="316"/>
      <c r="OXQ69" s="316"/>
      <c r="OXR69" s="316"/>
      <c r="OXS69" s="316"/>
      <c r="OXT69" s="316"/>
      <c r="OXU69" s="316"/>
      <c r="OXV69" s="316"/>
      <c r="OXW69" s="316"/>
      <c r="OXX69" s="316"/>
      <c r="OXY69" s="316"/>
      <c r="OXZ69" s="316"/>
      <c r="OYA69" s="316"/>
      <c r="OYB69" s="316"/>
      <c r="OYC69" s="316"/>
      <c r="OYD69" s="316"/>
      <c r="OYE69" s="316"/>
      <c r="OYF69" s="316"/>
      <c r="OYG69" s="316"/>
      <c r="OYH69" s="316"/>
      <c r="OYI69" s="316"/>
      <c r="OYJ69" s="316"/>
      <c r="OYK69" s="316"/>
      <c r="OYL69" s="316"/>
      <c r="OYM69" s="316"/>
      <c r="OYN69" s="316"/>
      <c r="OYO69" s="316"/>
      <c r="OYP69" s="316"/>
      <c r="OYQ69" s="316"/>
      <c r="OYR69" s="316"/>
      <c r="OYS69" s="316"/>
      <c r="OYT69" s="316"/>
      <c r="OYU69" s="316"/>
      <c r="OYV69" s="316"/>
      <c r="OYW69" s="316"/>
      <c r="OYX69" s="316"/>
      <c r="OYY69" s="316"/>
      <c r="OYZ69" s="316"/>
      <c r="OZA69" s="316"/>
      <c r="OZB69" s="316"/>
      <c r="OZC69" s="316"/>
      <c r="OZD69" s="316"/>
      <c r="OZE69" s="316"/>
      <c r="OZF69" s="316"/>
      <c r="OZG69" s="316"/>
      <c r="OZH69" s="316"/>
      <c r="OZI69" s="316"/>
      <c r="OZJ69" s="316"/>
      <c r="OZK69" s="316"/>
      <c r="OZL69" s="316"/>
      <c r="OZM69" s="316"/>
      <c r="OZN69" s="316"/>
      <c r="OZO69" s="316"/>
      <c r="OZP69" s="316"/>
      <c r="OZQ69" s="316"/>
      <c r="OZR69" s="316"/>
      <c r="OZS69" s="316"/>
      <c r="OZT69" s="316"/>
      <c r="OZU69" s="316"/>
      <c r="OZV69" s="316"/>
      <c r="OZW69" s="316"/>
      <c r="OZX69" s="316"/>
      <c r="OZY69" s="316"/>
      <c r="OZZ69" s="316"/>
      <c r="PAA69" s="316"/>
      <c r="PAB69" s="316"/>
      <c r="PAC69" s="316"/>
      <c r="PAD69" s="316"/>
      <c r="PAE69" s="316"/>
      <c r="PAF69" s="316"/>
      <c r="PAG69" s="316"/>
      <c r="PAH69" s="316"/>
      <c r="PAI69" s="316"/>
      <c r="PAJ69" s="316"/>
      <c r="PAK69" s="316"/>
      <c r="PAL69" s="316"/>
      <c r="PAM69" s="316"/>
      <c r="PAN69" s="316"/>
      <c r="PAO69" s="316"/>
      <c r="PAP69" s="316"/>
      <c r="PAQ69" s="316"/>
      <c r="PAR69" s="316"/>
      <c r="PAS69" s="316"/>
      <c r="PAT69" s="316"/>
      <c r="PAU69" s="316"/>
      <c r="PAV69" s="316"/>
      <c r="PAW69" s="316"/>
      <c r="PAX69" s="316"/>
      <c r="PAY69" s="316"/>
      <c r="PAZ69" s="316"/>
      <c r="PBA69" s="316"/>
      <c r="PBB69" s="316"/>
      <c r="PBC69" s="316"/>
      <c r="PBD69" s="316"/>
      <c r="PBE69" s="316"/>
      <c r="PBF69" s="316"/>
      <c r="PBG69" s="316"/>
      <c r="PBH69" s="316"/>
      <c r="PBI69" s="316"/>
      <c r="PBJ69" s="316"/>
      <c r="PBK69" s="316"/>
      <c r="PBL69" s="316"/>
      <c r="PBM69" s="316"/>
      <c r="PBN69" s="316"/>
      <c r="PBO69" s="316"/>
      <c r="PBP69" s="316"/>
      <c r="PBQ69" s="316"/>
      <c r="PBR69" s="316"/>
      <c r="PBS69" s="316"/>
      <c r="PBT69" s="316"/>
      <c r="PBU69" s="316"/>
      <c r="PBV69" s="316"/>
      <c r="PBW69" s="316"/>
      <c r="PBX69" s="316"/>
      <c r="PBY69" s="316"/>
      <c r="PBZ69" s="316"/>
      <c r="PCA69" s="316"/>
      <c r="PCB69" s="316"/>
      <c r="PCC69" s="316"/>
      <c r="PCD69" s="316"/>
      <c r="PCE69" s="316"/>
      <c r="PCF69" s="316"/>
      <c r="PCG69" s="316"/>
      <c r="PCH69" s="316"/>
      <c r="PCI69" s="316"/>
      <c r="PCJ69" s="316"/>
      <c r="PCK69" s="316"/>
      <c r="PCL69" s="316"/>
      <c r="PCM69" s="316"/>
      <c r="PCN69" s="316"/>
      <c r="PCO69" s="316"/>
      <c r="PCP69" s="316"/>
      <c r="PCQ69" s="316"/>
      <c r="PCR69" s="316"/>
      <c r="PCS69" s="316"/>
      <c r="PCT69" s="316"/>
      <c r="PCU69" s="316"/>
      <c r="PCV69" s="316"/>
      <c r="PCW69" s="316"/>
      <c r="PCX69" s="316"/>
      <c r="PCY69" s="316"/>
      <c r="PCZ69" s="316"/>
      <c r="PDA69" s="316"/>
      <c r="PDB69" s="316"/>
      <c r="PDC69" s="316"/>
      <c r="PDD69" s="316"/>
      <c r="PDE69" s="316"/>
      <c r="PDF69" s="316"/>
      <c r="PDG69" s="316"/>
      <c r="PDH69" s="316"/>
      <c r="PDI69" s="316"/>
      <c r="PDJ69" s="316"/>
      <c r="PDK69" s="316"/>
      <c r="PDL69" s="316"/>
      <c r="PDM69" s="316"/>
      <c r="PDN69" s="316"/>
      <c r="PDO69" s="316"/>
      <c r="PDP69" s="316"/>
      <c r="PDQ69" s="316"/>
      <c r="PDR69" s="316"/>
      <c r="PDS69" s="316"/>
      <c r="PDT69" s="316"/>
      <c r="PDU69" s="316"/>
      <c r="PDV69" s="316"/>
      <c r="PDW69" s="316"/>
      <c r="PDX69" s="316"/>
      <c r="PDY69" s="316"/>
      <c r="PDZ69" s="316"/>
      <c r="PEA69" s="316"/>
      <c r="PEB69" s="316"/>
      <c r="PEC69" s="316"/>
      <c r="PED69" s="316"/>
      <c r="PEE69" s="316"/>
      <c r="PEF69" s="316"/>
      <c r="PEG69" s="316"/>
      <c r="PEH69" s="316"/>
      <c r="PEI69" s="316"/>
      <c r="PEJ69" s="316"/>
      <c r="PEK69" s="316"/>
      <c r="PEL69" s="316"/>
      <c r="PEM69" s="316"/>
      <c r="PEN69" s="316"/>
      <c r="PEO69" s="316"/>
      <c r="PEP69" s="316"/>
      <c r="PEQ69" s="316"/>
      <c r="PER69" s="316"/>
      <c r="PES69" s="316"/>
      <c r="PET69" s="316"/>
      <c r="PEU69" s="316"/>
      <c r="PEV69" s="316"/>
      <c r="PEW69" s="316"/>
      <c r="PEX69" s="316"/>
      <c r="PEY69" s="316"/>
      <c r="PEZ69" s="316"/>
      <c r="PFA69" s="316"/>
      <c r="PFB69" s="316"/>
      <c r="PFC69" s="316"/>
      <c r="PFD69" s="316"/>
      <c r="PFE69" s="316"/>
      <c r="PFF69" s="316"/>
      <c r="PFG69" s="316"/>
      <c r="PFH69" s="316"/>
      <c r="PFI69" s="316"/>
      <c r="PFJ69" s="316"/>
      <c r="PFK69" s="316"/>
      <c r="PFL69" s="316"/>
      <c r="PFM69" s="316"/>
      <c r="PFN69" s="316"/>
      <c r="PFO69" s="316"/>
      <c r="PFP69" s="316"/>
      <c r="PFQ69" s="316"/>
      <c r="PFR69" s="316"/>
      <c r="PFS69" s="316"/>
      <c r="PFT69" s="316"/>
      <c r="PFU69" s="316"/>
      <c r="PFV69" s="316"/>
      <c r="PFW69" s="316"/>
      <c r="PFX69" s="316"/>
      <c r="PFY69" s="316"/>
      <c r="PFZ69" s="316"/>
      <c r="PGA69" s="316"/>
      <c r="PGB69" s="316"/>
      <c r="PGC69" s="316"/>
      <c r="PGD69" s="316"/>
      <c r="PGE69" s="316"/>
      <c r="PGF69" s="316"/>
      <c r="PGG69" s="316"/>
      <c r="PGH69" s="316"/>
      <c r="PGI69" s="316"/>
      <c r="PGJ69" s="316"/>
      <c r="PGK69" s="316"/>
      <c r="PGL69" s="316"/>
      <c r="PGM69" s="316"/>
      <c r="PGN69" s="316"/>
      <c r="PGO69" s="316"/>
      <c r="PGP69" s="316"/>
      <c r="PGQ69" s="316"/>
      <c r="PGR69" s="316"/>
      <c r="PGS69" s="316"/>
      <c r="PGT69" s="316"/>
      <c r="PGU69" s="316"/>
      <c r="PGV69" s="316"/>
      <c r="PGW69" s="316"/>
      <c r="PGX69" s="316"/>
      <c r="PGY69" s="316"/>
      <c r="PGZ69" s="316"/>
      <c r="PHA69" s="316"/>
      <c r="PHB69" s="316"/>
      <c r="PHC69" s="316"/>
      <c r="PHD69" s="316"/>
      <c r="PHE69" s="316"/>
      <c r="PHF69" s="316"/>
      <c r="PHG69" s="316"/>
      <c r="PHH69" s="316"/>
      <c r="PHI69" s="316"/>
      <c r="PHJ69" s="316"/>
      <c r="PHK69" s="316"/>
      <c r="PHL69" s="316"/>
      <c r="PHM69" s="316"/>
      <c r="PHN69" s="316"/>
      <c r="PHO69" s="316"/>
      <c r="PHP69" s="316"/>
      <c r="PHQ69" s="316"/>
      <c r="PHR69" s="316"/>
      <c r="PHS69" s="316"/>
      <c r="PHT69" s="316"/>
      <c r="PHU69" s="316"/>
      <c r="PHV69" s="316"/>
      <c r="PHW69" s="316"/>
      <c r="PHX69" s="316"/>
      <c r="PHY69" s="316"/>
      <c r="PHZ69" s="316"/>
      <c r="PIA69" s="316"/>
      <c r="PIB69" s="316"/>
      <c r="PIC69" s="316"/>
      <c r="PID69" s="316"/>
      <c r="PIE69" s="316"/>
      <c r="PIF69" s="316"/>
      <c r="PIG69" s="316"/>
      <c r="PIH69" s="316"/>
      <c r="PII69" s="316"/>
      <c r="PIJ69" s="316"/>
      <c r="PIK69" s="316"/>
      <c r="PIL69" s="316"/>
      <c r="PIM69" s="316"/>
      <c r="PIN69" s="316"/>
      <c r="PIO69" s="316"/>
      <c r="PIP69" s="316"/>
      <c r="PIQ69" s="316"/>
      <c r="PIR69" s="316"/>
      <c r="PIS69" s="316"/>
      <c r="PIT69" s="316"/>
      <c r="PIU69" s="316"/>
      <c r="PIV69" s="316"/>
      <c r="PIW69" s="316"/>
      <c r="PIX69" s="316"/>
      <c r="PIY69" s="316"/>
      <c r="PIZ69" s="316"/>
      <c r="PJA69" s="316"/>
      <c r="PJB69" s="316"/>
      <c r="PJC69" s="316"/>
      <c r="PJD69" s="316"/>
      <c r="PJE69" s="316"/>
      <c r="PJF69" s="316"/>
      <c r="PJG69" s="316"/>
      <c r="PJH69" s="316"/>
      <c r="PJI69" s="316"/>
      <c r="PJJ69" s="316"/>
      <c r="PJK69" s="316"/>
      <c r="PJL69" s="316"/>
      <c r="PJM69" s="316"/>
      <c r="PJN69" s="316"/>
      <c r="PJO69" s="316"/>
      <c r="PJP69" s="316"/>
      <c r="PJQ69" s="316"/>
      <c r="PJR69" s="316"/>
      <c r="PJS69" s="316"/>
      <c r="PJT69" s="316"/>
      <c r="PJU69" s="316"/>
      <c r="PJV69" s="316"/>
      <c r="PJW69" s="316"/>
      <c r="PJX69" s="316"/>
      <c r="PJY69" s="316"/>
      <c r="PJZ69" s="316"/>
      <c r="PKA69" s="316"/>
      <c r="PKB69" s="316"/>
      <c r="PKC69" s="316"/>
      <c r="PKD69" s="316"/>
      <c r="PKE69" s="316"/>
      <c r="PKF69" s="316"/>
      <c r="PKG69" s="316"/>
      <c r="PKH69" s="316"/>
      <c r="PKI69" s="316"/>
      <c r="PKJ69" s="316"/>
      <c r="PKK69" s="316"/>
      <c r="PKL69" s="316"/>
      <c r="PKM69" s="316"/>
      <c r="PKN69" s="316"/>
      <c r="PKO69" s="316"/>
      <c r="PKP69" s="316"/>
      <c r="PKQ69" s="316"/>
      <c r="PKR69" s="316"/>
      <c r="PKS69" s="316"/>
      <c r="PKT69" s="316"/>
      <c r="PKU69" s="316"/>
      <c r="PKV69" s="316"/>
      <c r="PKW69" s="316"/>
      <c r="PKX69" s="316"/>
      <c r="PKY69" s="316"/>
      <c r="PKZ69" s="316"/>
      <c r="PLA69" s="316"/>
      <c r="PLB69" s="316"/>
      <c r="PLC69" s="316"/>
      <c r="PLD69" s="316"/>
      <c r="PLE69" s="316"/>
      <c r="PLF69" s="316"/>
      <c r="PLG69" s="316"/>
      <c r="PLH69" s="316"/>
      <c r="PLI69" s="316"/>
      <c r="PLJ69" s="316"/>
      <c r="PLK69" s="316"/>
      <c r="PLL69" s="316"/>
      <c r="PLM69" s="316"/>
      <c r="PLN69" s="316"/>
      <c r="PLO69" s="316"/>
      <c r="PLP69" s="316"/>
      <c r="PLQ69" s="316"/>
      <c r="PLR69" s="316"/>
      <c r="PLS69" s="316"/>
      <c r="PLT69" s="316"/>
      <c r="PLU69" s="316"/>
      <c r="PLV69" s="316"/>
      <c r="PLW69" s="316"/>
      <c r="PLX69" s="316"/>
      <c r="PLY69" s="316"/>
      <c r="PLZ69" s="316"/>
      <c r="PMA69" s="316"/>
      <c r="PMB69" s="316"/>
      <c r="PMC69" s="316"/>
      <c r="PMD69" s="316"/>
      <c r="PME69" s="316"/>
      <c r="PMF69" s="316"/>
      <c r="PMG69" s="316"/>
      <c r="PMH69" s="316"/>
      <c r="PMI69" s="316"/>
      <c r="PMJ69" s="316"/>
      <c r="PMK69" s="316"/>
      <c r="PML69" s="316"/>
      <c r="PMM69" s="316"/>
      <c r="PMN69" s="316"/>
      <c r="PMO69" s="316"/>
      <c r="PMP69" s="316"/>
      <c r="PMQ69" s="316"/>
      <c r="PMR69" s="316"/>
      <c r="PMS69" s="316"/>
      <c r="PMT69" s="316"/>
      <c r="PMU69" s="316"/>
      <c r="PMV69" s="316"/>
      <c r="PMW69" s="316"/>
      <c r="PMX69" s="316"/>
      <c r="PMY69" s="316"/>
      <c r="PMZ69" s="316"/>
      <c r="PNA69" s="316"/>
      <c r="PNB69" s="316"/>
      <c r="PNC69" s="316"/>
      <c r="PND69" s="316"/>
      <c r="PNE69" s="316"/>
      <c r="PNF69" s="316"/>
      <c r="PNG69" s="316"/>
      <c r="PNH69" s="316"/>
      <c r="PNI69" s="316"/>
      <c r="PNJ69" s="316"/>
      <c r="PNK69" s="316"/>
      <c r="PNL69" s="316"/>
      <c r="PNM69" s="316"/>
      <c r="PNN69" s="316"/>
      <c r="PNO69" s="316"/>
      <c r="PNP69" s="316"/>
      <c r="PNQ69" s="316"/>
      <c r="PNR69" s="316"/>
      <c r="PNS69" s="316"/>
      <c r="PNT69" s="316"/>
      <c r="PNU69" s="316"/>
      <c r="PNV69" s="316"/>
      <c r="PNW69" s="316"/>
      <c r="PNX69" s="316"/>
      <c r="PNY69" s="316"/>
      <c r="PNZ69" s="316"/>
      <c r="POA69" s="316"/>
      <c r="POB69" s="316"/>
      <c r="POC69" s="316"/>
      <c r="POD69" s="316"/>
      <c r="POE69" s="316"/>
      <c r="POF69" s="316"/>
      <c r="POG69" s="316"/>
      <c r="POH69" s="316"/>
      <c r="POI69" s="316"/>
      <c r="POJ69" s="316"/>
      <c r="POK69" s="316"/>
      <c r="POL69" s="316"/>
      <c r="POM69" s="316"/>
      <c r="PON69" s="316"/>
      <c r="POO69" s="316"/>
      <c r="POP69" s="316"/>
      <c r="POQ69" s="316"/>
      <c r="POR69" s="316"/>
      <c r="POS69" s="316"/>
      <c r="POT69" s="316"/>
      <c r="POU69" s="316"/>
      <c r="POV69" s="316"/>
      <c r="POW69" s="316"/>
      <c r="POX69" s="316"/>
      <c r="POY69" s="316"/>
      <c r="POZ69" s="316"/>
      <c r="PPA69" s="316"/>
      <c r="PPB69" s="316"/>
      <c r="PPC69" s="316"/>
      <c r="PPD69" s="316"/>
      <c r="PPE69" s="316"/>
      <c r="PPF69" s="316"/>
      <c r="PPG69" s="316"/>
      <c r="PPH69" s="316"/>
      <c r="PPI69" s="316"/>
      <c r="PPJ69" s="316"/>
      <c r="PPK69" s="316"/>
      <c r="PPL69" s="316"/>
      <c r="PPM69" s="316"/>
      <c r="PPN69" s="316"/>
      <c r="PPO69" s="316"/>
      <c r="PPP69" s="316"/>
      <c r="PPQ69" s="316"/>
      <c r="PPR69" s="316"/>
      <c r="PPS69" s="316"/>
      <c r="PPT69" s="316"/>
      <c r="PPU69" s="316"/>
      <c r="PPV69" s="316"/>
      <c r="PPW69" s="316"/>
      <c r="PPX69" s="316"/>
      <c r="PPY69" s="316"/>
      <c r="PPZ69" s="316"/>
      <c r="PQA69" s="316"/>
      <c r="PQB69" s="316"/>
      <c r="PQC69" s="316"/>
      <c r="PQD69" s="316"/>
      <c r="PQE69" s="316"/>
      <c r="PQF69" s="316"/>
      <c r="PQG69" s="316"/>
      <c r="PQH69" s="316"/>
      <c r="PQI69" s="316"/>
      <c r="PQJ69" s="316"/>
      <c r="PQK69" s="316"/>
      <c r="PQL69" s="316"/>
      <c r="PQM69" s="316"/>
      <c r="PQN69" s="316"/>
      <c r="PQO69" s="316"/>
      <c r="PQP69" s="316"/>
      <c r="PQQ69" s="316"/>
      <c r="PQR69" s="316"/>
      <c r="PQS69" s="316"/>
      <c r="PQT69" s="316"/>
      <c r="PQU69" s="316"/>
      <c r="PQV69" s="316"/>
      <c r="PQW69" s="316"/>
      <c r="PQX69" s="316"/>
      <c r="PQY69" s="316"/>
      <c r="PQZ69" s="316"/>
      <c r="PRA69" s="316"/>
      <c r="PRB69" s="316"/>
      <c r="PRC69" s="316"/>
      <c r="PRD69" s="316"/>
      <c r="PRE69" s="316"/>
      <c r="PRF69" s="316"/>
      <c r="PRG69" s="316"/>
      <c r="PRH69" s="316"/>
      <c r="PRI69" s="316"/>
      <c r="PRJ69" s="316"/>
      <c r="PRK69" s="316"/>
      <c r="PRL69" s="316"/>
      <c r="PRM69" s="316"/>
      <c r="PRN69" s="316"/>
      <c r="PRO69" s="316"/>
      <c r="PRP69" s="316"/>
      <c r="PRQ69" s="316"/>
      <c r="PRR69" s="316"/>
      <c r="PRS69" s="316"/>
      <c r="PRT69" s="316"/>
      <c r="PRU69" s="316"/>
      <c r="PRV69" s="316"/>
      <c r="PRW69" s="316"/>
      <c r="PRX69" s="316"/>
      <c r="PRY69" s="316"/>
      <c r="PRZ69" s="316"/>
      <c r="PSA69" s="316"/>
      <c r="PSB69" s="316"/>
      <c r="PSC69" s="316"/>
      <c r="PSD69" s="316"/>
      <c r="PSE69" s="316"/>
      <c r="PSF69" s="316"/>
      <c r="PSG69" s="316"/>
      <c r="PSH69" s="316"/>
      <c r="PSI69" s="316"/>
      <c r="PSJ69" s="316"/>
      <c r="PSK69" s="316"/>
      <c r="PSL69" s="316"/>
      <c r="PSM69" s="316"/>
      <c r="PSN69" s="316"/>
      <c r="PSO69" s="316"/>
      <c r="PSP69" s="316"/>
      <c r="PSQ69" s="316"/>
      <c r="PSR69" s="316"/>
      <c r="PSS69" s="316"/>
      <c r="PST69" s="316"/>
      <c r="PSU69" s="316"/>
      <c r="PSV69" s="316"/>
      <c r="PSW69" s="316"/>
      <c r="PSX69" s="316"/>
      <c r="PSY69" s="316"/>
      <c r="PSZ69" s="316"/>
      <c r="PTA69" s="316"/>
      <c r="PTB69" s="316"/>
      <c r="PTC69" s="316"/>
      <c r="PTD69" s="316"/>
      <c r="PTE69" s="316"/>
      <c r="PTF69" s="316"/>
      <c r="PTG69" s="316"/>
      <c r="PTH69" s="316"/>
      <c r="PTI69" s="316"/>
      <c r="PTJ69" s="316"/>
      <c r="PTK69" s="316"/>
      <c r="PTL69" s="316"/>
      <c r="PTM69" s="316"/>
      <c r="PTN69" s="316"/>
      <c r="PTO69" s="316"/>
      <c r="PTP69" s="316"/>
      <c r="PTQ69" s="316"/>
      <c r="PTR69" s="316"/>
      <c r="PTS69" s="316"/>
      <c r="PTT69" s="316"/>
      <c r="PTU69" s="316"/>
      <c r="PTV69" s="316"/>
      <c r="PTW69" s="316"/>
      <c r="PTX69" s="316"/>
      <c r="PTY69" s="316"/>
      <c r="PTZ69" s="316"/>
      <c r="PUA69" s="316"/>
      <c r="PUB69" s="316"/>
      <c r="PUC69" s="316"/>
      <c r="PUD69" s="316"/>
      <c r="PUE69" s="316"/>
      <c r="PUF69" s="316"/>
      <c r="PUG69" s="316"/>
      <c r="PUH69" s="316"/>
      <c r="PUI69" s="316"/>
      <c r="PUJ69" s="316"/>
      <c r="PUK69" s="316"/>
      <c r="PUL69" s="316"/>
      <c r="PUM69" s="316"/>
      <c r="PUN69" s="316"/>
      <c r="PUO69" s="316"/>
      <c r="PUP69" s="316"/>
      <c r="PUQ69" s="316"/>
      <c r="PUR69" s="316"/>
      <c r="PUS69" s="316"/>
      <c r="PUT69" s="316"/>
      <c r="PUU69" s="316"/>
      <c r="PUV69" s="316"/>
      <c r="PUW69" s="316"/>
      <c r="PUX69" s="316"/>
      <c r="PUY69" s="316"/>
      <c r="PUZ69" s="316"/>
      <c r="PVA69" s="316"/>
      <c r="PVB69" s="316"/>
      <c r="PVC69" s="316"/>
      <c r="PVD69" s="316"/>
      <c r="PVE69" s="316"/>
      <c r="PVF69" s="316"/>
      <c r="PVG69" s="316"/>
      <c r="PVH69" s="316"/>
      <c r="PVI69" s="316"/>
      <c r="PVJ69" s="316"/>
      <c r="PVK69" s="316"/>
      <c r="PVL69" s="316"/>
      <c r="PVM69" s="316"/>
      <c r="PVN69" s="316"/>
      <c r="PVO69" s="316"/>
      <c r="PVP69" s="316"/>
      <c r="PVQ69" s="316"/>
      <c r="PVR69" s="316"/>
      <c r="PVS69" s="316"/>
      <c r="PVT69" s="316"/>
      <c r="PVU69" s="316"/>
      <c r="PVV69" s="316"/>
      <c r="PVW69" s="316"/>
      <c r="PVX69" s="316"/>
      <c r="PVY69" s="316"/>
      <c r="PVZ69" s="316"/>
      <c r="PWA69" s="316"/>
      <c r="PWB69" s="316"/>
      <c r="PWC69" s="316"/>
      <c r="PWD69" s="316"/>
      <c r="PWE69" s="316"/>
      <c r="PWF69" s="316"/>
      <c r="PWG69" s="316"/>
      <c r="PWH69" s="316"/>
      <c r="PWI69" s="316"/>
      <c r="PWJ69" s="316"/>
      <c r="PWK69" s="316"/>
      <c r="PWL69" s="316"/>
      <c r="PWM69" s="316"/>
      <c r="PWN69" s="316"/>
      <c r="PWO69" s="316"/>
      <c r="PWP69" s="316"/>
      <c r="PWQ69" s="316"/>
      <c r="PWR69" s="316"/>
      <c r="PWS69" s="316"/>
      <c r="PWT69" s="316"/>
      <c r="PWU69" s="316"/>
      <c r="PWV69" s="316"/>
      <c r="PWW69" s="316"/>
      <c r="PWX69" s="316"/>
      <c r="PWY69" s="316"/>
      <c r="PWZ69" s="316"/>
      <c r="PXA69" s="316"/>
      <c r="PXB69" s="316"/>
      <c r="PXC69" s="316"/>
      <c r="PXD69" s="316"/>
      <c r="PXE69" s="316"/>
      <c r="PXF69" s="316"/>
      <c r="PXG69" s="316"/>
      <c r="PXH69" s="316"/>
      <c r="PXI69" s="316"/>
      <c r="PXJ69" s="316"/>
      <c r="PXK69" s="316"/>
      <c r="PXL69" s="316"/>
      <c r="PXM69" s="316"/>
      <c r="PXN69" s="316"/>
      <c r="PXO69" s="316"/>
      <c r="PXP69" s="316"/>
      <c r="PXQ69" s="316"/>
      <c r="PXR69" s="316"/>
      <c r="PXS69" s="316"/>
      <c r="PXT69" s="316"/>
      <c r="PXU69" s="316"/>
      <c r="PXV69" s="316"/>
      <c r="PXW69" s="316"/>
      <c r="PXX69" s="316"/>
      <c r="PXY69" s="316"/>
      <c r="PXZ69" s="316"/>
      <c r="PYA69" s="316"/>
      <c r="PYB69" s="316"/>
      <c r="PYC69" s="316"/>
      <c r="PYD69" s="316"/>
      <c r="PYE69" s="316"/>
      <c r="PYF69" s="316"/>
      <c r="PYG69" s="316"/>
      <c r="PYH69" s="316"/>
      <c r="PYI69" s="316"/>
      <c r="PYJ69" s="316"/>
      <c r="PYK69" s="316"/>
      <c r="PYL69" s="316"/>
      <c r="PYM69" s="316"/>
      <c r="PYN69" s="316"/>
      <c r="PYO69" s="316"/>
      <c r="PYP69" s="316"/>
      <c r="PYQ69" s="316"/>
      <c r="PYR69" s="316"/>
      <c r="PYS69" s="316"/>
      <c r="PYT69" s="316"/>
      <c r="PYU69" s="316"/>
      <c r="PYV69" s="316"/>
      <c r="PYW69" s="316"/>
      <c r="PYX69" s="316"/>
      <c r="PYY69" s="316"/>
      <c r="PYZ69" s="316"/>
      <c r="PZA69" s="316"/>
      <c r="PZB69" s="316"/>
      <c r="PZC69" s="316"/>
      <c r="PZD69" s="316"/>
      <c r="PZE69" s="316"/>
      <c r="PZF69" s="316"/>
      <c r="PZG69" s="316"/>
      <c r="PZH69" s="316"/>
      <c r="PZI69" s="316"/>
      <c r="PZJ69" s="316"/>
      <c r="PZK69" s="316"/>
      <c r="PZL69" s="316"/>
      <c r="PZM69" s="316"/>
      <c r="PZN69" s="316"/>
      <c r="PZO69" s="316"/>
      <c r="PZP69" s="316"/>
      <c r="PZQ69" s="316"/>
      <c r="PZR69" s="316"/>
      <c r="PZS69" s="316"/>
      <c r="PZT69" s="316"/>
      <c r="PZU69" s="316"/>
      <c r="PZV69" s="316"/>
      <c r="PZW69" s="316"/>
      <c r="PZX69" s="316"/>
      <c r="PZY69" s="316"/>
      <c r="PZZ69" s="316"/>
      <c r="QAA69" s="316"/>
      <c r="QAB69" s="316"/>
      <c r="QAC69" s="316"/>
      <c r="QAD69" s="316"/>
      <c r="QAE69" s="316"/>
      <c r="QAF69" s="316"/>
      <c r="QAG69" s="316"/>
      <c r="QAH69" s="316"/>
      <c r="QAI69" s="316"/>
      <c r="QAJ69" s="316"/>
      <c r="QAK69" s="316"/>
      <c r="QAL69" s="316"/>
      <c r="QAM69" s="316"/>
      <c r="QAN69" s="316"/>
      <c r="QAO69" s="316"/>
      <c r="QAP69" s="316"/>
      <c r="QAQ69" s="316"/>
      <c r="QAR69" s="316"/>
      <c r="QAS69" s="316"/>
      <c r="QAT69" s="316"/>
      <c r="QAU69" s="316"/>
      <c r="QAV69" s="316"/>
      <c r="QAW69" s="316"/>
      <c r="QAX69" s="316"/>
      <c r="QAY69" s="316"/>
      <c r="QAZ69" s="316"/>
      <c r="QBA69" s="316"/>
      <c r="QBB69" s="316"/>
      <c r="QBC69" s="316"/>
      <c r="QBD69" s="316"/>
      <c r="QBE69" s="316"/>
      <c r="QBF69" s="316"/>
      <c r="QBG69" s="316"/>
      <c r="QBH69" s="316"/>
      <c r="QBI69" s="316"/>
      <c r="QBJ69" s="316"/>
      <c r="QBK69" s="316"/>
      <c r="QBL69" s="316"/>
      <c r="QBM69" s="316"/>
      <c r="QBN69" s="316"/>
      <c r="QBO69" s="316"/>
      <c r="QBP69" s="316"/>
      <c r="QBQ69" s="316"/>
      <c r="QBR69" s="316"/>
      <c r="QBS69" s="316"/>
      <c r="QBT69" s="316"/>
      <c r="QBU69" s="316"/>
      <c r="QBV69" s="316"/>
      <c r="QBW69" s="316"/>
      <c r="QBX69" s="316"/>
      <c r="QBY69" s="316"/>
      <c r="QBZ69" s="316"/>
      <c r="QCA69" s="316"/>
      <c r="QCB69" s="316"/>
      <c r="QCC69" s="316"/>
      <c r="QCD69" s="316"/>
      <c r="QCE69" s="316"/>
      <c r="QCF69" s="316"/>
      <c r="QCG69" s="316"/>
      <c r="QCH69" s="316"/>
      <c r="QCI69" s="316"/>
      <c r="QCJ69" s="316"/>
      <c r="QCK69" s="316"/>
      <c r="QCL69" s="316"/>
      <c r="QCM69" s="316"/>
      <c r="QCN69" s="316"/>
      <c r="QCO69" s="316"/>
      <c r="QCP69" s="316"/>
      <c r="QCQ69" s="316"/>
      <c r="QCR69" s="316"/>
      <c r="QCS69" s="316"/>
      <c r="QCT69" s="316"/>
      <c r="QCU69" s="316"/>
      <c r="QCV69" s="316"/>
      <c r="QCW69" s="316"/>
      <c r="QCX69" s="316"/>
      <c r="QCY69" s="316"/>
      <c r="QCZ69" s="316"/>
      <c r="QDA69" s="316"/>
      <c r="QDB69" s="316"/>
      <c r="QDC69" s="316"/>
      <c r="QDD69" s="316"/>
      <c r="QDE69" s="316"/>
      <c r="QDF69" s="316"/>
      <c r="QDG69" s="316"/>
      <c r="QDH69" s="316"/>
      <c r="QDI69" s="316"/>
      <c r="QDJ69" s="316"/>
      <c r="QDK69" s="316"/>
      <c r="QDL69" s="316"/>
      <c r="QDM69" s="316"/>
      <c r="QDN69" s="316"/>
      <c r="QDO69" s="316"/>
      <c r="QDP69" s="316"/>
      <c r="QDQ69" s="316"/>
      <c r="QDR69" s="316"/>
      <c r="QDS69" s="316"/>
      <c r="QDT69" s="316"/>
      <c r="QDU69" s="316"/>
      <c r="QDV69" s="316"/>
      <c r="QDW69" s="316"/>
      <c r="QDX69" s="316"/>
      <c r="QDY69" s="316"/>
      <c r="QDZ69" s="316"/>
      <c r="QEA69" s="316"/>
      <c r="QEB69" s="316"/>
      <c r="QEC69" s="316"/>
      <c r="QED69" s="316"/>
      <c r="QEE69" s="316"/>
      <c r="QEF69" s="316"/>
      <c r="QEG69" s="316"/>
      <c r="QEH69" s="316"/>
      <c r="QEI69" s="316"/>
      <c r="QEJ69" s="316"/>
      <c r="QEK69" s="316"/>
      <c r="QEL69" s="316"/>
      <c r="QEM69" s="316"/>
      <c r="QEN69" s="316"/>
      <c r="QEO69" s="316"/>
      <c r="QEP69" s="316"/>
      <c r="QEQ69" s="316"/>
      <c r="QER69" s="316"/>
      <c r="QES69" s="316"/>
      <c r="QET69" s="316"/>
      <c r="QEU69" s="316"/>
      <c r="QEV69" s="316"/>
      <c r="QEW69" s="316"/>
      <c r="QEX69" s="316"/>
      <c r="QEY69" s="316"/>
      <c r="QEZ69" s="316"/>
      <c r="QFA69" s="316"/>
      <c r="QFB69" s="316"/>
      <c r="QFC69" s="316"/>
      <c r="QFD69" s="316"/>
      <c r="QFE69" s="316"/>
      <c r="QFF69" s="316"/>
      <c r="QFG69" s="316"/>
      <c r="QFH69" s="316"/>
      <c r="QFI69" s="316"/>
      <c r="QFJ69" s="316"/>
      <c r="QFK69" s="316"/>
      <c r="QFL69" s="316"/>
      <c r="QFM69" s="316"/>
      <c r="QFN69" s="316"/>
      <c r="QFO69" s="316"/>
      <c r="QFP69" s="316"/>
      <c r="QFQ69" s="316"/>
      <c r="QFR69" s="316"/>
      <c r="QFS69" s="316"/>
      <c r="QFT69" s="316"/>
      <c r="QFU69" s="316"/>
      <c r="QFV69" s="316"/>
      <c r="QFW69" s="316"/>
      <c r="QFX69" s="316"/>
      <c r="QFY69" s="316"/>
      <c r="QFZ69" s="316"/>
      <c r="QGA69" s="316"/>
      <c r="QGB69" s="316"/>
      <c r="QGC69" s="316"/>
      <c r="QGD69" s="316"/>
      <c r="QGE69" s="316"/>
      <c r="QGF69" s="316"/>
      <c r="QGG69" s="316"/>
      <c r="QGH69" s="316"/>
      <c r="QGI69" s="316"/>
      <c r="QGJ69" s="316"/>
      <c r="QGK69" s="316"/>
      <c r="QGL69" s="316"/>
      <c r="QGM69" s="316"/>
      <c r="QGN69" s="316"/>
      <c r="QGO69" s="316"/>
      <c r="QGP69" s="316"/>
      <c r="QGQ69" s="316"/>
      <c r="QGR69" s="316"/>
      <c r="QGS69" s="316"/>
      <c r="QGT69" s="316"/>
      <c r="QGU69" s="316"/>
      <c r="QGV69" s="316"/>
      <c r="QGW69" s="316"/>
      <c r="QGX69" s="316"/>
      <c r="QGY69" s="316"/>
      <c r="QGZ69" s="316"/>
      <c r="QHA69" s="316"/>
      <c r="QHB69" s="316"/>
      <c r="QHC69" s="316"/>
      <c r="QHD69" s="316"/>
      <c r="QHE69" s="316"/>
      <c r="QHF69" s="316"/>
      <c r="QHG69" s="316"/>
      <c r="QHH69" s="316"/>
      <c r="QHI69" s="316"/>
      <c r="QHJ69" s="316"/>
      <c r="QHK69" s="316"/>
      <c r="QHL69" s="316"/>
      <c r="QHM69" s="316"/>
      <c r="QHN69" s="316"/>
      <c r="QHO69" s="316"/>
      <c r="QHP69" s="316"/>
      <c r="QHQ69" s="316"/>
      <c r="QHR69" s="316"/>
      <c r="QHS69" s="316"/>
      <c r="QHT69" s="316"/>
      <c r="QHU69" s="316"/>
      <c r="QHV69" s="316"/>
      <c r="QHW69" s="316"/>
      <c r="QHX69" s="316"/>
      <c r="QHY69" s="316"/>
      <c r="QHZ69" s="316"/>
      <c r="QIA69" s="316"/>
      <c r="QIB69" s="316"/>
      <c r="QIC69" s="316"/>
      <c r="QID69" s="316"/>
      <c r="QIE69" s="316"/>
      <c r="QIF69" s="316"/>
      <c r="QIG69" s="316"/>
      <c r="QIH69" s="316"/>
      <c r="QII69" s="316"/>
      <c r="QIJ69" s="316"/>
      <c r="QIK69" s="316"/>
      <c r="QIL69" s="316"/>
      <c r="QIM69" s="316"/>
      <c r="QIN69" s="316"/>
      <c r="QIO69" s="316"/>
      <c r="QIP69" s="316"/>
      <c r="QIQ69" s="316"/>
      <c r="QIR69" s="316"/>
      <c r="QIS69" s="316"/>
      <c r="QIT69" s="316"/>
      <c r="QIU69" s="316"/>
      <c r="QIV69" s="316"/>
      <c r="QIW69" s="316"/>
      <c r="QIX69" s="316"/>
      <c r="QIY69" s="316"/>
      <c r="QIZ69" s="316"/>
      <c r="QJA69" s="316"/>
      <c r="QJB69" s="316"/>
      <c r="QJC69" s="316"/>
      <c r="QJD69" s="316"/>
      <c r="QJE69" s="316"/>
      <c r="QJF69" s="316"/>
      <c r="QJG69" s="316"/>
      <c r="QJH69" s="316"/>
      <c r="QJI69" s="316"/>
      <c r="QJJ69" s="316"/>
      <c r="QJK69" s="316"/>
      <c r="QJL69" s="316"/>
      <c r="QJM69" s="316"/>
      <c r="QJN69" s="316"/>
      <c r="QJO69" s="316"/>
      <c r="QJP69" s="316"/>
      <c r="QJQ69" s="316"/>
      <c r="QJR69" s="316"/>
      <c r="QJS69" s="316"/>
      <c r="QJT69" s="316"/>
      <c r="QJU69" s="316"/>
      <c r="QJV69" s="316"/>
      <c r="QJW69" s="316"/>
      <c r="QJX69" s="316"/>
      <c r="QJY69" s="316"/>
      <c r="QJZ69" s="316"/>
      <c r="QKA69" s="316"/>
      <c r="QKB69" s="316"/>
      <c r="QKC69" s="316"/>
      <c r="QKD69" s="316"/>
      <c r="QKE69" s="316"/>
      <c r="QKF69" s="316"/>
      <c r="QKG69" s="316"/>
      <c r="QKH69" s="316"/>
      <c r="QKI69" s="316"/>
      <c r="QKJ69" s="316"/>
      <c r="QKK69" s="316"/>
      <c r="QKL69" s="316"/>
      <c r="QKM69" s="316"/>
      <c r="QKN69" s="316"/>
      <c r="QKO69" s="316"/>
      <c r="QKP69" s="316"/>
      <c r="QKQ69" s="316"/>
      <c r="QKR69" s="316"/>
      <c r="QKS69" s="316"/>
      <c r="QKT69" s="316"/>
      <c r="QKU69" s="316"/>
      <c r="QKV69" s="316"/>
      <c r="QKW69" s="316"/>
      <c r="QKX69" s="316"/>
      <c r="QKY69" s="316"/>
      <c r="QKZ69" s="316"/>
      <c r="QLA69" s="316"/>
      <c r="QLB69" s="316"/>
      <c r="QLC69" s="316"/>
      <c r="QLD69" s="316"/>
      <c r="QLE69" s="316"/>
      <c r="QLF69" s="316"/>
      <c r="QLG69" s="316"/>
      <c r="QLH69" s="316"/>
      <c r="QLI69" s="316"/>
      <c r="QLJ69" s="316"/>
      <c r="QLK69" s="316"/>
      <c r="QLL69" s="316"/>
      <c r="QLM69" s="316"/>
      <c r="QLN69" s="316"/>
      <c r="QLO69" s="316"/>
      <c r="QLP69" s="316"/>
      <c r="QLQ69" s="316"/>
      <c r="QLR69" s="316"/>
      <c r="QLS69" s="316"/>
      <c r="QLT69" s="316"/>
      <c r="QLU69" s="316"/>
      <c r="QLV69" s="316"/>
      <c r="QLW69" s="316"/>
      <c r="QLX69" s="316"/>
      <c r="QLY69" s="316"/>
      <c r="QLZ69" s="316"/>
      <c r="QMA69" s="316"/>
      <c r="QMB69" s="316"/>
      <c r="QMC69" s="316"/>
      <c r="QMD69" s="316"/>
      <c r="QME69" s="316"/>
      <c r="QMF69" s="316"/>
      <c r="QMG69" s="316"/>
      <c r="QMH69" s="316"/>
      <c r="QMI69" s="316"/>
      <c r="QMJ69" s="316"/>
      <c r="QMK69" s="316"/>
      <c r="QML69" s="316"/>
      <c r="QMM69" s="316"/>
      <c r="QMN69" s="316"/>
      <c r="QMO69" s="316"/>
      <c r="QMP69" s="316"/>
      <c r="QMQ69" s="316"/>
      <c r="QMR69" s="316"/>
      <c r="QMS69" s="316"/>
      <c r="QMT69" s="316"/>
      <c r="QMU69" s="316"/>
      <c r="QMV69" s="316"/>
      <c r="QMW69" s="316"/>
      <c r="QMX69" s="316"/>
      <c r="QMY69" s="316"/>
      <c r="QMZ69" s="316"/>
      <c r="QNA69" s="316"/>
      <c r="QNB69" s="316"/>
      <c r="QNC69" s="316"/>
      <c r="QND69" s="316"/>
      <c r="QNE69" s="316"/>
      <c r="QNF69" s="316"/>
      <c r="QNG69" s="316"/>
      <c r="QNH69" s="316"/>
      <c r="QNI69" s="316"/>
      <c r="QNJ69" s="316"/>
      <c r="QNK69" s="316"/>
      <c r="QNL69" s="316"/>
      <c r="QNM69" s="316"/>
      <c r="QNN69" s="316"/>
      <c r="QNO69" s="316"/>
      <c r="QNP69" s="316"/>
      <c r="QNQ69" s="316"/>
      <c r="QNR69" s="316"/>
      <c r="QNS69" s="316"/>
      <c r="QNT69" s="316"/>
      <c r="QNU69" s="316"/>
      <c r="QNV69" s="316"/>
      <c r="QNW69" s="316"/>
      <c r="QNX69" s="316"/>
      <c r="QNY69" s="316"/>
      <c r="QNZ69" s="316"/>
      <c r="QOA69" s="316"/>
      <c r="QOB69" s="316"/>
      <c r="QOC69" s="316"/>
      <c r="QOD69" s="316"/>
      <c r="QOE69" s="316"/>
      <c r="QOF69" s="316"/>
      <c r="QOG69" s="316"/>
      <c r="QOH69" s="316"/>
      <c r="QOI69" s="316"/>
      <c r="QOJ69" s="316"/>
      <c r="QOK69" s="316"/>
      <c r="QOL69" s="316"/>
      <c r="QOM69" s="316"/>
      <c r="QON69" s="316"/>
      <c r="QOO69" s="316"/>
      <c r="QOP69" s="316"/>
      <c r="QOQ69" s="316"/>
      <c r="QOR69" s="316"/>
      <c r="QOS69" s="316"/>
      <c r="QOT69" s="316"/>
      <c r="QOU69" s="316"/>
      <c r="QOV69" s="316"/>
      <c r="QOW69" s="316"/>
      <c r="QOX69" s="316"/>
      <c r="QOY69" s="316"/>
      <c r="QOZ69" s="316"/>
      <c r="QPA69" s="316"/>
      <c r="QPB69" s="316"/>
      <c r="QPC69" s="316"/>
      <c r="QPD69" s="316"/>
      <c r="QPE69" s="316"/>
      <c r="QPF69" s="316"/>
      <c r="QPG69" s="316"/>
      <c r="QPH69" s="316"/>
      <c r="QPI69" s="316"/>
      <c r="QPJ69" s="316"/>
      <c r="QPK69" s="316"/>
      <c r="QPL69" s="316"/>
      <c r="QPM69" s="316"/>
      <c r="QPN69" s="316"/>
      <c r="QPO69" s="316"/>
      <c r="QPP69" s="316"/>
      <c r="QPQ69" s="316"/>
      <c r="QPR69" s="316"/>
      <c r="QPS69" s="316"/>
      <c r="QPT69" s="316"/>
      <c r="QPU69" s="316"/>
      <c r="QPV69" s="316"/>
      <c r="QPW69" s="316"/>
      <c r="QPX69" s="316"/>
      <c r="QPY69" s="316"/>
      <c r="QPZ69" s="316"/>
      <c r="QQA69" s="316"/>
      <c r="QQB69" s="316"/>
      <c r="QQC69" s="316"/>
      <c r="QQD69" s="316"/>
      <c r="QQE69" s="316"/>
      <c r="QQF69" s="316"/>
      <c r="QQG69" s="316"/>
      <c r="QQH69" s="316"/>
      <c r="QQI69" s="316"/>
      <c r="QQJ69" s="316"/>
      <c r="QQK69" s="316"/>
      <c r="QQL69" s="316"/>
      <c r="QQM69" s="316"/>
      <c r="QQN69" s="316"/>
      <c r="QQO69" s="316"/>
      <c r="QQP69" s="316"/>
      <c r="QQQ69" s="316"/>
      <c r="QQR69" s="316"/>
      <c r="QQS69" s="316"/>
      <c r="QQT69" s="316"/>
      <c r="QQU69" s="316"/>
      <c r="QQV69" s="316"/>
      <c r="QQW69" s="316"/>
      <c r="QQX69" s="316"/>
      <c r="QQY69" s="316"/>
      <c r="QQZ69" s="316"/>
      <c r="QRA69" s="316"/>
      <c r="QRB69" s="316"/>
      <c r="QRC69" s="316"/>
      <c r="QRD69" s="316"/>
      <c r="QRE69" s="316"/>
      <c r="QRF69" s="316"/>
      <c r="QRG69" s="316"/>
      <c r="QRH69" s="316"/>
      <c r="QRI69" s="316"/>
      <c r="QRJ69" s="316"/>
      <c r="QRK69" s="316"/>
      <c r="QRL69" s="316"/>
      <c r="QRM69" s="316"/>
      <c r="QRN69" s="316"/>
      <c r="QRO69" s="316"/>
      <c r="QRP69" s="316"/>
      <c r="QRQ69" s="316"/>
      <c r="QRR69" s="316"/>
      <c r="QRS69" s="316"/>
      <c r="QRT69" s="316"/>
      <c r="QRU69" s="316"/>
      <c r="QRV69" s="316"/>
      <c r="QRW69" s="316"/>
      <c r="QRX69" s="316"/>
      <c r="QRY69" s="316"/>
      <c r="QRZ69" s="316"/>
      <c r="QSA69" s="316"/>
      <c r="QSB69" s="316"/>
      <c r="QSC69" s="316"/>
      <c r="QSD69" s="316"/>
      <c r="QSE69" s="316"/>
      <c r="QSF69" s="316"/>
      <c r="QSG69" s="316"/>
      <c r="QSH69" s="316"/>
      <c r="QSI69" s="316"/>
      <c r="QSJ69" s="316"/>
      <c r="QSK69" s="316"/>
      <c r="QSL69" s="316"/>
      <c r="QSM69" s="316"/>
      <c r="QSN69" s="316"/>
      <c r="QSO69" s="316"/>
      <c r="QSP69" s="316"/>
      <c r="QSQ69" s="316"/>
      <c r="QSR69" s="316"/>
      <c r="QSS69" s="316"/>
      <c r="QST69" s="316"/>
      <c r="QSU69" s="316"/>
      <c r="QSV69" s="316"/>
      <c r="QSW69" s="316"/>
      <c r="QSX69" s="316"/>
      <c r="QSY69" s="316"/>
      <c r="QSZ69" s="316"/>
      <c r="QTA69" s="316"/>
      <c r="QTB69" s="316"/>
      <c r="QTC69" s="316"/>
      <c r="QTD69" s="316"/>
      <c r="QTE69" s="316"/>
      <c r="QTF69" s="316"/>
      <c r="QTG69" s="316"/>
      <c r="QTH69" s="316"/>
      <c r="QTI69" s="316"/>
      <c r="QTJ69" s="316"/>
      <c r="QTK69" s="316"/>
      <c r="QTL69" s="316"/>
      <c r="QTM69" s="316"/>
      <c r="QTN69" s="316"/>
      <c r="QTO69" s="316"/>
      <c r="QTP69" s="316"/>
      <c r="QTQ69" s="316"/>
      <c r="QTR69" s="316"/>
      <c r="QTS69" s="316"/>
      <c r="QTT69" s="316"/>
      <c r="QTU69" s="316"/>
      <c r="QTV69" s="316"/>
      <c r="QTW69" s="316"/>
      <c r="QTX69" s="316"/>
      <c r="QTY69" s="316"/>
      <c r="QTZ69" s="316"/>
      <c r="QUA69" s="316"/>
      <c r="QUB69" s="316"/>
      <c r="QUC69" s="316"/>
      <c r="QUD69" s="316"/>
      <c r="QUE69" s="316"/>
      <c r="QUF69" s="316"/>
      <c r="QUG69" s="316"/>
      <c r="QUH69" s="316"/>
      <c r="QUI69" s="316"/>
      <c r="QUJ69" s="316"/>
      <c r="QUK69" s="316"/>
      <c r="QUL69" s="316"/>
      <c r="QUM69" s="316"/>
      <c r="QUN69" s="316"/>
      <c r="QUO69" s="316"/>
      <c r="QUP69" s="316"/>
      <c r="QUQ69" s="316"/>
      <c r="QUR69" s="316"/>
      <c r="QUS69" s="316"/>
      <c r="QUT69" s="316"/>
      <c r="QUU69" s="316"/>
      <c r="QUV69" s="316"/>
      <c r="QUW69" s="316"/>
      <c r="QUX69" s="316"/>
      <c r="QUY69" s="316"/>
      <c r="QUZ69" s="316"/>
      <c r="QVA69" s="316"/>
      <c r="QVB69" s="316"/>
      <c r="QVC69" s="316"/>
      <c r="QVD69" s="316"/>
      <c r="QVE69" s="316"/>
      <c r="QVF69" s="316"/>
      <c r="QVG69" s="316"/>
      <c r="QVH69" s="316"/>
      <c r="QVI69" s="316"/>
      <c r="QVJ69" s="316"/>
      <c r="QVK69" s="316"/>
      <c r="QVL69" s="316"/>
      <c r="QVM69" s="316"/>
      <c r="QVN69" s="316"/>
      <c r="QVO69" s="316"/>
      <c r="QVP69" s="316"/>
      <c r="QVQ69" s="316"/>
      <c r="QVR69" s="316"/>
      <c r="QVS69" s="316"/>
      <c r="QVT69" s="316"/>
      <c r="QVU69" s="316"/>
      <c r="QVV69" s="316"/>
      <c r="QVW69" s="316"/>
      <c r="QVX69" s="316"/>
      <c r="QVY69" s="316"/>
      <c r="QVZ69" s="316"/>
      <c r="QWA69" s="316"/>
      <c r="QWB69" s="316"/>
      <c r="QWC69" s="316"/>
      <c r="QWD69" s="316"/>
      <c r="QWE69" s="316"/>
      <c r="QWF69" s="316"/>
      <c r="QWG69" s="316"/>
      <c r="QWH69" s="316"/>
      <c r="QWI69" s="316"/>
      <c r="QWJ69" s="316"/>
      <c r="QWK69" s="316"/>
      <c r="QWL69" s="316"/>
      <c r="QWM69" s="316"/>
      <c r="QWN69" s="316"/>
      <c r="QWO69" s="316"/>
      <c r="QWP69" s="316"/>
      <c r="QWQ69" s="316"/>
      <c r="QWR69" s="316"/>
      <c r="QWS69" s="316"/>
      <c r="QWT69" s="316"/>
      <c r="QWU69" s="316"/>
      <c r="QWV69" s="316"/>
      <c r="QWW69" s="316"/>
      <c r="QWX69" s="316"/>
      <c r="QWY69" s="316"/>
      <c r="QWZ69" s="316"/>
      <c r="QXA69" s="316"/>
      <c r="QXB69" s="316"/>
      <c r="QXC69" s="316"/>
      <c r="QXD69" s="316"/>
      <c r="QXE69" s="316"/>
      <c r="QXF69" s="316"/>
      <c r="QXG69" s="316"/>
      <c r="QXH69" s="316"/>
      <c r="QXI69" s="316"/>
      <c r="QXJ69" s="316"/>
      <c r="QXK69" s="316"/>
      <c r="QXL69" s="316"/>
      <c r="QXM69" s="316"/>
      <c r="QXN69" s="316"/>
      <c r="QXO69" s="316"/>
      <c r="QXP69" s="316"/>
      <c r="QXQ69" s="316"/>
      <c r="QXR69" s="316"/>
      <c r="QXS69" s="316"/>
      <c r="QXT69" s="316"/>
      <c r="QXU69" s="316"/>
      <c r="QXV69" s="316"/>
      <c r="QXW69" s="316"/>
      <c r="QXX69" s="316"/>
      <c r="QXY69" s="316"/>
      <c r="QXZ69" s="316"/>
      <c r="QYA69" s="316"/>
      <c r="QYB69" s="316"/>
      <c r="QYC69" s="316"/>
      <c r="QYD69" s="316"/>
      <c r="QYE69" s="316"/>
      <c r="QYF69" s="316"/>
      <c r="QYG69" s="316"/>
      <c r="QYH69" s="316"/>
      <c r="QYI69" s="316"/>
      <c r="QYJ69" s="316"/>
      <c r="QYK69" s="316"/>
      <c r="QYL69" s="316"/>
      <c r="QYM69" s="316"/>
      <c r="QYN69" s="316"/>
      <c r="QYO69" s="316"/>
      <c r="QYP69" s="316"/>
      <c r="QYQ69" s="316"/>
      <c r="QYR69" s="316"/>
      <c r="QYS69" s="316"/>
      <c r="QYT69" s="316"/>
      <c r="QYU69" s="316"/>
      <c r="QYV69" s="316"/>
      <c r="QYW69" s="316"/>
      <c r="QYX69" s="316"/>
      <c r="QYY69" s="316"/>
      <c r="QYZ69" s="316"/>
      <c r="QZA69" s="316"/>
      <c r="QZB69" s="316"/>
      <c r="QZC69" s="316"/>
      <c r="QZD69" s="316"/>
      <c r="QZE69" s="316"/>
      <c r="QZF69" s="316"/>
      <c r="QZG69" s="316"/>
      <c r="QZH69" s="316"/>
      <c r="QZI69" s="316"/>
      <c r="QZJ69" s="316"/>
      <c r="QZK69" s="316"/>
      <c r="QZL69" s="316"/>
      <c r="QZM69" s="316"/>
      <c r="QZN69" s="316"/>
      <c r="QZO69" s="316"/>
      <c r="QZP69" s="316"/>
      <c r="QZQ69" s="316"/>
      <c r="QZR69" s="316"/>
      <c r="QZS69" s="316"/>
      <c r="QZT69" s="316"/>
      <c r="QZU69" s="316"/>
      <c r="QZV69" s="316"/>
      <c r="QZW69" s="316"/>
      <c r="QZX69" s="316"/>
      <c r="QZY69" s="316"/>
      <c r="QZZ69" s="316"/>
      <c r="RAA69" s="316"/>
      <c r="RAB69" s="316"/>
      <c r="RAC69" s="316"/>
      <c r="RAD69" s="316"/>
      <c r="RAE69" s="316"/>
      <c r="RAF69" s="316"/>
      <c r="RAG69" s="316"/>
      <c r="RAH69" s="316"/>
      <c r="RAI69" s="316"/>
      <c r="RAJ69" s="316"/>
      <c r="RAK69" s="316"/>
      <c r="RAL69" s="316"/>
      <c r="RAM69" s="316"/>
      <c r="RAN69" s="316"/>
      <c r="RAO69" s="316"/>
      <c r="RAP69" s="316"/>
      <c r="RAQ69" s="316"/>
      <c r="RAR69" s="316"/>
      <c r="RAS69" s="316"/>
      <c r="RAT69" s="316"/>
      <c r="RAU69" s="316"/>
      <c r="RAV69" s="316"/>
      <c r="RAW69" s="316"/>
      <c r="RAX69" s="316"/>
      <c r="RAY69" s="316"/>
      <c r="RAZ69" s="316"/>
      <c r="RBA69" s="316"/>
      <c r="RBB69" s="316"/>
      <c r="RBC69" s="316"/>
      <c r="RBD69" s="316"/>
      <c r="RBE69" s="316"/>
      <c r="RBF69" s="316"/>
      <c r="RBG69" s="316"/>
      <c r="RBH69" s="316"/>
      <c r="RBI69" s="316"/>
      <c r="RBJ69" s="316"/>
      <c r="RBK69" s="316"/>
      <c r="RBL69" s="316"/>
      <c r="RBM69" s="316"/>
      <c r="RBN69" s="316"/>
      <c r="RBO69" s="316"/>
      <c r="RBP69" s="316"/>
      <c r="RBQ69" s="316"/>
      <c r="RBR69" s="316"/>
      <c r="RBS69" s="316"/>
      <c r="RBT69" s="316"/>
      <c r="RBU69" s="316"/>
      <c r="RBV69" s="316"/>
      <c r="RBW69" s="316"/>
      <c r="RBX69" s="316"/>
      <c r="RBY69" s="316"/>
      <c r="RBZ69" s="316"/>
      <c r="RCA69" s="316"/>
      <c r="RCB69" s="316"/>
      <c r="RCC69" s="316"/>
      <c r="RCD69" s="316"/>
      <c r="RCE69" s="316"/>
      <c r="RCF69" s="316"/>
      <c r="RCG69" s="316"/>
      <c r="RCH69" s="316"/>
      <c r="RCI69" s="316"/>
      <c r="RCJ69" s="316"/>
      <c r="RCK69" s="316"/>
      <c r="RCL69" s="316"/>
      <c r="RCM69" s="316"/>
      <c r="RCN69" s="316"/>
      <c r="RCO69" s="316"/>
      <c r="RCP69" s="316"/>
      <c r="RCQ69" s="316"/>
      <c r="RCR69" s="316"/>
      <c r="RCS69" s="316"/>
      <c r="RCT69" s="316"/>
      <c r="RCU69" s="316"/>
      <c r="RCV69" s="316"/>
      <c r="RCW69" s="316"/>
      <c r="RCX69" s="316"/>
      <c r="RCY69" s="316"/>
      <c r="RCZ69" s="316"/>
      <c r="RDA69" s="316"/>
      <c r="RDB69" s="316"/>
      <c r="RDC69" s="316"/>
      <c r="RDD69" s="316"/>
      <c r="RDE69" s="316"/>
      <c r="RDF69" s="316"/>
      <c r="RDG69" s="316"/>
      <c r="RDH69" s="316"/>
      <c r="RDI69" s="316"/>
      <c r="RDJ69" s="316"/>
      <c r="RDK69" s="316"/>
      <c r="RDL69" s="316"/>
      <c r="RDM69" s="316"/>
      <c r="RDN69" s="316"/>
      <c r="RDO69" s="316"/>
      <c r="RDP69" s="316"/>
      <c r="RDQ69" s="316"/>
      <c r="RDR69" s="316"/>
      <c r="RDS69" s="316"/>
      <c r="RDT69" s="316"/>
      <c r="RDU69" s="316"/>
      <c r="RDV69" s="316"/>
      <c r="RDW69" s="316"/>
      <c r="RDX69" s="316"/>
      <c r="RDY69" s="316"/>
      <c r="RDZ69" s="316"/>
      <c r="REA69" s="316"/>
      <c r="REB69" s="316"/>
      <c r="REC69" s="316"/>
      <c r="RED69" s="316"/>
      <c r="REE69" s="316"/>
      <c r="REF69" s="316"/>
      <c r="REG69" s="316"/>
      <c r="REH69" s="316"/>
      <c r="REI69" s="316"/>
      <c r="REJ69" s="316"/>
      <c r="REK69" s="316"/>
      <c r="REL69" s="316"/>
      <c r="REM69" s="316"/>
      <c r="REN69" s="316"/>
      <c r="REO69" s="316"/>
      <c r="REP69" s="316"/>
      <c r="REQ69" s="316"/>
      <c r="RER69" s="316"/>
      <c r="RES69" s="316"/>
      <c r="RET69" s="316"/>
      <c r="REU69" s="316"/>
      <c r="REV69" s="316"/>
      <c r="REW69" s="316"/>
      <c r="REX69" s="316"/>
      <c r="REY69" s="316"/>
      <c r="REZ69" s="316"/>
      <c r="RFA69" s="316"/>
      <c r="RFB69" s="316"/>
      <c r="RFC69" s="316"/>
      <c r="RFD69" s="316"/>
      <c r="RFE69" s="316"/>
      <c r="RFF69" s="316"/>
      <c r="RFG69" s="316"/>
      <c r="RFH69" s="316"/>
      <c r="RFI69" s="316"/>
      <c r="RFJ69" s="316"/>
      <c r="RFK69" s="316"/>
      <c r="RFL69" s="316"/>
      <c r="RFM69" s="316"/>
      <c r="RFN69" s="316"/>
      <c r="RFO69" s="316"/>
      <c r="RFP69" s="316"/>
      <c r="RFQ69" s="316"/>
      <c r="RFR69" s="316"/>
      <c r="RFS69" s="316"/>
      <c r="RFT69" s="316"/>
      <c r="RFU69" s="316"/>
      <c r="RFV69" s="316"/>
      <c r="RFW69" s="316"/>
      <c r="RFX69" s="316"/>
      <c r="RFY69" s="316"/>
      <c r="RFZ69" s="316"/>
      <c r="RGA69" s="316"/>
      <c r="RGB69" s="316"/>
      <c r="RGC69" s="316"/>
      <c r="RGD69" s="316"/>
      <c r="RGE69" s="316"/>
      <c r="RGF69" s="316"/>
      <c r="RGG69" s="316"/>
      <c r="RGH69" s="316"/>
      <c r="RGI69" s="316"/>
      <c r="RGJ69" s="316"/>
      <c r="RGK69" s="316"/>
      <c r="RGL69" s="316"/>
      <c r="RGM69" s="316"/>
      <c r="RGN69" s="316"/>
      <c r="RGO69" s="316"/>
      <c r="RGP69" s="316"/>
      <c r="RGQ69" s="316"/>
      <c r="RGR69" s="316"/>
      <c r="RGS69" s="316"/>
      <c r="RGT69" s="316"/>
      <c r="RGU69" s="316"/>
      <c r="RGV69" s="316"/>
      <c r="RGW69" s="316"/>
      <c r="RGX69" s="316"/>
      <c r="RGY69" s="316"/>
      <c r="RGZ69" s="316"/>
      <c r="RHA69" s="316"/>
      <c r="RHB69" s="316"/>
      <c r="RHC69" s="316"/>
      <c r="RHD69" s="316"/>
      <c r="RHE69" s="316"/>
      <c r="RHF69" s="316"/>
      <c r="RHG69" s="316"/>
      <c r="RHH69" s="316"/>
      <c r="RHI69" s="316"/>
      <c r="RHJ69" s="316"/>
      <c r="RHK69" s="316"/>
      <c r="RHL69" s="316"/>
      <c r="RHM69" s="316"/>
      <c r="RHN69" s="316"/>
      <c r="RHO69" s="316"/>
      <c r="RHP69" s="316"/>
      <c r="RHQ69" s="316"/>
      <c r="RHR69" s="316"/>
      <c r="RHS69" s="316"/>
      <c r="RHT69" s="316"/>
      <c r="RHU69" s="316"/>
      <c r="RHV69" s="316"/>
      <c r="RHW69" s="316"/>
      <c r="RHX69" s="316"/>
      <c r="RHY69" s="316"/>
      <c r="RHZ69" s="316"/>
      <c r="RIA69" s="316"/>
      <c r="RIB69" s="316"/>
      <c r="RIC69" s="316"/>
      <c r="RID69" s="316"/>
      <c r="RIE69" s="316"/>
      <c r="RIF69" s="316"/>
      <c r="RIG69" s="316"/>
      <c r="RIH69" s="316"/>
      <c r="RII69" s="316"/>
      <c r="RIJ69" s="316"/>
      <c r="RIK69" s="316"/>
      <c r="RIL69" s="316"/>
      <c r="RIM69" s="316"/>
      <c r="RIN69" s="316"/>
      <c r="RIO69" s="316"/>
      <c r="RIP69" s="316"/>
      <c r="RIQ69" s="316"/>
      <c r="RIR69" s="316"/>
      <c r="RIS69" s="316"/>
      <c r="RIT69" s="316"/>
      <c r="RIU69" s="316"/>
      <c r="RIV69" s="316"/>
      <c r="RIW69" s="316"/>
      <c r="RIX69" s="316"/>
      <c r="RIY69" s="316"/>
      <c r="RIZ69" s="316"/>
      <c r="RJA69" s="316"/>
      <c r="RJB69" s="316"/>
      <c r="RJC69" s="316"/>
      <c r="RJD69" s="316"/>
      <c r="RJE69" s="316"/>
      <c r="RJF69" s="316"/>
      <c r="RJG69" s="316"/>
      <c r="RJH69" s="316"/>
      <c r="RJI69" s="316"/>
      <c r="RJJ69" s="316"/>
      <c r="RJK69" s="316"/>
      <c r="RJL69" s="316"/>
      <c r="RJM69" s="316"/>
      <c r="RJN69" s="316"/>
      <c r="RJO69" s="316"/>
      <c r="RJP69" s="316"/>
      <c r="RJQ69" s="316"/>
      <c r="RJR69" s="316"/>
      <c r="RJS69" s="316"/>
      <c r="RJT69" s="316"/>
      <c r="RJU69" s="316"/>
      <c r="RJV69" s="316"/>
      <c r="RJW69" s="316"/>
      <c r="RJX69" s="316"/>
      <c r="RJY69" s="316"/>
      <c r="RJZ69" s="316"/>
      <c r="RKA69" s="316"/>
      <c r="RKB69" s="316"/>
      <c r="RKC69" s="316"/>
      <c r="RKD69" s="316"/>
      <c r="RKE69" s="316"/>
      <c r="RKF69" s="316"/>
      <c r="RKG69" s="316"/>
      <c r="RKH69" s="316"/>
      <c r="RKI69" s="316"/>
      <c r="RKJ69" s="316"/>
      <c r="RKK69" s="316"/>
      <c r="RKL69" s="316"/>
      <c r="RKM69" s="316"/>
      <c r="RKN69" s="316"/>
      <c r="RKO69" s="316"/>
      <c r="RKP69" s="316"/>
      <c r="RKQ69" s="316"/>
      <c r="RKR69" s="316"/>
      <c r="RKS69" s="316"/>
      <c r="RKT69" s="316"/>
      <c r="RKU69" s="316"/>
      <c r="RKV69" s="316"/>
      <c r="RKW69" s="316"/>
      <c r="RKX69" s="316"/>
      <c r="RKY69" s="316"/>
      <c r="RKZ69" s="316"/>
      <c r="RLA69" s="316"/>
      <c r="RLB69" s="316"/>
      <c r="RLC69" s="316"/>
      <c r="RLD69" s="316"/>
      <c r="RLE69" s="316"/>
      <c r="RLF69" s="316"/>
      <c r="RLG69" s="316"/>
      <c r="RLH69" s="316"/>
      <c r="RLI69" s="316"/>
      <c r="RLJ69" s="316"/>
      <c r="RLK69" s="316"/>
      <c r="RLL69" s="316"/>
      <c r="RLM69" s="316"/>
      <c r="RLN69" s="316"/>
      <c r="RLO69" s="316"/>
      <c r="RLP69" s="316"/>
      <c r="RLQ69" s="316"/>
      <c r="RLR69" s="316"/>
      <c r="RLS69" s="316"/>
      <c r="RLT69" s="316"/>
      <c r="RLU69" s="316"/>
      <c r="RLV69" s="316"/>
      <c r="RLW69" s="316"/>
      <c r="RLX69" s="316"/>
      <c r="RLY69" s="316"/>
      <c r="RLZ69" s="316"/>
      <c r="RMA69" s="316"/>
      <c r="RMB69" s="316"/>
      <c r="RMC69" s="316"/>
      <c r="RMD69" s="316"/>
      <c r="RME69" s="316"/>
      <c r="RMF69" s="316"/>
      <c r="RMG69" s="316"/>
      <c r="RMH69" s="316"/>
      <c r="RMI69" s="316"/>
      <c r="RMJ69" s="316"/>
      <c r="RMK69" s="316"/>
      <c r="RML69" s="316"/>
      <c r="RMM69" s="316"/>
      <c r="RMN69" s="316"/>
      <c r="RMO69" s="316"/>
      <c r="RMP69" s="316"/>
      <c r="RMQ69" s="316"/>
      <c r="RMR69" s="316"/>
      <c r="RMS69" s="316"/>
      <c r="RMT69" s="316"/>
      <c r="RMU69" s="316"/>
      <c r="RMV69" s="316"/>
      <c r="RMW69" s="316"/>
      <c r="RMX69" s="316"/>
      <c r="RMY69" s="316"/>
      <c r="RMZ69" s="316"/>
      <c r="RNA69" s="316"/>
      <c r="RNB69" s="316"/>
      <c r="RNC69" s="316"/>
      <c r="RND69" s="316"/>
      <c r="RNE69" s="316"/>
      <c r="RNF69" s="316"/>
      <c r="RNG69" s="316"/>
      <c r="RNH69" s="316"/>
      <c r="RNI69" s="316"/>
      <c r="RNJ69" s="316"/>
      <c r="RNK69" s="316"/>
      <c r="RNL69" s="316"/>
      <c r="RNM69" s="316"/>
      <c r="RNN69" s="316"/>
      <c r="RNO69" s="316"/>
      <c r="RNP69" s="316"/>
      <c r="RNQ69" s="316"/>
      <c r="RNR69" s="316"/>
      <c r="RNS69" s="316"/>
      <c r="RNT69" s="316"/>
      <c r="RNU69" s="316"/>
      <c r="RNV69" s="316"/>
      <c r="RNW69" s="316"/>
      <c r="RNX69" s="316"/>
      <c r="RNY69" s="316"/>
      <c r="RNZ69" s="316"/>
      <c r="ROA69" s="316"/>
      <c r="ROB69" s="316"/>
      <c r="ROC69" s="316"/>
      <c r="ROD69" s="316"/>
      <c r="ROE69" s="316"/>
      <c r="ROF69" s="316"/>
      <c r="ROG69" s="316"/>
      <c r="ROH69" s="316"/>
      <c r="ROI69" s="316"/>
      <c r="ROJ69" s="316"/>
      <c r="ROK69" s="316"/>
      <c r="ROL69" s="316"/>
      <c r="ROM69" s="316"/>
      <c r="RON69" s="316"/>
      <c r="ROO69" s="316"/>
      <c r="ROP69" s="316"/>
      <c r="ROQ69" s="316"/>
      <c r="ROR69" s="316"/>
      <c r="ROS69" s="316"/>
      <c r="ROT69" s="316"/>
      <c r="ROU69" s="316"/>
      <c r="ROV69" s="316"/>
      <c r="ROW69" s="316"/>
      <c r="ROX69" s="316"/>
      <c r="ROY69" s="316"/>
      <c r="ROZ69" s="316"/>
      <c r="RPA69" s="316"/>
      <c r="RPB69" s="316"/>
      <c r="RPC69" s="316"/>
      <c r="RPD69" s="316"/>
      <c r="RPE69" s="316"/>
      <c r="RPF69" s="316"/>
      <c r="RPG69" s="316"/>
      <c r="RPH69" s="316"/>
      <c r="RPI69" s="316"/>
      <c r="RPJ69" s="316"/>
      <c r="RPK69" s="316"/>
      <c r="RPL69" s="316"/>
      <c r="RPM69" s="316"/>
      <c r="RPN69" s="316"/>
      <c r="RPO69" s="316"/>
      <c r="RPP69" s="316"/>
      <c r="RPQ69" s="316"/>
      <c r="RPR69" s="316"/>
      <c r="RPS69" s="316"/>
      <c r="RPT69" s="316"/>
      <c r="RPU69" s="316"/>
      <c r="RPV69" s="316"/>
      <c r="RPW69" s="316"/>
      <c r="RPX69" s="316"/>
      <c r="RPY69" s="316"/>
      <c r="RPZ69" s="316"/>
      <c r="RQA69" s="316"/>
      <c r="RQB69" s="316"/>
      <c r="RQC69" s="316"/>
      <c r="RQD69" s="316"/>
      <c r="RQE69" s="316"/>
      <c r="RQF69" s="316"/>
      <c r="RQG69" s="316"/>
      <c r="RQH69" s="316"/>
      <c r="RQI69" s="316"/>
      <c r="RQJ69" s="316"/>
      <c r="RQK69" s="316"/>
      <c r="RQL69" s="316"/>
      <c r="RQM69" s="316"/>
      <c r="RQN69" s="316"/>
      <c r="RQO69" s="316"/>
      <c r="RQP69" s="316"/>
      <c r="RQQ69" s="316"/>
      <c r="RQR69" s="316"/>
      <c r="RQS69" s="316"/>
      <c r="RQT69" s="316"/>
      <c r="RQU69" s="316"/>
      <c r="RQV69" s="316"/>
      <c r="RQW69" s="316"/>
      <c r="RQX69" s="316"/>
      <c r="RQY69" s="316"/>
      <c r="RQZ69" s="316"/>
      <c r="RRA69" s="316"/>
      <c r="RRB69" s="316"/>
      <c r="RRC69" s="316"/>
      <c r="RRD69" s="316"/>
      <c r="RRE69" s="316"/>
      <c r="RRF69" s="316"/>
      <c r="RRG69" s="316"/>
      <c r="RRH69" s="316"/>
      <c r="RRI69" s="316"/>
      <c r="RRJ69" s="316"/>
      <c r="RRK69" s="316"/>
      <c r="RRL69" s="316"/>
      <c r="RRM69" s="316"/>
      <c r="RRN69" s="316"/>
      <c r="RRO69" s="316"/>
      <c r="RRP69" s="316"/>
      <c r="RRQ69" s="316"/>
      <c r="RRR69" s="316"/>
      <c r="RRS69" s="316"/>
      <c r="RRT69" s="316"/>
      <c r="RRU69" s="316"/>
      <c r="RRV69" s="316"/>
      <c r="RRW69" s="316"/>
      <c r="RRX69" s="316"/>
      <c r="RRY69" s="316"/>
      <c r="RRZ69" s="316"/>
      <c r="RSA69" s="316"/>
      <c r="RSB69" s="316"/>
      <c r="RSC69" s="316"/>
      <c r="RSD69" s="316"/>
      <c r="RSE69" s="316"/>
      <c r="RSF69" s="316"/>
      <c r="RSG69" s="316"/>
      <c r="RSH69" s="316"/>
      <c r="RSI69" s="316"/>
      <c r="RSJ69" s="316"/>
      <c r="RSK69" s="316"/>
      <c r="RSL69" s="316"/>
      <c r="RSM69" s="316"/>
      <c r="RSN69" s="316"/>
      <c r="RSO69" s="316"/>
      <c r="RSP69" s="316"/>
      <c r="RSQ69" s="316"/>
      <c r="RSR69" s="316"/>
      <c r="RSS69" s="316"/>
      <c r="RST69" s="316"/>
      <c r="RSU69" s="316"/>
      <c r="RSV69" s="316"/>
      <c r="RSW69" s="316"/>
      <c r="RSX69" s="316"/>
      <c r="RSY69" s="316"/>
      <c r="RSZ69" s="316"/>
      <c r="RTA69" s="316"/>
      <c r="RTB69" s="316"/>
      <c r="RTC69" s="316"/>
      <c r="RTD69" s="316"/>
      <c r="RTE69" s="316"/>
      <c r="RTF69" s="316"/>
      <c r="RTG69" s="316"/>
      <c r="RTH69" s="316"/>
      <c r="RTI69" s="316"/>
      <c r="RTJ69" s="316"/>
      <c r="RTK69" s="316"/>
      <c r="RTL69" s="316"/>
      <c r="RTM69" s="316"/>
      <c r="RTN69" s="316"/>
      <c r="RTO69" s="316"/>
      <c r="RTP69" s="316"/>
      <c r="RTQ69" s="316"/>
      <c r="RTR69" s="316"/>
      <c r="RTS69" s="316"/>
      <c r="RTT69" s="316"/>
      <c r="RTU69" s="316"/>
      <c r="RTV69" s="316"/>
      <c r="RTW69" s="316"/>
      <c r="RTX69" s="316"/>
      <c r="RTY69" s="316"/>
      <c r="RTZ69" s="316"/>
      <c r="RUA69" s="316"/>
      <c r="RUB69" s="316"/>
      <c r="RUC69" s="316"/>
      <c r="RUD69" s="316"/>
      <c r="RUE69" s="316"/>
      <c r="RUF69" s="316"/>
      <c r="RUG69" s="316"/>
      <c r="RUH69" s="316"/>
      <c r="RUI69" s="316"/>
      <c r="RUJ69" s="316"/>
      <c r="RUK69" s="316"/>
      <c r="RUL69" s="316"/>
      <c r="RUM69" s="316"/>
      <c r="RUN69" s="316"/>
      <c r="RUO69" s="316"/>
      <c r="RUP69" s="316"/>
      <c r="RUQ69" s="316"/>
      <c r="RUR69" s="316"/>
      <c r="RUS69" s="316"/>
      <c r="RUT69" s="316"/>
      <c r="RUU69" s="316"/>
      <c r="RUV69" s="316"/>
      <c r="RUW69" s="316"/>
      <c r="RUX69" s="316"/>
      <c r="RUY69" s="316"/>
      <c r="RUZ69" s="316"/>
      <c r="RVA69" s="316"/>
      <c r="RVB69" s="316"/>
      <c r="RVC69" s="316"/>
      <c r="RVD69" s="316"/>
      <c r="RVE69" s="316"/>
      <c r="RVF69" s="316"/>
      <c r="RVG69" s="316"/>
      <c r="RVH69" s="316"/>
      <c r="RVI69" s="316"/>
      <c r="RVJ69" s="316"/>
      <c r="RVK69" s="316"/>
      <c r="RVL69" s="316"/>
      <c r="RVM69" s="316"/>
      <c r="RVN69" s="316"/>
      <c r="RVO69" s="316"/>
      <c r="RVP69" s="316"/>
      <c r="RVQ69" s="316"/>
      <c r="RVR69" s="316"/>
      <c r="RVS69" s="316"/>
      <c r="RVT69" s="316"/>
      <c r="RVU69" s="316"/>
      <c r="RVV69" s="316"/>
      <c r="RVW69" s="316"/>
      <c r="RVX69" s="316"/>
      <c r="RVY69" s="316"/>
      <c r="RVZ69" s="316"/>
      <c r="RWA69" s="316"/>
      <c r="RWB69" s="316"/>
      <c r="RWC69" s="316"/>
      <c r="RWD69" s="316"/>
      <c r="RWE69" s="316"/>
      <c r="RWF69" s="316"/>
      <c r="RWG69" s="316"/>
      <c r="RWH69" s="316"/>
      <c r="RWI69" s="316"/>
      <c r="RWJ69" s="316"/>
      <c r="RWK69" s="316"/>
      <c r="RWL69" s="316"/>
      <c r="RWM69" s="316"/>
      <c r="RWN69" s="316"/>
      <c r="RWO69" s="316"/>
      <c r="RWP69" s="316"/>
      <c r="RWQ69" s="316"/>
      <c r="RWR69" s="316"/>
      <c r="RWS69" s="316"/>
      <c r="RWT69" s="316"/>
      <c r="RWU69" s="316"/>
      <c r="RWV69" s="316"/>
      <c r="RWW69" s="316"/>
      <c r="RWX69" s="316"/>
      <c r="RWY69" s="316"/>
      <c r="RWZ69" s="316"/>
      <c r="RXA69" s="316"/>
      <c r="RXB69" s="316"/>
      <c r="RXC69" s="316"/>
      <c r="RXD69" s="316"/>
      <c r="RXE69" s="316"/>
      <c r="RXF69" s="316"/>
      <c r="RXG69" s="316"/>
      <c r="RXH69" s="316"/>
      <c r="RXI69" s="316"/>
      <c r="RXJ69" s="316"/>
      <c r="RXK69" s="316"/>
      <c r="RXL69" s="316"/>
      <c r="RXM69" s="316"/>
      <c r="RXN69" s="316"/>
      <c r="RXO69" s="316"/>
      <c r="RXP69" s="316"/>
      <c r="RXQ69" s="316"/>
      <c r="RXR69" s="316"/>
      <c r="RXS69" s="316"/>
      <c r="RXT69" s="316"/>
      <c r="RXU69" s="316"/>
      <c r="RXV69" s="316"/>
      <c r="RXW69" s="316"/>
      <c r="RXX69" s="316"/>
      <c r="RXY69" s="316"/>
      <c r="RXZ69" s="316"/>
      <c r="RYA69" s="316"/>
      <c r="RYB69" s="316"/>
      <c r="RYC69" s="316"/>
      <c r="RYD69" s="316"/>
      <c r="RYE69" s="316"/>
      <c r="RYF69" s="316"/>
      <c r="RYG69" s="316"/>
      <c r="RYH69" s="316"/>
      <c r="RYI69" s="316"/>
      <c r="RYJ69" s="316"/>
      <c r="RYK69" s="316"/>
      <c r="RYL69" s="316"/>
      <c r="RYM69" s="316"/>
      <c r="RYN69" s="316"/>
      <c r="RYO69" s="316"/>
      <c r="RYP69" s="316"/>
      <c r="RYQ69" s="316"/>
      <c r="RYR69" s="316"/>
      <c r="RYS69" s="316"/>
      <c r="RYT69" s="316"/>
      <c r="RYU69" s="316"/>
      <c r="RYV69" s="316"/>
      <c r="RYW69" s="316"/>
      <c r="RYX69" s="316"/>
      <c r="RYY69" s="316"/>
      <c r="RYZ69" s="316"/>
      <c r="RZA69" s="316"/>
      <c r="RZB69" s="316"/>
      <c r="RZC69" s="316"/>
      <c r="RZD69" s="316"/>
      <c r="RZE69" s="316"/>
      <c r="RZF69" s="316"/>
      <c r="RZG69" s="316"/>
      <c r="RZH69" s="316"/>
      <c r="RZI69" s="316"/>
      <c r="RZJ69" s="316"/>
      <c r="RZK69" s="316"/>
      <c r="RZL69" s="316"/>
      <c r="RZM69" s="316"/>
      <c r="RZN69" s="316"/>
      <c r="RZO69" s="316"/>
      <c r="RZP69" s="316"/>
      <c r="RZQ69" s="316"/>
      <c r="RZR69" s="316"/>
      <c r="RZS69" s="316"/>
      <c r="RZT69" s="316"/>
      <c r="RZU69" s="316"/>
      <c r="RZV69" s="316"/>
      <c r="RZW69" s="316"/>
      <c r="RZX69" s="316"/>
      <c r="RZY69" s="316"/>
      <c r="RZZ69" s="316"/>
      <c r="SAA69" s="316"/>
      <c r="SAB69" s="316"/>
      <c r="SAC69" s="316"/>
      <c r="SAD69" s="316"/>
      <c r="SAE69" s="316"/>
      <c r="SAF69" s="316"/>
      <c r="SAG69" s="316"/>
      <c r="SAH69" s="316"/>
      <c r="SAI69" s="316"/>
      <c r="SAJ69" s="316"/>
      <c r="SAK69" s="316"/>
      <c r="SAL69" s="316"/>
      <c r="SAM69" s="316"/>
      <c r="SAN69" s="316"/>
      <c r="SAO69" s="316"/>
      <c r="SAP69" s="316"/>
      <c r="SAQ69" s="316"/>
      <c r="SAR69" s="316"/>
      <c r="SAS69" s="316"/>
      <c r="SAT69" s="316"/>
      <c r="SAU69" s="316"/>
      <c r="SAV69" s="316"/>
      <c r="SAW69" s="316"/>
      <c r="SAX69" s="316"/>
      <c r="SAY69" s="316"/>
      <c r="SAZ69" s="316"/>
      <c r="SBA69" s="316"/>
      <c r="SBB69" s="316"/>
      <c r="SBC69" s="316"/>
      <c r="SBD69" s="316"/>
      <c r="SBE69" s="316"/>
      <c r="SBF69" s="316"/>
      <c r="SBG69" s="316"/>
      <c r="SBH69" s="316"/>
      <c r="SBI69" s="316"/>
      <c r="SBJ69" s="316"/>
      <c r="SBK69" s="316"/>
      <c r="SBL69" s="316"/>
      <c r="SBM69" s="316"/>
      <c r="SBN69" s="316"/>
      <c r="SBO69" s="316"/>
      <c r="SBP69" s="316"/>
      <c r="SBQ69" s="316"/>
      <c r="SBR69" s="316"/>
      <c r="SBS69" s="316"/>
      <c r="SBT69" s="316"/>
      <c r="SBU69" s="316"/>
      <c r="SBV69" s="316"/>
      <c r="SBW69" s="316"/>
      <c r="SBX69" s="316"/>
      <c r="SBY69" s="316"/>
      <c r="SBZ69" s="316"/>
      <c r="SCA69" s="316"/>
      <c r="SCB69" s="316"/>
      <c r="SCC69" s="316"/>
      <c r="SCD69" s="316"/>
      <c r="SCE69" s="316"/>
      <c r="SCF69" s="316"/>
      <c r="SCG69" s="316"/>
      <c r="SCH69" s="316"/>
      <c r="SCI69" s="316"/>
      <c r="SCJ69" s="316"/>
      <c r="SCK69" s="316"/>
      <c r="SCL69" s="316"/>
      <c r="SCM69" s="316"/>
      <c r="SCN69" s="316"/>
      <c r="SCO69" s="316"/>
      <c r="SCP69" s="316"/>
      <c r="SCQ69" s="316"/>
      <c r="SCR69" s="316"/>
      <c r="SCS69" s="316"/>
      <c r="SCT69" s="316"/>
      <c r="SCU69" s="316"/>
      <c r="SCV69" s="316"/>
      <c r="SCW69" s="316"/>
      <c r="SCX69" s="316"/>
      <c r="SCY69" s="316"/>
      <c r="SCZ69" s="316"/>
      <c r="SDA69" s="316"/>
      <c r="SDB69" s="316"/>
      <c r="SDC69" s="316"/>
      <c r="SDD69" s="316"/>
      <c r="SDE69" s="316"/>
      <c r="SDF69" s="316"/>
      <c r="SDG69" s="316"/>
      <c r="SDH69" s="316"/>
      <c r="SDI69" s="316"/>
      <c r="SDJ69" s="316"/>
      <c r="SDK69" s="316"/>
      <c r="SDL69" s="316"/>
      <c r="SDM69" s="316"/>
      <c r="SDN69" s="316"/>
      <c r="SDO69" s="316"/>
      <c r="SDP69" s="316"/>
      <c r="SDQ69" s="316"/>
      <c r="SDR69" s="316"/>
      <c r="SDS69" s="316"/>
      <c r="SDT69" s="316"/>
      <c r="SDU69" s="316"/>
      <c r="SDV69" s="316"/>
      <c r="SDW69" s="316"/>
      <c r="SDX69" s="316"/>
      <c r="SDY69" s="316"/>
      <c r="SDZ69" s="316"/>
      <c r="SEA69" s="316"/>
      <c r="SEB69" s="316"/>
      <c r="SEC69" s="316"/>
      <c r="SED69" s="316"/>
      <c r="SEE69" s="316"/>
      <c r="SEF69" s="316"/>
      <c r="SEG69" s="316"/>
      <c r="SEH69" s="316"/>
      <c r="SEI69" s="316"/>
      <c r="SEJ69" s="316"/>
      <c r="SEK69" s="316"/>
      <c r="SEL69" s="316"/>
      <c r="SEM69" s="316"/>
      <c r="SEN69" s="316"/>
      <c r="SEO69" s="316"/>
      <c r="SEP69" s="316"/>
      <c r="SEQ69" s="316"/>
      <c r="SER69" s="316"/>
      <c r="SES69" s="316"/>
      <c r="SET69" s="316"/>
      <c r="SEU69" s="316"/>
      <c r="SEV69" s="316"/>
      <c r="SEW69" s="316"/>
      <c r="SEX69" s="316"/>
      <c r="SEY69" s="316"/>
      <c r="SEZ69" s="316"/>
      <c r="SFA69" s="316"/>
      <c r="SFB69" s="316"/>
      <c r="SFC69" s="316"/>
      <c r="SFD69" s="316"/>
      <c r="SFE69" s="316"/>
      <c r="SFF69" s="316"/>
      <c r="SFG69" s="316"/>
      <c r="SFH69" s="316"/>
      <c r="SFI69" s="316"/>
      <c r="SFJ69" s="316"/>
      <c r="SFK69" s="316"/>
      <c r="SFL69" s="316"/>
      <c r="SFM69" s="316"/>
      <c r="SFN69" s="316"/>
      <c r="SFO69" s="316"/>
      <c r="SFP69" s="316"/>
      <c r="SFQ69" s="316"/>
      <c r="SFR69" s="316"/>
      <c r="SFS69" s="316"/>
      <c r="SFT69" s="316"/>
      <c r="SFU69" s="316"/>
      <c r="SFV69" s="316"/>
      <c r="SFW69" s="316"/>
      <c r="SFX69" s="316"/>
      <c r="SFY69" s="316"/>
      <c r="SFZ69" s="316"/>
      <c r="SGA69" s="316"/>
      <c r="SGB69" s="316"/>
      <c r="SGC69" s="316"/>
      <c r="SGD69" s="316"/>
      <c r="SGE69" s="316"/>
      <c r="SGF69" s="316"/>
      <c r="SGG69" s="316"/>
      <c r="SGH69" s="316"/>
      <c r="SGI69" s="316"/>
      <c r="SGJ69" s="316"/>
      <c r="SGK69" s="316"/>
      <c r="SGL69" s="316"/>
      <c r="SGM69" s="316"/>
      <c r="SGN69" s="316"/>
      <c r="SGO69" s="316"/>
      <c r="SGP69" s="316"/>
      <c r="SGQ69" s="316"/>
      <c r="SGR69" s="316"/>
      <c r="SGS69" s="316"/>
      <c r="SGT69" s="316"/>
      <c r="SGU69" s="316"/>
      <c r="SGV69" s="316"/>
      <c r="SGW69" s="316"/>
      <c r="SGX69" s="316"/>
      <c r="SGY69" s="316"/>
      <c r="SGZ69" s="316"/>
      <c r="SHA69" s="316"/>
      <c r="SHB69" s="316"/>
      <c r="SHC69" s="316"/>
      <c r="SHD69" s="316"/>
      <c r="SHE69" s="316"/>
      <c r="SHF69" s="316"/>
      <c r="SHG69" s="316"/>
      <c r="SHH69" s="316"/>
      <c r="SHI69" s="316"/>
      <c r="SHJ69" s="316"/>
      <c r="SHK69" s="316"/>
      <c r="SHL69" s="316"/>
      <c r="SHM69" s="316"/>
      <c r="SHN69" s="316"/>
      <c r="SHO69" s="316"/>
      <c r="SHP69" s="316"/>
      <c r="SHQ69" s="316"/>
      <c r="SHR69" s="316"/>
      <c r="SHS69" s="316"/>
      <c r="SHT69" s="316"/>
      <c r="SHU69" s="316"/>
      <c r="SHV69" s="316"/>
      <c r="SHW69" s="316"/>
      <c r="SHX69" s="316"/>
      <c r="SHY69" s="316"/>
      <c r="SHZ69" s="316"/>
      <c r="SIA69" s="316"/>
      <c r="SIB69" s="316"/>
      <c r="SIC69" s="316"/>
      <c r="SID69" s="316"/>
      <c r="SIE69" s="316"/>
      <c r="SIF69" s="316"/>
      <c r="SIG69" s="316"/>
      <c r="SIH69" s="316"/>
      <c r="SII69" s="316"/>
      <c r="SIJ69" s="316"/>
      <c r="SIK69" s="316"/>
      <c r="SIL69" s="316"/>
      <c r="SIM69" s="316"/>
      <c r="SIN69" s="316"/>
      <c r="SIO69" s="316"/>
      <c r="SIP69" s="316"/>
      <c r="SIQ69" s="316"/>
      <c r="SIR69" s="316"/>
      <c r="SIS69" s="316"/>
      <c r="SIT69" s="316"/>
      <c r="SIU69" s="316"/>
      <c r="SIV69" s="316"/>
      <c r="SIW69" s="316"/>
      <c r="SIX69" s="316"/>
      <c r="SIY69" s="316"/>
      <c r="SIZ69" s="316"/>
      <c r="SJA69" s="316"/>
      <c r="SJB69" s="316"/>
      <c r="SJC69" s="316"/>
      <c r="SJD69" s="316"/>
      <c r="SJE69" s="316"/>
      <c r="SJF69" s="316"/>
      <c r="SJG69" s="316"/>
      <c r="SJH69" s="316"/>
      <c r="SJI69" s="316"/>
      <c r="SJJ69" s="316"/>
      <c r="SJK69" s="316"/>
      <c r="SJL69" s="316"/>
      <c r="SJM69" s="316"/>
      <c r="SJN69" s="316"/>
      <c r="SJO69" s="316"/>
      <c r="SJP69" s="316"/>
      <c r="SJQ69" s="316"/>
      <c r="SJR69" s="316"/>
      <c r="SJS69" s="316"/>
      <c r="SJT69" s="316"/>
      <c r="SJU69" s="316"/>
      <c r="SJV69" s="316"/>
      <c r="SJW69" s="316"/>
      <c r="SJX69" s="316"/>
      <c r="SJY69" s="316"/>
      <c r="SJZ69" s="316"/>
      <c r="SKA69" s="316"/>
      <c r="SKB69" s="316"/>
      <c r="SKC69" s="316"/>
      <c r="SKD69" s="316"/>
      <c r="SKE69" s="316"/>
      <c r="SKF69" s="316"/>
      <c r="SKG69" s="316"/>
      <c r="SKH69" s="316"/>
      <c r="SKI69" s="316"/>
      <c r="SKJ69" s="316"/>
      <c r="SKK69" s="316"/>
      <c r="SKL69" s="316"/>
      <c r="SKM69" s="316"/>
      <c r="SKN69" s="316"/>
      <c r="SKO69" s="316"/>
      <c r="SKP69" s="316"/>
      <c r="SKQ69" s="316"/>
      <c r="SKR69" s="316"/>
      <c r="SKS69" s="316"/>
      <c r="SKT69" s="316"/>
      <c r="SKU69" s="316"/>
      <c r="SKV69" s="316"/>
      <c r="SKW69" s="316"/>
      <c r="SKX69" s="316"/>
      <c r="SKY69" s="316"/>
      <c r="SKZ69" s="316"/>
      <c r="SLA69" s="316"/>
      <c r="SLB69" s="316"/>
      <c r="SLC69" s="316"/>
      <c r="SLD69" s="316"/>
      <c r="SLE69" s="316"/>
      <c r="SLF69" s="316"/>
      <c r="SLG69" s="316"/>
      <c r="SLH69" s="316"/>
      <c r="SLI69" s="316"/>
      <c r="SLJ69" s="316"/>
      <c r="SLK69" s="316"/>
      <c r="SLL69" s="316"/>
      <c r="SLM69" s="316"/>
      <c r="SLN69" s="316"/>
      <c r="SLO69" s="316"/>
      <c r="SLP69" s="316"/>
      <c r="SLQ69" s="316"/>
      <c r="SLR69" s="316"/>
      <c r="SLS69" s="316"/>
      <c r="SLT69" s="316"/>
      <c r="SLU69" s="316"/>
      <c r="SLV69" s="316"/>
      <c r="SLW69" s="316"/>
      <c r="SLX69" s="316"/>
      <c r="SLY69" s="316"/>
      <c r="SLZ69" s="316"/>
      <c r="SMA69" s="316"/>
      <c r="SMB69" s="316"/>
      <c r="SMC69" s="316"/>
      <c r="SMD69" s="316"/>
      <c r="SME69" s="316"/>
      <c r="SMF69" s="316"/>
      <c r="SMG69" s="316"/>
      <c r="SMH69" s="316"/>
      <c r="SMI69" s="316"/>
      <c r="SMJ69" s="316"/>
      <c r="SMK69" s="316"/>
      <c r="SML69" s="316"/>
      <c r="SMM69" s="316"/>
      <c r="SMN69" s="316"/>
      <c r="SMO69" s="316"/>
      <c r="SMP69" s="316"/>
      <c r="SMQ69" s="316"/>
      <c r="SMR69" s="316"/>
      <c r="SMS69" s="316"/>
      <c r="SMT69" s="316"/>
      <c r="SMU69" s="316"/>
      <c r="SMV69" s="316"/>
      <c r="SMW69" s="316"/>
      <c r="SMX69" s="316"/>
      <c r="SMY69" s="316"/>
      <c r="SMZ69" s="316"/>
      <c r="SNA69" s="316"/>
      <c r="SNB69" s="316"/>
      <c r="SNC69" s="316"/>
      <c r="SND69" s="316"/>
      <c r="SNE69" s="316"/>
      <c r="SNF69" s="316"/>
      <c r="SNG69" s="316"/>
      <c r="SNH69" s="316"/>
      <c r="SNI69" s="316"/>
      <c r="SNJ69" s="316"/>
      <c r="SNK69" s="316"/>
      <c r="SNL69" s="316"/>
      <c r="SNM69" s="316"/>
      <c r="SNN69" s="316"/>
      <c r="SNO69" s="316"/>
      <c r="SNP69" s="316"/>
      <c r="SNQ69" s="316"/>
      <c r="SNR69" s="316"/>
      <c r="SNS69" s="316"/>
      <c r="SNT69" s="316"/>
      <c r="SNU69" s="316"/>
      <c r="SNV69" s="316"/>
      <c r="SNW69" s="316"/>
      <c r="SNX69" s="316"/>
      <c r="SNY69" s="316"/>
      <c r="SNZ69" s="316"/>
      <c r="SOA69" s="316"/>
      <c r="SOB69" s="316"/>
      <c r="SOC69" s="316"/>
      <c r="SOD69" s="316"/>
      <c r="SOE69" s="316"/>
      <c r="SOF69" s="316"/>
      <c r="SOG69" s="316"/>
      <c r="SOH69" s="316"/>
      <c r="SOI69" s="316"/>
      <c r="SOJ69" s="316"/>
      <c r="SOK69" s="316"/>
      <c r="SOL69" s="316"/>
      <c r="SOM69" s="316"/>
      <c r="SON69" s="316"/>
      <c r="SOO69" s="316"/>
      <c r="SOP69" s="316"/>
      <c r="SOQ69" s="316"/>
      <c r="SOR69" s="316"/>
      <c r="SOS69" s="316"/>
      <c r="SOT69" s="316"/>
      <c r="SOU69" s="316"/>
      <c r="SOV69" s="316"/>
      <c r="SOW69" s="316"/>
      <c r="SOX69" s="316"/>
      <c r="SOY69" s="316"/>
      <c r="SOZ69" s="316"/>
      <c r="SPA69" s="316"/>
      <c r="SPB69" s="316"/>
      <c r="SPC69" s="316"/>
      <c r="SPD69" s="316"/>
      <c r="SPE69" s="316"/>
      <c r="SPF69" s="316"/>
      <c r="SPG69" s="316"/>
      <c r="SPH69" s="316"/>
      <c r="SPI69" s="316"/>
      <c r="SPJ69" s="316"/>
      <c r="SPK69" s="316"/>
      <c r="SPL69" s="316"/>
      <c r="SPM69" s="316"/>
      <c r="SPN69" s="316"/>
      <c r="SPO69" s="316"/>
      <c r="SPP69" s="316"/>
      <c r="SPQ69" s="316"/>
      <c r="SPR69" s="316"/>
      <c r="SPS69" s="316"/>
      <c r="SPT69" s="316"/>
      <c r="SPU69" s="316"/>
      <c r="SPV69" s="316"/>
      <c r="SPW69" s="316"/>
      <c r="SPX69" s="316"/>
      <c r="SPY69" s="316"/>
      <c r="SPZ69" s="316"/>
      <c r="SQA69" s="316"/>
      <c r="SQB69" s="316"/>
      <c r="SQC69" s="316"/>
      <c r="SQD69" s="316"/>
      <c r="SQE69" s="316"/>
      <c r="SQF69" s="316"/>
      <c r="SQG69" s="316"/>
      <c r="SQH69" s="316"/>
      <c r="SQI69" s="316"/>
      <c r="SQJ69" s="316"/>
      <c r="SQK69" s="316"/>
      <c r="SQL69" s="316"/>
      <c r="SQM69" s="316"/>
      <c r="SQN69" s="316"/>
      <c r="SQO69" s="316"/>
      <c r="SQP69" s="316"/>
      <c r="SQQ69" s="316"/>
      <c r="SQR69" s="316"/>
      <c r="SQS69" s="316"/>
      <c r="SQT69" s="316"/>
      <c r="SQU69" s="316"/>
      <c r="SQV69" s="316"/>
      <c r="SQW69" s="316"/>
      <c r="SQX69" s="316"/>
      <c r="SQY69" s="316"/>
      <c r="SQZ69" s="316"/>
      <c r="SRA69" s="316"/>
      <c r="SRB69" s="316"/>
      <c r="SRC69" s="316"/>
      <c r="SRD69" s="316"/>
      <c r="SRE69" s="316"/>
      <c r="SRF69" s="316"/>
      <c r="SRG69" s="316"/>
      <c r="SRH69" s="316"/>
      <c r="SRI69" s="316"/>
      <c r="SRJ69" s="316"/>
      <c r="SRK69" s="316"/>
      <c r="SRL69" s="316"/>
      <c r="SRM69" s="316"/>
      <c r="SRN69" s="316"/>
      <c r="SRO69" s="316"/>
      <c r="SRP69" s="316"/>
      <c r="SRQ69" s="316"/>
      <c r="SRR69" s="316"/>
      <c r="SRS69" s="316"/>
      <c r="SRT69" s="316"/>
      <c r="SRU69" s="316"/>
      <c r="SRV69" s="316"/>
      <c r="SRW69" s="316"/>
      <c r="SRX69" s="316"/>
      <c r="SRY69" s="316"/>
      <c r="SRZ69" s="316"/>
      <c r="SSA69" s="316"/>
      <c r="SSB69" s="316"/>
      <c r="SSC69" s="316"/>
      <c r="SSD69" s="316"/>
      <c r="SSE69" s="316"/>
      <c r="SSF69" s="316"/>
      <c r="SSG69" s="316"/>
      <c r="SSH69" s="316"/>
      <c r="SSI69" s="316"/>
      <c r="SSJ69" s="316"/>
      <c r="SSK69" s="316"/>
      <c r="SSL69" s="316"/>
      <c r="SSM69" s="316"/>
      <c r="SSN69" s="316"/>
      <c r="SSO69" s="316"/>
      <c r="SSP69" s="316"/>
      <c r="SSQ69" s="316"/>
      <c r="SSR69" s="316"/>
      <c r="SSS69" s="316"/>
      <c r="SST69" s="316"/>
      <c r="SSU69" s="316"/>
      <c r="SSV69" s="316"/>
      <c r="SSW69" s="316"/>
      <c r="SSX69" s="316"/>
      <c r="SSY69" s="316"/>
      <c r="SSZ69" s="316"/>
      <c r="STA69" s="316"/>
      <c r="STB69" s="316"/>
      <c r="STC69" s="316"/>
      <c r="STD69" s="316"/>
      <c r="STE69" s="316"/>
      <c r="STF69" s="316"/>
      <c r="STG69" s="316"/>
      <c r="STH69" s="316"/>
      <c r="STI69" s="316"/>
      <c r="STJ69" s="316"/>
      <c r="STK69" s="316"/>
      <c r="STL69" s="316"/>
      <c r="STM69" s="316"/>
      <c r="STN69" s="316"/>
      <c r="STO69" s="316"/>
      <c r="STP69" s="316"/>
      <c r="STQ69" s="316"/>
      <c r="STR69" s="316"/>
      <c r="STS69" s="316"/>
      <c r="STT69" s="316"/>
      <c r="STU69" s="316"/>
      <c r="STV69" s="316"/>
      <c r="STW69" s="316"/>
      <c r="STX69" s="316"/>
      <c r="STY69" s="316"/>
      <c r="STZ69" s="316"/>
      <c r="SUA69" s="316"/>
      <c r="SUB69" s="316"/>
      <c r="SUC69" s="316"/>
      <c r="SUD69" s="316"/>
      <c r="SUE69" s="316"/>
      <c r="SUF69" s="316"/>
      <c r="SUG69" s="316"/>
      <c r="SUH69" s="316"/>
      <c r="SUI69" s="316"/>
      <c r="SUJ69" s="316"/>
      <c r="SUK69" s="316"/>
      <c r="SUL69" s="316"/>
      <c r="SUM69" s="316"/>
      <c r="SUN69" s="316"/>
      <c r="SUO69" s="316"/>
      <c r="SUP69" s="316"/>
      <c r="SUQ69" s="316"/>
      <c r="SUR69" s="316"/>
      <c r="SUS69" s="316"/>
      <c r="SUT69" s="316"/>
      <c r="SUU69" s="316"/>
      <c r="SUV69" s="316"/>
      <c r="SUW69" s="316"/>
      <c r="SUX69" s="316"/>
      <c r="SUY69" s="316"/>
      <c r="SUZ69" s="316"/>
      <c r="SVA69" s="316"/>
      <c r="SVB69" s="316"/>
      <c r="SVC69" s="316"/>
      <c r="SVD69" s="316"/>
      <c r="SVE69" s="316"/>
      <c r="SVF69" s="316"/>
      <c r="SVG69" s="316"/>
      <c r="SVH69" s="316"/>
      <c r="SVI69" s="316"/>
      <c r="SVJ69" s="316"/>
      <c r="SVK69" s="316"/>
      <c r="SVL69" s="316"/>
      <c r="SVM69" s="316"/>
      <c r="SVN69" s="316"/>
      <c r="SVO69" s="316"/>
      <c r="SVP69" s="316"/>
      <c r="SVQ69" s="316"/>
      <c r="SVR69" s="316"/>
      <c r="SVS69" s="316"/>
      <c r="SVT69" s="316"/>
      <c r="SVU69" s="316"/>
      <c r="SVV69" s="316"/>
      <c r="SVW69" s="316"/>
      <c r="SVX69" s="316"/>
      <c r="SVY69" s="316"/>
      <c r="SVZ69" s="316"/>
      <c r="SWA69" s="316"/>
      <c r="SWB69" s="316"/>
      <c r="SWC69" s="316"/>
      <c r="SWD69" s="316"/>
      <c r="SWE69" s="316"/>
      <c r="SWF69" s="316"/>
      <c r="SWG69" s="316"/>
      <c r="SWH69" s="316"/>
      <c r="SWI69" s="316"/>
      <c r="SWJ69" s="316"/>
      <c r="SWK69" s="316"/>
      <c r="SWL69" s="316"/>
      <c r="SWM69" s="316"/>
      <c r="SWN69" s="316"/>
      <c r="SWO69" s="316"/>
      <c r="SWP69" s="316"/>
      <c r="SWQ69" s="316"/>
      <c r="SWR69" s="316"/>
      <c r="SWS69" s="316"/>
      <c r="SWT69" s="316"/>
      <c r="SWU69" s="316"/>
      <c r="SWV69" s="316"/>
      <c r="SWW69" s="316"/>
      <c r="SWX69" s="316"/>
      <c r="SWY69" s="316"/>
      <c r="SWZ69" s="316"/>
      <c r="SXA69" s="316"/>
      <c r="SXB69" s="316"/>
      <c r="SXC69" s="316"/>
      <c r="SXD69" s="316"/>
      <c r="SXE69" s="316"/>
      <c r="SXF69" s="316"/>
      <c r="SXG69" s="316"/>
      <c r="SXH69" s="316"/>
      <c r="SXI69" s="316"/>
      <c r="SXJ69" s="316"/>
      <c r="SXK69" s="316"/>
      <c r="SXL69" s="316"/>
      <c r="SXM69" s="316"/>
      <c r="SXN69" s="316"/>
      <c r="SXO69" s="316"/>
      <c r="SXP69" s="316"/>
      <c r="SXQ69" s="316"/>
      <c r="SXR69" s="316"/>
      <c r="SXS69" s="316"/>
      <c r="SXT69" s="316"/>
      <c r="SXU69" s="316"/>
      <c r="SXV69" s="316"/>
      <c r="SXW69" s="316"/>
      <c r="SXX69" s="316"/>
      <c r="SXY69" s="316"/>
      <c r="SXZ69" s="316"/>
      <c r="SYA69" s="316"/>
      <c r="SYB69" s="316"/>
      <c r="SYC69" s="316"/>
      <c r="SYD69" s="316"/>
      <c r="SYE69" s="316"/>
      <c r="SYF69" s="316"/>
      <c r="SYG69" s="316"/>
      <c r="SYH69" s="316"/>
      <c r="SYI69" s="316"/>
      <c r="SYJ69" s="316"/>
      <c r="SYK69" s="316"/>
      <c r="SYL69" s="316"/>
      <c r="SYM69" s="316"/>
      <c r="SYN69" s="316"/>
      <c r="SYO69" s="316"/>
      <c r="SYP69" s="316"/>
      <c r="SYQ69" s="316"/>
      <c r="SYR69" s="316"/>
      <c r="SYS69" s="316"/>
      <c r="SYT69" s="316"/>
      <c r="SYU69" s="316"/>
      <c r="SYV69" s="316"/>
      <c r="SYW69" s="316"/>
      <c r="SYX69" s="316"/>
      <c r="SYY69" s="316"/>
      <c r="SYZ69" s="316"/>
      <c r="SZA69" s="316"/>
      <c r="SZB69" s="316"/>
      <c r="SZC69" s="316"/>
      <c r="SZD69" s="316"/>
      <c r="SZE69" s="316"/>
      <c r="SZF69" s="316"/>
      <c r="SZG69" s="316"/>
      <c r="SZH69" s="316"/>
      <c r="SZI69" s="316"/>
      <c r="SZJ69" s="316"/>
      <c r="SZK69" s="316"/>
      <c r="SZL69" s="316"/>
      <c r="SZM69" s="316"/>
      <c r="SZN69" s="316"/>
      <c r="SZO69" s="316"/>
      <c r="SZP69" s="316"/>
      <c r="SZQ69" s="316"/>
      <c r="SZR69" s="316"/>
      <c r="SZS69" s="316"/>
      <c r="SZT69" s="316"/>
      <c r="SZU69" s="316"/>
      <c r="SZV69" s="316"/>
      <c r="SZW69" s="316"/>
      <c r="SZX69" s="316"/>
      <c r="SZY69" s="316"/>
      <c r="SZZ69" s="316"/>
      <c r="TAA69" s="316"/>
      <c r="TAB69" s="316"/>
      <c r="TAC69" s="316"/>
      <c r="TAD69" s="316"/>
      <c r="TAE69" s="316"/>
      <c r="TAF69" s="316"/>
      <c r="TAG69" s="316"/>
      <c r="TAH69" s="316"/>
      <c r="TAI69" s="316"/>
      <c r="TAJ69" s="316"/>
      <c r="TAK69" s="316"/>
      <c r="TAL69" s="316"/>
      <c r="TAM69" s="316"/>
      <c r="TAN69" s="316"/>
      <c r="TAO69" s="316"/>
      <c r="TAP69" s="316"/>
      <c r="TAQ69" s="316"/>
      <c r="TAR69" s="316"/>
      <c r="TAS69" s="316"/>
      <c r="TAT69" s="316"/>
      <c r="TAU69" s="316"/>
      <c r="TAV69" s="316"/>
      <c r="TAW69" s="316"/>
      <c r="TAX69" s="316"/>
      <c r="TAY69" s="316"/>
      <c r="TAZ69" s="316"/>
      <c r="TBA69" s="316"/>
      <c r="TBB69" s="316"/>
      <c r="TBC69" s="316"/>
      <c r="TBD69" s="316"/>
      <c r="TBE69" s="316"/>
      <c r="TBF69" s="316"/>
      <c r="TBG69" s="316"/>
      <c r="TBH69" s="316"/>
      <c r="TBI69" s="316"/>
      <c r="TBJ69" s="316"/>
      <c r="TBK69" s="316"/>
      <c r="TBL69" s="316"/>
      <c r="TBM69" s="316"/>
      <c r="TBN69" s="316"/>
      <c r="TBO69" s="316"/>
      <c r="TBP69" s="316"/>
      <c r="TBQ69" s="316"/>
      <c r="TBR69" s="316"/>
      <c r="TBS69" s="316"/>
      <c r="TBT69" s="316"/>
      <c r="TBU69" s="316"/>
      <c r="TBV69" s="316"/>
      <c r="TBW69" s="316"/>
      <c r="TBX69" s="316"/>
      <c r="TBY69" s="316"/>
      <c r="TBZ69" s="316"/>
      <c r="TCA69" s="316"/>
      <c r="TCB69" s="316"/>
      <c r="TCC69" s="316"/>
      <c r="TCD69" s="316"/>
      <c r="TCE69" s="316"/>
      <c r="TCF69" s="316"/>
      <c r="TCG69" s="316"/>
      <c r="TCH69" s="316"/>
      <c r="TCI69" s="316"/>
      <c r="TCJ69" s="316"/>
      <c r="TCK69" s="316"/>
      <c r="TCL69" s="316"/>
      <c r="TCM69" s="316"/>
      <c r="TCN69" s="316"/>
      <c r="TCO69" s="316"/>
      <c r="TCP69" s="316"/>
      <c r="TCQ69" s="316"/>
      <c r="TCR69" s="316"/>
      <c r="TCS69" s="316"/>
      <c r="TCT69" s="316"/>
      <c r="TCU69" s="316"/>
      <c r="TCV69" s="316"/>
      <c r="TCW69" s="316"/>
      <c r="TCX69" s="316"/>
      <c r="TCY69" s="316"/>
      <c r="TCZ69" s="316"/>
      <c r="TDA69" s="316"/>
      <c r="TDB69" s="316"/>
      <c r="TDC69" s="316"/>
      <c r="TDD69" s="316"/>
      <c r="TDE69" s="316"/>
      <c r="TDF69" s="316"/>
      <c r="TDG69" s="316"/>
      <c r="TDH69" s="316"/>
      <c r="TDI69" s="316"/>
      <c r="TDJ69" s="316"/>
      <c r="TDK69" s="316"/>
      <c r="TDL69" s="316"/>
      <c r="TDM69" s="316"/>
      <c r="TDN69" s="316"/>
      <c r="TDO69" s="316"/>
      <c r="TDP69" s="316"/>
      <c r="TDQ69" s="316"/>
      <c r="TDR69" s="316"/>
      <c r="TDS69" s="316"/>
      <c r="TDT69" s="316"/>
      <c r="TDU69" s="316"/>
      <c r="TDV69" s="316"/>
      <c r="TDW69" s="316"/>
      <c r="TDX69" s="316"/>
      <c r="TDY69" s="316"/>
      <c r="TDZ69" s="316"/>
      <c r="TEA69" s="316"/>
      <c r="TEB69" s="316"/>
      <c r="TEC69" s="316"/>
      <c r="TED69" s="316"/>
      <c r="TEE69" s="316"/>
      <c r="TEF69" s="316"/>
      <c r="TEG69" s="316"/>
      <c r="TEH69" s="316"/>
      <c r="TEI69" s="316"/>
      <c r="TEJ69" s="316"/>
      <c r="TEK69" s="316"/>
      <c r="TEL69" s="316"/>
      <c r="TEM69" s="316"/>
      <c r="TEN69" s="316"/>
      <c r="TEO69" s="316"/>
      <c r="TEP69" s="316"/>
      <c r="TEQ69" s="316"/>
      <c r="TER69" s="316"/>
      <c r="TES69" s="316"/>
      <c r="TET69" s="316"/>
      <c r="TEU69" s="316"/>
      <c r="TEV69" s="316"/>
      <c r="TEW69" s="316"/>
      <c r="TEX69" s="316"/>
      <c r="TEY69" s="316"/>
      <c r="TEZ69" s="316"/>
      <c r="TFA69" s="316"/>
      <c r="TFB69" s="316"/>
      <c r="TFC69" s="316"/>
      <c r="TFD69" s="316"/>
      <c r="TFE69" s="316"/>
      <c r="TFF69" s="316"/>
      <c r="TFG69" s="316"/>
      <c r="TFH69" s="316"/>
      <c r="TFI69" s="316"/>
      <c r="TFJ69" s="316"/>
      <c r="TFK69" s="316"/>
      <c r="TFL69" s="316"/>
      <c r="TFM69" s="316"/>
      <c r="TFN69" s="316"/>
      <c r="TFO69" s="316"/>
      <c r="TFP69" s="316"/>
      <c r="TFQ69" s="316"/>
      <c r="TFR69" s="316"/>
      <c r="TFS69" s="316"/>
      <c r="TFT69" s="316"/>
      <c r="TFU69" s="316"/>
      <c r="TFV69" s="316"/>
      <c r="TFW69" s="316"/>
      <c r="TFX69" s="316"/>
      <c r="TFY69" s="316"/>
      <c r="TFZ69" s="316"/>
      <c r="TGA69" s="316"/>
      <c r="TGB69" s="316"/>
      <c r="TGC69" s="316"/>
      <c r="TGD69" s="316"/>
      <c r="TGE69" s="316"/>
      <c r="TGF69" s="316"/>
      <c r="TGG69" s="316"/>
      <c r="TGH69" s="316"/>
      <c r="TGI69" s="316"/>
      <c r="TGJ69" s="316"/>
      <c r="TGK69" s="316"/>
      <c r="TGL69" s="316"/>
      <c r="TGM69" s="316"/>
      <c r="TGN69" s="316"/>
      <c r="TGO69" s="316"/>
      <c r="TGP69" s="316"/>
      <c r="TGQ69" s="316"/>
      <c r="TGR69" s="316"/>
      <c r="TGS69" s="316"/>
      <c r="TGT69" s="316"/>
      <c r="TGU69" s="316"/>
      <c r="TGV69" s="316"/>
      <c r="TGW69" s="316"/>
      <c r="TGX69" s="316"/>
      <c r="TGY69" s="316"/>
      <c r="TGZ69" s="316"/>
      <c r="THA69" s="316"/>
      <c r="THB69" s="316"/>
      <c r="THC69" s="316"/>
      <c r="THD69" s="316"/>
      <c r="THE69" s="316"/>
      <c r="THF69" s="316"/>
      <c r="THG69" s="316"/>
      <c r="THH69" s="316"/>
      <c r="THI69" s="316"/>
      <c r="THJ69" s="316"/>
      <c r="THK69" s="316"/>
      <c r="THL69" s="316"/>
      <c r="THM69" s="316"/>
      <c r="THN69" s="316"/>
      <c r="THO69" s="316"/>
      <c r="THP69" s="316"/>
      <c r="THQ69" s="316"/>
      <c r="THR69" s="316"/>
      <c r="THS69" s="316"/>
      <c r="THT69" s="316"/>
      <c r="THU69" s="316"/>
      <c r="THV69" s="316"/>
      <c r="THW69" s="316"/>
      <c r="THX69" s="316"/>
      <c r="THY69" s="316"/>
      <c r="THZ69" s="316"/>
      <c r="TIA69" s="316"/>
      <c r="TIB69" s="316"/>
      <c r="TIC69" s="316"/>
      <c r="TID69" s="316"/>
      <c r="TIE69" s="316"/>
      <c r="TIF69" s="316"/>
      <c r="TIG69" s="316"/>
      <c r="TIH69" s="316"/>
      <c r="TII69" s="316"/>
      <c r="TIJ69" s="316"/>
      <c r="TIK69" s="316"/>
      <c r="TIL69" s="316"/>
      <c r="TIM69" s="316"/>
      <c r="TIN69" s="316"/>
      <c r="TIO69" s="316"/>
      <c r="TIP69" s="316"/>
      <c r="TIQ69" s="316"/>
      <c r="TIR69" s="316"/>
      <c r="TIS69" s="316"/>
      <c r="TIT69" s="316"/>
      <c r="TIU69" s="316"/>
      <c r="TIV69" s="316"/>
      <c r="TIW69" s="316"/>
      <c r="TIX69" s="316"/>
      <c r="TIY69" s="316"/>
      <c r="TIZ69" s="316"/>
      <c r="TJA69" s="316"/>
      <c r="TJB69" s="316"/>
      <c r="TJC69" s="316"/>
      <c r="TJD69" s="316"/>
      <c r="TJE69" s="316"/>
      <c r="TJF69" s="316"/>
      <c r="TJG69" s="316"/>
      <c r="TJH69" s="316"/>
      <c r="TJI69" s="316"/>
      <c r="TJJ69" s="316"/>
      <c r="TJK69" s="316"/>
      <c r="TJL69" s="316"/>
      <c r="TJM69" s="316"/>
      <c r="TJN69" s="316"/>
      <c r="TJO69" s="316"/>
      <c r="TJP69" s="316"/>
      <c r="TJQ69" s="316"/>
      <c r="TJR69" s="316"/>
      <c r="TJS69" s="316"/>
      <c r="TJT69" s="316"/>
      <c r="TJU69" s="316"/>
      <c r="TJV69" s="316"/>
      <c r="TJW69" s="316"/>
      <c r="TJX69" s="316"/>
      <c r="TJY69" s="316"/>
      <c r="TJZ69" s="316"/>
      <c r="TKA69" s="316"/>
      <c r="TKB69" s="316"/>
      <c r="TKC69" s="316"/>
      <c r="TKD69" s="316"/>
      <c r="TKE69" s="316"/>
      <c r="TKF69" s="316"/>
      <c r="TKG69" s="316"/>
      <c r="TKH69" s="316"/>
      <c r="TKI69" s="316"/>
      <c r="TKJ69" s="316"/>
      <c r="TKK69" s="316"/>
      <c r="TKL69" s="316"/>
      <c r="TKM69" s="316"/>
      <c r="TKN69" s="316"/>
      <c r="TKO69" s="316"/>
      <c r="TKP69" s="316"/>
      <c r="TKQ69" s="316"/>
      <c r="TKR69" s="316"/>
      <c r="TKS69" s="316"/>
      <c r="TKT69" s="316"/>
      <c r="TKU69" s="316"/>
      <c r="TKV69" s="316"/>
      <c r="TKW69" s="316"/>
      <c r="TKX69" s="316"/>
      <c r="TKY69" s="316"/>
      <c r="TKZ69" s="316"/>
      <c r="TLA69" s="316"/>
      <c r="TLB69" s="316"/>
      <c r="TLC69" s="316"/>
      <c r="TLD69" s="316"/>
      <c r="TLE69" s="316"/>
      <c r="TLF69" s="316"/>
      <c r="TLG69" s="316"/>
      <c r="TLH69" s="316"/>
      <c r="TLI69" s="316"/>
      <c r="TLJ69" s="316"/>
      <c r="TLK69" s="316"/>
      <c r="TLL69" s="316"/>
      <c r="TLM69" s="316"/>
      <c r="TLN69" s="316"/>
      <c r="TLO69" s="316"/>
      <c r="TLP69" s="316"/>
      <c r="TLQ69" s="316"/>
      <c r="TLR69" s="316"/>
      <c r="TLS69" s="316"/>
      <c r="TLT69" s="316"/>
      <c r="TLU69" s="316"/>
      <c r="TLV69" s="316"/>
      <c r="TLW69" s="316"/>
      <c r="TLX69" s="316"/>
      <c r="TLY69" s="316"/>
      <c r="TLZ69" s="316"/>
      <c r="TMA69" s="316"/>
      <c r="TMB69" s="316"/>
      <c r="TMC69" s="316"/>
      <c r="TMD69" s="316"/>
      <c r="TME69" s="316"/>
      <c r="TMF69" s="316"/>
      <c r="TMG69" s="316"/>
      <c r="TMH69" s="316"/>
      <c r="TMI69" s="316"/>
      <c r="TMJ69" s="316"/>
      <c r="TMK69" s="316"/>
      <c r="TML69" s="316"/>
      <c r="TMM69" s="316"/>
      <c r="TMN69" s="316"/>
      <c r="TMO69" s="316"/>
      <c r="TMP69" s="316"/>
      <c r="TMQ69" s="316"/>
      <c r="TMR69" s="316"/>
      <c r="TMS69" s="316"/>
      <c r="TMT69" s="316"/>
      <c r="TMU69" s="316"/>
      <c r="TMV69" s="316"/>
      <c r="TMW69" s="316"/>
      <c r="TMX69" s="316"/>
      <c r="TMY69" s="316"/>
      <c r="TMZ69" s="316"/>
      <c r="TNA69" s="316"/>
      <c r="TNB69" s="316"/>
      <c r="TNC69" s="316"/>
      <c r="TND69" s="316"/>
      <c r="TNE69" s="316"/>
      <c r="TNF69" s="316"/>
      <c r="TNG69" s="316"/>
      <c r="TNH69" s="316"/>
      <c r="TNI69" s="316"/>
      <c r="TNJ69" s="316"/>
      <c r="TNK69" s="316"/>
      <c r="TNL69" s="316"/>
      <c r="TNM69" s="316"/>
      <c r="TNN69" s="316"/>
      <c r="TNO69" s="316"/>
      <c r="TNP69" s="316"/>
      <c r="TNQ69" s="316"/>
      <c r="TNR69" s="316"/>
      <c r="TNS69" s="316"/>
      <c r="TNT69" s="316"/>
      <c r="TNU69" s="316"/>
      <c r="TNV69" s="316"/>
      <c r="TNW69" s="316"/>
      <c r="TNX69" s="316"/>
      <c r="TNY69" s="316"/>
      <c r="TNZ69" s="316"/>
      <c r="TOA69" s="316"/>
      <c r="TOB69" s="316"/>
      <c r="TOC69" s="316"/>
      <c r="TOD69" s="316"/>
      <c r="TOE69" s="316"/>
      <c r="TOF69" s="316"/>
      <c r="TOG69" s="316"/>
      <c r="TOH69" s="316"/>
      <c r="TOI69" s="316"/>
      <c r="TOJ69" s="316"/>
      <c r="TOK69" s="316"/>
      <c r="TOL69" s="316"/>
      <c r="TOM69" s="316"/>
      <c r="TON69" s="316"/>
      <c r="TOO69" s="316"/>
      <c r="TOP69" s="316"/>
      <c r="TOQ69" s="316"/>
      <c r="TOR69" s="316"/>
      <c r="TOS69" s="316"/>
      <c r="TOT69" s="316"/>
      <c r="TOU69" s="316"/>
      <c r="TOV69" s="316"/>
      <c r="TOW69" s="316"/>
      <c r="TOX69" s="316"/>
      <c r="TOY69" s="316"/>
      <c r="TOZ69" s="316"/>
      <c r="TPA69" s="316"/>
      <c r="TPB69" s="316"/>
      <c r="TPC69" s="316"/>
      <c r="TPD69" s="316"/>
      <c r="TPE69" s="316"/>
      <c r="TPF69" s="316"/>
      <c r="TPG69" s="316"/>
      <c r="TPH69" s="316"/>
      <c r="TPI69" s="316"/>
      <c r="TPJ69" s="316"/>
      <c r="TPK69" s="316"/>
      <c r="TPL69" s="316"/>
      <c r="TPM69" s="316"/>
      <c r="TPN69" s="316"/>
      <c r="TPO69" s="316"/>
      <c r="TPP69" s="316"/>
      <c r="TPQ69" s="316"/>
      <c r="TPR69" s="316"/>
      <c r="TPS69" s="316"/>
      <c r="TPT69" s="316"/>
      <c r="TPU69" s="316"/>
      <c r="TPV69" s="316"/>
      <c r="TPW69" s="316"/>
      <c r="TPX69" s="316"/>
      <c r="TPY69" s="316"/>
      <c r="TPZ69" s="316"/>
      <c r="TQA69" s="316"/>
      <c r="TQB69" s="316"/>
      <c r="TQC69" s="316"/>
      <c r="TQD69" s="316"/>
      <c r="TQE69" s="316"/>
      <c r="TQF69" s="316"/>
      <c r="TQG69" s="316"/>
      <c r="TQH69" s="316"/>
      <c r="TQI69" s="316"/>
      <c r="TQJ69" s="316"/>
      <c r="TQK69" s="316"/>
      <c r="TQL69" s="316"/>
      <c r="TQM69" s="316"/>
      <c r="TQN69" s="316"/>
      <c r="TQO69" s="316"/>
      <c r="TQP69" s="316"/>
      <c r="TQQ69" s="316"/>
      <c r="TQR69" s="316"/>
      <c r="TQS69" s="316"/>
      <c r="TQT69" s="316"/>
      <c r="TQU69" s="316"/>
      <c r="TQV69" s="316"/>
      <c r="TQW69" s="316"/>
      <c r="TQX69" s="316"/>
      <c r="TQY69" s="316"/>
      <c r="TQZ69" s="316"/>
      <c r="TRA69" s="316"/>
      <c r="TRB69" s="316"/>
      <c r="TRC69" s="316"/>
      <c r="TRD69" s="316"/>
      <c r="TRE69" s="316"/>
      <c r="TRF69" s="316"/>
      <c r="TRG69" s="316"/>
      <c r="TRH69" s="316"/>
      <c r="TRI69" s="316"/>
      <c r="TRJ69" s="316"/>
      <c r="TRK69" s="316"/>
      <c r="TRL69" s="316"/>
      <c r="TRM69" s="316"/>
      <c r="TRN69" s="316"/>
      <c r="TRO69" s="316"/>
      <c r="TRP69" s="316"/>
      <c r="TRQ69" s="316"/>
      <c r="TRR69" s="316"/>
      <c r="TRS69" s="316"/>
      <c r="TRT69" s="316"/>
      <c r="TRU69" s="316"/>
      <c r="TRV69" s="316"/>
      <c r="TRW69" s="316"/>
      <c r="TRX69" s="316"/>
      <c r="TRY69" s="316"/>
      <c r="TRZ69" s="316"/>
      <c r="TSA69" s="316"/>
      <c r="TSB69" s="316"/>
      <c r="TSC69" s="316"/>
      <c r="TSD69" s="316"/>
      <c r="TSE69" s="316"/>
      <c r="TSF69" s="316"/>
      <c r="TSG69" s="316"/>
      <c r="TSH69" s="316"/>
      <c r="TSI69" s="316"/>
      <c r="TSJ69" s="316"/>
      <c r="TSK69" s="316"/>
      <c r="TSL69" s="316"/>
      <c r="TSM69" s="316"/>
      <c r="TSN69" s="316"/>
      <c r="TSO69" s="316"/>
      <c r="TSP69" s="316"/>
      <c r="TSQ69" s="316"/>
      <c r="TSR69" s="316"/>
      <c r="TSS69" s="316"/>
      <c r="TST69" s="316"/>
      <c r="TSU69" s="316"/>
      <c r="TSV69" s="316"/>
      <c r="TSW69" s="316"/>
      <c r="TSX69" s="316"/>
      <c r="TSY69" s="316"/>
      <c r="TSZ69" s="316"/>
      <c r="TTA69" s="316"/>
      <c r="TTB69" s="316"/>
      <c r="TTC69" s="316"/>
      <c r="TTD69" s="316"/>
      <c r="TTE69" s="316"/>
      <c r="TTF69" s="316"/>
      <c r="TTG69" s="316"/>
      <c r="TTH69" s="316"/>
      <c r="TTI69" s="316"/>
      <c r="TTJ69" s="316"/>
      <c r="TTK69" s="316"/>
      <c r="TTL69" s="316"/>
      <c r="TTM69" s="316"/>
      <c r="TTN69" s="316"/>
      <c r="TTO69" s="316"/>
      <c r="TTP69" s="316"/>
      <c r="TTQ69" s="316"/>
      <c r="TTR69" s="316"/>
      <c r="TTS69" s="316"/>
      <c r="TTT69" s="316"/>
      <c r="TTU69" s="316"/>
      <c r="TTV69" s="316"/>
      <c r="TTW69" s="316"/>
      <c r="TTX69" s="316"/>
      <c r="TTY69" s="316"/>
      <c r="TTZ69" s="316"/>
      <c r="TUA69" s="316"/>
      <c r="TUB69" s="316"/>
      <c r="TUC69" s="316"/>
      <c r="TUD69" s="316"/>
      <c r="TUE69" s="316"/>
      <c r="TUF69" s="316"/>
      <c r="TUG69" s="316"/>
      <c r="TUH69" s="316"/>
      <c r="TUI69" s="316"/>
      <c r="TUJ69" s="316"/>
      <c r="TUK69" s="316"/>
      <c r="TUL69" s="316"/>
      <c r="TUM69" s="316"/>
      <c r="TUN69" s="316"/>
      <c r="TUO69" s="316"/>
      <c r="TUP69" s="316"/>
      <c r="TUQ69" s="316"/>
      <c r="TUR69" s="316"/>
      <c r="TUS69" s="316"/>
      <c r="TUT69" s="316"/>
      <c r="TUU69" s="316"/>
      <c r="TUV69" s="316"/>
      <c r="TUW69" s="316"/>
      <c r="TUX69" s="316"/>
      <c r="TUY69" s="316"/>
      <c r="TUZ69" s="316"/>
      <c r="TVA69" s="316"/>
      <c r="TVB69" s="316"/>
      <c r="TVC69" s="316"/>
      <c r="TVD69" s="316"/>
      <c r="TVE69" s="316"/>
      <c r="TVF69" s="316"/>
      <c r="TVG69" s="316"/>
      <c r="TVH69" s="316"/>
      <c r="TVI69" s="316"/>
      <c r="TVJ69" s="316"/>
      <c r="TVK69" s="316"/>
      <c r="TVL69" s="316"/>
      <c r="TVM69" s="316"/>
      <c r="TVN69" s="316"/>
      <c r="TVO69" s="316"/>
      <c r="TVP69" s="316"/>
      <c r="TVQ69" s="316"/>
      <c r="TVR69" s="316"/>
      <c r="TVS69" s="316"/>
      <c r="TVT69" s="316"/>
      <c r="TVU69" s="316"/>
      <c r="TVV69" s="316"/>
      <c r="TVW69" s="316"/>
      <c r="TVX69" s="316"/>
      <c r="TVY69" s="316"/>
      <c r="TVZ69" s="316"/>
      <c r="TWA69" s="316"/>
      <c r="TWB69" s="316"/>
      <c r="TWC69" s="316"/>
      <c r="TWD69" s="316"/>
      <c r="TWE69" s="316"/>
      <c r="TWF69" s="316"/>
      <c r="TWG69" s="316"/>
      <c r="TWH69" s="316"/>
      <c r="TWI69" s="316"/>
      <c r="TWJ69" s="316"/>
      <c r="TWK69" s="316"/>
      <c r="TWL69" s="316"/>
      <c r="TWM69" s="316"/>
      <c r="TWN69" s="316"/>
      <c r="TWO69" s="316"/>
      <c r="TWP69" s="316"/>
      <c r="TWQ69" s="316"/>
      <c r="TWR69" s="316"/>
      <c r="TWS69" s="316"/>
      <c r="TWT69" s="316"/>
      <c r="TWU69" s="316"/>
      <c r="TWV69" s="316"/>
      <c r="TWW69" s="316"/>
      <c r="TWX69" s="316"/>
      <c r="TWY69" s="316"/>
      <c r="TWZ69" s="316"/>
      <c r="TXA69" s="316"/>
      <c r="TXB69" s="316"/>
      <c r="TXC69" s="316"/>
      <c r="TXD69" s="316"/>
      <c r="TXE69" s="316"/>
      <c r="TXF69" s="316"/>
      <c r="TXG69" s="316"/>
      <c r="TXH69" s="316"/>
      <c r="TXI69" s="316"/>
      <c r="TXJ69" s="316"/>
      <c r="TXK69" s="316"/>
      <c r="TXL69" s="316"/>
      <c r="TXM69" s="316"/>
      <c r="TXN69" s="316"/>
      <c r="TXO69" s="316"/>
      <c r="TXP69" s="316"/>
      <c r="TXQ69" s="316"/>
      <c r="TXR69" s="316"/>
      <c r="TXS69" s="316"/>
      <c r="TXT69" s="316"/>
      <c r="TXU69" s="316"/>
      <c r="TXV69" s="316"/>
      <c r="TXW69" s="316"/>
      <c r="TXX69" s="316"/>
      <c r="TXY69" s="316"/>
      <c r="TXZ69" s="316"/>
      <c r="TYA69" s="316"/>
      <c r="TYB69" s="316"/>
      <c r="TYC69" s="316"/>
      <c r="TYD69" s="316"/>
      <c r="TYE69" s="316"/>
      <c r="TYF69" s="316"/>
      <c r="TYG69" s="316"/>
      <c r="TYH69" s="316"/>
      <c r="TYI69" s="316"/>
      <c r="TYJ69" s="316"/>
      <c r="TYK69" s="316"/>
      <c r="TYL69" s="316"/>
      <c r="TYM69" s="316"/>
      <c r="TYN69" s="316"/>
      <c r="TYO69" s="316"/>
      <c r="TYP69" s="316"/>
      <c r="TYQ69" s="316"/>
      <c r="TYR69" s="316"/>
      <c r="TYS69" s="316"/>
      <c r="TYT69" s="316"/>
      <c r="TYU69" s="316"/>
      <c r="TYV69" s="316"/>
      <c r="TYW69" s="316"/>
      <c r="TYX69" s="316"/>
      <c r="TYY69" s="316"/>
      <c r="TYZ69" s="316"/>
      <c r="TZA69" s="316"/>
      <c r="TZB69" s="316"/>
      <c r="TZC69" s="316"/>
      <c r="TZD69" s="316"/>
      <c r="TZE69" s="316"/>
      <c r="TZF69" s="316"/>
      <c r="TZG69" s="316"/>
      <c r="TZH69" s="316"/>
      <c r="TZI69" s="316"/>
      <c r="TZJ69" s="316"/>
      <c r="TZK69" s="316"/>
      <c r="TZL69" s="316"/>
      <c r="TZM69" s="316"/>
      <c r="TZN69" s="316"/>
      <c r="TZO69" s="316"/>
      <c r="TZP69" s="316"/>
      <c r="TZQ69" s="316"/>
      <c r="TZR69" s="316"/>
      <c r="TZS69" s="316"/>
      <c r="TZT69" s="316"/>
      <c r="TZU69" s="316"/>
      <c r="TZV69" s="316"/>
      <c r="TZW69" s="316"/>
      <c r="TZX69" s="316"/>
      <c r="TZY69" s="316"/>
      <c r="TZZ69" s="316"/>
      <c r="UAA69" s="316"/>
      <c r="UAB69" s="316"/>
      <c r="UAC69" s="316"/>
      <c r="UAD69" s="316"/>
      <c r="UAE69" s="316"/>
      <c r="UAF69" s="316"/>
      <c r="UAG69" s="316"/>
      <c r="UAH69" s="316"/>
      <c r="UAI69" s="316"/>
      <c r="UAJ69" s="316"/>
      <c r="UAK69" s="316"/>
      <c r="UAL69" s="316"/>
      <c r="UAM69" s="316"/>
      <c r="UAN69" s="316"/>
      <c r="UAO69" s="316"/>
      <c r="UAP69" s="316"/>
      <c r="UAQ69" s="316"/>
      <c r="UAR69" s="316"/>
      <c r="UAS69" s="316"/>
      <c r="UAT69" s="316"/>
      <c r="UAU69" s="316"/>
      <c r="UAV69" s="316"/>
      <c r="UAW69" s="316"/>
      <c r="UAX69" s="316"/>
      <c r="UAY69" s="316"/>
      <c r="UAZ69" s="316"/>
      <c r="UBA69" s="316"/>
      <c r="UBB69" s="316"/>
      <c r="UBC69" s="316"/>
      <c r="UBD69" s="316"/>
      <c r="UBE69" s="316"/>
      <c r="UBF69" s="316"/>
      <c r="UBG69" s="316"/>
      <c r="UBH69" s="316"/>
      <c r="UBI69" s="316"/>
      <c r="UBJ69" s="316"/>
      <c r="UBK69" s="316"/>
      <c r="UBL69" s="316"/>
      <c r="UBM69" s="316"/>
      <c r="UBN69" s="316"/>
      <c r="UBO69" s="316"/>
      <c r="UBP69" s="316"/>
      <c r="UBQ69" s="316"/>
      <c r="UBR69" s="316"/>
      <c r="UBS69" s="316"/>
      <c r="UBT69" s="316"/>
      <c r="UBU69" s="316"/>
      <c r="UBV69" s="316"/>
      <c r="UBW69" s="316"/>
      <c r="UBX69" s="316"/>
      <c r="UBY69" s="316"/>
      <c r="UBZ69" s="316"/>
      <c r="UCA69" s="316"/>
      <c r="UCB69" s="316"/>
      <c r="UCC69" s="316"/>
      <c r="UCD69" s="316"/>
      <c r="UCE69" s="316"/>
      <c r="UCF69" s="316"/>
      <c r="UCG69" s="316"/>
      <c r="UCH69" s="316"/>
      <c r="UCI69" s="316"/>
      <c r="UCJ69" s="316"/>
      <c r="UCK69" s="316"/>
      <c r="UCL69" s="316"/>
      <c r="UCM69" s="316"/>
      <c r="UCN69" s="316"/>
      <c r="UCO69" s="316"/>
      <c r="UCP69" s="316"/>
      <c r="UCQ69" s="316"/>
      <c r="UCR69" s="316"/>
      <c r="UCS69" s="316"/>
      <c r="UCT69" s="316"/>
      <c r="UCU69" s="316"/>
      <c r="UCV69" s="316"/>
      <c r="UCW69" s="316"/>
      <c r="UCX69" s="316"/>
      <c r="UCY69" s="316"/>
      <c r="UCZ69" s="316"/>
      <c r="UDA69" s="316"/>
      <c r="UDB69" s="316"/>
      <c r="UDC69" s="316"/>
      <c r="UDD69" s="316"/>
      <c r="UDE69" s="316"/>
      <c r="UDF69" s="316"/>
      <c r="UDG69" s="316"/>
      <c r="UDH69" s="316"/>
      <c r="UDI69" s="316"/>
      <c r="UDJ69" s="316"/>
      <c r="UDK69" s="316"/>
      <c r="UDL69" s="316"/>
      <c r="UDM69" s="316"/>
      <c r="UDN69" s="316"/>
      <c r="UDO69" s="316"/>
      <c r="UDP69" s="316"/>
      <c r="UDQ69" s="316"/>
      <c r="UDR69" s="316"/>
      <c r="UDS69" s="316"/>
      <c r="UDT69" s="316"/>
      <c r="UDU69" s="316"/>
      <c r="UDV69" s="316"/>
      <c r="UDW69" s="316"/>
      <c r="UDX69" s="316"/>
      <c r="UDY69" s="316"/>
      <c r="UDZ69" s="316"/>
      <c r="UEA69" s="316"/>
      <c r="UEB69" s="316"/>
      <c r="UEC69" s="316"/>
      <c r="UED69" s="316"/>
      <c r="UEE69" s="316"/>
      <c r="UEF69" s="316"/>
      <c r="UEG69" s="316"/>
      <c r="UEH69" s="316"/>
      <c r="UEI69" s="316"/>
      <c r="UEJ69" s="316"/>
      <c r="UEK69" s="316"/>
      <c r="UEL69" s="316"/>
      <c r="UEM69" s="316"/>
      <c r="UEN69" s="316"/>
      <c r="UEO69" s="316"/>
      <c r="UEP69" s="316"/>
      <c r="UEQ69" s="316"/>
      <c r="UER69" s="316"/>
      <c r="UES69" s="316"/>
      <c r="UET69" s="316"/>
      <c r="UEU69" s="316"/>
      <c r="UEV69" s="316"/>
      <c r="UEW69" s="316"/>
      <c r="UEX69" s="316"/>
      <c r="UEY69" s="316"/>
      <c r="UEZ69" s="316"/>
      <c r="UFA69" s="316"/>
      <c r="UFB69" s="316"/>
      <c r="UFC69" s="316"/>
      <c r="UFD69" s="316"/>
      <c r="UFE69" s="316"/>
      <c r="UFF69" s="316"/>
      <c r="UFG69" s="316"/>
      <c r="UFH69" s="316"/>
      <c r="UFI69" s="316"/>
      <c r="UFJ69" s="316"/>
      <c r="UFK69" s="316"/>
      <c r="UFL69" s="316"/>
      <c r="UFM69" s="316"/>
      <c r="UFN69" s="316"/>
      <c r="UFO69" s="316"/>
      <c r="UFP69" s="316"/>
      <c r="UFQ69" s="316"/>
      <c r="UFR69" s="316"/>
      <c r="UFS69" s="316"/>
      <c r="UFT69" s="316"/>
      <c r="UFU69" s="316"/>
      <c r="UFV69" s="316"/>
      <c r="UFW69" s="316"/>
      <c r="UFX69" s="316"/>
      <c r="UFY69" s="316"/>
      <c r="UFZ69" s="316"/>
      <c r="UGA69" s="316"/>
      <c r="UGB69" s="316"/>
      <c r="UGC69" s="316"/>
      <c r="UGD69" s="316"/>
      <c r="UGE69" s="316"/>
      <c r="UGF69" s="316"/>
      <c r="UGG69" s="316"/>
      <c r="UGH69" s="316"/>
      <c r="UGI69" s="316"/>
      <c r="UGJ69" s="316"/>
      <c r="UGK69" s="316"/>
      <c r="UGL69" s="316"/>
      <c r="UGM69" s="316"/>
      <c r="UGN69" s="316"/>
      <c r="UGO69" s="316"/>
      <c r="UGP69" s="316"/>
      <c r="UGQ69" s="316"/>
      <c r="UGR69" s="316"/>
      <c r="UGS69" s="316"/>
      <c r="UGT69" s="316"/>
      <c r="UGU69" s="316"/>
      <c r="UGV69" s="316"/>
      <c r="UGW69" s="316"/>
      <c r="UGX69" s="316"/>
      <c r="UGY69" s="316"/>
      <c r="UGZ69" s="316"/>
      <c r="UHA69" s="316"/>
      <c r="UHB69" s="316"/>
      <c r="UHC69" s="316"/>
      <c r="UHD69" s="316"/>
      <c r="UHE69" s="316"/>
      <c r="UHF69" s="316"/>
      <c r="UHG69" s="316"/>
      <c r="UHH69" s="316"/>
      <c r="UHI69" s="316"/>
      <c r="UHJ69" s="316"/>
      <c r="UHK69" s="316"/>
      <c r="UHL69" s="316"/>
      <c r="UHM69" s="316"/>
      <c r="UHN69" s="316"/>
      <c r="UHO69" s="316"/>
      <c r="UHP69" s="316"/>
      <c r="UHQ69" s="316"/>
      <c r="UHR69" s="316"/>
      <c r="UHS69" s="316"/>
      <c r="UHT69" s="316"/>
      <c r="UHU69" s="316"/>
      <c r="UHV69" s="316"/>
      <c r="UHW69" s="316"/>
      <c r="UHX69" s="316"/>
      <c r="UHY69" s="316"/>
      <c r="UHZ69" s="316"/>
      <c r="UIA69" s="316"/>
      <c r="UIB69" s="316"/>
      <c r="UIC69" s="316"/>
      <c r="UID69" s="316"/>
      <c r="UIE69" s="316"/>
      <c r="UIF69" s="316"/>
      <c r="UIG69" s="316"/>
      <c r="UIH69" s="316"/>
      <c r="UII69" s="316"/>
      <c r="UIJ69" s="316"/>
      <c r="UIK69" s="316"/>
      <c r="UIL69" s="316"/>
      <c r="UIM69" s="316"/>
      <c r="UIN69" s="316"/>
      <c r="UIO69" s="316"/>
      <c r="UIP69" s="316"/>
      <c r="UIQ69" s="316"/>
      <c r="UIR69" s="316"/>
      <c r="UIS69" s="316"/>
      <c r="UIT69" s="316"/>
      <c r="UIU69" s="316"/>
      <c r="UIV69" s="316"/>
      <c r="UIW69" s="316"/>
      <c r="UIX69" s="316"/>
      <c r="UIY69" s="316"/>
      <c r="UIZ69" s="316"/>
      <c r="UJA69" s="316"/>
      <c r="UJB69" s="316"/>
      <c r="UJC69" s="316"/>
      <c r="UJD69" s="316"/>
      <c r="UJE69" s="316"/>
      <c r="UJF69" s="316"/>
      <c r="UJG69" s="316"/>
      <c r="UJH69" s="316"/>
      <c r="UJI69" s="316"/>
      <c r="UJJ69" s="316"/>
      <c r="UJK69" s="316"/>
      <c r="UJL69" s="316"/>
      <c r="UJM69" s="316"/>
      <c r="UJN69" s="316"/>
      <c r="UJO69" s="316"/>
      <c r="UJP69" s="316"/>
      <c r="UJQ69" s="316"/>
      <c r="UJR69" s="316"/>
      <c r="UJS69" s="316"/>
      <c r="UJT69" s="316"/>
      <c r="UJU69" s="316"/>
      <c r="UJV69" s="316"/>
      <c r="UJW69" s="316"/>
      <c r="UJX69" s="316"/>
      <c r="UJY69" s="316"/>
      <c r="UJZ69" s="316"/>
      <c r="UKA69" s="316"/>
      <c r="UKB69" s="316"/>
      <c r="UKC69" s="316"/>
      <c r="UKD69" s="316"/>
      <c r="UKE69" s="316"/>
      <c r="UKF69" s="316"/>
      <c r="UKG69" s="316"/>
      <c r="UKH69" s="316"/>
      <c r="UKI69" s="316"/>
      <c r="UKJ69" s="316"/>
      <c r="UKK69" s="316"/>
      <c r="UKL69" s="316"/>
      <c r="UKM69" s="316"/>
      <c r="UKN69" s="316"/>
      <c r="UKO69" s="316"/>
      <c r="UKP69" s="316"/>
      <c r="UKQ69" s="316"/>
      <c r="UKR69" s="316"/>
      <c r="UKS69" s="316"/>
      <c r="UKT69" s="316"/>
      <c r="UKU69" s="316"/>
      <c r="UKV69" s="316"/>
      <c r="UKW69" s="316"/>
      <c r="UKX69" s="316"/>
      <c r="UKY69" s="316"/>
      <c r="UKZ69" s="316"/>
      <c r="ULA69" s="316"/>
      <c r="ULB69" s="316"/>
      <c r="ULC69" s="316"/>
      <c r="ULD69" s="316"/>
      <c r="ULE69" s="316"/>
      <c r="ULF69" s="316"/>
      <c r="ULG69" s="316"/>
      <c r="ULH69" s="316"/>
      <c r="ULI69" s="316"/>
      <c r="ULJ69" s="316"/>
      <c r="ULK69" s="316"/>
      <c r="ULL69" s="316"/>
      <c r="ULM69" s="316"/>
      <c r="ULN69" s="316"/>
      <c r="ULO69" s="316"/>
      <c r="ULP69" s="316"/>
      <c r="ULQ69" s="316"/>
      <c r="ULR69" s="316"/>
      <c r="ULS69" s="316"/>
      <c r="ULT69" s="316"/>
      <c r="ULU69" s="316"/>
      <c r="ULV69" s="316"/>
      <c r="ULW69" s="316"/>
      <c r="ULX69" s="316"/>
      <c r="ULY69" s="316"/>
      <c r="ULZ69" s="316"/>
      <c r="UMA69" s="316"/>
      <c r="UMB69" s="316"/>
      <c r="UMC69" s="316"/>
      <c r="UMD69" s="316"/>
      <c r="UME69" s="316"/>
      <c r="UMF69" s="316"/>
      <c r="UMG69" s="316"/>
      <c r="UMH69" s="316"/>
      <c r="UMI69" s="316"/>
      <c r="UMJ69" s="316"/>
      <c r="UMK69" s="316"/>
      <c r="UML69" s="316"/>
      <c r="UMM69" s="316"/>
      <c r="UMN69" s="316"/>
      <c r="UMO69" s="316"/>
      <c r="UMP69" s="316"/>
      <c r="UMQ69" s="316"/>
      <c r="UMR69" s="316"/>
      <c r="UMS69" s="316"/>
      <c r="UMT69" s="316"/>
      <c r="UMU69" s="316"/>
      <c r="UMV69" s="316"/>
      <c r="UMW69" s="316"/>
      <c r="UMX69" s="316"/>
      <c r="UMY69" s="316"/>
      <c r="UMZ69" s="316"/>
      <c r="UNA69" s="316"/>
      <c r="UNB69" s="316"/>
      <c r="UNC69" s="316"/>
      <c r="UND69" s="316"/>
      <c r="UNE69" s="316"/>
      <c r="UNF69" s="316"/>
      <c r="UNG69" s="316"/>
      <c r="UNH69" s="316"/>
      <c r="UNI69" s="316"/>
      <c r="UNJ69" s="316"/>
      <c r="UNK69" s="316"/>
      <c r="UNL69" s="316"/>
      <c r="UNM69" s="316"/>
      <c r="UNN69" s="316"/>
      <c r="UNO69" s="316"/>
      <c r="UNP69" s="316"/>
      <c r="UNQ69" s="316"/>
      <c r="UNR69" s="316"/>
      <c r="UNS69" s="316"/>
      <c r="UNT69" s="316"/>
      <c r="UNU69" s="316"/>
      <c r="UNV69" s="316"/>
      <c r="UNW69" s="316"/>
      <c r="UNX69" s="316"/>
      <c r="UNY69" s="316"/>
      <c r="UNZ69" s="316"/>
      <c r="UOA69" s="316"/>
      <c r="UOB69" s="316"/>
      <c r="UOC69" s="316"/>
      <c r="UOD69" s="316"/>
      <c r="UOE69" s="316"/>
      <c r="UOF69" s="316"/>
      <c r="UOG69" s="316"/>
      <c r="UOH69" s="316"/>
      <c r="UOI69" s="316"/>
      <c r="UOJ69" s="316"/>
      <c r="UOK69" s="316"/>
      <c r="UOL69" s="316"/>
      <c r="UOM69" s="316"/>
      <c r="UON69" s="316"/>
      <c r="UOO69" s="316"/>
      <c r="UOP69" s="316"/>
      <c r="UOQ69" s="316"/>
      <c r="UOR69" s="316"/>
      <c r="UOS69" s="316"/>
      <c r="UOT69" s="316"/>
      <c r="UOU69" s="316"/>
      <c r="UOV69" s="316"/>
      <c r="UOW69" s="316"/>
      <c r="UOX69" s="316"/>
      <c r="UOY69" s="316"/>
      <c r="UOZ69" s="316"/>
      <c r="UPA69" s="316"/>
      <c r="UPB69" s="316"/>
      <c r="UPC69" s="316"/>
      <c r="UPD69" s="316"/>
      <c r="UPE69" s="316"/>
      <c r="UPF69" s="316"/>
      <c r="UPG69" s="316"/>
      <c r="UPH69" s="316"/>
      <c r="UPI69" s="316"/>
      <c r="UPJ69" s="316"/>
      <c r="UPK69" s="316"/>
      <c r="UPL69" s="316"/>
      <c r="UPM69" s="316"/>
      <c r="UPN69" s="316"/>
      <c r="UPO69" s="316"/>
      <c r="UPP69" s="316"/>
      <c r="UPQ69" s="316"/>
      <c r="UPR69" s="316"/>
      <c r="UPS69" s="316"/>
      <c r="UPT69" s="316"/>
      <c r="UPU69" s="316"/>
      <c r="UPV69" s="316"/>
      <c r="UPW69" s="316"/>
      <c r="UPX69" s="316"/>
      <c r="UPY69" s="316"/>
      <c r="UPZ69" s="316"/>
      <c r="UQA69" s="316"/>
      <c r="UQB69" s="316"/>
      <c r="UQC69" s="316"/>
      <c r="UQD69" s="316"/>
      <c r="UQE69" s="316"/>
      <c r="UQF69" s="316"/>
      <c r="UQG69" s="316"/>
      <c r="UQH69" s="316"/>
      <c r="UQI69" s="316"/>
      <c r="UQJ69" s="316"/>
      <c r="UQK69" s="316"/>
      <c r="UQL69" s="316"/>
      <c r="UQM69" s="316"/>
      <c r="UQN69" s="316"/>
      <c r="UQO69" s="316"/>
      <c r="UQP69" s="316"/>
      <c r="UQQ69" s="316"/>
      <c r="UQR69" s="316"/>
      <c r="UQS69" s="316"/>
      <c r="UQT69" s="316"/>
      <c r="UQU69" s="316"/>
      <c r="UQV69" s="316"/>
      <c r="UQW69" s="316"/>
      <c r="UQX69" s="316"/>
      <c r="UQY69" s="316"/>
      <c r="UQZ69" s="316"/>
      <c r="URA69" s="316"/>
      <c r="URB69" s="316"/>
      <c r="URC69" s="316"/>
      <c r="URD69" s="316"/>
      <c r="URE69" s="316"/>
      <c r="URF69" s="316"/>
      <c r="URG69" s="316"/>
      <c r="URH69" s="316"/>
      <c r="URI69" s="316"/>
      <c r="URJ69" s="316"/>
      <c r="URK69" s="316"/>
      <c r="URL69" s="316"/>
      <c r="URM69" s="316"/>
      <c r="URN69" s="316"/>
      <c r="URO69" s="316"/>
      <c r="URP69" s="316"/>
      <c r="URQ69" s="316"/>
      <c r="URR69" s="316"/>
      <c r="URS69" s="316"/>
      <c r="URT69" s="316"/>
      <c r="URU69" s="316"/>
      <c r="URV69" s="316"/>
      <c r="URW69" s="316"/>
      <c r="URX69" s="316"/>
      <c r="URY69" s="316"/>
      <c r="URZ69" s="316"/>
      <c r="USA69" s="316"/>
      <c r="USB69" s="316"/>
      <c r="USC69" s="316"/>
      <c r="USD69" s="316"/>
      <c r="USE69" s="316"/>
      <c r="USF69" s="316"/>
      <c r="USG69" s="316"/>
      <c r="USH69" s="316"/>
      <c r="USI69" s="316"/>
      <c r="USJ69" s="316"/>
      <c r="USK69" s="316"/>
      <c r="USL69" s="316"/>
      <c r="USM69" s="316"/>
      <c r="USN69" s="316"/>
      <c r="USO69" s="316"/>
      <c r="USP69" s="316"/>
      <c r="USQ69" s="316"/>
      <c r="USR69" s="316"/>
      <c r="USS69" s="316"/>
      <c r="UST69" s="316"/>
      <c r="USU69" s="316"/>
      <c r="USV69" s="316"/>
      <c r="USW69" s="316"/>
      <c r="USX69" s="316"/>
      <c r="USY69" s="316"/>
      <c r="USZ69" s="316"/>
      <c r="UTA69" s="316"/>
      <c r="UTB69" s="316"/>
      <c r="UTC69" s="316"/>
      <c r="UTD69" s="316"/>
      <c r="UTE69" s="316"/>
      <c r="UTF69" s="316"/>
      <c r="UTG69" s="316"/>
      <c r="UTH69" s="316"/>
      <c r="UTI69" s="316"/>
      <c r="UTJ69" s="316"/>
      <c r="UTK69" s="316"/>
      <c r="UTL69" s="316"/>
      <c r="UTM69" s="316"/>
      <c r="UTN69" s="316"/>
      <c r="UTO69" s="316"/>
      <c r="UTP69" s="316"/>
      <c r="UTQ69" s="316"/>
      <c r="UTR69" s="316"/>
      <c r="UTS69" s="316"/>
      <c r="UTT69" s="316"/>
      <c r="UTU69" s="316"/>
      <c r="UTV69" s="316"/>
      <c r="UTW69" s="316"/>
      <c r="UTX69" s="316"/>
      <c r="UTY69" s="316"/>
      <c r="UTZ69" s="316"/>
      <c r="UUA69" s="316"/>
      <c r="UUB69" s="316"/>
      <c r="UUC69" s="316"/>
      <c r="UUD69" s="316"/>
      <c r="UUE69" s="316"/>
      <c r="UUF69" s="316"/>
      <c r="UUG69" s="316"/>
      <c r="UUH69" s="316"/>
      <c r="UUI69" s="316"/>
      <c r="UUJ69" s="316"/>
      <c r="UUK69" s="316"/>
      <c r="UUL69" s="316"/>
      <c r="UUM69" s="316"/>
      <c r="UUN69" s="316"/>
      <c r="UUO69" s="316"/>
      <c r="UUP69" s="316"/>
      <c r="UUQ69" s="316"/>
      <c r="UUR69" s="316"/>
      <c r="UUS69" s="316"/>
      <c r="UUT69" s="316"/>
      <c r="UUU69" s="316"/>
      <c r="UUV69" s="316"/>
      <c r="UUW69" s="316"/>
      <c r="UUX69" s="316"/>
      <c r="UUY69" s="316"/>
      <c r="UUZ69" s="316"/>
      <c r="UVA69" s="316"/>
      <c r="UVB69" s="316"/>
      <c r="UVC69" s="316"/>
      <c r="UVD69" s="316"/>
      <c r="UVE69" s="316"/>
      <c r="UVF69" s="316"/>
      <c r="UVG69" s="316"/>
      <c r="UVH69" s="316"/>
      <c r="UVI69" s="316"/>
      <c r="UVJ69" s="316"/>
      <c r="UVK69" s="316"/>
      <c r="UVL69" s="316"/>
      <c r="UVM69" s="316"/>
      <c r="UVN69" s="316"/>
      <c r="UVO69" s="316"/>
      <c r="UVP69" s="316"/>
      <c r="UVQ69" s="316"/>
      <c r="UVR69" s="316"/>
      <c r="UVS69" s="316"/>
      <c r="UVT69" s="316"/>
      <c r="UVU69" s="316"/>
      <c r="UVV69" s="316"/>
      <c r="UVW69" s="316"/>
      <c r="UVX69" s="316"/>
      <c r="UVY69" s="316"/>
      <c r="UVZ69" s="316"/>
      <c r="UWA69" s="316"/>
      <c r="UWB69" s="316"/>
      <c r="UWC69" s="316"/>
      <c r="UWD69" s="316"/>
      <c r="UWE69" s="316"/>
      <c r="UWF69" s="316"/>
      <c r="UWG69" s="316"/>
      <c r="UWH69" s="316"/>
      <c r="UWI69" s="316"/>
      <c r="UWJ69" s="316"/>
      <c r="UWK69" s="316"/>
      <c r="UWL69" s="316"/>
      <c r="UWM69" s="316"/>
      <c r="UWN69" s="316"/>
      <c r="UWO69" s="316"/>
      <c r="UWP69" s="316"/>
      <c r="UWQ69" s="316"/>
      <c r="UWR69" s="316"/>
      <c r="UWS69" s="316"/>
      <c r="UWT69" s="316"/>
      <c r="UWU69" s="316"/>
      <c r="UWV69" s="316"/>
      <c r="UWW69" s="316"/>
      <c r="UWX69" s="316"/>
      <c r="UWY69" s="316"/>
      <c r="UWZ69" s="316"/>
      <c r="UXA69" s="316"/>
      <c r="UXB69" s="316"/>
      <c r="UXC69" s="316"/>
      <c r="UXD69" s="316"/>
      <c r="UXE69" s="316"/>
      <c r="UXF69" s="316"/>
      <c r="UXG69" s="316"/>
      <c r="UXH69" s="316"/>
      <c r="UXI69" s="316"/>
      <c r="UXJ69" s="316"/>
      <c r="UXK69" s="316"/>
      <c r="UXL69" s="316"/>
      <c r="UXM69" s="316"/>
      <c r="UXN69" s="316"/>
      <c r="UXO69" s="316"/>
      <c r="UXP69" s="316"/>
      <c r="UXQ69" s="316"/>
      <c r="UXR69" s="316"/>
      <c r="UXS69" s="316"/>
      <c r="UXT69" s="316"/>
      <c r="UXU69" s="316"/>
      <c r="UXV69" s="316"/>
      <c r="UXW69" s="316"/>
      <c r="UXX69" s="316"/>
      <c r="UXY69" s="316"/>
      <c r="UXZ69" s="316"/>
      <c r="UYA69" s="316"/>
      <c r="UYB69" s="316"/>
      <c r="UYC69" s="316"/>
      <c r="UYD69" s="316"/>
      <c r="UYE69" s="316"/>
      <c r="UYF69" s="316"/>
      <c r="UYG69" s="316"/>
      <c r="UYH69" s="316"/>
      <c r="UYI69" s="316"/>
      <c r="UYJ69" s="316"/>
      <c r="UYK69" s="316"/>
      <c r="UYL69" s="316"/>
      <c r="UYM69" s="316"/>
      <c r="UYN69" s="316"/>
      <c r="UYO69" s="316"/>
      <c r="UYP69" s="316"/>
      <c r="UYQ69" s="316"/>
      <c r="UYR69" s="316"/>
      <c r="UYS69" s="316"/>
      <c r="UYT69" s="316"/>
      <c r="UYU69" s="316"/>
      <c r="UYV69" s="316"/>
      <c r="UYW69" s="316"/>
      <c r="UYX69" s="316"/>
      <c r="UYY69" s="316"/>
      <c r="UYZ69" s="316"/>
      <c r="UZA69" s="316"/>
      <c r="UZB69" s="316"/>
      <c r="UZC69" s="316"/>
      <c r="UZD69" s="316"/>
      <c r="UZE69" s="316"/>
      <c r="UZF69" s="316"/>
      <c r="UZG69" s="316"/>
      <c r="UZH69" s="316"/>
      <c r="UZI69" s="316"/>
      <c r="UZJ69" s="316"/>
      <c r="UZK69" s="316"/>
      <c r="UZL69" s="316"/>
      <c r="UZM69" s="316"/>
      <c r="UZN69" s="316"/>
      <c r="UZO69" s="316"/>
      <c r="UZP69" s="316"/>
      <c r="UZQ69" s="316"/>
      <c r="UZR69" s="316"/>
      <c r="UZS69" s="316"/>
      <c r="UZT69" s="316"/>
      <c r="UZU69" s="316"/>
      <c r="UZV69" s="316"/>
      <c r="UZW69" s="316"/>
      <c r="UZX69" s="316"/>
      <c r="UZY69" s="316"/>
      <c r="UZZ69" s="316"/>
      <c r="VAA69" s="316"/>
      <c r="VAB69" s="316"/>
      <c r="VAC69" s="316"/>
      <c r="VAD69" s="316"/>
      <c r="VAE69" s="316"/>
      <c r="VAF69" s="316"/>
      <c r="VAG69" s="316"/>
      <c r="VAH69" s="316"/>
      <c r="VAI69" s="316"/>
      <c r="VAJ69" s="316"/>
      <c r="VAK69" s="316"/>
      <c r="VAL69" s="316"/>
      <c r="VAM69" s="316"/>
      <c r="VAN69" s="316"/>
      <c r="VAO69" s="316"/>
      <c r="VAP69" s="316"/>
      <c r="VAQ69" s="316"/>
      <c r="VAR69" s="316"/>
      <c r="VAS69" s="316"/>
      <c r="VAT69" s="316"/>
      <c r="VAU69" s="316"/>
      <c r="VAV69" s="316"/>
      <c r="VAW69" s="316"/>
      <c r="VAX69" s="316"/>
      <c r="VAY69" s="316"/>
      <c r="VAZ69" s="316"/>
      <c r="VBA69" s="316"/>
      <c r="VBB69" s="316"/>
      <c r="VBC69" s="316"/>
      <c r="VBD69" s="316"/>
      <c r="VBE69" s="316"/>
      <c r="VBF69" s="316"/>
      <c r="VBG69" s="316"/>
      <c r="VBH69" s="316"/>
      <c r="VBI69" s="316"/>
      <c r="VBJ69" s="316"/>
      <c r="VBK69" s="316"/>
      <c r="VBL69" s="316"/>
      <c r="VBM69" s="316"/>
      <c r="VBN69" s="316"/>
      <c r="VBO69" s="316"/>
      <c r="VBP69" s="316"/>
      <c r="VBQ69" s="316"/>
      <c r="VBR69" s="316"/>
      <c r="VBS69" s="316"/>
      <c r="VBT69" s="316"/>
      <c r="VBU69" s="316"/>
      <c r="VBV69" s="316"/>
      <c r="VBW69" s="316"/>
      <c r="VBX69" s="316"/>
      <c r="VBY69" s="316"/>
      <c r="VBZ69" s="316"/>
      <c r="VCA69" s="316"/>
      <c r="VCB69" s="316"/>
      <c r="VCC69" s="316"/>
      <c r="VCD69" s="316"/>
      <c r="VCE69" s="316"/>
      <c r="VCF69" s="316"/>
      <c r="VCG69" s="316"/>
      <c r="VCH69" s="316"/>
      <c r="VCI69" s="316"/>
      <c r="VCJ69" s="316"/>
      <c r="VCK69" s="316"/>
      <c r="VCL69" s="316"/>
      <c r="VCM69" s="316"/>
      <c r="VCN69" s="316"/>
      <c r="VCO69" s="316"/>
      <c r="VCP69" s="316"/>
      <c r="VCQ69" s="316"/>
      <c r="VCR69" s="316"/>
      <c r="VCS69" s="316"/>
      <c r="VCT69" s="316"/>
      <c r="VCU69" s="316"/>
      <c r="VCV69" s="316"/>
      <c r="VCW69" s="316"/>
      <c r="VCX69" s="316"/>
      <c r="VCY69" s="316"/>
      <c r="VCZ69" s="316"/>
      <c r="VDA69" s="316"/>
      <c r="VDB69" s="316"/>
      <c r="VDC69" s="316"/>
      <c r="VDD69" s="316"/>
      <c r="VDE69" s="316"/>
      <c r="VDF69" s="316"/>
      <c r="VDG69" s="316"/>
      <c r="VDH69" s="316"/>
      <c r="VDI69" s="316"/>
      <c r="VDJ69" s="316"/>
      <c r="VDK69" s="316"/>
      <c r="VDL69" s="316"/>
      <c r="VDM69" s="316"/>
      <c r="VDN69" s="316"/>
      <c r="VDO69" s="316"/>
      <c r="VDP69" s="316"/>
      <c r="VDQ69" s="316"/>
      <c r="VDR69" s="316"/>
      <c r="VDS69" s="316"/>
      <c r="VDT69" s="316"/>
      <c r="VDU69" s="316"/>
      <c r="VDV69" s="316"/>
      <c r="VDW69" s="316"/>
      <c r="VDX69" s="316"/>
      <c r="VDY69" s="316"/>
      <c r="VDZ69" s="316"/>
      <c r="VEA69" s="316"/>
      <c r="VEB69" s="316"/>
      <c r="VEC69" s="316"/>
      <c r="VED69" s="316"/>
      <c r="VEE69" s="316"/>
      <c r="VEF69" s="316"/>
      <c r="VEG69" s="316"/>
      <c r="VEH69" s="316"/>
      <c r="VEI69" s="316"/>
      <c r="VEJ69" s="316"/>
      <c r="VEK69" s="316"/>
      <c r="VEL69" s="316"/>
      <c r="VEM69" s="316"/>
      <c r="VEN69" s="316"/>
      <c r="VEO69" s="316"/>
      <c r="VEP69" s="316"/>
      <c r="VEQ69" s="316"/>
      <c r="VER69" s="316"/>
      <c r="VES69" s="316"/>
      <c r="VET69" s="316"/>
      <c r="VEU69" s="316"/>
      <c r="VEV69" s="316"/>
      <c r="VEW69" s="316"/>
      <c r="VEX69" s="316"/>
      <c r="VEY69" s="316"/>
      <c r="VEZ69" s="316"/>
      <c r="VFA69" s="316"/>
      <c r="VFB69" s="316"/>
      <c r="VFC69" s="316"/>
      <c r="VFD69" s="316"/>
      <c r="VFE69" s="316"/>
      <c r="VFF69" s="316"/>
      <c r="VFG69" s="316"/>
      <c r="VFH69" s="316"/>
      <c r="VFI69" s="316"/>
      <c r="VFJ69" s="316"/>
      <c r="VFK69" s="316"/>
      <c r="VFL69" s="316"/>
      <c r="VFM69" s="316"/>
      <c r="VFN69" s="316"/>
      <c r="VFO69" s="316"/>
      <c r="VFP69" s="316"/>
      <c r="VFQ69" s="316"/>
      <c r="VFR69" s="316"/>
      <c r="VFS69" s="316"/>
      <c r="VFT69" s="316"/>
      <c r="VFU69" s="316"/>
      <c r="VFV69" s="316"/>
      <c r="VFW69" s="316"/>
      <c r="VFX69" s="316"/>
      <c r="VFY69" s="316"/>
      <c r="VFZ69" s="316"/>
      <c r="VGA69" s="316"/>
      <c r="VGB69" s="316"/>
      <c r="VGC69" s="316"/>
      <c r="VGD69" s="316"/>
      <c r="VGE69" s="316"/>
      <c r="VGF69" s="316"/>
      <c r="VGG69" s="316"/>
      <c r="VGH69" s="316"/>
      <c r="VGI69" s="316"/>
      <c r="VGJ69" s="316"/>
      <c r="VGK69" s="316"/>
      <c r="VGL69" s="316"/>
      <c r="VGM69" s="316"/>
      <c r="VGN69" s="316"/>
      <c r="VGO69" s="316"/>
      <c r="VGP69" s="316"/>
      <c r="VGQ69" s="316"/>
      <c r="VGR69" s="316"/>
      <c r="VGS69" s="316"/>
      <c r="VGT69" s="316"/>
      <c r="VGU69" s="316"/>
      <c r="VGV69" s="316"/>
      <c r="VGW69" s="316"/>
      <c r="VGX69" s="316"/>
      <c r="VGY69" s="316"/>
      <c r="VGZ69" s="316"/>
      <c r="VHA69" s="316"/>
      <c r="VHB69" s="316"/>
      <c r="VHC69" s="316"/>
      <c r="VHD69" s="316"/>
      <c r="VHE69" s="316"/>
      <c r="VHF69" s="316"/>
      <c r="VHG69" s="316"/>
      <c r="VHH69" s="316"/>
      <c r="VHI69" s="316"/>
      <c r="VHJ69" s="316"/>
      <c r="VHK69" s="316"/>
      <c r="VHL69" s="316"/>
      <c r="VHM69" s="316"/>
      <c r="VHN69" s="316"/>
      <c r="VHO69" s="316"/>
      <c r="VHP69" s="316"/>
      <c r="VHQ69" s="316"/>
      <c r="VHR69" s="316"/>
      <c r="VHS69" s="316"/>
      <c r="VHT69" s="316"/>
      <c r="VHU69" s="316"/>
      <c r="VHV69" s="316"/>
      <c r="VHW69" s="316"/>
      <c r="VHX69" s="316"/>
      <c r="VHY69" s="316"/>
      <c r="VHZ69" s="316"/>
      <c r="VIA69" s="316"/>
      <c r="VIB69" s="316"/>
      <c r="VIC69" s="316"/>
      <c r="VID69" s="316"/>
      <c r="VIE69" s="316"/>
      <c r="VIF69" s="316"/>
      <c r="VIG69" s="316"/>
      <c r="VIH69" s="316"/>
      <c r="VII69" s="316"/>
      <c r="VIJ69" s="316"/>
      <c r="VIK69" s="316"/>
      <c r="VIL69" s="316"/>
      <c r="VIM69" s="316"/>
      <c r="VIN69" s="316"/>
      <c r="VIO69" s="316"/>
      <c r="VIP69" s="316"/>
      <c r="VIQ69" s="316"/>
      <c r="VIR69" s="316"/>
      <c r="VIS69" s="316"/>
      <c r="VIT69" s="316"/>
      <c r="VIU69" s="316"/>
      <c r="VIV69" s="316"/>
      <c r="VIW69" s="316"/>
      <c r="VIX69" s="316"/>
      <c r="VIY69" s="316"/>
      <c r="VIZ69" s="316"/>
      <c r="VJA69" s="316"/>
      <c r="VJB69" s="316"/>
      <c r="VJC69" s="316"/>
      <c r="VJD69" s="316"/>
      <c r="VJE69" s="316"/>
      <c r="VJF69" s="316"/>
      <c r="VJG69" s="316"/>
      <c r="VJH69" s="316"/>
      <c r="VJI69" s="316"/>
      <c r="VJJ69" s="316"/>
      <c r="VJK69" s="316"/>
      <c r="VJL69" s="316"/>
      <c r="VJM69" s="316"/>
      <c r="VJN69" s="316"/>
      <c r="VJO69" s="316"/>
      <c r="VJP69" s="316"/>
      <c r="VJQ69" s="316"/>
      <c r="VJR69" s="316"/>
      <c r="VJS69" s="316"/>
      <c r="VJT69" s="316"/>
      <c r="VJU69" s="316"/>
      <c r="VJV69" s="316"/>
      <c r="VJW69" s="316"/>
      <c r="VJX69" s="316"/>
      <c r="VJY69" s="316"/>
      <c r="VJZ69" s="316"/>
      <c r="VKA69" s="316"/>
      <c r="VKB69" s="316"/>
      <c r="VKC69" s="316"/>
      <c r="VKD69" s="316"/>
      <c r="VKE69" s="316"/>
      <c r="VKF69" s="316"/>
      <c r="VKG69" s="316"/>
      <c r="VKH69" s="316"/>
      <c r="VKI69" s="316"/>
      <c r="VKJ69" s="316"/>
      <c r="VKK69" s="316"/>
      <c r="VKL69" s="316"/>
      <c r="VKM69" s="316"/>
      <c r="VKN69" s="316"/>
      <c r="VKO69" s="316"/>
      <c r="VKP69" s="316"/>
      <c r="VKQ69" s="316"/>
      <c r="VKR69" s="316"/>
      <c r="VKS69" s="316"/>
      <c r="VKT69" s="316"/>
      <c r="VKU69" s="316"/>
      <c r="VKV69" s="316"/>
      <c r="VKW69" s="316"/>
      <c r="VKX69" s="316"/>
      <c r="VKY69" s="316"/>
      <c r="VKZ69" s="316"/>
      <c r="VLA69" s="316"/>
      <c r="VLB69" s="316"/>
      <c r="VLC69" s="316"/>
      <c r="VLD69" s="316"/>
      <c r="VLE69" s="316"/>
      <c r="VLF69" s="316"/>
      <c r="VLG69" s="316"/>
      <c r="VLH69" s="316"/>
      <c r="VLI69" s="316"/>
      <c r="VLJ69" s="316"/>
      <c r="VLK69" s="316"/>
      <c r="VLL69" s="316"/>
      <c r="VLM69" s="316"/>
      <c r="VLN69" s="316"/>
      <c r="VLO69" s="316"/>
      <c r="VLP69" s="316"/>
      <c r="VLQ69" s="316"/>
      <c r="VLR69" s="316"/>
      <c r="VLS69" s="316"/>
      <c r="VLT69" s="316"/>
      <c r="VLU69" s="316"/>
      <c r="VLV69" s="316"/>
      <c r="VLW69" s="316"/>
      <c r="VLX69" s="316"/>
      <c r="VLY69" s="316"/>
      <c r="VLZ69" s="316"/>
      <c r="VMA69" s="316"/>
      <c r="VMB69" s="316"/>
      <c r="VMC69" s="316"/>
      <c r="VMD69" s="316"/>
      <c r="VME69" s="316"/>
      <c r="VMF69" s="316"/>
      <c r="VMG69" s="316"/>
      <c r="VMH69" s="316"/>
      <c r="VMI69" s="316"/>
      <c r="VMJ69" s="316"/>
      <c r="VMK69" s="316"/>
      <c r="VML69" s="316"/>
      <c r="VMM69" s="316"/>
      <c r="VMN69" s="316"/>
      <c r="VMO69" s="316"/>
      <c r="VMP69" s="316"/>
      <c r="VMQ69" s="316"/>
      <c r="VMR69" s="316"/>
      <c r="VMS69" s="316"/>
      <c r="VMT69" s="316"/>
      <c r="VMU69" s="316"/>
      <c r="VMV69" s="316"/>
      <c r="VMW69" s="316"/>
      <c r="VMX69" s="316"/>
      <c r="VMY69" s="316"/>
      <c r="VMZ69" s="316"/>
      <c r="VNA69" s="316"/>
      <c r="VNB69" s="316"/>
      <c r="VNC69" s="316"/>
      <c r="VND69" s="316"/>
      <c r="VNE69" s="316"/>
      <c r="VNF69" s="316"/>
      <c r="VNG69" s="316"/>
      <c r="VNH69" s="316"/>
      <c r="VNI69" s="316"/>
      <c r="VNJ69" s="316"/>
      <c r="VNK69" s="316"/>
      <c r="VNL69" s="316"/>
      <c r="VNM69" s="316"/>
      <c r="VNN69" s="316"/>
      <c r="VNO69" s="316"/>
      <c r="VNP69" s="316"/>
      <c r="VNQ69" s="316"/>
      <c r="VNR69" s="316"/>
      <c r="VNS69" s="316"/>
      <c r="VNT69" s="316"/>
      <c r="VNU69" s="316"/>
      <c r="VNV69" s="316"/>
      <c r="VNW69" s="316"/>
      <c r="VNX69" s="316"/>
      <c r="VNY69" s="316"/>
      <c r="VNZ69" s="316"/>
      <c r="VOA69" s="316"/>
      <c r="VOB69" s="316"/>
      <c r="VOC69" s="316"/>
      <c r="VOD69" s="316"/>
      <c r="VOE69" s="316"/>
      <c r="VOF69" s="316"/>
      <c r="VOG69" s="316"/>
      <c r="VOH69" s="316"/>
      <c r="VOI69" s="316"/>
      <c r="VOJ69" s="316"/>
      <c r="VOK69" s="316"/>
      <c r="VOL69" s="316"/>
      <c r="VOM69" s="316"/>
      <c r="VON69" s="316"/>
      <c r="VOO69" s="316"/>
      <c r="VOP69" s="316"/>
      <c r="VOQ69" s="316"/>
      <c r="VOR69" s="316"/>
      <c r="VOS69" s="316"/>
      <c r="VOT69" s="316"/>
      <c r="VOU69" s="316"/>
      <c r="VOV69" s="316"/>
      <c r="VOW69" s="316"/>
      <c r="VOX69" s="316"/>
      <c r="VOY69" s="316"/>
      <c r="VOZ69" s="316"/>
      <c r="VPA69" s="316"/>
      <c r="VPB69" s="316"/>
      <c r="VPC69" s="316"/>
      <c r="VPD69" s="316"/>
      <c r="VPE69" s="316"/>
      <c r="VPF69" s="316"/>
      <c r="VPG69" s="316"/>
      <c r="VPH69" s="316"/>
      <c r="VPI69" s="316"/>
      <c r="VPJ69" s="316"/>
      <c r="VPK69" s="316"/>
      <c r="VPL69" s="316"/>
      <c r="VPM69" s="316"/>
      <c r="VPN69" s="316"/>
      <c r="VPO69" s="316"/>
      <c r="VPP69" s="316"/>
      <c r="VPQ69" s="316"/>
      <c r="VPR69" s="316"/>
      <c r="VPS69" s="316"/>
      <c r="VPT69" s="316"/>
      <c r="VPU69" s="316"/>
      <c r="VPV69" s="316"/>
      <c r="VPW69" s="316"/>
      <c r="VPX69" s="316"/>
      <c r="VPY69" s="316"/>
      <c r="VPZ69" s="316"/>
      <c r="VQA69" s="316"/>
      <c r="VQB69" s="316"/>
      <c r="VQC69" s="316"/>
      <c r="VQD69" s="316"/>
      <c r="VQE69" s="316"/>
      <c r="VQF69" s="316"/>
      <c r="VQG69" s="316"/>
      <c r="VQH69" s="316"/>
      <c r="VQI69" s="316"/>
      <c r="VQJ69" s="316"/>
      <c r="VQK69" s="316"/>
      <c r="VQL69" s="316"/>
      <c r="VQM69" s="316"/>
      <c r="VQN69" s="316"/>
      <c r="VQO69" s="316"/>
      <c r="VQP69" s="316"/>
      <c r="VQQ69" s="316"/>
      <c r="VQR69" s="316"/>
      <c r="VQS69" s="316"/>
      <c r="VQT69" s="316"/>
      <c r="VQU69" s="316"/>
      <c r="VQV69" s="316"/>
      <c r="VQW69" s="316"/>
      <c r="VQX69" s="316"/>
      <c r="VQY69" s="316"/>
      <c r="VQZ69" s="316"/>
      <c r="VRA69" s="316"/>
      <c r="VRB69" s="316"/>
      <c r="VRC69" s="316"/>
      <c r="VRD69" s="316"/>
      <c r="VRE69" s="316"/>
      <c r="VRF69" s="316"/>
      <c r="VRG69" s="316"/>
      <c r="VRH69" s="316"/>
      <c r="VRI69" s="316"/>
      <c r="VRJ69" s="316"/>
      <c r="VRK69" s="316"/>
      <c r="VRL69" s="316"/>
      <c r="VRM69" s="316"/>
      <c r="VRN69" s="316"/>
      <c r="VRO69" s="316"/>
      <c r="VRP69" s="316"/>
      <c r="VRQ69" s="316"/>
      <c r="VRR69" s="316"/>
      <c r="VRS69" s="316"/>
      <c r="VRT69" s="316"/>
      <c r="VRU69" s="316"/>
      <c r="VRV69" s="316"/>
      <c r="VRW69" s="316"/>
      <c r="VRX69" s="316"/>
      <c r="VRY69" s="316"/>
      <c r="VRZ69" s="316"/>
      <c r="VSA69" s="316"/>
      <c r="VSB69" s="316"/>
      <c r="VSC69" s="316"/>
      <c r="VSD69" s="316"/>
      <c r="VSE69" s="316"/>
      <c r="VSF69" s="316"/>
      <c r="VSG69" s="316"/>
      <c r="VSH69" s="316"/>
      <c r="VSI69" s="316"/>
      <c r="VSJ69" s="316"/>
      <c r="VSK69" s="316"/>
      <c r="VSL69" s="316"/>
      <c r="VSM69" s="316"/>
      <c r="VSN69" s="316"/>
      <c r="VSO69" s="316"/>
      <c r="VSP69" s="316"/>
      <c r="VSQ69" s="316"/>
      <c r="VSR69" s="316"/>
      <c r="VSS69" s="316"/>
      <c r="VST69" s="316"/>
      <c r="VSU69" s="316"/>
      <c r="VSV69" s="316"/>
      <c r="VSW69" s="316"/>
      <c r="VSX69" s="316"/>
      <c r="VSY69" s="316"/>
      <c r="VSZ69" s="316"/>
      <c r="VTA69" s="316"/>
      <c r="VTB69" s="316"/>
      <c r="VTC69" s="316"/>
      <c r="VTD69" s="316"/>
      <c r="VTE69" s="316"/>
      <c r="VTF69" s="316"/>
      <c r="VTG69" s="316"/>
      <c r="VTH69" s="316"/>
      <c r="VTI69" s="316"/>
      <c r="VTJ69" s="316"/>
      <c r="VTK69" s="316"/>
      <c r="VTL69" s="316"/>
      <c r="VTM69" s="316"/>
      <c r="VTN69" s="316"/>
      <c r="VTO69" s="316"/>
      <c r="VTP69" s="316"/>
      <c r="VTQ69" s="316"/>
      <c r="VTR69" s="316"/>
      <c r="VTS69" s="316"/>
      <c r="VTT69" s="316"/>
      <c r="VTU69" s="316"/>
      <c r="VTV69" s="316"/>
      <c r="VTW69" s="316"/>
      <c r="VTX69" s="316"/>
      <c r="VTY69" s="316"/>
      <c r="VTZ69" s="316"/>
      <c r="VUA69" s="316"/>
      <c r="VUB69" s="316"/>
      <c r="VUC69" s="316"/>
      <c r="VUD69" s="316"/>
      <c r="VUE69" s="316"/>
      <c r="VUF69" s="316"/>
      <c r="VUG69" s="316"/>
      <c r="VUH69" s="316"/>
      <c r="VUI69" s="316"/>
      <c r="VUJ69" s="316"/>
      <c r="VUK69" s="316"/>
      <c r="VUL69" s="316"/>
      <c r="VUM69" s="316"/>
      <c r="VUN69" s="316"/>
      <c r="VUO69" s="316"/>
      <c r="VUP69" s="316"/>
      <c r="VUQ69" s="316"/>
      <c r="VUR69" s="316"/>
      <c r="VUS69" s="316"/>
      <c r="VUT69" s="316"/>
      <c r="VUU69" s="316"/>
      <c r="VUV69" s="316"/>
      <c r="VUW69" s="316"/>
      <c r="VUX69" s="316"/>
      <c r="VUY69" s="316"/>
      <c r="VUZ69" s="316"/>
      <c r="VVA69" s="316"/>
      <c r="VVB69" s="316"/>
      <c r="VVC69" s="316"/>
      <c r="VVD69" s="316"/>
      <c r="VVE69" s="316"/>
      <c r="VVF69" s="316"/>
      <c r="VVG69" s="316"/>
      <c r="VVH69" s="316"/>
      <c r="VVI69" s="316"/>
      <c r="VVJ69" s="316"/>
      <c r="VVK69" s="316"/>
      <c r="VVL69" s="316"/>
      <c r="VVM69" s="316"/>
      <c r="VVN69" s="316"/>
      <c r="VVO69" s="316"/>
      <c r="VVP69" s="316"/>
      <c r="VVQ69" s="316"/>
      <c r="VVR69" s="316"/>
      <c r="VVS69" s="316"/>
      <c r="VVT69" s="316"/>
      <c r="VVU69" s="316"/>
      <c r="VVV69" s="316"/>
      <c r="VVW69" s="316"/>
      <c r="VVX69" s="316"/>
      <c r="VVY69" s="316"/>
      <c r="VVZ69" s="316"/>
      <c r="VWA69" s="316"/>
      <c r="VWB69" s="316"/>
      <c r="VWC69" s="316"/>
      <c r="VWD69" s="316"/>
      <c r="VWE69" s="316"/>
      <c r="VWF69" s="316"/>
      <c r="VWG69" s="316"/>
      <c r="VWH69" s="316"/>
      <c r="VWI69" s="316"/>
      <c r="VWJ69" s="316"/>
      <c r="VWK69" s="316"/>
      <c r="VWL69" s="316"/>
      <c r="VWM69" s="316"/>
      <c r="VWN69" s="316"/>
      <c r="VWO69" s="316"/>
      <c r="VWP69" s="316"/>
      <c r="VWQ69" s="316"/>
      <c r="VWR69" s="316"/>
      <c r="VWS69" s="316"/>
      <c r="VWT69" s="316"/>
      <c r="VWU69" s="316"/>
      <c r="VWV69" s="316"/>
      <c r="VWW69" s="316"/>
      <c r="VWX69" s="316"/>
      <c r="VWY69" s="316"/>
      <c r="VWZ69" s="316"/>
      <c r="VXA69" s="316"/>
      <c r="VXB69" s="316"/>
      <c r="VXC69" s="316"/>
      <c r="VXD69" s="316"/>
      <c r="VXE69" s="316"/>
      <c r="VXF69" s="316"/>
      <c r="VXG69" s="316"/>
      <c r="VXH69" s="316"/>
      <c r="VXI69" s="316"/>
      <c r="VXJ69" s="316"/>
      <c r="VXK69" s="316"/>
      <c r="VXL69" s="316"/>
      <c r="VXM69" s="316"/>
      <c r="VXN69" s="316"/>
      <c r="VXO69" s="316"/>
      <c r="VXP69" s="316"/>
      <c r="VXQ69" s="316"/>
      <c r="VXR69" s="316"/>
      <c r="VXS69" s="316"/>
      <c r="VXT69" s="316"/>
      <c r="VXU69" s="316"/>
      <c r="VXV69" s="316"/>
      <c r="VXW69" s="316"/>
      <c r="VXX69" s="316"/>
      <c r="VXY69" s="316"/>
      <c r="VXZ69" s="316"/>
      <c r="VYA69" s="316"/>
      <c r="VYB69" s="316"/>
      <c r="VYC69" s="316"/>
      <c r="VYD69" s="316"/>
      <c r="VYE69" s="316"/>
      <c r="VYF69" s="316"/>
      <c r="VYG69" s="316"/>
      <c r="VYH69" s="316"/>
      <c r="VYI69" s="316"/>
      <c r="VYJ69" s="316"/>
      <c r="VYK69" s="316"/>
      <c r="VYL69" s="316"/>
      <c r="VYM69" s="316"/>
      <c r="VYN69" s="316"/>
      <c r="VYO69" s="316"/>
      <c r="VYP69" s="316"/>
      <c r="VYQ69" s="316"/>
      <c r="VYR69" s="316"/>
      <c r="VYS69" s="316"/>
      <c r="VYT69" s="316"/>
      <c r="VYU69" s="316"/>
      <c r="VYV69" s="316"/>
      <c r="VYW69" s="316"/>
      <c r="VYX69" s="316"/>
      <c r="VYY69" s="316"/>
      <c r="VYZ69" s="316"/>
      <c r="VZA69" s="316"/>
      <c r="VZB69" s="316"/>
      <c r="VZC69" s="316"/>
      <c r="VZD69" s="316"/>
      <c r="VZE69" s="316"/>
      <c r="VZF69" s="316"/>
      <c r="VZG69" s="316"/>
      <c r="VZH69" s="316"/>
      <c r="VZI69" s="316"/>
      <c r="VZJ69" s="316"/>
      <c r="VZK69" s="316"/>
      <c r="VZL69" s="316"/>
      <c r="VZM69" s="316"/>
      <c r="VZN69" s="316"/>
      <c r="VZO69" s="316"/>
      <c r="VZP69" s="316"/>
      <c r="VZQ69" s="316"/>
      <c r="VZR69" s="316"/>
      <c r="VZS69" s="316"/>
      <c r="VZT69" s="316"/>
      <c r="VZU69" s="316"/>
      <c r="VZV69" s="316"/>
      <c r="VZW69" s="316"/>
      <c r="VZX69" s="316"/>
      <c r="VZY69" s="316"/>
      <c r="VZZ69" s="316"/>
      <c r="WAA69" s="316"/>
      <c r="WAB69" s="316"/>
      <c r="WAC69" s="316"/>
      <c r="WAD69" s="316"/>
      <c r="WAE69" s="316"/>
      <c r="WAF69" s="316"/>
      <c r="WAG69" s="316"/>
      <c r="WAH69" s="316"/>
      <c r="WAI69" s="316"/>
      <c r="WAJ69" s="316"/>
      <c r="WAK69" s="316"/>
      <c r="WAL69" s="316"/>
      <c r="WAM69" s="316"/>
      <c r="WAN69" s="316"/>
      <c r="WAO69" s="316"/>
      <c r="WAP69" s="316"/>
      <c r="WAQ69" s="316"/>
      <c r="WAR69" s="316"/>
      <c r="WAS69" s="316"/>
      <c r="WAT69" s="316"/>
      <c r="WAU69" s="316"/>
      <c r="WAV69" s="316"/>
      <c r="WAW69" s="316"/>
      <c r="WAX69" s="316"/>
      <c r="WAY69" s="316"/>
      <c r="WAZ69" s="316"/>
      <c r="WBA69" s="316"/>
      <c r="WBB69" s="316"/>
      <c r="WBC69" s="316"/>
      <c r="WBD69" s="316"/>
      <c r="WBE69" s="316"/>
      <c r="WBF69" s="316"/>
      <c r="WBG69" s="316"/>
      <c r="WBH69" s="316"/>
      <c r="WBI69" s="316"/>
      <c r="WBJ69" s="316"/>
      <c r="WBK69" s="316"/>
      <c r="WBL69" s="316"/>
      <c r="WBM69" s="316"/>
      <c r="WBN69" s="316"/>
      <c r="WBO69" s="316"/>
      <c r="WBP69" s="316"/>
      <c r="WBQ69" s="316"/>
      <c r="WBR69" s="316"/>
      <c r="WBS69" s="316"/>
      <c r="WBT69" s="316"/>
      <c r="WBU69" s="316"/>
      <c r="WBV69" s="316"/>
      <c r="WBW69" s="316"/>
      <c r="WBX69" s="316"/>
      <c r="WBY69" s="316"/>
      <c r="WBZ69" s="316"/>
      <c r="WCA69" s="316"/>
      <c r="WCB69" s="316"/>
      <c r="WCC69" s="316"/>
      <c r="WCD69" s="316"/>
      <c r="WCE69" s="316"/>
      <c r="WCF69" s="316"/>
      <c r="WCG69" s="316"/>
      <c r="WCH69" s="316"/>
      <c r="WCI69" s="316"/>
      <c r="WCJ69" s="316"/>
      <c r="WCK69" s="316"/>
      <c r="WCL69" s="316"/>
      <c r="WCM69" s="316"/>
      <c r="WCN69" s="316"/>
      <c r="WCO69" s="316"/>
      <c r="WCP69" s="316"/>
      <c r="WCQ69" s="316"/>
      <c r="WCR69" s="316"/>
      <c r="WCS69" s="316"/>
      <c r="WCT69" s="316"/>
      <c r="WCU69" s="316"/>
      <c r="WCV69" s="316"/>
      <c r="WCW69" s="316"/>
      <c r="WCX69" s="316"/>
      <c r="WCY69" s="316"/>
      <c r="WCZ69" s="316"/>
      <c r="WDA69" s="316"/>
      <c r="WDB69" s="316"/>
      <c r="WDC69" s="316"/>
      <c r="WDD69" s="316"/>
      <c r="WDE69" s="316"/>
      <c r="WDF69" s="316"/>
      <c r="WDG69" s="316"/>
      <c r="WDH69" s="316"/>
      <c r="WDI69" s="316"/>
      <c r="WDJ69" s="316"/>
      <c r="WDK69" s="316"/>
      <c r="WDL69" s="316"/>
      <c r="WDM69" s="316"/>
      <c r="WDN69" s="316"/>
      <c r="WDO69" s="316"/>
      <c r="WDP69" s="316"/>
      <c r="WDQ69" s="316"/>
      <c r="WDR69" s="316"/>
      <c r="WDS69" s="316"/>
      <c r="WDT69" s="316"/>
      <c r="WDU69" s="316"/>
      <c r="WDV69" s="316"/>
      <c r="WDW69" s="316"/>
      <c r="WDX69" s="316"/>
      <c r="WDY69" s="316"/>
      <c r="WDZ69" s="316"/>
      <c r="WEA69" s="316"/>
      <c r="WEB69" s="316"/>
      <c r="WEC69" s="316"/>
      <c r="WED69" s="316"/>
      <c r="WEE69" s="316"/>
      <c r="WEF69" s="316"/>
      <c r="WEG69" s="316"/>
      <c r="WEH69" s="316"/>
      <c r="WEI69" s="316"/>
      <c r="WEJ69" s="316"/>
      <c r="WEK69" s="316"/>
      <c r="WEL69" s="316"/>
      <c r="WEM69" s="316"/>
      <c r="WEN69" s="316"/>
      <c r="WEO69" s="316"/>
      <c r="WEP69" s="316"/>
      <c r="WEQ69" s="316"/>
      <c r="WER69" s="316"/>
      <c r="WES69" s="316"/>
      <c r="WET69" s="316"/>
      <c r="WEU69" s="316"/>
      <c r="WEV69" s="316"/>
      <c r="WEW69" s="316"/>
      <c r="WEX69" s="316"/>
      <c r="WEY69" s="316"/>
      <c r="WEZ69" s="316"/>
      <c r="WFA69" s="316"/>
      <c r="WFB69" s="316"/>
      <c r="WFC69" s="316"/>
      <c r="WFD69" s="316"/>
      <c r="WFE69" s="316"/>
      <c r="WFF69" s="316"/>
      <c r="WFG69" s="316"/>
      <c r="WFH69" s="316"/>
      <c r="WFI69" s="316"/>
      <c r="WFJ69" s="316"/>
      <c r="WFK69" s="316"/>
      <c r="WFL69" s="316"/>
      <c r="WFM69" s="316"/>
      <c r="WFN69" s="316"/>
      <c r="WFO69" s="316"/>
      <c r="WFP69" s="316"/>
      <c r="WFQ69" s="316"/>
      <c r="WFR69" s="316"/>
      <c r="WFS69" s="316"/>
      <c r="WFT69" s="316"/>
      <c r="WFU69" s="316"/>
      <c r="WFV69" s="316"/>
      <c r="WFW69" s="316"/>
      <c r="WFX69" s="316"/>
      <c r="WFY69" s="316"/>
      <c r="WFZ69" s="316"/>
      <c r="WGA69" s="316"/>
      <c r="WGB69" s="316"/>
      <c r="WGC69" s="316"/>
      <c r="WGD69" s="316"/>
      <c r="WGE69" s="316"/>
      <c r="WGF69" s="316"/>
      <c r="WGG69" s="316"/>
      <c r="WGH69" s="316"/>
      <c r="WGI69" s="316"/>
      <c r="WGJ69" s="316"/>
      <c r="WGK69" s="316"/>
      <c r="WGL69" s="316"/>
      <c r="WGM69" s="316"/>
      <c r="WGN69" s="316"/>
      <c r="WGO69" s="316"/>
      <c r="WGP69" s="316"/>
      <c r="WGQ69" s="316"/>
      <c r="WGR69" s="316"/>
      <c r="WGS69" s="316"/>
      <c r="WGT69" s="316"/>
      <c r="WGU69" s="316"/>
      <c r="WGV69" s="316"/>
      <c r="WGW69" s="316"/>
      <c r="WGX69" s="316"/>
      <c r="WGY69" s="316"/>
      <c r="WGZ69" s="316"/>
      <c r="WHA69" s="316"/>
      <c r="WHB69" s="316"/>
      <c r="WHC69" s="316"/>
      <c r="WHD69" s="316"/>
      <c r="WHE69" s="316"/>
      <c r="WHF69" s="316"/>
      <c r="WHG69" s="316"/>
      <c r="WHH69" s="316"/>
      <c r="WHI69" s="316"/>
      <c r="WHJ69" s="316"/>
      <c r="WHK69" s="316"/>
      <c r="WHL69" s="316"/>
      <c r="WHM69" s="316"/>
      <c r="WHN69" s="316"/>
      <c r="WHO69" s="316"/>
      <c r="WHP69" s="316"/>
      <c r="WHQ69" s="316"/>
      <c r="WHR69" s="316"/>
      <c r="WHS69" s="316"/>
      <c r="WHT69" s="316"/>
      <c r="WHU69" s="316"/>
      <c r="WHV69" s="316"/>
      <c r="WHW69" s="316"/>
      <c r="WHX69" s="316"/>
      <c r="WHY69" s="316"/>
      <c r="WHZ69" s="316"/>
      <c r="WIA69" s="316"/>
      <c r="WIB69" s="316"/>
      <c r="WIC69" s="316"/>
      <c r="WID69" s="316"/>
      <c r="WIE69" s="316"/>
      <c r="WIF69" s="316"/>
      <c r="WIG69" s="316"/>
      <c r="WIH69" s="316"/>
      <c r="WII69" s="316"/>
      <c r="WIJ69" s="316"/>
      <c r="WIK69" s="316"/>
      <c r="WIL69" s="316"/>
      <c r="WIM69" s="316"/>
      <c r="WIN69" s="316"/>
      <c r="WIO69" s="316"/>
      <c r="WIP69" s="316"/>
      <c r="WIQ69" s="316"/>
      <c r="WIR69" s="316"/>
      <c r="WIS69" s="316"/>
      <c r="WIT69" s="316"/>
      <c r="WIU69" s="316"/>
      <c r="WIV69" s="316"/>
      <c r="WIW69" s="316"/>
      <c r="WIX69" s="316"/>
      <c r="WIY69" s="316"/>
      <c r="WIZ69" s="316"/>
      <c r="WJA69" s="316"/>
      <c r="WJB69" s="316"/>
      <c r="WJC69" s="316"/>
      <c r="WJD69" s="316"/>
      <c r="WJE69" s="316"/>
      <c r="WJF69" s="316"/>
      <c r="WJG69" s="316"/>
      <c r="WJH69" s="316"/>
      <c r="WJI69" s="316"/>
      <c r="WJJ69" s="316"/>
      <c r="WJK69" s="316"/>
      <c r="WJL69" s="316"/>
      <c r="WJM69" s="316"/>
      <c r="WJN69" s="316"/>
      <c r="WJO69" s="316"/>
      <c r="WJP69" s="316"/>
      <c r="WJQ69" s="316"/>
      <c r="WJR69" s="316"/>
      <c r="WJS69" s="316"/>
      <c r="WJT69" s="316"/>
      <c r="WJU69" s="316"/>
      <c r="WJV69" s="316"/>
      <c r="WJW69" s="316"/>
      <c r="WJX69" s="316"/>
      <c r="WJY69" s="316"/>
      <c r="WJZ69" s="316"/>
      <c r="WKA69" s="316"/>
      <c r="WKB69" s="316"/>
      <c r="WKC69" s="316"/>
      <c r="WKD69" s="316"/>
      <c r="WKE69" s="316"/>
      <c r="WKF69" s="316"/>
      <c r="WKG69" s="316"/>
      <c r="WKH69" s="316"/>
      <c r="WKI69" s="316"/>
      <c r="WKJ69" s="316"/>
      <c r="WKK69" s="316"/>
      <c r="WKL69" s="316"/>
      <c r="WKM69" s="316"/>
      <c r="WKN69" s="316"/>
      <c r="WKO69" s="316"/>
      <c r="WKP69" s="316"/>
      <c r="WKQ69" s="316"/>
      <c r="WKR69" s="316"/>
      <c r="WKS69" s="316"/>
      <c r="WKT69" s="316"/>
      <c r="WKU69" s="316"/>
      <c r="WKV69" s="316"/>
      <c r="WKW69" s="316"/>
      <c r="WKX69" s="316"/>
      <c r="WKY69" s="316"/>
      <c r="WKZ69" s="316"/>
      <c r="WLA69" s="316"/>
      <c r="WLB69" s="316"/>
      <c r="WLC69" s="316"/>
      <c r="WLD69" s="316"/>
      <c r="WLE69" s="316"/>
      <c r="WLF69" s="316"/>
      <c r="WLG69" s="316"/>
      <c r="WLH69" s="316"/>
      <c r="WLI69" s="316"/>
      <c r="WLJ69" s="316"/>
      <c r="WLK69" s="316"/>
      <c r="WLL69" s="316"/>
      <c r="WLM69" s="316"/>
      <c r="WLN69" s="316"/>
      <c r="WLO69" s="316"/>
      <c r="WLP69" s="316"/>
      <c r="WLQ69" s="316"/>
      <c r="WLR69" s="316"/>
      <c r="WLS69" s="316"/>
      <c r="WLT69" s="316"/>
      <c r="WLU69" s="316"/>
      <c r="WLV69" s="316"/>
      <c r="WLW69" s="316"/>
      <c r="WLX69" s="316"/>
      <c r="WLY69" s="316"/>
      <c r="WLZ69" s="316"/>
      <c r="WMA69" s="316"/>
      <c r="WMB69" s="316"/>
      <c r="WMC69" s="316"/>
      <c r="WMD69" s="316"/>
      <c r="WME69" s="316"/>
      <c r="WMF69" s="316"/>
      <c r="WMG69" s="316"/>
      <c r="WMH69" s="316"/>
      <c r="WMI69" s="316"/>
      <c r="WMJ69" s="316"/>
      <c r="WMK69" s="316"/>
      <c r="WML69" s="316"/>
      <c r="WMM69" s="316"/>
      <c r="WMN69" s="316"/>
      <c r="WMO69" s="316"/>
      <c r="WMP69" s="316"/>
      <c r="WMQ69" s="316"/>
      <c r="WMR69" s="316"/>
      <c r="WMS69" s="316"/>
      <c r="WMT69" s="316"/>
      <c r="WMU69" s="316"/>
      <c r="WMV69" s="316"/>
      <c r="WMW69" s="316"/>
      <c r="WMX69" s="316"/>
      <c r="WMY69" s="316"/>
      <c r="WMZ69" s="316"/>
      <c r="WNA69" s="316"/>
      <c r="WNB69" s="316"/>
      <c r="WNC69" s="316"/>
      <c r="WND69" s="316"/>
      <c r="WNE69" s="316"/>
      <c r="WNF69" s="316"/>
      <c r="WNG69" s="316"/>
      <c r="WNH69" s="316"/>
      <c r="WNI69" s="316"/>
      <c r="WNJ69" s="316"/>
      <c r="WNK69" s="316"/>
      <c r="WNL69" s="316"/>
      <c r="WNM69" s="316"/>
      <c r="WNN69" s="316"/>
      <c r="WNO69" s="316"/>
      <c r="WNP69" s="316"/>
      <c r="WNQ69" s="316"/>
      <c r="WNR69" s="316"/>
      <c r="WNS69" s="316"/>
      <c r="WNT69" s="316"/>
      <c r="WNU69" s="316"/>
      <c r="WNV69" s="316"/>
      <c r="WNW69" s="316"/>
      <c r="WNX69" s="316"/>
      <c r="WNY69" s="316"/>
      <c r="WNZ69" s="316"/>
      <c r="WOA69" s="316"/>
      <c r="WOB69" s="316"/>
      <c r="WOC69" s="316"/>
      <c r="WOD69" s="316"/>
      <c r="WOE69" s="316"/>
      <c r="WOF69" s="316"/>
      <c r="WOG69" s="316"/>
      <c r="WOH69" s="316"/>
      <c r="WOI69" s="316"/>
      <c r="WOJ69" s="316"/>
      <c r="WOK69" s="316"/>
      <c r="WOL69" s="316"/>
      <c r="WOM69" s="316"/>
      <c r="WON69" s="316"/>
      <c r="WOO69" s="316"/>
      <c r="WOP69" s="316"/>
      <c r="WOQ69" s="316"/>
      <c r="WOR69" s="316"/>
      <c r="WOS69" s="316"/>
      <c r="WOT69" s="316"/>
      <c r="WOU69" s="316"/>
      <c r="WOV69" s="316"/>
      <c r="WOW69" s="316"/>
      <c r="WOX69" s="316"/>
      <c r="WOY69" s="316"/>
      <c r="WOZ69" s="316"/>
      <c r="WPA69" s="316"/>
      <c r="WPB69" s="316"/>
      <c r="WPC69" s="316"/>
      <c r="WPD69" s="316"/>
      <c r="WPE69" s="316"/>
      <c r="WPF69" s="316"/>
      <c r="WPG69" s="316"/>
      <c r="WPH69" s="316"/>
      <c r="WPI69" s="316"/>
      <c r="WPJ69" s="316"/>
      <c r="WPK69" s="316"/>
      <c r="WPL69" s="316"/>
      <c r="WPM69" s="316"/>
      <c r="WPN69" s="316"/>
      <c r="WPO69" s="316"/>
      <c r="WPP69" s="316"/>
      <c r="WPQ69" s="316"/>
      <c r="WPR69" s="316"/>
      <c r="WPS69" s="316"/>
      <c r="WPT69" s="316"/>
      <c r="WPU69" s="316"/>
      <c r="WPV69" s="316"/>
      <c r="WPW69" s="316"/>
      <c r="WPX69" s="316"/>
      <c r="WPY69" s="316"/>
      <c r="WPZ69" s="316"/>
      <c r="WQA69" s="316"/>
      <c r="WQB69" s="316"/>
      <c r="WQC69" s="316"/>
      <c r="WQD69" s="316"/>
      <c r="WQE69" s="316"/>
      <c r="WQF69" s="316"/>
      <c r="WQG69" s="316"/>
      <c r="WQH69" s="316"/>
      <c r="WQI69" s="316"/>
      <c r="WQJ69" s="316"/>
      <c r="WQK69" s="316"/>
      <c r="WQL69" s="316"/>
      <c r="WQM69" s="316"/>
      <c r="WQN69" s="316"/>
      <c r="WQO69" s="316"/>
      <c r="WQP69" s="316"/>
      <c r="WQQ69" s="316"/>
      <c r="WQR69" s="316"/>
      <c r="WQS69" s="316"/>
      <c r="WQT69" s="316"/>
      <c r="WQU69" s="316"/>
      <c r="WQV69" s="316"/>
      <c r="WQW69" s="316"/>
      <c r="WQX69" s="316"/>
      <c r="WQY69" s="316"/>
      <c r="WQZ69" s="316"/>
      <c r="WRA69" s="316"/>
      <c r="WRB69" s="316"/>
      <c r="WRC69" s="316"/>
      <c r="WRD69" s="316"/>
      <c r="WRE69" s="316"/>
      <c r="WRF69" s="316"/>
      <c r="WRG69" s="316"/>
      <c r="WRH69" s="316"/>
      <c r="WRI69" s="316"/>
      <c r="WRJ69" s="316"/>
      <c r="WRK69" s="316"/>
      <c r="WRL69" s="316"/>
      <c r="WRM69" s="316"/>
      <c r="WRN69" s="316"/>
      <c r="WRO69" s="316"/>
      <c r="WRP69" s="316"/>
      <c r="WRQ69" s="316"/>
      <c r="WRR69" s="316"/>
      <c r="WRS69" s="316"/>
      <c r="WRT69" s="316"/>
      <c r="WRU69" s="316"/>
      <c r="WRV69" s="316"/>
      <c r="WRW69" s="316"/>
      <c r="WRX69" s="316"/>
      <c r="WRY69" s="316"/>
      <c r="WRZ69" s="316"/>
      <c r="WSA69" s="316"/>
      <c r="WSB69" s="316"/>
      <c r="WSC69" s="316"/>
      <c r="WSD69" s="316"/>
      <c r="WSE69" s="316"/>
      <c r="WSF69" s="316"/>
      <c r="WSG69" s="316"/>
      <c r="WSH69" s="316"/>
      <c r="WSI69" s="316"/>
      <c r="WSJ69" s="316"/>
      <c r="WSK69" s="316"/>
      <c r="WSL69" s="316"/>
      <c r="WSM69" s="316"/>
      <c r="WSN69" s="316"/>
      <c r="WSO69" s="316"/>
      <c r="WSP69" s="316"/>
      <c r="WSQ69" s="316"/>
      <c r="WSR69" s="316"/>
      <c r="WSS69" s="316"/>
      <c r="WST69" s="316"/>
      <c r="WSU69" s="316"/>
      <c r="WSV69" s="316"/>
      <c r="WSW69" s="316"/>
      <c r="WSX69" s="316"/>
      <c r="WSY69" s="316"/>
      <c r="WSZ69" s="316"/>
      <c r="WTA69" s="316"/>
      <c r="WTB69" s="316"/>
      <c r="WTC69" s="316"/>
      <c r="WTD69" s="316"/>
      <c r="WTE69" s="316"/>
      <c r="WTF69" s="316"/>
      <c r="WTG69" s="316"/>
      <c r="WTH69" s="316"/>
      <c r="WTI69" s="316"/>
      <c r="WTJ69" s="316"/>
      <c r="WTK69" s="316"/>
      <c r="WTL69" s="316"/>
      <c r="WTM69" s="316"/>
      <c r="WTN69" s="316"/>
      <c r="WTO69" s="316"/>
      <c r="WTP69" s="316"/>
      <c r="WTQ69" s="316"/>
      <c r="WTR69" s="316"/>
      <c r="WTS69" s="316"/>
      <c r="WTT69" s="316"/>
      <c r="WTU69" s="316"/>
      <c r="WTV69" s="316"/>
      <c r="WTW69" s="316"/>
      <c r="WTX69" s="316"/>
      <c r="WTY69" s="316"/>
      <c r="WTZ69" s="316"/>
      <c r="WUA69" s="316"/>
      <c r="WUB69" s="316"/>
      <c r="WUC69" s="316"/>
      <c r="WUD69" s="316"/>
      <c r="WUE69" s="316"/>
      <c r="WUF69" s="316"/>
      <c r="WUG69" s="316"/>
      <c r="WUH69" s="316"/>
      <c r="WUI69" s="316"/>
      <c r="WUJ69" s="316"/>
      <c r="WUK69" s="316"/>
      <c r="WUL69" s="316"/>
      <c r="WUM69" s="316"/>
      <c r="WUN69" s="316"/>
      <c r="WUO69" s="316"/>
      <c r="WUP69" s="316"/>
      <c r="WUQ69" s="316"/>
      <c r="WUR69" s="316"/>
      <c r="WUS69" s="316"/>
      <c r="WUT69" s="316"/>
      <c r="WUU69" s="316"/>
      <c r="WUV69" s="316"/>
      <c r="WUW69" s="316"/>
      <c r="WUX69" s="316"/>
      <c r="WUY69" s="316"/>
      <c r="WUZ69" s="316"/>
      <c r="WVA69" s="316"/>
      <c r="WVB69" s="316"/>
      <c r="WVC69" s="316"/>
      <c r="WVD69" s="316"/>
      <c r="WVE69" s="316"/>
      <c r="WVF69" s="316"/>
      <c r="WVG69" s="316"/>
      <c r="WVH69" s="316"/>
      <c r="WVI69" s="316"/>
      <c r="WVJ69" s="316"/>
      <c r="WVK69" s="316"/>
      <c r="WVL69" s="316"/>
      <c r="WVM69" s="316"/>
      <c r="WVN69" s="316"/>
      <c r="WVO69" s="316"/>
      <c r="WVP69" s="316"/>
      <c r="WVQ69" s="316"/>
      <c r="WVR69" s="316"/>
      <c r="WVS69" s="316"/>
      <c r="WVT69" s="316"/>
      <c r="WVU69" s="316"/>
      <c r="WVV69" s="316"/>
      <c r="WVW69" s="316"/>
      <c r="WVX69" s="316"/>
      <c r="WVY69" s="316"/>
      <c r="WVZ69" s="316"/>
      <c r="WWA69" s="316"/>
      <c r="WWB69" s="316"/>
      <c r="WWC69" s="316"/>
      <c r="WWD69" s="316"/>
      <c r="WWE69" s="316"/>
      <c r="WWF69" s="316"/>
      <c r="WWG69" s="316"/>
      <c r="WWH69" s="316"/>
      <c r="WWI69" s="316"/>
      <c r="WWJ69" s="316"/>
      <c r="WWK69" s="316"/>
      <c r="WWL69" s="316"/>
      <c r="WWM69" s="316"/>
      <c r="WWN69" s="316"/>
      <c r="WWO69" s="316"/>
      <c r="WWP69" s="316"/>
      <c r="WWQ69" s="316"/>
      <c r="WWR69" s="316"/>
      <c r="WWS69" s="316"/>
      <c r="WWT69" s="316"/>
      <c r="WWU69" s="316"/>
      <c r="WWV69" s="316"/>
      <c r="WWW69" s="316"/>
      <c r="WWX69" s="316"/>
      <c r="WWY69" s="316"/>
      <c r="WWZ69" s="316"/>
      <c r="WXA69" s="316"/>
      <c r="WXB69" s="316"/>
      <c r="WXC69" s="316"/>
      <c r="WXD69" s="316"/>
      <c r="WXE69" s="316"/>
      <c r="WXF69" s="316"/>
      <c r="WXG69" s="316"/>
      <c r="WXH69" s="316"/>
      <c r="WXI69" s="316"/>
      <c r="WXJ69" s="316"/>
      <c r="WXK69" s="316"/>
      <c r="WXL69" s="316"/>
      <c r="WXM69" s="316"/>
      <c r="WXN69" s="316"/>
      <c r="WXO69" s="316"/>
      <c r="WXP69" s="316"/>
      <c r="WXQ69" s="316"/>
      <c r="WXR69" s="316"/>
      <c r="WXS69" s="316"/>
      <c r="WXT69" s="316"/>
      <c r="WXU69" s="316"/>
      <c r="WXV69" s="316"/>
      <c r="WXW69" s="316"/>
      <c r="WXX69" s="316"/>
      <c r="WXY69" s="316"/>
      <c r="WXZ69" s="316"/>
      <c r="WYA69" s="316"/>
      <c r="WYB69" s="316"/>
      <c r="WYC69" s="316"/>
      <c r="WYD69" s="316"/>
      <c r="WYE69" s="316"/>
      <c r="WYF69" s="316"/>
      <c r="WYG69" s="316"/>
      <c r="WYH69" s="316"/>
      <c r="WYI69" s="316"/>
      <c r="WYJ69" s="316"/>
      <c r="WYK69" s="316"/>
      <c r="WYL69" s="316"/>
      <c r="WYM69" s="316"/>
      <c r="WYN69" s="316"/>
      <c r="WYO69" s="316"/>
      <c r="WYP69" s="316"/>
      <c r="WYQ69" s="316"/>
      <c r="WYR69" s="316"/>
      <c r="WYS69" s="316"/>
      <c r="WYT69" s="316"/>
      <c r="WYU69" s="316"/>
      <c r="WYV69" s="316"/>
      <c r="WYW69" s="316"/>
      <c r="WYX69" s="316"/>
      <c r="WYY69" s="316"/>
      <c r="WYZ69" s="316"/>
      <c r="WZA69" s="316"/>
      <c r="WZB69" s="316"/>
      <c r="WZC69" s="316"/>
      <c r="WZD69" s="316"/>
      <c r="WZE69" s="316"/>
      <c r="WZF69" s="316"/>
      <c r="WZG69" s="316"/>
      <c r="WZH69" s="316"/>
      <c r="WZI69" s="316"/>
      <c r="WZJ69" s="316"/>
      <c r="WZK69" s="316"/>
      <c r="WZL69" s="316"/>
      <c r="WZM69" s="316"/>
      <c r="WZN69" s="316"/>
      <c r="WZO69" s="316"/>
      <c r="WZP69" s="316"/>
      <c r="WZQ69" s="316"/>
      <c r="WZR69" s="316"/>
      <c r="WZS69" s="316"/>
      <c r="WZT69" s="316"/>
      <c r="WZU69" s="316"/>
      <c r="WZV69" s="316"/>
      <c r="WZW69" s="316"/>
      <c r="WZX69" s="316"/>
      <c r="WZY69" s="316"/>
      <c r="WZZ69" s="316"/>
      <c r="XAA69" s="316"/>
      <c r="XAB69" s="316"/>
      <c r="XAC69" s="316"/>
      <c r="XAD69" s="316"/>
      <c r="XAE69" s="316"/>
      <c r="XAF69" s="316"/>
      <c r="XAG69" s="316"/>
      <c r="XAH69" s="316"/>
      <c r="XAI69" s="316"/>
      <c r="XAJ69" s="316"/>
      <c r="XAK69" s="316"/>
      <c r="XAL69" s="316"/>
      <c r="XAM69" s="316"/>
      <c r="XAN69" s="316"/>
      <c r="XAO69" s="316"/>
      <c r="XAP69" s="316"/>
      <c r="XAQ69" s="316"/>
      <c r="XAR69" s="316"/>
      <c r="XAS69" s="316"/>
      <c r="XAT69" s="316"/>
      <c r="XAU69" s="316"/>
      <c r="XAV69" s="316"/>
      <c r="XAW69" s="316"/>
      <c r="XAX69" s="316"/>
      <c r="XAY69" s="316"/>
      <c r="XAZ69" s="316"/>
      <c r="XBA69" s="316"/>
      <c r="XBB69" s="316"/>
      <c r="XBC69" s="316"/>
      <c r="XBD69" s="316"/>
      <c r="XBE69" s="316"/>
      <c r="XBF69" s="316"/>
      <c r="XBG69" s="316"/>
      <c r="XBH69" s="316"/>
      <c r="XBI69" s="316"/>
      <c r="XBJ69" s="316"/>
      <c r="XBK69" s="316"/>
      <c r="XBL69" s="316"/>
      <c r="XBM69" s="316"/>
      <c r="XBN69" s="316"/>
      <c r="XBO69" s="316"/>
      <c r="XBP69" s="316"/>
      <c r="XBQ69" s="316"/>
      <c r="XBR69" s="316"/>
      <c r="XBS69" s="316"/>
      <c r="XBT69" s="316"/>
      <c r="XBU69" s="316"/>
      <c r="XBV69" s="316"/>
      <c r="XBW69" s="316"/>
      <c r="XBX69" s="316"/>
      <c r="XBY69" s="316"/>
      <c r="XBZ69" s="316"/>
      <c r="XCA69" s="316"/>
      <c r="XCB69" s="316"/>
      <c r="XCC69" s="316"/>
      <c r="XCD69" s="316"/>
      <c r="XCE69" s="316"/>
      <c r="XCF69" s="316"/>
      <c r="XCG69" s="316"/>
      <c r="XCH69" s="316"/>
      <c r="XCI69" s="316"/>
      <c r="XCJ69" s="316"/>
      <c r="XCK69" s="316"/>
      <c r="XCL69" s="316"/>
      <c r="XCM69" s="316"/>
      <c r="XCN69" s="316"/>
      <c r="XCO69" s="316"/>
      <c r="XCP69" s="316"/>
      <c r="XCQ69" s="316"/>
      <c r="XCR69" s="316"/>
      <c r="XCS69" s="316"/>
      <c r="XCT69" s="316"/>
      <c r="XCU69" s="316"/>
      <c r="XCV69" s="316"/>
      <c r="XCW69" s="316"/>
      <c r="XCX69" s="316"/>
      <c r="XCY69" s="316"/>
      <c r="XCZ69" s="316"/>
      <c r="XDA69" s="316"/>
      <c r="XDB69" s="316"/>
      <c r="XDC69" s="316"/>
      <c r="XDD69" s="316"/>
      <c r="XDE69" s="316"/>
      <c r="XDF69" s="316"/>
      <c r="XDG69" s="316"/>
      <c r="XDH69" s="316"/>
      <c r="XDI69" s="316"/>
      <c r="XDJ69" s="316"/>
      <c r="XDK69" s="316"/>
      <c r="XDL69" s="316"/>
      <c r="XDM69" s="316"/>
      <c r="XDN69" s="316"/>
      <c r="XDO69" s="316"/>
      <c r="XDP69" s="316"/>
      <c r="XDQ69" s="316"/>
      <c r="XDR69" s="316"/>
      <c r="XDS69" s="316"/>
      <c r="XDT69" s="316"/>
      <c r="XDU69" s="316"/>
      <c r="XDV69" s="316"/>
      <c r="XDW69" s="316"/>
      <c r="XDX69" s="316"/>
      <c r="XDY69" s="316"/>
      <c r="XDZ69" s="316"/>
      <c r="XEA69" s="316"/>
      <c r="XEB69" s="316"/>
      <c r="XEC69" s="316"/>
      <c r="XED69" s="316"/>
      <c r="XEE69" s="316"/>
      <c r="XEF69" s="316"/>
      <c r="XEG69" s="316"/>
      <c r="XEH69" s="312"/>
    </row>
    <row r="70" spans="1:16362" ht="18" customHeight="1">
      <c r="A70" s="402"/>
      <c r="B70" s="402"/>
      <c r="C70" s="408" t="s">
        <v>963</v>
      </c>
      <c r="D70" s="408"/>
      <c r="E70" s="408"/>
      <c r="F70" s="409" t="s">
        <v>960</v>
      </c>
      <c r="G70" s="412">
        <v>1</v>
      </c>
      <c r="H70" s="415">
        <f>I69*0.1</f>
        <v>85161</v>
      </c>
      <c r="I70" s="418">
        <f>G70*H70</f>
        <v>85161</v>
      </c>
      <c r="J70" s="434"/>
    </row>
    <row r="71" spans="1:16362" ht="18" customHeight="1">
      <c r="A71" s="402"/>
      <c r="B71" s="402"/>
      <c r="C71" s="408" t="s">
        <v>964</v>
      </c>
      <c r="D71" s="408"/>
      <c r="E71" s="408"/>
      <c r="F71" s="410"/>
      <c r="G71" s="413"/>
      <c r="H71" s="416"/>
      <c r="I71" s="419"/>
      <c r="J71" s="434"/>
    </row>
    <row r="72" spans="1:16362" ht="18" customHeight="1">
      <c r="A72" s="402"/>
      <c r="B72" s="402"/>
      <c r="C72" s="408" t="s">
        <v>965</v>
      </c>
      <c r="D72" s="408"/>
      <c r="E72" s="408"/>
      <c r="F72" s="410"/>
      <c r="G72" s="413"/>
      <c r="H72" s="416"/>
      <c r="I72" s="419"/>
      <c r="J72" s="434"/>
    </row>
    <row r="73" spans="1:16362" s="323" customFormat="1" ht="18" customHeight="1">
      <c r="A73" s="402"/>
      <c r="B73" s="402"/>
      <c r="C73" s="421" t="s">
        <v>966</v>
      </c>
      <c r="D73" s="422"/>
      <c r="E73" s="423"/>
      <c r="F73" s="411"/>
      <c r="G73" s="414"/>
      <c r="H73" s="417"/>
      <c r="I73" s="420"/>
      <c r="J73" s="434"/>
      <c r="K73" s="311"/>
      <c r="L73" s="311"/>
      <c r="M73" s="311"/>
      <c r="N73" s="311"/>
      <c r="O73" s="311"/>
      <c r="P73" s="311"/>
      <c r="Q73" s="311"/>
      <c r="R73" s="311"/>
      <c r="S73" s="311"/>
      <c r="T73" s="311"/>
      <c r="U73" s="311"/>
      <c r="V73" s="311"/>
      <c r="W73" s="311"/>
      <c r="X73" s="311"/>
      <c r="Y73" s="311"/>
      <c r="Z73" s="311"/>
      <c r="AA73" s="311"/>
      <c r="AB73" s="311"/>
      <c r="AC73" s="311"/>
      <c r="AD73" s="311"/>
      <c r="AE73" s="311"/>
      <c r="AF73" s="311"/>
      <c r="AG73" s="311"/>
      <c r="AH73" s="311"/>
      <c r="AI73" s="311"/>
      <c r="AJ73" s="311"/>
      <c r="AK73" s="311"/>
      <c r="AL73" s="311"/>
      <c r="AM73" s="311"/>
      <c r="AN73" s="311"/>
      <c r="AO73" s="311"/>
      <c r="AP73" s="311"/>
      <c r="AQ73" s="311"/>
      <c r="AR73" s="311"/>
      <c r="AS73" s="311"/>
      <c r="AT73" s="311"/>
      <c r="AU73" s="311"/>
      <c r="AV73" s="311"/>
      <c r="AW73" s="311"/>
      <c r="AX73" s="311"/>
      <c r="AY73" s="311"/>
      <c r="AZ73" s="311"/>
      <c r="BA73" s="311"/>
      <c r="BB73" s="311"/>
      <c r="BC73" s="311"/>
      <c r="BD73" s="311"/>
      <c r="BE73" s="311"/>
      <c r="BF73" s="311"/>
      <c r="BG73" s="311"/>
      <c r="BH73" s="311"/>
      <c r="BI73" s="311"/>
      <c r="BJ73" s="311"/>
      <c r="BK73" s="311"/>
      <c r="BL73" s="311"/>
      <c r="BM73" s="311"/>
      <c r="BN73" s="311"/>
      <c r="BO73" s="311"/>
      <c r="BP73" s="311"/>
      <c r="BQ73" s="311"/>
      <c r="BR73" s="311"/>
      <c r="BS73" s="311"/>
      <c r="BT73" s="311"/>
      <c r="BU73" s="311"/>
      <c r="BV73" s="311"/>
      <c r="BW73" s="311"/>
      <c r="BX73" s="311"/>
      <c r="BY73" s="311"/>
      <c r="BZ73" s="311"/>
      <c r="CA73" s="311"/>
      <c r="CB73" s="311"/>
      <c r="CC73" s="311"/>
      <c r="CD73" s="311"/>
      <c r="CE73" s="311"/>
      <c r="CF73" s="311"/>
      <c r="CG73" s="311"/>
      <c r="CH73" s="311"/>
      <c r="CI73" s="311"/>
      <c r="CJ73" s="311"/>
      <c r="CK73" s="311"/>
      <c r="CL73" s="311"/>
      <c r="CM73" s="311"/>
      <c r="CN73" s="311"/>
      <c r="CO73" s="311"/>
      <c r="CP73" s="311"/>
      <c r="CQ73" s="311"/>
      <c r="CR73" s="311"/>
      <c r="CS73" s="311"/>
      <c r="CT73" s="311"/>
      <c r="CU73" s="311"/>
      <c r="CV73" s="311"/>
      <c r="CW73" s="311"/>
      <c r="CX73" s="311"/>
      <c r="CY73" s="311"/>
      <c r="CZ73" s="311"/>
      <c r="DA73" s="311"/>
      <c r="DB73" s="311"/>
      <c r="DC73" s="311"/>
      <c r="DD73" s="311"/>
      <c r="DE73" s="311"/>
      <c r="DF73" s="311"/>
      <c r="DG73" s="311"/>
      <c r="DH73" s="311"/>
      <c r="DI73" s="311"/>
      <c r="DJ73" s="311"/>
      <c r="DK73" s="311"/>
      <c r="DL73" s="311"/>
      <c r="DM73" s="311"/>
      <c r="DN73" s="311"/>
      <c r="DO73" s="311"/>
      <c r="DP73" s="311"/>
      <c r="DQ73" s="311"/>
      <c r="DR73" s="311"/>
      <c r="DS73" s="311"/>
      <c r="DT73" s="311"/>
      <c r="DU73" s="311"/>
      <c r="DV73" s="311"/>
      <c r="DW73" s="311"/>
      <c r="DX73" s="311"/>
      <c r="DY73" s="311"/>
      <c r="DZ73" s="311"/>
      <c r="EA73" s="311"/>
      <c r="EB73" s="311"/>
      <c r="EC73" s="311"/>
      <c r="ED73" s="311"/>
      <c r="EE73" s="311"/>
      <c r="EF73" s="311"/>
      <c r="EG73" s="311"/>
      <c r="EH73" s="311"/>
      <c r="EI73" s="311"/>
      <c r="EJ73" s="311"/>
      <c r="EK73" s="311"/>
      <c r="EL73" s="311"/>
      <c r="EM73" s="311"/>
      <c r="EN73" s="311"/>
      <c r="EO73" s="311"/>
      <c r="EP73" s="311"/>
      <c r="EQ73" s="311"/>
      <c r="ER73" s="311"/>
      <c r="ES73" s="311"/>
      <c r="ET73" s="311"/>
      <c r="EU73" s="311"/>
      <c r="EV73" s="311"/>
      <c r="EW73" s="311"/>
      <c r="EX73" s="311"/>
      <c r="EY73" s="311"/>
      <c r="EZ73" s="311"/>
      <c r="FA73" s="311"/>
      <c r="FB73" s="311"/>
      <c r="FC73" s="311"/>
      <c r="FD73" s="311"/>
      <c r="FE73" s="311"/>
      <c r="FF73" s="311"/>
      <c r="FG73" s="311"/>
      <c r="FH73" s="311"/>
      <c r="FI73" s="311"/>
      <c r="FJ73" s="311"/>
      <c r="FK73" s="311"/>
      <c r="FL73" s="311"/>
      <c r="FM73" s="311"/>
      <c r="FN73" s="311"/>
      <c r="FO73" s="311"/>
      <c r="FP73" s="311"/>
      <c r="FQ73" s="311"/>
      <c r="FR73" s="311"/>
      <c r="FS73" s="311"/>
      <c r="FT73" s="311"/>
      <c r="FU73" s="311"/>
      <c r="FV73" s="311"/>
      <c r="FW73" s="311"/>
      <c r="FX73" s="311"/>
      <c r="FY73" s="311"/>
      <c r="FZ73" s="311"/>
      <c r="GA73" s="311"/>
      <c r="GB73" s="311"/>
      <c r="GC73" s="311"/>
      <c r="GD73" s="311"/>
      <c r="GE73" s="311"/>
      <c r="GF73" s="311"/>
      <c r="GG73" s="311"/>
      <c r="GH73" s="311"/>
      <c r="GI73" s="311"/>
      <c r="GJ73" s="311"/>
      <c r="GK73" s="311"/>
      <c r="GL73" s="311"/>
      <c r="GM73" s="311"/>
      <c r="GN73" s="311"/>
      <c r="GO73" s="311"/>
      <c r="GP73" s="311"/>
      <c r="GQ73" s="311"/>
      <c r="GR73" s="311"/>
      <c r="GS73" s="311"/>
      <c r="GT73" s="311"/>
      <c r="GU73" s="311"/>
      <c r="GV73" s="311"/>
      <c r="GW73" s="311"/>
      <c r="GX73" s="311"/>
      <c r="GY73" s="311"/>
      <c r="GZ73" s="311"/>
      <c r="HA73" s="311"/>
      <c r="HB73" s="311"/>
      <c r="HC73" s="311"/>
      <c r="HD73" s="311"/>
      <c r="HE73" s="311"/>
      <c r="HF73" s="311"/>
      <c r="HG73" s="311"/>
      <c r="HH73" s="311"/>
      <c r="HI73" s="311"/>
      <c r="HJ73" s="311"/>
      <c r="HK73" s="311"/>
      <c r="HL73" s="311"/>
      <c r="HM73" s="311"/>
      <c r="HN73" s="311"/>
      <c r="HO73" s="311"/>
      <c r="HP73" s="311"/>
      <c r="HQ73" s="311"/>
      <c r="HR73" s="311"/>
      <c r="HS73" s="311"/>
      <c r="HT73" s="311"/>
      <c r="HU73" s="311"/>
      <c r="HV73" s="311"/>
      <c r="HW73" s="311"/>
      <c r="HX73" s="311"/>
      <c r="HY73" s="311"/>
      <c r="HZ73" s="311"/>
      <c r="IA73" s="311"/>
      <c r="IB73" s="311"/>
      <c r="IC73" s="311"/>
      <c r="ID73" s="311"/>
      <c r="IE73" s="311"/>
      <c r="IF73" s="311"/>
      <c r="IG73" s="311"/>
      <c r="IH73" s="311"/>
      <c r="II73" s="311"/>
      <c r="IJ73" s="311"/>
      <c r="IK73" s="311"/>
      <c r="IL73" s="311"/>
      <c r="IM73" s="311"/>
      <c r="IN73" s="311"/>
      <c r="IO73" s="311"/>
      <c r="IP73" s="311"/>
      <c r="IQ73" s="311"/>
      <c r="IR73" s="311"/>
      <c r="IS73" s="311"/>
      <c r="IT73" s="311"/>
      <c r="IU73" s="311"/>
      <c r="IV73" s="311"/>
      <c r="IW73" s="311"/>
      <c r="IX73" s="311"/>
      <c r="IY73" s="311"/>
      <c r="IZ73" s="311"/>
      <c r="JA73" s="311"/>
      <c r="JB73" s="311"/>
      <c r="JC73" s="311"/>
      <c r="JD73" s="311"/>
      <c r="JE73" s="311"/>
      <c r="JF73" s="311"/>
      <c r="JG73" s="311"/>
      <c r="JH73" s="311"/>
      <c r="JI73" s="311"/>
      <c r="JJ73" s="311"/>
      <c r="JK73" s="311"/>
      <c r="JL73" s="311"/>
      <c r="JM73" s="311"/>
      <c r="JN73" s="311"/>
      <c r="JO73" s="311"/>
      <c r="JP73" s="311"/>
      <c r="JQ73" s="311"/>
      <c r="JR73" s="311"/>
      <c r="JS73" s="311"/>
      <c r="JT73" s="311"/>
      <c r="JU73" s="311"/>
      <c r="JV73" s="311"/>
      <c r="JW73" s="311"/>
      <c r="JX73" s="311"/>
      <c r="JY73" s="311"/>
      <c r="JZ73" s="311"/>
      <c r="KA73" s="311"/>
      <c r="KB73" s="311"/>
      <c r="KC73" s="311"/>
      <c r="KD73" s="311"/>
      <c r="KE73" s="311"/>
      <c r="KF73" s="311"/>
      <c r="KG73" s="311"/>
      <c r="KH73" s="311"/>
      <c r="KI73" s="311"/>
      <c r="KJ73" s="311"/>
      <c r="KK73" s="311"/>
      <c r="KL73" s="311"/>
      <c r="KM73" s="311"/>
      <c r="KN73" s="311"/>
      <c r="KO73" s="311"/>
      <c r="KP73" s="311"/>
      <c r="KQ73" s="311"/>
      <c r="KR73" s="311"/>
      <c r="KS73" s="311"/>
      <c r="KT73" s="311"/>
      <c r="KU73" s="311"/>
      <c r="KV73" s="311"/>
      <c r="KW73" s="311"/>
      <c r="KX73" s="311"/>
      <c r="KY73" s="311"/>
      <c r="KZ73" s="311"/>
      <c r="LA73" s="311"/>
      <c r="LB73" s="311"/>
      <c r="LC73" s="311"/>
      <c r="LD73" s="311"/>
      <c r="LE73" s="311"/>
      <c r="LF73" s="311"/>
      <c r="LG73" s="311"/>
      <c r="LH73" s="311"/>
      <c r="LI73" s="311"/>
      <c r="LJ73" s="311"/>
      <c r="LK73" s="311"/>
      <c r="LL73" s="311"/>
      <c r="LM73" s="311"/>
      <c r="LN73" s="311"/>
      <c r="LO73" s="311"/>
      <c r="LP73" s="311"/>
      <c r="LQ73" s="311"/>
      <c r="LR73" s="311"/>
      <c r="LS73" s="311"/>
      <c r="LT73" s="311"/>
      <c r="LU73" s="311"/>
      <c r="LV73" s="311"/>
      <c r="LW73" s="311"/>
      <c r="LX73" s="311"/>
      <c r="LY73" s="311"/>
      <c r="LZ73" s="311"/>
      <c r="MA73" s="311"/>
      <c r="MB73" s="311"/>
      <c r="MC73" s="311"/>
      <c r="MD73" s="311"/>
      <c r="ME73" s="311"/>
      <c r="MF73" s="311"/>
      <c r="MG73" s="311"/>
      <c r="MH73" s="311"/>
      <c r="MI73" s="311"/>
      <c r="MJ73" s="311"/>
      <c r="MK73" s="311"/>
      <c r="ML73" s="311"/>
      <c r="MM73" s="311"/>
      <c r="MN73" s="311"/>
      <c r="MO73" s="311"/>
      <c r="MP73" s="311"/>
      <c r="MQ73" s="311"/>
      <c r="MR73" s="311"/>
      <c r="MS73" s="311"/>
      <c r="MT73" s="311"/>
      <c r="MU73" s="311"/>
      <c r="MV73" s="311"/>
      <c r="MW73" s="311"/>
      <c r="MX73" s="311"/>
      <c r="MY73" s="311"/>
      <c r="MZ73" s="311"/>
      <c r="NA73" s="311"/>
      <c r="NB73" s="311"/>
      <c r="NC73" s="311"/>
      <c r="ND73" s="311"/>
      <c r="NE73" s="311"/>
      <c r="NF73" s="311"/>
      <c r="NG73" s="311"/>
      <c r="NH73" s="311"/>
      <c r="NI73" s="311"/>
      <c r="NJ73" s="311"/>
      <c r="NK73" s="311"/>
      <c r="NL73" s="311"/>
      <c r="NM73" s="311"/>
      <c r="NN73" s="311"/>
      <c r="NO73" s="311"/>
      <c r="NP73" s="311"/>
      <c r="NQ73" s="311"/>
      <c r="NR73" s="311"/>
      <c r="NS73" s="311"/>
      <c r="NT73" s="311"/>
      <c r="NU73" s="311"/>
      <c r="NV73" s="311"/>
      <c r="NW73" s="311"/>
      <c r="NX73" s="311"/>
      <c r="NY73" s="311"/>
      <c r="NZ73" s="311"/>
      <c r="OA73" s="311"/>
      <c r="OB73" s="311"/>
      <c r="OC73" s="311"/>
      <c r="OD73" s="311"/>
      <c r="OE73" s="311"/>
      <c r="OF73" s="311"/>
      <c r="OG73" s="311"/>
      <c r="OH73" s="311"/>
      <c r="OI73" s="311"/>
      <c r="OJ73" s="311"/>
      <c r="OK73" s="311"/>
      <c r="OL73" s="311"/>
      <c r="OM73" s="311"/>
      <c r="ON73" s="311"/>
      <c r="OO73" s="311"/>
      <c r="OP73" s="311"/>
      <c r="OQ73" s="311"/>
      <c r="OR73" s="311"/>
      <c r="OS73" s="311"/>
      <c r="OT73" s="311"/>
      <c r="OU73" s="311"/>
      <c r="OV73" s="311"/>
      <c r="OW73" s="311"/>
      <c r="OX73" s="311"/>
      <c r="OY73" s="311"/>
      <c r="OZ73" s="311"/>
      <c r="PA73" s="311"/>
      <c r="PB73" s="311"/>
      <c r="PC73" s="311"/>
      <c r="PD73" s="311"/>
      <c r="PE73" s="311"/>
      <c r="PF73" s="311"/>
      <c r="PG73" s="311"/>
      <c r="PH73" s="311"/>
      <c r="PI73" s="311"/>
      <c r="PJ73" s="311"/>
      <c r="PK73" s="311"/>
      <c r="PL73" s="311"/>
      <c r="PM73" s="311"/>
      <c r="PN73" s="311"/>
      <c r="PO73" s="311"/>
      <c r="PP73" s="311"/>
      <c r="PQ73" s="311"/>
      <c r="PR73" s="311"/>
      <c r="PS73" s="311"/>
      <c r="PT73" s="311"/>
      <c r="PU73" s="311"/>
      <c r="PV73" s="311"/>
      <c r="PW73" s="311"/>
      <c r="PX73" s="311"/>
      <c r="PY73" s="311"/>
      <c r="PZ73" s="311"/>
      <c r="QA73" s="311"/>
      <c r="QB73" s="311"/>
      <c r="QC73" s="311"/>
      <c r="QD73" s="311"/>
      <c r="QE73" s="311"/>
      <c r="QF73" s="311"/>
      <c r="QG73" s="311"/>
      <c r="QH73" s="311"/>
      <c r="QI73" s="311"/>
      <c r="QJ73" s="311"/>
      <c r="QK73" s="311"/>
      <c r="QL73" s="311"/>
      <c r="QM73" s="311"/>
      <c r="QN73" s="311"/>
      <c r="QO73" s="311"/>
      <c r="QP73" s="311"/>
      <c r="QQ73" s="311"/>
      <c r="QR73" s="311"/>
      <c r="QS73" s="311"/>
      <c r="QT73" s="311"/>
      <c r="QU73" s="311"/>
      <c r="QV73" s="311"/>
      <c r="QW73" s="311"/>
      <c r="QX73" s="311"/>
      <c r="QY73" s="311"/>
      <c r="QZ73" s="311"/>
      <c r="RA73" s="311"/>
      <c r="RB73" s="311"/>
      <c r="RC73" s="311"/>
      <c r="RD73" s="311"/>
      <c r="RE73" s="311"/>
      <c r="RF73" s="311"/>
      <c r="RG73" s="311"/>
      <c r="RH73" s="311"/>
      <c r="RI73" s="311"/>
      <c r="RJ73" s="311"/>
      <c r="RK73" s="311"/>
      <c r="RL73" s="311"/>
      <c r="RM73" s="311"/>
      <c r="RN73" s="311"/>
      <c r="RO73" s="311"/>
      <c r="RP73" s="311"/>
      <c r="RQ73" s="311"/>
      <c r="RR73" s="311"/>
      <c r="RS73" s="311"/>
      <c r="RT73" s="311"/>
      <c r="RU73" s="311"/>
      <c r="RV73" s="311"/>
      <c r="RW73" s="311"/>
      <c r="RX73" s="311"/>
      <c r="RY73" s="311"/>
      <c r="RZ73" s="311"/>
      <c r="SA73" s="311"/>
      <c r="SB73" s="311"/>
      <c r="SC73" s="311"/>
      <c r="SD73" s="311"/>
      <c r="SE73" s="311"/>
      <c r="SF73" s="311"/>
      <c r="SG73" s="311"/>
      <c r="SH73" s="311"/>
      <c r="SI73" s="311"/>
      <c r="SJ73" s="311"/>
      <c r="SK73" s="311"/>
      <c r="SL73" s="311"/>
      <c r="SM73" s="311"/>
      <c r="SN73" s="311"/>
      <c r="SO73" s="311"/>
      <c r="SP73" s="311"/>
      <c r="SQ73" s="311"/>
      <c r="SR73" s="311"/>
      <c r="SS73" s="311"/>
      <c r="ST73" s="311"/>
      <c r="SU73" s="311"/>
      <c r="SV73" s="311"/>
      <c r="SW73" s="311"/>
      <c r="SX73" s="311"/>
      <c r="SY73" s="311"/>
      <c r="SZ73" s="311"/>
      <c r="TA73" s="311"/>
      <c r="TB73" s="311"/>
      <c r="TC73" s="311"/>
      <c r="TD73" s="311"/>
      <c r="TE73" s="311"/>
      <c r="TF73" s="311"/>
      <c r="TG73" s="311"/>
      <c r="TH73" s="311"/>
      <c r="TI73" s="311"/>
      <c r="TJ73" s="311"/>
      <c r="TK73" s="311"/>
      <c r="TL73" s="311"/>
      <c r="TM73" s="311"/>
      <c r="TN73" s="311"/>
      <c r="TO73" s="311"/>
      <c r="TP73" s="311"/>
      <c r="TQ73" s="311"/>
      <c r="TR73" s="311"/>
      <c r="TS73" s="311"/>
      <c r="TT73" s="311"/>
      <c r="TU73" s="311"/>
      <c r="TV73" s="311"/>
      <c r="TW73" s="311"/>
      <c r="TX73" s="311"/>
      <c r="TY73" s="311"/>
      <c r="TZ73" s="311"/>
      <c r="UA73" s="311"/>
      <c r="UB73" s="311"/>
      <c r="UC73" s="311"/>
      <c r="UD73" s="311"/>
      <c r="UE73" s="311"/>
      <c r="UF73" s="311"/>
      <c r="UG73" s="311"/>
      <c r="UH73" s="311"/>
      <c r="UI73" s="311"/>
      <c r="UJ73" s="311"/>
      <c r="UK73" s="311"/>
      <c r="UL73" s="311"/>
      <c r="UM73" s="311"/>
      <c r="UN73" s="311"/>
      <c r="UO73" s="311"/>
      <c r="UP73" s="311"/>
      <c r="UQ73" s="311"/>
      <c r="UR73" s="311"/>
      <c r="US73" s="311"/>
      <c r="UT73" s="311"/>
      <c r="UU73" s="311"/>
      <c r="UV73" s="311"/>
      <c r="UW73" s="311"/>
      <c r="UX73" s="311"/>
      <c r="UY73" s="311"/>
      <c r="UZ73" s="311"/>
      <c r="VA73" s="311"/>
      <c r="VB73" s="311"/>
      <c r="VC73" s="311"/>
      <c r="VD73" s="311"/>
      <c r="VE73" s="311"/>
      <c r="VF73" s="311"/>
      <c r="VG73" s="311"/>
      <c r="VH73" s="311"/>
      <c r="VI73" s="311"/>
      <c r="VJ73" s="311"/>
      <c r="VK73" s="311"/>
      <c r="VL73" s="311"/>
      <c r="VM73" s="311"/>
      <c r="VN73" s="311"/>
      <c r="VO73" s="311"/>
      <c r="VP73" s="311"/>
      <c r="VQ73" s="311"/>
      <c r="VR73" s="311"/>
      <c r="VS73" s="311"/>
      <c r="VT73" s="311"/>
      <c r="VU73" s="311"/>
      <c r="VV73" s="311"/>
      <c r="VW73" s="311"/>
      <c r="VX73" s="311"/>
      <c r="VY73" s="311"/>
      <c r="VZ73" s="311"/>
      <c r="WA73" s="311"/>
      <c r="WB73" s="311"/>
      <c r="WC73" s="311"/>
      <c r="WD73" s="311"/>
      <c r="WE73" s="311"/>
      <c r="WF73" s="311"/>
      <c r="WG73" s="311"/>
      <c r="WH73" s="311"/>
      <c r="WI73" s="311"/>
      <c r="WJ73" s="311"/>
      <c r="WK73" s="311"/>
      <c r="WL73" s="311"/>
      <c r="WM73" s="311"/>
      <c r="WN73" s="311"/>
      <c r="WO73" s="311"/>
      <c r="WP73" s="311"/>
      <c r="WQ73" s="311"/>
      <c r="WR73" s="311"/>
      <c r="WS73" s="311"/>
      <c r="WT73" s="311"/>
      <c r="WU73" s="311"/>
      <c r="WV73" s="311"/>
      <c r="WW73" s="311"/>
      <c r="WX73" s="311"/>
      <c r="WY73" s="311"/>
      <c r="WZ73" s="311"/>
      <c r="XA73" s="311"/>
      <c r="XB73" s="311"/>
      <c r="XC73" s="311"/>
      <c r="XD73" s="311"/>
      <c r="XE73" s="311"/>
      <c r="XF73" s="311"/>
      <c r="XG73" s="311"/>
      <c r="XH73" s="311"/>
      <c r="XI73" s="311"/>
      <c r="XJ73" s="311"/>
      <c r="XK73" s="311"/>
      <c r="XL73" s="311"/>
      <c r="XM73" s="311"/>
      <c r="XN73" s="311"/>
      <c r="XO73" s="311"/>
      <c r="XP73" s="311"/>
      <c r="XQ73" s="311"/>
      <c r="XR73" s="311"/>
      <c r="XS73" s="311"/>
      <c r="XT73" s="311"/>
      <c r="XU73" s="311"/>
      <c r="XV73" s="311"/>
      <c r="XW73" s="311"/>
      <c r="XX73" s="311"/>
      <c r="XY73" s="311"/>
      <c r="XZ73" s="311"/>
      <c r="YA73" s="311"/>
      <c r="YB73" s="311"/>
      <c r="YC73" s="311"/>
      <c r="YD73" s="311"/>
      <c r="YE73" s="311"/>
      <c r="YF73" s="311"/>
      <c r="YG73" s="311"/>
      <c r="YH73" s="311"/>
      <c r="YI73" s="311"/>
      <c r="YJ73" s="311"/>
      <c r="YK73" s="311"/>
      <c r="YL73" s="311"/>
      <c r="YM73" s="311"/>
      <c r="YN73" s="311"/>
      <c r="YO73" s="311"/>
      <c r="YP73" s="311"/>
      <c r="YQ73" s="311"/>
      <c r="YR73" s="311"/>
      <c r="YS73" s="311"/>
      <c r="YT73" s="311"/>
      <c r="YU73" s="311"/>
      <c r="YV73" s="311"/>
      <c r="YW73" s="311"/>
      <c r="YX73" s="311"/>
      <c r="YY73" s="311"/>
      <c r="YZ73" s="311"/>
      <c r="ZA73" s="311"/>
      <c r="ZB73" s="311"/>
      <c r="ZC73" s="311"/>
      <c r="ZD73" s="311"/>
      <c r="ZE73" s="311"/>
      <c r="ZF73" s="311"/>
      <c r="ZG73" s="311"/>
      <c r="ZH73" s="311"/>
      <c r="ZI73" s="311"/>
      <c r="ZJ73" s="311"/>
      <c r="ZK73" s="311"/>
      <c r="ZL73" s="311"/>
      <c r="ZM73" s="311"/>
      <c r="ZN73" s="311"/>
      <c r="ZO73" s="311"/>
      <c r="ZP73" s="311"/>
      <c r="ZQ73" s="311"/>
      <c r="ZR73" s="311"/>
      <c r="ZS73" s="311"/>
      <c r="ZT73" s="311"/>
      <c r="ZU73" s="311"/>
      <c r="ZV73" s="311"/>
      <c r="ZW73" s="311"/>
      <c r="ZX73" s="311"/>
      <c r="ZY73" s="311"/>
      <c r="ZZ73" s="311"/>
      <c r="AAA73" s="311"/>
      <c r="AAB73" s="311"/>
      <c r="AAC73" s="311"/>
      <c r="AAD73" s="311"/>
      <c r="AAE73" s="311"/>
      <c r="AAF73" s="311"/>
      <c r="AAG73" s="311"/>
      <c r="AAH73" s="311"/>
      <c r="AAI73" s="311"/>
      <c r="AAJ73" s="311"/>
      <c r="AAK73" s="311"/>
      <c r="AAL73" s="311"/>
      <c r="AAM73" s="311"/>
      <c r="AAN73" s="311"/>
      <c r="AAO73" s="311"/>
      <c r="AAP73" s="311"/>
      <c r="AAQ73" s="311"/>
      <c r="AAR73" s="311"/>
      <c r="AAS73" s="311"/>
      <c r="AAT73" s="311"/>
      <c r="AAU73" s="311"/>
      <c r="AAV73" s="311"/>
      <c r="AAW73" s="311"/>
      <c r="AAX73" s="311"/>
      <c r="AAY73" s="311"/>
      <c r="AAZ73" s="311"/>
      <c r="ABA73" s="311"/>
      <c r="ABB73" s="311"/>
      <c r="ABC73" s="311"/>
      <c r="ABD73" s="311"/>
      <c r="ABE73" s="311"/>
      <c r="ABF73" s="311"/>
      <c r="ABG73" s="311"/>
      <c r="ABH73" s="311"/>
      <c r="ABI73" s="311"/>
      <c r="ABJ73" s="311"/>
      <c r="ABK73" s="311"/>
      <c r="ABL73" s="311"/>
      <c r="ABM73" s="311"/>
      <c r="ABN73" s="311"/>
      <c r="ABO73" s="311"/>
      <c r="ABP73" s="311"/>
      <c r="ABQ73" s="311"/>
      <c r="ABR73" s="311"/>
      <c r="ABS73" s="311"/>
      <c r="ABT73" s="311"/>
      <c r="ABU73" s="311"/>
      <c r="ABV73" s="311"/>
      <c r="ABW73" s="311"/>
      <c r="ABX73" s="311"/>
      <c r="ABY73" s="311"/>
      <c r="ABZ73" s="311"/>
      <c r="ACA73" s="311"/>
      <c r="ACB73" s="311"/>
      <c r="ACC73" s="311"/>
      <c r="ACD73" s="311"/>
      <c r="ACE73" s="311"/>
      <c r="ACF73" s="311"/>
      <c r="ACG73" s="311"/>
      <c r="ACH73" s="311"/>
      <c r="ACI73" s="311"/>
      <c r="ACJ73" s="311"/>
      <c r="ACK73" s="311"/>
      <c r="ACL73" s="311"/>
      <c r="ACM73" s="311"/>
      <c r="ACN73" s="311"/>
      <c r="ACO73" s="311"/>
      <c r="ACP73" s="311"/>
      <c r="ACQ73" s="311"/>
      <c r="ACR73" s="311"/>
      <c r="ACS73" s="311"/>
      <c r="ACT73" s="311"/>
      <c r="ACU73" s="311"/>
      <c r="ACV73" s="311"/>
      <c r="ACW73" s="311"/>
      <c r="ACX73" s="311"/>
      <c r="ACY73" s="311"/>
      <c r="ACZ73" s="311"/>
      <c r="ADA73" s="311"/>
      <c r="ADB73" s="311"/>
      <c r="ADC73" s="311"/>
      <c r="ADD73" s="311"/>
      <c r="ADE73" s="311"/>
      <c r="ADF73" s="311"/>
      <c r="ADG73" s="311"/>
      <c r="ADH73" s="311"/>
      <c r="ADI73" s="311"/>
      <c r="ADJ73" s="311"/>
      <c r="ADK73" s="311"/>
      <c r="ADL73" s="311"/>
      <c r="ADM73" s="311"/>
      <c r="ADN73" s="311"/>
      <c r="ADO73" s="311"/>
      <c r="ADP73" s="311"/>
      <c r="ADQ73" s="311"/>
      <c r="ADR73" s="311"/>
      <c r="ADS73" s="311"/>
      <c r="ADT73" s="311"/>
      <c r="ADU73" s="311"/>
      <c r="ADV73" s="311"/>
      <c r="ADW73" s="311"/>
      <c r="ADX73" s="311"/>
      <c r="ADY73" s="311"/>
      <c r="ADZ73" s="311"/>
      <c r="AEA73" s="311"/>
      <c r="AEB73" s="311"/>
      <c r="AEC73" s="311"/>
      <c r="AED73" s="311"/>
      <c r="AEE73" s="311"/>
      <c r="AEF73" s="311"/>
      <c r="AEG73" s="311"/>
      <c r="AEH73" s="311"/>
      <c r="AEI73" s="311"/>
      <c r="AEJ73" s="311"/>
      <c r="AEK73" s="311"/>
      <c r="AEL73" s="311"/>
      <c r="AEM73" s="311"/>
      <c r="AEN73" s="311"/>
      <c r="AEO73" s="311"/>
      <c r="AEP73" s="311"/>
      <c r="AEQ73" s="311"/>
      <c r="AER73" s="311"/>
      <c r="AES73" s="311"/>
      <c r="AET73" s="311"/>
      <c r="AEU73" s="311"/>
      <c r="AEV73" s="311"/>
      <c r="AEW73" s="311"/>
      <c r="AEX73" s="311"/>
      <c r="AEY73" s="311"/>
      <c r="AEZ73" s="311"/>
      <c r="AFA73" s="311"/>
      <c r="AFB73" s="311"/>
      <c r="AFC73" s="311"/>
      <c r="AFD73" s="311"/>
      <c r="AFE73" s="311"/>
      <c r="AFF73" s="311"/>
      <c r="AFG73" s="311"/>
      <c r="AFH73" s="311"/>
      <c r="AFI73" s="311"/>
      <c r="AFJ73" s="311"/>
      <c r="AFK73" s="311"/>
      <c r="AFL73" s="311"/>
      <c r="AFM73" s="311"/>
      <c r="AFN73" s="311"/>
      <c r="AFO73" s="311"/>
      <c r="AFP73" s="311"/>
      <c r="AFQ73" s="311"/>
      <c r="AFR73" s="311"/>
      <c r="AFS73" s="311"/>
      <c r="AFT73" s="311"/>
      <c r="AFU73" s="311"/>
      <c r="AFV73" s="311"/>
      <c r="AFW73" s="311"/>
      <c r="AFX73" s="311"/>
      <c r="AFY73" s="311"/>
      <c r="AFZ73" s="311"/>
      <c r="AGA73" s="311"/>
      <c r="AGB73" s="311"/>
      <c r="AGC73" s="311"/>
      <c r="AGD73" s="311"/>
      <c r="AGE73" s="311"/>
      <c r="AGF73" s="311"/>
      <c r="AGG73" s="311"/>
      <c r="AGH73" s="311"/>
      <c r="AGI73" s="311"/>
      <c r="AGJ73" s="311"/>
      <c r="AGK73" s="311"/>
      <c r="AGL73" s="311"/>
      <c r="AGM73" s="311"/>
      <c r="AGN73" s="311"/>
      <c r="AGO73" s="311"/>
      <c r="AGP73" s="311"/>
      <c r="AGQ73" s="311"/>
      <c r="AGR73" s="311"/>
      <c r="AGS73" s="311"/>
      <c r="AGT73" s="311"/>
      <c r="AGU73" s="311"/>
      <c r="AGV73" s="311"/>
      <c r="AGW73" s="311"/>
      <c r="AGX73" s="311"/>
      <c r="AGY73" s="311"/>
      <c r="AGZ73" s="311"/>
      <c r="AHA73" s="311"/>
      <c r="AHB73" s="311"/>
      <c r="AHC73" s="311"/>
      <c r="AHD73" s="311"/>
      <c r="AHE73" s="311"/>
      <c r="AHF73" s="311"/>
      <c r="AHG73" s="311"/>
      <c r="AHH73" s="311"/>
      <c r="AHI73" s="311"/>
      <c r="AHJ73" s="311"/>
      <c r="AHK73" s="311"/>
      <c r="AHL73" s="311"/>
      <c r="AHM73" s="311"/>
      <c r="AHN73" s="311"/>
      <c r="AHO73" s="311"/>
      <c r="AHP73" s="311"/>
      <c r="AHQ73" s="311"/>
      <c r="AHR73" s="311"/>
      <c r="AHS73" s="311"/>
      <c r="AHT73" s="311"/>
      <c r="AHU73" s="311"/>
      <c r="AHV73" s="311"/>
      <c r="AHW73" s="311"/>
      <c r="AHX73" s="311"/>
      <c r="AHY73" s="311"/>
      <c r="AHZ73" s="311"/>
      <c r="AIA73" s="311"/>
      <c r="AIB73" s="311"/>
      <c r="AIC73" s="311"/>
      <c r="AID73" s="311"/>
      <c r="AIE73" s="311"/>
      <c r="AIF73" s="311"/>
      <c r="AIG73" s="311"/>
      <c r="AIH73" s="311"/>
      <c r="AII73" s="311"/>
      <c r="AIJ73" s="311"/>
      <c r="AIK73" s="311"/>
      <c r="AIL73" s="311"/>
      <c r="AIM73" s="311"/>
      <c r="AIN73" s="311"/>
      <c r="AIO73" s="311"/>
      <c r="AIP73" s="311"/>
      <c r="AIQ73" s="311"/>
      <c r="AIR73" s="311"/>
      <c r="AIS73" s="311"/>
      <c r="AIT73" s="311"/>
      <c r="AIU73" s="311"/>
      <c r="AIV73" s="311"/>
      <c r="AIW73" s="311"/>
      <c r="AIX73" s="311"/>
      <c r="AIY73" s="311"/>
      <c r="AIZ73" s="311"/>
      <c r="AJA73" s="311"/>
      <c r="AJB73" s="311"/>
      <c r="AJC73" s="311"/>
      <c r="AJD73" s="311"/>
      <c r="AJE73" s="311"/>
      <c r="AJF73" s="311"/>
      <c r="AJG73" s="311"/>
      <c r="AJH73" s="311"/>
      <c r="AJI73" s="311"/>
      <c r="AJJ73" s="311"/>
      <c r="AJK73" s="311"/>
      <c r="AJL73" s="311"/>
      <c r="AJM73" s="311"/>
      <c r="AJN73" s="311"/>
      <c r="AJO73" s="311"/>
      <c r="AJP73" s="311"/>
      <c r="AJQ73" s="311"/>
      <c r="AJR73" s="311"/>
      <c r="AJS73" s="311"/>
      <c r="AJT73" s="311"/>
      <c r="AJU73" s="311"/>
      <c r="AJV73" s="311"/>
      <c r="AJW73" s="311"/>
      <c r="AJX73" s="311"/>
      <c r="AJY73" s="311"/>
      <c r="AJZ73" s="311"/>
      <c r="AKA73" s="311"/>
      <c r="AKB73" s="311"/>
      <c r="AKC73" s="311"/>
      <c r="AKD73" s="311"/>
      <c r="AKE73" s="311"/>
      <c r="AKF73" s="311"/>
      <c r="AKG73" s="311"/>
      <c r="AKH73" s="311"/>
      <c r="AKI73" s="311"/>
      <c r="AKJ73" s="311"/>
      <c r="AKK73" s="311"/>
      <c r="AKL73" s="311"/>
      <c r="AKM73" s="311"/>
      <c r="AKN73" s="311"/>
      <c r="AKO73" s="311"/>
      <c r="AKP73" s="311"/>
      <c r="AKQ73" s="311"/>
      <c r="AKR73" s="311"/>
      <c r="AKS73" s="311"/>
      <c r="AKT73" s="311"/>
      <c r="AKU73" s="311"/>
      <c r="AKV73" s="311"/>
      <c r="AKW73" s="311"/>
      <c r="AKX73" s="311"/>
      <c r="AKY73" s="311"/>
      <c r="AKZ73" s="311"/>
      <c r="ALA73" s="311"/>
      <c r="ALB73" s="311"/>
      <c r="ALC73" s="311"/>
      <c r="ALD73" s="311"/>
      <c r="ALE73" s="311"/>
      <c r="ALF73" s="311"/>
      <c r="ALG73" s="311"/>
      <c r="ALH73" s="311"/>
      <c r="ALI73" s="311"/>
      <c r="ALJ73" s="311"/>
      <c r="ALK73" s="311"/>
      <c r="ALL73" s="311"/>
      <c r="ALM73" s="311"/>
      <c r="ALN73" s="311"/>
      <c r="ALO73" s="311"/>
      <c r="ALP73" s="311"/>
      <c r="ALQ73" s="311"/>
      <c r="ALR73" s="311"/>
      <c r="ALS73" s="311"/>
      <c r="ALT73" s="311"/>
      <c r="ALU73" s="311"/>
      <c r="ALV73" s="311"/>
      <c r="ALW73" s="311"/>
      <c r="ALX73" s="311"/>
      <c r="ALY73" s="311"/>
      <c r="ALZ73" s="311"/>
      <c r="AMA73" s="311"/>
      <c r="AMB73" s="311"/>
      <c r="AMC73" s="311"/>
      <c r="AMD73" s="311"/>
      <c r="AME73" s="311"/>
      <c r="AMF73" s="311"/>
      <c r="AMG73" s="311"/>
      <c r="AMH73" s="311"/>
      <c r="AMI73" s="311"/>
      <c r="AMJ73" s="311"/>
      <c r="AMK73" s="311"/>
      <c r="AML73" s="311"/>
      <c r="AMM73" s="311"/>
      <c r="AMN73" s="311"/>
      <c r="AMO73" s="311"/>
      <c r="AMP73" s="311"/>
      <c r="AMQ73" s="311"/>
      <c r="AMR73" s="311"/>
      <c r="AMS73" s="311"/>
      <c r="AMT73" s="311"/>
      <c r="AMU73" s="311"/>
      <c r="AMV73" s="311"/>
      <c r="AMW73" s="311"/>
      <c r="AMX73" s="311"/>
      <c r="AMY73" s="311"/>
      <c r="AMZ73" s="311"/>
      <c r="ANA73" s="311"/>
      <c r="ANB73" s="311"/>
      <c r="ANC73" s="311"/>
      <c r="AND73" s="311"/>
      <c r="ANE73" s="311"/>
      <c r="ANF73" s="311"/>
      <c r="ANG73" s="311"/>
      <c r="ANH73" s="311"/>
      <c r="ANI73" s="311"/>
      <c r="ANJ73" s="311"/>
      <c r="ANK73" s="311"/>
      <c r="ANL73" s="311"/>
      <c r="ANM73" s="311"/>
      <c r="ANN73" s="311"/>
      <c r="ANO73" s="311"/>
      <c r="ANP73" s="311"/>
      <c r="ANQ73" s="311"/>
      <c r="ANR73" s="311"/>
      <c r="ANS73" s="311"/>
      <c r="ANT73" s="311"/>
      <c r="ANU73" s="311"/>
      <c r="ANV73" s="311"/>
      <c r="ANW73" s="311"/>
      <c r="ANX73" s="311"/>
      <c r="ANY73" s="311"/>
      <c r="ANZ73" s="311"/>
      <c r="AOA73" s="311"/>
      <c r="AOB73" s="311"/>
      <c r="AOC73" s="311"/>
      <c r="AOD73" s="311"/>
      <c r="AOE73" s="311"/>
      <c r="AOF73" s="311"/>
      <c r="AOG73" s="311"/>
      <c r="AOH73" s="311"/>
      <c r="AOI73" s="311"/>
      <c r="AOJ73" s="311"/>
      <c r="AOK73" s="311"/>
      <c r="AOL73" s="311"/>
      <c r="AOM73" s="311"/>
      <c r="AON73" s="311"/>
      <c r="AOO73" s="311"/>
      <c r="AOP73" s="311"/>
      <c r="AOQ73" s="311"/>
      <c r="AOR73" s="311"/>
      <c r="AOS73" s="311"/>
      <c r="AOT73" s="311"/>
      <c r="AOU73" s="311"/>
      <c r="AOV73" s="311"/>
      <c r="AOW73" s="311"/>
      <c r="AOX73" s="311"/>
      <c r="AOY73" s="311"/>
      <c r="AOZ73" s="311"/>
      <c r="APA73" s="311"/>
      <c r="APB73" s="311"/>
      <c r="APC73" s="311"/>
      <c r="APD73" s="311"/>
      <c r="APE73" s="311"/>
      <c r="APF73" s="311"/>
      <c r="APG73" s="311"/>
      <c r="APH73" s="311"/>
      <c r="API73" s="311"/>
      <c r="APJ73" s="311"/>
      <c r="APK73" s="311"/>
      <c r="APL73" s="311"/>
      <c r="APM73" s="311"/>
      <c r="APN73" s="311"/>
      <c r="APO73" s="311"/>
      <c r="APP73" s="311"/>
      <c r="APQ73" s="311"/>
      <c r="APR73" s="311"/>
      <c r="APS73" s="311"/>
      <c r="APT73" s="311"/>
      <c r="APU73" s="311"/>
      <c r="APV73" s="311"/>
      <c r="APW73" s="311"/>
      <c r="APX73" s="311"/>
      <c r="APY73" s="311"/>
      <c r="APZ73" s="311"/>
      <c r="AQA73" s="311"/>
      <c r="AQB73" s="311"/>
      <c r="AQC73" s="311"/>
      <c r="AQD73" s="311"/>
      <c r="AQE73" s="311"/>
      <c r="AQF73" s="311"/>
      <c r="AQG73" s="311"/>
      <c r="AQH73" s="311"/>
      <c r="AQI73" s="311"/>
      <c r="AQJ73" s="311"/>
      <c r="AQK73" s="311"/>
      <c r="AQL73" s="311"/>
      <c r="AQM73" s="311"/>
      <c r="AQN73" s="311"/>
      <c r="AQO73" s="311"/>
      <c r="AQP73" s="311"/>
      <c r="AQQ73" s="311"/>
      <c r="AQR73" s="311"/>
      <c r="AQS73" s="311"/>
      <c r="AQT73" s="311"/>
      <c r="AQU73" s="311"/>
      <c r="AQV73" s="311"/>
      <c r="AQW73" s="311"/>
      <c r="AQX73" s="311"/>
      <c r="AQY73" s="311"/>
      <c r="AQZ73" s="311"/>
      <c r="ARA73" s="311"/>
      <c r="ARB73" s="311"/>
      <c r="ARC73" s="311"/>
      <c r="ARD73" s="311"/>
      <c r="ARE73" s="311"/>
      <c r="ARF73" s="311"/>
      <c r="ARG73" s="311"/>
      <c r="ARH73" s="311"/>
      <c r="ARI73" s="311"/>
      <c r="ARJ73" s="311"/>
      <c r="ARK73" s="311"/>
      <c r="ARL73" s="311"/>
      <c r="ARM73" s="311"/>
      <c r="ARN73" s="311"/>
      <c r="ARO73" s="311"/>
      <c r="ARP73" s="311"/>
      <c r="ARQ73" s="311"/>
      <c r="ARR73" s="311"/>
      <c r="ARS73" s="311"/>
      <c r="ART73" s="311"/>
      <c r="ARU73" s="311"/>
      <c r="ARV73" s="311"/>
      <c r="ARW73" s="311"/>
      <c r="ARX73" s="311"/>
      <c r="ARY73" s="311"/>
      <c r="ARZ73" s="311"/>
      <c r="ASA73" s="311"/>
      <c r="ASB73" s="311"/>
      <c r="ASC73" s="311"/>
      <c r="ASD73" s="311"/>
      <c r="ASE73" s="311"/>
      <c r="ASF73" s="311"/>
      <c r="ASG73" s="311"/>
      <c r="ASH73" s="311"/>
      <c r="ASI73" s="311"/>
      <c r="ASJ73" s="311"/>
      <c r="ASK73" s="311"/>
      <c r="ASL73" s="311"/>
      <c r="ASM73" s="311"/>
      <c r="ASN73" s="311"/>
      <c r="ASO73" s="311"/>
      <c r="ASP73" s="311"/>
      <c r="ASQ73" s="311"/>
      <c r="ASR73" s="311"/>
      <c r="ASS73" s="311"/>
      <c r="AST73" s="311"/>
      <c r="ASU73" s="311"/>
      <c r="ASV73" s="311"/>
      <c r="ASW73" s="311"/>
      <c r="ASX73" s="311"/>
      <c r="ASY73" s="311"/>
      <c r="ASZ73" s="311"/>
      <c r="ATA73" s="311"/>
      <c r="ATB73" s="311"/>
      <c r="ATC73" s="311"/>
      <c r="ATD73" s="311"/>
      <c r="ATE73" s="311"/>
      <c r="ATF73" s="311"/>
      <c r="ATG73" s="311"/>
      <c r="ATH73" s="311"/>
      <c r="ATI73" s="311"/>
      <c r="ATJ73" s="311"/>
      <c r="ATK73" s="311"/>
      <c r="ATL73" s="311"/>
      <c r="ATM73" s="311"/>
      <c r="ATN73" s="311"/>
      <c r="ATO73" s="311"/>
      <c r="ATP73" s="311"/>
      <c r="ATQ73" s="311"/>
      <c r="ATR73" s="311"/>
      <c r="ATS73" s="311"/>
      <c r="ATT73" s="311"/>
      <c r="ATU73" s="311"/>
      <c r="ATV73" s="311"/>
      <c r="ATW73" s="311"/>
      <c r="ATX73" s="311"/>
      <c r="ATY73" s="311"/>
      <c r="ATZ73" s="311"/>
      <c r="AUA73" s="311"/>
      <c r="AUB73" s="311"/>
      <c r="AUC73" s="311"/>
      <c r="AUD73" s="311"/>
      <c r="AUE73" s="311"/>
      <c r="AUF73" s="311"/>
      <c r="AUG73" s="311"/>
      <c r="AUH73" s="311"/>
      <c r="AUI73" s="311"/>
      <c r="AUJ73" s="311"/>
      <c r="AUK73" s="311"/>
      <c r="AUL73" s="311"/>
      <c r="AUM73" s="311"/>
      <c r="AUN73" s="311"/>
      <c r="AUO73" s="311"/>
      <c r="AUP73" s="311"/>
      <c r="AUQ73" s="311"/>
      <c r="AUR73" s="311"/>
      <c r="AUS73" s="311"/>
      <c r="AUT73" s="311"/>
      <c r="AUU73" s="311"/>
      <c r="AUV73" s="311"/>
      <c r="AUW73" s="311"/>
      <c r="AUX73" s="311"/>
      <c r="AUY73" s="311"/>
      <c r="AUZ73" s="311"/>
      <c r="AVA73" s="311"/>
      <c r="AVB73" s="311"/>
      <c r="AVC73" s="311"/>
      <c r="AVD73" s="311"/>
      <c r="AVE73" s="311"/>
      <c r="AVF73" s="311"/>
      <c r="AVG73" s="311"/>
      <c r="AVH73" s="311"/>
      <c r="AVI73" s="311"/>
      <c r="AVJ73" s="311"/>
      <c r="AVK73" s="311"/>
      <c r="AVL73" s="311"/>
      <c r="AVM73" s="311"/>
      <c r="AVN73" s="311"/>
      <c r="AVO73" s="311"/>
      <c r="AVP73" s="311"/>
      <c r="AVQ73" s="311"/>
      <c r="AVR73" s="311"/>
      <c r="AVS73" s="311"/>
      <c r="AVT73" s="311"/>
      <c r="AVU73" s="311"/>
      <c r="AVV73" s="311"/>
      <c r="AVW73" s="311"/>
      <c r="AVX73" s="311"/>
      <c r="AVY73" s="311"/>
      <c r="AVZ73" s="311"/>
      <c r="AWA73" s="311"/>
      <c r="AWB73" s="311"/>
      <c r="AWC73" s="311"/>
      <c r="AWD73" s="311"/>
      <c r="AWE73" s="311"/>
      <c r="AWF73" s="311"/>
      <c r="AWG73" s="311"/>
      <c r="AWH73" s="311"/>
      <c r="AWI73" s="311"/>
      <c r="AWJ73" s="311"/>
      <c r="AWK73" s="311"/>
      <c r="AWL73" s="311"/>
      <c r="AWM73" s="311"/>
      <c r="AWN73" s="311"/>
      <c r="AWO73" s="311"/>
      <c r="AWP73" s="311"/>
      <c r="AWQ73" s="311"/>
      <c r="AWR73" s="311"/>
      <c r="AWS73" s="311"/>
      <c r="AWT73" s="311"/>
      <c r="AWU73" s="311"/>
      <c r="AWV73" s="311"/>
      <c r="AWW73" s="311"/>
      <c r="AWX73" s="311"/>
      <c r="AWY73" s="311"/>
      <c r="AWZ73" s="311"/>
      <c r="AXA73" s="311"/>
      <c r="AXB73" s="311"/>
      <c r="AXC73" s="311"/>
      <c r="AXD73" s="311"/>
      <c r="AXE73" s="311"/>
      <c r="AXF73" s="311"/>
      <c r="AXG73" s="311"/>
      <c r="AXH73" s="311"/>
      <c r="AXI73" s="311"/>
      <c r="AXJ73" s="311"/>
      <c r="AXK73" s="311"/>
      <c r="AXL73" s="311"/>
      <c r="AXM73" s="311"/>
      <c r="AXN73" s="311"/>
      <c r="AXO73" s="311"/>
      <c r="AXP73" s="311"/>
      <c r="AXQ73" s="311"/>
      <c r="AXR73" s="311"/>
      <c r="AXS73" s="311"/>
      <c r="AXT73" s="311"/>
      <c r="AXU73" s="311"/>
      <c r="AXV73" s="311"/>
      <c r="AXW73" s="311"/>
      <c r="AXX73" s="311"/>
      <c r="AXY73" s="311"/>
      <c r="AXZ73" s="311"/>
      <c r="AYA73" s="311"/>
      <c r="AYB73" s="311"/>
      <c r="AYC73" s="311"/>
      <c r="AYD73" s="311"/>
      <c r="AYE73" s="311"/>
      <c r="AYF73" s="311"/>
      <c r="AYG73" s="311"/>
      <c r="AYH73" s="311"/>
      <c r="AYI73" s="311"/>
      <c r="AYJ73" s="311"/>
      <c r="AYK73" s="311"/>
      <c r="AYL73" s="311"/>
      <c r="AYM73" s="311"/>
      <c r="AYN73" s="311"/>
      <c r="AYO73" s="311"/>
      <c r="AYP73" s="311"/>
      <c r="AYQ73" s="311"/>
      <c r="AYR73" s="311"/>
      <c r="AYS73" s="311"/>
      <c r="AYT73" s="311"/>
      <c r="AYU73" s="311"/>
      <c r="AYV73" s="311"/>
      <c r="AYW73" s="311"/>
      <c r="AYX73" s="311"/>
      <c r="AYY73" s="311"/>
      <c r="AYZ73" s="311"/>
      <c r="AZA73" s="311"/>
      <c r="AZB73" s="311"/>
      <c r="AZC73" s="311"/>
      <c r="AZD73" s="311"/>
      <c r="AZE73" s="311"/>
      <c r="AZF73" s="311"/>
      <c r="AZG73" s="311"/>
      <c r="AZH73" s="311"/>
      <c r="AZI73" s="311"/>
      <c r="AZJ73" s="311"/>
      <c r="AZK73" s="311"/>
      <c r="AZL73" s="311"/>
      <c r="AZM73" s="311"/>
      <c r="AZN73" s="311"/>
      <c r="AZO73" s="311"/>
      <c r="AZP73" s="311"/>
      <c r="AZQ73" s="311"/>
      <c r="AZR73" s="311"/>
      <c r="AZS73" s="311"/>
      <c r="AZT73" s="311"/>
      <c r="AZU73" s="311"/>
      <c r="AZV73" s="311"/>
      <c r="AZW73" s="311"/>
      <c r="AZX73" s="311"/>
      <c r="AZY73" s="311"/>
      <c r="AZZ73" s="311"/>
      <c r="BAA73" s="311"/>
      <c r="BAB73" s="311"/>
      <c r="BAC73" s="311"/>
      <c r="BAD73" s="311"/>
      <c r="BAE73" s="311"/>
      <c r="BAF73" s="311"/>
      <c r="BAG73" s="311"/>
      <c r="BAH73" s="311"/>
      <c r="BAI73" s="311"/>
      <c r="BAJ73" s="311"/>
      <c r="BAK73" s="311"/>
      <c r="BAL73" s="311"/>
      <c r="BAM73" s="311"/>
      <c r="BAN73" s="311"/>
      <c r="BAO73" s="311"/>
      <c r="BAP73" s="311"/>
      <c r="BAQ73" s="311"/>
      <c r="BAR73" s="311"/>
      <c r="BAS73" s="311"/>
      <c r="BAT73" s="311"/>
      <c r="BAU73" s="311"/>
      <c r="BAV73" s="311"/>
      <c r="BAW73" s="311"/>
      <c r="BAX73" s="311"/>
      <c r="BAY73" s="311"/>
      <c r="BAZ73" s="311"/>
      <c r="BBA73" s="311"/>
      <c r="BBB73" s="311"/>
      <c r="BBC73" s="311"/>
      <c r="BBD73" s="311"/>
      <c r="BBE73" s="311"/>
      <c r="BBF73" s="311"/>
      <c r="BBG73" s="311"/>
      <c r="BBH73" s="311"/>
      <c r="BBI73" s="311"/>
      <c r="BBJ73" s="311"/>
      <c r="BBK73" s="311"/>
      <c r="BBL73" s="311"/>
      <c r="BBM73" s="311"/>
      <c r="BBN73" s="311"/>
      <c r="BBO73" s="311"/>
      <c r="BBP73" s="311"/>
      <c r="BBQ73" s="311"/>
      <c r="BBR73" s="311"/>
      <c r="BBS73" s="311"/>
      <c r="BBT73" s="311"/>
      <c r="BBU73" s="311"/>
      <c r="BBV73" s="311"/>
      <c r="BBW73" s="311"/>
      <c r="BBX73" s="311"/>
      <c r="BBY73" s="311"/>
      <c r="BBZ73" s="311"/>
      <c r="BCA73" s="311"/>
      <c r="BCB73" s="311"/>
      <c r="BCC73" s="311"/>
      <c r="BCD73" s="311"/>
      <c r="BCE73" s="311"/>
      <c r="BCF73" s="311"/>
      <c r="BCG73" s="311"/>
      <c r="BCH73" s="311"/>
      <c r="BCI73" s="311"/>
      <c r="BCJ73" s="311"/>
      <c r="BCK73" s="311"/>
      <c r="BCL73" s="311"/>
      <c r="BCM73" s="311"/>
      <c r="BCN73" s="311"/>
      <c r="BCO73" s="311"/>
      <c r="BCP73" s="311"/>
      <c r="BCQ73" s="311"/>
      <c r="BCR73" s="311"/>
      <c r="BCS73" s="311"/>
      <c r="BCT73" s="311"/>
      <c r="BCU73" s="311"/>
      <c r="BCV73" s="311"/>
      <c r="BCW73" s="311"/>
      <c r="BCX73" s="311"/>
      <c r="BCY73" s="311"/>
      <c r="BCZ73" s="311"/>
      <c r="BDA73" s="311"/>
      <c r="BDB73" s="311"/>
      <c r="BDC73" s="311"/>
      <c r="BDD73" s="311"/>
      <c r="BDE73" s="311"/>
      <c r="BDF73" s="311"/>
      <c r="BDG73" s="311"/>
      <c r="BDH73" s="311"/>
      <c r="BDI73" s="311"/>
      <c r="BDJ73" s="311"/>
      <c r="BDK73" s="311"/>
      <c r="BDL73" s="311"/>
      <c r="BDM73" s="311"/>
      <c r="BDN73" s="311"/>
      <c r="BDO73" s="311"/>
      <c r="BDP73" s="311"/>
      <c r="BDQ73" s="311"/>
      <c r="BDR73" s="311"/>
      <c r="BDS73" s="311"/>
      <c r="BDT73" s="311"/>
      <c r="BDU73" s="311"/>
      <c r="BDV73" s="311"/>
      <c r="BDW73" s="311"/>
      <c r="BDX73" s="311"/>
      <c r="BDY73" s="311"/>
      <c r="BDZ73" s="311"/>
      <c r="BEA73" s="311"/>
      <c r="BEB73" s="311"/>
      <c r="BEC73" s="311"/>
      <c r="BED73" s="311"/>
      <c r="BEE73" s="311"/>
      <c r="BEF73" s="311"/>
      <c r="BEG73" s="311"/>
      <c r="BEH73" s="311"/>
      <c r="BEI73" s="311"/>
      <c r="BEJ73" s="311"/>
      <c r="BEK73" s="311"/>
      <c r="BEL73" s="311"/>
      <c r="BEM73" s="311"/>
      <c r="BEN73" s="311"/>
      <c r="BEO73" s="311"/>
      <c r="BEP73" s="311"/>
      <c r="BEQ73" s="311"/>
      <c r="BER73" s="311"/>
      <c r="BES73" s="311"/>
      <c r="BET73" s="311"/>
      <c r="BEU73" s="311"/>
      <c r="BEV73" s="311"/>
      <c r="BEW73" s="311"/>
      <c r="BEX73" s="311"/>
      <c r="BEY73" s="311"/>
      <c r="BEZ73" s="311"/>
      <c r="BFA73" s="311"/>
      <c r="BFB73" s="311"/>
      <c r="BFC73" s="311"/>
      <c r="BFD73" s="311"/>
      <c r="BFE73" s="311"/>
      <c r="BFF73" s="311"/>
      <c r="BFG73" s="311"/>
      <c r="BFH73" s="311"/>
      <c r="BFI73" s="311"/>
      <c r="BFJ73" s="311"/>
      <c r="BFK73" s="311"/>
      <c r="BFL73" s="311"/>
      <c r="BFM73" s="311"/>
      <c r="BFN73" s="311"/>
      <c r="BFO73" s="311"/>
      <c r="BFP73" s="311"/>
      <c r="BFQ73" s="311"/>
      <c r="BFR73" s="311"/>
      <c r="BFS73" s="311"/>
      <c r="BFT73" s="311"/>
      <c r="BFU73" s="311"/>
      <c r="BFV73" s="311"/>
      <c r="BFW73" s="311"/>
      <c r="BFX73" s="311"/>
      <c r="BFY73" s="311"/>
      <c r="BFZ73" s="311"/>
      <c r="BGA73" s="311"/>
      <c r="BGB73" s="311"/>
      <c r="BGC73" s="311"/>
      <c r="BGD73" s="311"/>
      <c r="BGE73" s="311"/>
      <c r="BGF73" s="311"/>
      <c r="BGG73" s="311"/>
      <c r="BGH73" s="311"/>
      <c r="BGI73" s="311"/>
      <c r="BGJ73" s="311"/>
      <c r="BGK73" s="311"/>
      <c r="BGL73" s="311"/>
      <c r="BGM73" s="311"/>
      <c r="BGN73" s="311"/>
      <c r="BGO73" s="311"/>
      <c r="BGP73" s="311"/>
      <c r="BGQ73" s="311"/>
      <c r="BGR73" s="311"/>
      <c r="BGS73" s="311"/>
      <c r="BGT73" s="311"/>
      <c r="BGU73" s="311"/>
      <c r="BGV73" s="311"/>
      <c r="BGW73" s="311"/>
      <c r="BGX73" s="311"/>
      <c r="BGY73" s="311"/>
      <c r="BGZ73" s="311"/>
      <c r="BHA73" s="311"/>
      <c r="BHB73" s="311"/>
      <c r="BHC73" s="311"/>
      <c r="BHD73" s="311"/>
      <c r="BHE73" s="311"/>
      <c r="BHF73" s="311"/>
      <c r="BHG73" s="311"/>
      <c r="BHH73" s="311"/>
      <c r="BHI73" s="311"/>
      <c r="BHJ73" s="311"/>
      <c r="BHK73" s="311"/>
      <c r="BHL73" s="311"/>
      <c r="BHM73" s="311"/>
      <c r="BHN73" s="311"/>
      <c r="BHO73" s="311"/>
      <c r="BHP73" s="311"/>
      <c r="BHQ73" s="311"/>
      <c r="BHR73" s="311"/>
      <c r="BHS73" s="311"/>
      <c r="BHT73" s="311"/>
      <c r="BHU73" s="311"/>
      <c r="BHV73" s="311"/>
      <c r="BHW73" s="311"/>
      <c r="BHX73" s="311"/>
      <c r="BHY73" s="311"/>
      <c r="BHZ73" s="311"/>
      <c r="BIA73" s="311"/>
      <c r="BIB73" s="311"/>
      <c r="BIC73" s="311"/>
      <c r="BID73" s="311"/>
      <c r="BIE73" s="311"/>
      <c r="BIF73" s="311"/>
      <c r="BIG73" s="311"/>
      <c r="BIH73" s="311"/>
      <c r="BII73" s="311"/>
      <c r="BIJ73" s="311"/>
      <c r="BIK73" s="311"/>
      <c r="BIL73" s="311"/>
      <c r="BIM73" s="311"/>
      <c r="BIN73" s="311"/>
      <c r="BIO73" s="311"/>
      <c r="BIP73" s="311"/>
      <c r="BIQ73" s="311"/>
      <c r="BIR73" s="311"/>
      <c r="BIS73" s="311"/>
      <c r="BIT73" s="311"/>
      <c r="BIU73" s="311"/>
      <c r="BIV73" s="311"/>
      <c r="BIW73" s="311"/>
      <c r="BIX73" s="311"/>
      <c r="BIY73" s="311"/>
      <c r="BIZ73" s="311"/>
      <c r="BJA73" s="311"/>
      <c r="BJB73" s="311"/>
      <c r="BJC73" s="311"/>
      <c r="BJD73" s="311"/>
      <c r="BJE73" s="311"/>
      <c r="BJF73" s="311"/>
      <c r="BJG73" s="311"/>
      <c r="BJH73" s="311"/>
      <c r="BJI73" s="311"/>
      <c r="BJJ73" s="311"/>
      <c r="BJK73" s="311"/>
      <c r="BJL73" s="311"/>
      <c r="BJM73" s="311"/>
      <c r="BJN73" s="311"/>
      <c r="BJO73" s="311"/>
      <c r="BJP73" s="311"/>
      <c r="BJQ73" s="311"/>
      <c r="BJR73" s="311"/>
      <c r="BJS73" s="311"/>
      <c r="BJT73" s="311"/>
      <c r="BJU73" s="311"/>
      <c r="BJV73" s="311"/>
      <c r="BJW73" s="311"/>
      <c r="BJX73" s="311"/>
      <c r="BJY73" s="311"/>
      <c r="BJZ73" s="311"/>
      <c r="BKA73" s="311"/>
      <c r="BKB73" s="311"/>
      <c r="BKC73" s="311"/>
      <c r="BKD73" s="311"/>
      <c r="BKE73" s="311"/>
      <c r="BKF73" s="311"/>
      <c r="BKG73" s="311"/>
      <c r="BKH73" s="311"/>
      <c r="BKI73" s="311"/>
      <c r="BKJ73" s="311"/>
      <c r="BKK73" s="311"/>
      <c r="BKL73" s="311"/>
      <c r="BKM73" s="311"/>
      <c r="BKN73" s="311"/>
      <c r="BKO73" s="311"/>
      <c r="BKP73" s="311"/>
      <c r="BKQ73" s="311"/>
      <c r="BKR73" s="311"/>
      <c r="BKS73" s="311"/>
      <c r="BKT73" s="311"/>
      <c r="BKU73" s="311"/>
      <c r="BKV73" s="311"/>
      <c r="BKW73" s="311"/>
      <c r="BKX73" s="311"/>
      <c r="BKY73" s="311"/>
      <c r="BKZ73" s="311"/>
      <c r="BLA73" s="311"/>
      <c r="BLB73" s="311"/>
      <c r="BLC73" s="311"/>
      <c r="BLD73" s="311"/>
      <c r="BLE73" s="311"/>
      <c r="BLF73" s="311"/>
      <c r="BLG73" s="311"/>
      <c r="BLH73" s="311"/>
      <c r="BLI73" s="311"/>
      <c r="BLJ73" s="311"/>
      <c r="BLK73" s="311"/>
      <c r="BLL73" s="311"/>
      <c r="BLM73" s="311"/>
      <c r="BLN73" s="311"/>
      <c r="BLO73" s="311"/>
      <c r="BLP73" s="311"/>
      <c r="BLQ73" s="311"/>
      <c r="BLR73" s="311"/>
      <c r="BLS73" s="311"/>
      <c r="BLT73" s="311"/>
      <c r="BLU73" s="311"/>
      <c r="BLV73" s="311"/>
      <c r="BLW73" s="311"/>
      <c r="BLX73" s="311"/>
      <c r="BLY73" s="311"/>
      <c r="BLZ73" s="311"/>
      <c r="BMA73" s="311"/>
      <c r="BMB73" s="311"/>
      <c r="BMC73" s="311"/>
      <c r="BMD73" s="311"/>
      <c r="BME73" s="311"/>
      <c r="BMF73" s="311"/>
      <c r="BMG73" s="311"/>
      <c r="BMH73" s="311"/>
      <c r="BMI73" s="311"/>
      <c r="BMJ73" s="311"/>
      <c r="BMK73" s="311"/>
      <c r="BML73" s="311"/>
      <c r="BMM73" s="311"/>
      <c r="BMN73" s="311"/>
      <c r="BMO73" s="311"/>
      <c r="BMP73" s="311"/>
      <c r="BMQ73" s="311"/>
      <c r="BMR73" s="311"/>
      <c r="BMS73" s="311"/>
      <c r="BMT73" s="311"/>
      <c r="BMU73" s="311"/>
      <c r="BMV73" s="311"/>
      <c r="BMW73" s="311"/>
      <c r="BMX73" s="311"/>
      <c r="BMY73" s="311"/>
      <c r="BMZ73" s="311"/>
      <c r="BNA73" s="311"/>
      <c r="BNB73" s="311"/>
      <c r="BNC73" s="311"/>
      <c r="BND73" s="311"/>
      <c r="BNE73" s="311"/>
      <c r="BNF73" s="311"/>
      <c r="BNG73" s="311"/>
      <c r="BNH73" s="311"/>
      <c r="BNI73" s="311"/>
      <c r="BNJ73" s="311"/>
      <c r="BNK73" s="311"/>
      <c r="BNL73" s="311"/>
      <c r="BNM73" s="311"/>
      <c r="BNN73" s="311"/>
      <c r="BNO73" s="311"/>
      <c r="BNP73" s="311"/>
      <c r="BNQ73" s="311"/>
      <c r="BNR73" s="311"/>
      <c r="BNS73" s="311"/>
      <c r="BNT73" s="311"/>
      <c r="BNU73" s="311"/>
      <c r="BNV73" s="311"/>
      <c r="BNW73" s="311"/>
      <c r="BNX73" s="311"/>
      <c r="BNY73" s="311"/>
      <c r="BNZ73" s="311"/>
      <c r="BOA73" s="311"/>
      <c r="BOB73" s="311"/>
      <c r="BOC73" s="311"/>
      <c r="BOD73" s="311"/>
      <c r="BOE73" s="311"/>
      <c r="BOF73" s="311"/>
      <c r="BOG73" s="311"/>
      <c r="BOH73" s="311"/>
      <c r="BOI73" s="311"/>
      <c r="BOJ73" s="311"/>
      <c r="BOK73" s="311"/>
      <c r="BOL73" s="311"/>
      <c r="BOM73" s="311"/>
      <c r="BON73" s="311"/>
      <c r="BOO73" s="311"/>
      <c r="BOP73" s="311"/>
      <c r="BOQ73" s="311"/>
      <c r="BOR73" s="311"/>
      <c r="BOS73" s="311"/>
      <c r="BOT73" s="311"/>
      <c r="BOU73" s="311"/>
      <c r="BOV73" s="311"/>
      <c r="BOW73" s="311"/>
      <c r="BOX73" s="311"/>
      <c r="BOY73" s="311"/>
      <c r="BOZ73" s="311"/>
      <c r="BPA73" s="311"/>
      <c r="BPB73" s="311"/>
      <c r="BPC73" s="311"/>
      <c r="BPD73" s="311"/>
      <c r="BPE73" s="311"/>
      <c r="BPF73" s="311"/>
      <c r="BPG73" s="311"/>
      <c r="BPH73" s="311"/>
      <c r="BPI73" s="311"/>
      <c r="BPJ73" s="311"/>
      <c r="BPK73" s="311"/>
      <c r="BPL73" s="311"/>
      <c r="BPM73" s="311"/>
      <c r="BPN73" s="311"/>
      <c r="BPO73" s="311"/>
      <c r="BPP73" s="311"/>
      <c r="BPQ73" s="311"/>
      <c r="BPR73" s="311"/>
      <c r="BPS73" s="311"/>
      <c r="BPT73" s="311"/>
      <c r="BPU73" s="311"/>
      <c r="BPV73" s="311"/>
      <c r="BPW73" s="311"/>
      <c r="BPX73" s="311"/>
      <c r="BPY73" s="311"/>
      <c r="BPZ73" s="311"/>
      <c r="BQA73" s="311"/>
      <c r="BQB73" s="311"/>
      <c r="BQC73" s="311"/>
      <c r="BQD73" s="311"/>
      <c r="BQE73" s="311"/>
      <c r="BQF73" s="311"/>
      <c r="BQG73" s="311"/>
      <c r="BQH73" s="311"/>
      <c r="BQI73" s="311"/>
      <c r="BQJ73" s="311"/>
      <c r="BQK73" s="311"/>
      <c r="BQL73" s="311"/>
      <c r="BQM73" s="311"/>
      <c r="BQN73" s="311"/>
      <c r="BQO73" s="311"/>
      <c r="BQP73" s="311"/>
      <c r="BQQ73" s="311"/>
      <c r="BQR73" s="311"/>
      <c r="BQS73" s="311"/>
      <c r="BQT73" s="311"/>
      <c r="BQU73" s="311"/>
      <c r="BQV73" s="311"/>
      <c r="BQW73" s="311"/>
      <c r="BQX73" s="311"/>
      <c r="BQY73" s="311"/>
      <c r="BQZ73" s="311"/>
      <c r="BRA73" s="311"/>
      <c r="BRB73" s="311"/>
      <c r="BRC73" s="311"/>
      <c r="BRD73" s="311"/>
      <c r="BRE73" s="311"/>
      <c r="BRF73" s="311"/>
      <c r="BRG73" s="311"/>
      <c r="BRH73" s="311"/>
      <c r="BRI73" s="311"/>
      <c r="BRJ73" s="311"/>
      <c r="BRK73" s="311"/>
      <c r="BRL73" s="311"/>
      <c r="BRM73" s="311"/>
      <c r="BRN73" s="311"/>
      <c r="BRO73" s="311"/>
      <c r="BRP73" s="311"/>
      <c r="BRQ73" s="311"/>
      <c r="BRR73" s="311"/>
      <c r="BRS73" s="311"/>
      <c r="BRT73" s="311"/>
      <c r="BRU73" s="311"/>
      <c r="BRV73" s="311"/>
      <c r="BRW73" s="311"/>
      <c r="BRX73" s="311"/>
      <c r="BRY73" s="311"/>
      <c r="BRZ73" s="311"/>
      <c r="BSA73" s="311"/>
      <c r="BSB73" s="311"/>
      <c r="BSC73" s="311"/>
      <c r="BSD73" s="311"/>
      <c r="BSE73" s="311"/>
      <c r="BSF73" s="311"/>
      <c r="BSG73" s="311"/>
      <c r="BSH73" s="311"/>
      <c r="BSI73" s="311"/>
      <c r="BSJ73" s="311"/>
      <c r="BSK73" s="311"/>
      <c r="BSL73" s="311"/>
      <c r="BSM73" s="311"/>
      <c r="BSN73" s="311"/>
      <c r="BSO73" s="311"/>
      <c r="BSP73" s="311"/>
      <c r="BSQ73" s="311"/>
      <c r="BSR73" s="311"/>
      <c r="BSS73" s="311"/>
      <c r="BST73" s="311"/>
      <c r="BSU73" s="311"/>
      <c r="BSV73" s="311"/>
      <c r="BSW73" s="311"/>
      <c r="BSX73" s="311"/>
      <c r="BSY73" s="311"/>
      <c r="BSZ73" s="311"/>
      <c r="BTA73" s="311"/>
      <c r="BTB73" s="311"/>
      <c r="BTC73" s="311"/>
      <c r="BTD73" s="311"/>
      <c r="BTE73" s="311"/>
      <c r="BTF73" s="311"/>
      <c r="BTG73" s="311"/>
      <c r="BTH73" s="311"/>
      <c r="BTI73" s="311"/>
      <c r="BTJ73" s="311"/>
      <c r="BTK73" s="311"/>
      <c r="BTL73" s="311"/>
      <c r="BTM73" s="311"/>
      <c r="BTN73" s="311"/>
      <c r="BTO73" s="311"/>
      <c r="BTP73" s="311"/>
      <c r="BTQ73" s="311"/>
      <c r="BTR73" s="311"/>
      <c r="BTS73" s="311"/>
      <c r="BTT73" s="311"/>
      <c r="BTU73" s="311"/>
      <c r="BTV73" s="311"/>
      <c r="BTW73" s="311"/>
      <c r="BTX73" s="311"/>
      <c r="BTY73" s="311"/>
      <c r="BTZ73" s="311"/>
      <c r="BUA73" s="311"/>
      <c r="BUB73" s="311"/>
      <c r="BUC73" s="311"/>
      <c r="BUD73" s="311"/>
      <c r="BUE73" s="311"/>
      <c r="BUF73" s="311"/>
      <c r="BUG73" s="311"/>
      <c r="BUH73" s="311"/>
      <c r="BUI73" s="311"/>
      <c r="BUJ73" s="311"/>
      <c r="BUK73" s="311"/>
      <c r="BUL73" s="311"/>
      <c r="BUM73" s="311"/>
      <c r="BUN73" s="311"/>
      <c r="BUO73" s="311"/>
      <c r="BUP73" s="311"/>
      <c r="BUQ73" s="311"/>
      <c r="BUR73" s="311"/>
      <c r="BUS73" s="311"/>
      <c r="BUT73" s="311"/>
      <c r="BUU73" s="311"/>
      <c r="BUV73" s="311"/>
      <c r="BUW73" s="311"/>
      <c r="BUX73" s="311"/>
      <c r="BUY73" s="311"/>
      <c r="BUZ73" s="311"/>
      <c r="BVA73" s="311"/>
      <c r="BVB73" s="311"/>
      <c r="BVC73" s="311"/>
      <c r="BVD73" s="311"/>
      <c r="BVE73" s="311"/>
      <c r="BVF73" s="311"/>
      <c r="BVG73" s="311"/>
      <c r="BVH73" s="311"/>
      <c r="BVI73" s="311"/>
      <c r="BVJ73" s="311"/>
      <c r="BVK73" s="311"/>
      <c r="BVL73" s="311"/>
      <c r="BVM73" s="311"/>
      <c r="BVN73" s="311"/>
      <c r="BVO73" s="311"/>
      <c r="BVP73" s="311"/>
      <c r="BVQ73" s="311"/>
      <c r="BVR73" s="311"/>
      <c r="BVS73" s="311"/>
      <c r="BVT73" s="311"/>
      <c r="BVU73" s="311"/>
      <c r="BVV73" s="311"/>
      <c r="BVW73" s="311"/>
      <c r="BVX73" s="311"/>
      <c r="BVY73" s="311"/>
      <c r="BVZ73" s="311"/>
      <c r="BWA73" s="311"/>
      <c r="BWB73" s="311"/>
      <c r="BWC73" s="311"/>
      <c r="BWD73" s="311"/>
      <c r="BWE73" s="311"/>
      <c r="BWF73" s="311"/>
      <c r="BWG73" s="311"/>
      <c r="BWH73" s="311"/>
      <c r="BWI73" s="311"/>
      <c r="BWJ73" s="311"/>
      <c r="BWK73" s="311"/>
      <c r="BWL73" s="311"/>
      <c r="BWM73" s="311"/>
      <c r="BWN73" s="311"/>
      <c r="BWO73" s="311"/>
      <c r="BWP73" s="311"/>
      <c r="BWQ73" s="311"/>
      <c r="BWR73" s="311"/>
      <c r="BWS73" s="311"/>
      <c r="BWT73" s="311"/>
      <c r="BWU73" s="311"/>
      <c r="BWV73" s="311"/>
      <c r="BWW73" s="311"/>
      <c r="BWX73" s="311"/>
      <c r="BWY73" s="311"/>
      <c r="BWZ73" s="311"/>
      <c r="BXA73" s="311"/>
      <c r="BXB73" s="311"/>
      <c r="BXC73" s="311"/>
      <c r="BXD73" s="311"/>
      <c r="BXE73" s="311"/>
      <c r="BXF73" s="311"/>
      <c r="BXG73" s="311"/>
      <c r="BXH73" s="311"/>
      <c r="BXI73" s="311"/>
      <c r="BXJ73" s="311"/>
      <c r="BXK73" s="311"/>
      <c r="BXL73" s="311"/>
      <c r="BXM73" s="311"/>
      <c r="BXN73" s="311"/>
      <c r="BXO73" s="311"/>
      <c r="BXP73" s="311"/>
      <c r="BXQ73" s="311"/>
      <c r="BXR73" s="311"/>
      <c r="BXS73" s="311"/>
      <c r="BXT73" s="311"/>
      <c r="BXU73" s="311"/>
      <c r="BXV73" s="311"/>
      <c r="BXW73" s="311"/>
      <c r="BXX73" s="311"/>
      <c r="BXY73" s="311"/>
      <c r="BXZ73" s="311"/>
      <c r="BYA73" s="311"/>
      <c r="BYB73" s="311"/>
      <c r="BYC73" s="311"/>
      <c r="BYD73" s="311"/>
      <c r="BYE73" s="311"/>
      <c r="BYF73" s="311"/>
      <c r="BYG73" s="311"/>
      <c r="BYH73" s="311"/>
      <c r="BYI73" s="311"/>
      <c r="BYJ73" s="311"/>
      <c r="BYK73" s="311"/>
      <c r="BYL73" s="311"/>
      <c r="BYM73" s="311"/>
      <c r="BYN73" s="311"/>
      <c r="BYO73" s="311"/>
      <c r="BYP73" s="311"/>
      <c r="BYQ73" s="311"/>
      <c r="BYR73" s="311"/>
      <c r="BYS73" s="311"/>
      <c r="BYT73" s="311"/>
      <c r="BYU73" s="311"/>
      <c r="BYV73" s="311"/>
      <c r="BYW73" s="311"/>
      <c r="BYX73" s="311"/>
      <c r="BYY73" s="311"/>
      <c r="BYZ73" s="311"/>
      <c r="BZA73" s="311"/>
      <c r="BZB73" s="311"/>
      <c r="BZC73" s="311"/>
      <c r="BZD73" s="311"/>
      <c r="BZE73" s="311"/>
      <c r="BZF73" s="311"/>
      <c r="BZG73" s="311"/>
      <c r="BZH73" s="311"/>
      <c r="BZI73" s="311"/>
      <c r="BZJ73" s="311"/>
      <c r="BZK73" s="311"/>
      <c r="BZL73" s="311"/>
      <c r="BZM73" s="311"/>
      <c r="BZN73" s="311"/>
      <c r="BZO73" s="311"/>
      <c r="BZP73" s="311"/>
      <c r="BZQ73" s="311"/>
      <c r="BZR73" s="311"/>
      <c r="BZS73" s="311"/>
      <c r="BZT73" s="311"/>
      <c r="BZU73" s="311"/>
      <c r="BZV73" s="311"/>
      <c r="BZW73" s="311"/>
      <c r="BZX73" s="311"/>
      <c r="BZY73" s="311"/>
      <c r="BZZ73" s="311"/>
      <c r="CAA73" s="311"/>
      <c r="CAB73" s="311"/>
      <c r="CAC73" s="311"/>
      <c r="CAD73" s="311"/>
      <c r="CAE73" s="311"/>
      <c r="CAF73" s="311"/>
      <c r="CAG73" s="311"/>
      <c r="CAH73" s="311"/>
      <c r="CAI73" s="311"/>
      <c r="CAJ73" s="311"/>
      <c r="CAK73" s="311"/>
      <c r="CAL73" s="311"/>
      <c r="CAM73" s="311"/>
      <c r="CAN73" s="311"/>
      <c r="CAO73" s="311"/>
      <c r="CAP73" s="311"/>
      <c r="CAQ73" s="311"/>
      <c r="CAR73" s="311"/>
      <c r="CAS73" s="311"/>
      <c r="CAT73" s="311"/>
      <c r="CAU73" s="311"/>
      <c r="CAV73" s="311"/>
      <c r="CAW73" s="311"/>
      <c r="CAX73" s="311"/>
      <c r="CAY73" s="311"/>
      <c r="CAZ73" s="311"/>
      <c r="CBA73" s="311"/>
      <c r="CBB73" s="311"/>
      <c r="CBC73" s="311"/>
      <c r="CBD73" s="311"/>
      <c r="CBE73" s="311"/>
      <c r="CBF73" s="311"/>
      <c r="CBG73" s="311"/>
      <c r="CBH73" s="311"/>
      <c r="CBI73" s="311"/>
      <c r="CBJ73" s="311"/>
      <c r="CBK73" s="311"/>
      <c r="CBL73" s="311"/>
      <c r="CBM73" s="311"/>
      <c r="CBN73" s="311"/>
      <c r="CBO73" s="311"/>
      <c r="CBP73" s="311"/>
      <c r="CBQ73" s="311"/>
      <c r="CBR73" s="311"/>
      <c r="CBS73" s="311"/>
      <c r="CBT73" s="311"/>
      <c r="CBU73" s="311"/>
      <c r="CBV73" s="311"/>
      <c r="CBW73" s="311"/>
      <c r="CBX73" s="311"/>
      <c r="CBY73" s="311"/>
      <c r="CBZ73" s="311"/>
      <c r="CCA73" s="311"/>
      <c r="CCB73" s="311"/>
      <c r="CCC73" s="311"/>
      <c r="CCD73" s="311"/>
      <c r="CCE73" s="311"/>
      <c r="CCF73" s="311"/>
      <c r="CCG73" s="311"/>
      <c r="CCH73" s="311"/>
      <c r="CCI73" s="311"/>
      <c r="CCJ73" s="311"/>
      <c r="CCK73" s="311"/>
      <c r="CCL73" s="311"/>
      <c r="CCM73" s="311"/>
      <c r="CCN73" s="311"/>
      <c r="CCO73" s="311"/>
      <c r="CCP73" s="311"/>
      <c r="CCQ73" s="311"/>
      <c r="CCR73" s="311"/>
      <c r="CCS73" s="311"/>
      <c r="CCT73" s="311"/>
      <c r="CCU73" s="311"/>
      <c r="CCV73" s="311"/>
      <c r="CCW73" s="311"/>
      <c r="CCX73" s="311"/>
      <c r="CCY73" s="311"/>
      <c r="CCZ73" s="311"/>
      <c r="CDA73" s="311"/>
      <c r="CDB73" s="311"/>
      <c r="CDC73" s="311"/>
      <c r="CDD73" s="311"/>
      <c r="CDE73" s="311"/>
      <c r="CDF73" s="311"/>
      <c r="CDG73" s="311"/>
      <c r="CDH73" s="311"/>
      <c r="CDI73" s="311"/>
      <c r="CDJ73" s="311"/>
      <c r="CDK73" s="311"/>
      <c r="CDL73" s="311"/>
      <c r="CDM73" s="311"/>
      <c r="CDN73" s="311"/>
      <c r="CDO73" s="311"/>
      <c r="CDP73" s="311"/>
      <c r="CDQ73" s="311"/>
      <c r="CDR73" s="311"/>
      <c r="CDS73" s="311"/>
      <c r="CDT73" s="311"/>
      <c r="CDU73" s="311"/>
      <c r="CDV73" s="311"/>
      <c r="CDW73" s="311"/>
      <c r="CDX73" s="311"/>
      <c r="CDY73" s="311"/>
      <c r="CDZ73" s="311"/>
      <c r="CEA73" s="311"/>
      <c r="CEB73" s="311"/>
      <c r="CEC73" s="311"/>
      <c r="CED73" s="311"/>
      <c r="CEE73" s="311"/>
      <c r="CEF73" s="311"/>
      <c r="CEG73" s="311"/>
      <c r="CEH73" s="311"/>
      <c r="CEI73" s="311"/>
      <c r="CEJ73" s="311"/>
      <c r="CEK73" s="311"/>
      <c r="CEL73" s="311"/>
      <c r="CEM73" s="311"/>
      <c r="CEN73" s="311"/>
      <c r="CEO73" s="311"/>
      <c r="CEP73" s="311"/>
      <c r="CEQ73" s="311"/>
      <c r="CER73" s="311"/>
      <c r="CES73" s="311"/>
      <c r="CET73" s="311"/>
      <c r="CEU73" s="311"/>
      <c r="CEV73" s="311"/>
      <c r="CEW73" s="311"/>
      <c r="CEX73" s="311"/>
      <c r="CEY73" s="311"/>
      <c r="CEZ73" s="311"/>
      <c r="CFA73" s="311"/>
      <c r="CFB73" s="311"/>
      <c r="CFC73" s="311"/>
      <c r="CFD73" s="311"/>
      <c r="CFE73" s="311"/>
      <c r="CFF73" s="311"/>
      <c r="CFG73" s="311"/>
      <c r="CFH73" s="311"/>
      <c r="CFI73" s="311"/>
      <c r="CFJ73" s="311"/>
      <c r="CFK73" s="311"/>
      <c r="CFL73" s="311"/>
      <c r="CFM73" s="311"/>
      <c r="CFN73" s="311"/>
      <c r="CFO73" s="311"/>
      <c r="CFP73" s="311"/>
      <c r="CFQ73" s="311"/>
      <c r="CFR73" s="311"/>
      <c r="CFS73" s="311"/>
      <c r="CFT73" s="311"/>
      <c r="CFU73" s="311"/>
      <c r="CFV73" s="311"/>
      <c r="CFW73" s="311"/>
      <c r="CFX73" s="311"/>
      <c r="CFY73" s="311"/>
      <c r="CFZ73" s="311"/>
      <c r="CGA73" s="311"/>
      <c r="CGB73" s="311"/>
      <c r="CGC73" s="311"/>
      <c r="CGD73" s="311"/>
      <c r="CGE73" s="311"/>
      <c r="CGF73" s="311"/>
      <c r="CGG73" s="311"/>
      <c r="CGH73" s="311"/>
      <c r="CGI73" s="311"/>
      <c r="CGJ73" s="311"/>
      <c r="CGK73" s="311"/>
      <c r="CGL73" s="311"/>
      <c r="CGM73" s="311"/>
      <c r="CGN73" s="311"/>
      <c r="CGO73" s="311"/>
      <c r="CGP73" s="311"/>
      <c r="CGQ73" s="311"/>
      <c r="CGR73" s="311"/>
      <c r="CGS73" s="311"/>
      <c r="CGT73" s="311"/>
      <c r="CGU73" s="311"/>
      <c r="CGV73" s="311"/>
      <c r="CGW73" s="311"/>
      <c r="CGX73" s="311"/>
      <c r="CGY73" s="311"/>
      <c r="CGZ73" s="311"/>
      <c r="CHA73" s="311"/>
      <c r="CHB73" s="311"/>
      <c r="CHC73" s="311"/>
      <c r="CHD73" s="311"/>
      <c r="CHE73" s="311"/>
      <c r="CHF73" s="311"/>
      <c r="CHG73" s="311"/>
      <c r="CHH73" s="311"/>
      <c r="CHI73" s="311"/>
      <c r="CHJ73" s="311"/>
      <c r="CHK73" s="311"/>
      <c r="CHL73" s="311"/>
      <c r="CHM73" s="311"/>
      <c r="CHN73" s="311"/>
      <c r="CHO73" s="311"/>
      <c r="CHP73" s="311"/>
      <c r="CHQ73" s="311"/>
      <c r="CHR73" s="311"/>
      <c r="CHS73" s="311"/>
      <c r="CHT73" s="311"/>
      <c r="CHU73" s="311"/>
      <c r="CHV73" s="311"/>
      <c r="CHW73" s="311"/>
      <c r="CHX73" s="311"/>
      <c r="CHY73" s="311"/>
      <c r="CHZ73" s="311"/>
      <c r="CIA73" s="311"/>
      <c r="CIB73" s="311"/>
      <c r="CIC73" s="311"/>
      <c r="CID73" s="311"/>
      <c r="CIE73" s="311"/>
      <c r="CIF73" s="311"/>
      <c r="CIG73" s="311"/>
      <c r="CIH73" s="311"/>
      <c r="CII73" s="311"/>
      <c r="CIJ73" s="311"/>
      <c r="CIK73" s="311"/>
      <c r="CIL73" s="311"/>
      <c r="CIM73" s="311"/>
      <c r="CIN73" s="311"/>
      <c r="CIO73" s="311"/>
      <c r="CIP73" s="311"/>
      <c r="CIQ73" s="311"/>
      <c r="CIR73" s="311"/>
      <c r="CIS73" s="311"/>
      <c r="CIT73" s="311"/>
      <c r="CIU73" s="311"/>
      <c r="CIV73" s="311"/>
      <c r="CIW73" s="311"/>
      <c r="CIX73" s="311"/>
      <c r="CIY73" s="311"/>
      <c r="CIZ73" s="311"/>
      <c r="CJA73" s="311"/>
      <c r="CJB73" s="311"/>
      <c r="CJC73" s="311"/>
      <c r="CJD73" s="311"/>
      <c r="CJE73" s="311"/>
      <c r="CJF73" s="311"/>
      <c r="CJG73" s="311"/>
      <c r="CJH73" s="311"/>
      <c r="CJI73" s="311"/>
      <c r="CJJ73" s="311"/>
      <c r="CJK73" s="311"/>
      <c r="CJL73" s="311"/>
      <c r="CJM73" s="311"/>
      <c r="CJN73" s="311"/>
      <c r="CJO73" s="311"/>
      <c r="CJP73" s="311"/>
      <c r="CJQ73" s="311"/>
      <c r="CJR73" s="311"/>
      <c r="CJS73" s="311"/>
      <c r="CJT73" s="311"/>
      <c r="CJU73" s="311"/>
      <c r="CJV73" s="311"/>
      <c r="CJW73" s="311"/>
      <c r="CJX73" s="311"/>
      <c r="CJY73" s="311"/>
      <c r="CJZ73" s="311"/>
      <c r="CKA73" s="311"/>
      <c r="CKB73" s="311"/>
      <c r="CKC73" s="311"/>
      <c r="CKD73" s="311"/>
      <c r="CKE73" s="311"/>
      <c r="CKF73" s="311"/>
      <c r="CKG73" s="311"/>
      <c r="CKH73" s="311"/>
      <c r="CKI73" s="311"/>
      <c r="CKJ73" s="311"/>
      <c r="CKK73" s="311"/>
      <c r="CKL73" s="311"/>
      <c r="CKM73" s="311"/>
      <c r="CKN73" s="311"/>
      <c r="CKO73" s="311"/>
      <c r="CKP73" s="311"/>
      <c r="CKQ73" s="311"/>
      <c r="CKR73" s="311"/>
      <c r="CKS73" s="311"/>
      <c r="CKT73" s="311"/>
      <c r="CKU73" s="311"/>
      <c r="CKV73" s="311"/>
      <c r="CKW73" s="311"/>
      <c r="CKX73" s="311"/>
      <c r="CKY73" s="311"/>
      <c r="CKZ73" s="311"/>
      <c r="CLA73" s="311"/>
      <c r="CLB73" s="311"/>
      <c r="CLC73" s="311"/>
      <c r="CLD73" s="311"/>
      <c r="CLE73" s="311"/>
      <c r="CLF73" s="311"/>
      <c r="CLG73" s="311"/>
      <c r="CLH73" s="311"/>
      <c r="CLI73" s="311"/>
      <c r="CLJ73" s="311"/>
      <c r="CLK73" s="311"/>
      <c r="CLL73" s="311"/>
      <c r="CLM73" s="311"/>
      <c r="CLN73" s="311"/>
      <c r="CLO73" s="311"/>
      <c r="CLP73" s="311"/>
      <c r="CLQ73" s="311"/>
      <c r="CLR73" s="311"/>
      <c r="CLS73" s="311"/>
      <c r="CLT73" s="311"/>
      <c r="CLU73" s="311"/>
      <c r="CLV73" s="311"/>
      <c r="CLW73" s="311"/>
      <c r="CLX73" s="311"/>
      <c r="CLY73" s="311"/>
      <c r="CLZ73" s="311"/>
      <c r="CMA73" s="311"/>
      <c r="CMB73" s="311"/>
      <c r="CMC73" s="311"/>
      <c r="CMD73" s="311"/>
      <c r="CME73" s="311"/>
      <c r="CMF73" s="311"/>
      <c r="CMG73" s="311"/>
      <c r="CMH73" s="311"/>
      <c r="CMI73" s="311"/>
      <c r="CMJ73" s="311"/>
      <c r="CMK73" s="311"/>
      <c r="CML73" s="311"/>
      <c r="CMM73" s="311"/>
      <c r="CMN73" s="311"/>
      <c r="CMO73" s="311"/>
      <c r="CMP73" s="311"/>
      <c r="CMQ73" s="311"/>
      <c r="CMR73" s="311"/>
      <c r="CMS73" s="311"/>
      <c r="CMT73" s="311"/>
      <c r="CMU73" s="311"/>
      <c r="CMV73" s="311"/>
      <c r="CMW73" s="311"/>
      <c r="CMX73" s="311"/>
      <c r="CMY73" s="311"/>
      <c r="CMZ73" s="311"/>
      <c r="CNA73" s="311"/>
      <c r="CNB73" s="311"/>
      <c r="CNC73" s="311"/>
      <c r="CND73" s="311"/>
      <c r="CNE73" s="311"/>
      <c r="CNF73" s="311"/>
      <c r="CNG73" s="311"/>
      <c r="CNH73" s="311"/>
      <c r="CNI73" s="311"/>
      <c r="CNJ73" s="311"/>
      <c r="CNK73" s="311"/>
      <c r="CNL73" s="311"/>
      <c r="CNM73" s="311"/>
      <c r="CNN73" s="311"/>
      <c r="CNO73" s="311"/>
      <c r="CNP73" s="311"/>
      <c r="CNQ73" s="311"/>
      <c r="CNR73" s="311"/>
      <c r="CNS73" s="311"/>
      <c r="CNT73" s="311"/>
      <c r="CNU73" s="311"/>
      <c r="CNV73" s="311"/>
      <c r="CNW73" s="311"/>
      <c r="CNX73" s="311"/>
      <c r="CNY73" s="311"/>
      <c r="CNZ73" s="311"/>
      <c r="COA73" s="311"/>
      <c r="COB73" s="311"/>
      <c r="COC73" s="311"/>
      <c r="COD73" s="311"/>
      <c r="COE73" s="311"/>
      <c r="COF73" s="311"/>
      <c r="COG73" s="311"/>
      <c r="COH73" s="311"/>
      <c r="COI73" s="311"/>
      <c r="COJ73" s="311"/>
      <c r="COK73" s="311"/>
      <c r="COL73" s="311"/>
      <c r="COM73" s="311"/>
      <c r="CON73" s="311"/>
      <c r="COO73" s="311"/>
      <c r="COP73" s="311"/>
      <c r="COQ73" s="311"/>
      <c r="COR73" s="311"/>
      <c r="COS73" s="311"/>
      <c r="COT73" s="311"/>
      <c r="COU73" s="311"/>
      <c r="COV73" s="311"/>
      <c r="COW73" s="311"/>
      <c r="COX73" s="311"/>
      <c r="COY73" s="311"/>
      <c r="COZ73" s="311"/>
      <c r="CPA73" s="311"/>
      <c r="CPB73" s="311"/>
      <c r="CPC73" s="311"/>
      <c r="CPD73" s="311"/>
      <c r="CPE73" s="311"/>
      <c r="CPF73" s="311"/>
      <c r="CPG73" s="311"/>
      <c r="CPH73" s="311"/>
      <c r="CPI73" s="311"/>
      <c r="CPJ73" s="311"/>
      <c r="CPK73" s="311"/>
      <c r="CPL73" s="311"/>
      <c r="CPM73" s="311"/>
      <c r="CPN73" s="311"/>
      <c r="CPO73" s="311"/>
      <c r="CPP73" s="311"/>
      <c r="CPQ73" s="311"/>
      <c r="CPR73" s="311"/>
      <c r="CPS73" s="311"/>
      <c r="CPT73" s="311"/>
      <c r="CPU73" s="311"/>
      <c r="CPV73" s="311"/>
      <c r="CPW73" s="311"/>
      <c r="CPX73" s="311"/>
      <c r="CPY73" s="311"/>
      <c r="CPZ73" s="311"/>
      <c r="CQA73" s="311"/>
      <c r="CQB73" s="311"/>
      <c r="CQC73" s="311"/>
      <c r="CQD73" s="311"/>
      <c r="CQE73" s="311"/>
      <c r="CQF73" s="311"/>
      <c r="CQG73" s="311"/>
      <c r="CQH73" s="311"/>
      <c r="CQI73" s="311"/>
      <c r="CQJ73" s="311"/>
      <c r="CQK73" s="311"/>
      <c r="CQL73" s="311"/>
      <c r="CQM73" s="311"/>
      <c r="CQN73" s="311"/>
      <c r="CQO73" s="311"/>
      <c r="CQP73" s="311"/>
      <c r="CQQ73" s="311"/>
      <c r="CQR73" s="311"/>
      <c r="CQS73" s="311"/>
      <c r="CQT73" s="311"/>
      <c r="CQU73" s="311"/>
      <c r="CQV73" s="311"/>
      <c r="CQW73" s="311"/>
      <c r="CQX73" s="311"/>
      <c r="CQY73" s="311"/>
      <c r="CQZ73" s="311"/>
      <c r="CRA73" s="311"/>
      <c r="CRB73" s="311"/>
      <c r="CRC73" s="311"/>
      <c r="CRD73" s="311"/>
      <c r="CRE73" s="311"/>
      <c r="CRF73" s="311"/>
      <c r="CRG73" s="311"/>
      <c r="CRH73" s="311"/>
      <c r="CRI73" s="311"/>
      <c r="CRJ73" s="311"/>
      <c r="CRK73" s="311"/>
      <c r="CRL73" s="311"/>
      <c r="CRM73" s="311"/>
      <c r="CRN73" s="311"/>
      <c r="CRO73" s="311"/>
      <c r="CRP73" s="311"/>
      <c r="CRQ73" s="311"/>
      <c r="CRR73" s="311"/>
      <c r="CRS73" s="311"/>
      <c r="CRT73" s="311"/>
      <c r="CRU73" s="311"/>
      <c r="CRV73" s="311"/>
      <c r="CRW73" s="311"/>
      <c r="CRX73" s="311"/>
      <c r="CRY73" s="311"/>
      <c r="CRZ73" s="311"/>
      <c r="CSA73" s="311"/>
      <c r="CSB73" s="311"/>
      <c r="CSC73" s="311"/>
      <c r="CSD73" s="311"/>
      <c r="CSE73" s="311"/>
      <c r="CSF73" s="311"/>
      <c r="CSG73" s="311"/>
      <c r="CSH73" s="311"/>
      <c r="CSI73" s="311"/>
      <c r="CSJ73" s="311"/>
      <c r="CSK73" s="311"/>
      <c r="CSL73" s="311"/>
      <c r="CSM73" s="311"/>
      <c r="CSN73" s="311"/>
      <c r="CSO73" s="311"/>
      <c r="CSP73" s="311"/>
      <c r="CSQ73" s="311"/>
      <c r="CSR73" s="311"/>
      <c r="CSS73" s="311"/>
      <c r="CST73" s="311"/>
      <c r="CSU73" s="311"/>
      <c r="CSV73" s="311"/>
      <c r="CSW73" s="311"/>
      <c r="CSX73" s="311"/>
      <c r="CSY73" s="311"/>
      <c r="CSZ73" s="311"/>
      <c r="CTA73" s="311"/>
      <c r="CTB73" s="311"/>
      <c r="CTC73" s="311"/>
      <c r="CTD73" s="311"/>
      <c r="CTE73" s="311"/>
      <c r="CTF73" s="311"/>
      <c r="CTG73" s="311"/>
      <c r="CTH73" s="311"/>
      <c r="CTI73" s="311"/>
      <c r="CTJ73" s="311"/>
      <c r="CTK73" s="311"/>
      <c r="CTL73" s="311"/>
      <c r="CTM73" s="311"/>
      <c r="CTN73" s="311"/>
      <c r="CTO73" s="311"/>
      <c r="CTP73" s="311"/>
      <c r="CTQ73" s="311"/>
      <c r="CTR73" s="311"/>
      <c r="CTS73" s="311"/>
      <c r="CTT73" s="311"/>
      <c r="CTU73" s="311"/>
      <c r="CTV73" s="311"/>
      <c r="CTW73" s="311"/>
      <c r="CTX73" s="311"/>
      <c r="CTY73" s="311"/>
      <c r="CTZ73" s="311"/>
      <c r="CUA73" s="311"/>
      <c r="CUB73" s="311"/>
      <c r="CUC73" s="311"/>
      <c r="CUD73" s="311"/>
      <c r="CUE73" s="311"/>
      <c r="CUF73" s="311"/>
      <c r="CUG73" s="311"/>
      <c r="CUH73" s="311"/>
      <c r="CUI73" s="311"/>
      <c r="CUJ73" s="311"/>
      <c r="CUK73" s="311"/>
      <c r="CUL73" s="311"/>
      <c r="CUM73" s="311"/>
      <c r="CUN73" s="311"/>
      <c r="CUO73" s="311"/>
      <c r="CUP73" s="311"/>
      <c r="CUQ73" s="311"/>
      <c r="CUR73" s="311"/>
      <c r="CUS73" s="311"/>
      <c r="CUT73" s="311"/>
      <c r="CUU73" s="311"/>
      <c r="CUV73" s="311"/>
      <c r="CUW73" s="311"/>
      <c r="CUX73" s="311"/>
      <c r="CUY73" s="311"/>
      <c r="CUZ73" s="311"/>
      <c r="CVA73" s="311"/>
      <c r="CVB73" s="311"/>
      <c r="CVC73" s="311"/>
      <c r="CVD73" s="311"/>
      <c r="CVE73" s="311"/>
      <c r="CVF73" s="311"/>
      <c r="CVG73" s="311"/>
      <c r="CVH73" s="311"/>
      <c r="CVI73" s="311"/>
      <c r="CVJ73" s="311"/>
      <c r="CVK73" s="311"/>
      <c r="CVL73" s="311"/>
      <c r="CVM73" s="311"/>
      <c r="CVN73" s="311"/>
      <c r="CVO73" s="311"/>
      <c r="CVP73" s="311"/>
      <c r="CVQ73" s="311"/>
      <c r="CVR73" s="311"/>
      <c r="CVS73" s="311"/>
      <c r="CVT73" s="311"/>
      <c r="CVU73" s="311"/>
      <c r="CVV73" s="311"/>
      <c r="CVW73" s="311"/>
      <c r="CVX73" s="311"/>
      <c r="CVY73" s="311"/>
      <c r="CVZ73" s="311"/>
      <c r="CWA73" s="311"/>
      <c r="CWB73" s="311"/>
      <c r="CWC73" s="311"/>
      <c r="CWD73" s="311"/>
      <c r="CWE73" s="311"/>
      <c r="CWF73" s="311"/>
      <c r="CWG73" s="311"/>
      <c r="CWH73" s="311"/>
      <c r="CWI73" s="311"/>
      <c r="CWJ73" s="311"/>
      <c r="CWK73" s="311"/>
      <c r="CWL73" s="311"/>
      <c r="CWM73" s="311"/>
      <c r="CWN73" s="311"/>
      <c r="CWO73" s="311"/>
      <c r="CWP73" s="311"/>
      <c r="CWQ73" s="311"/>
      <c r="CWR73" s="311"/>
      <c r="CWS73" s="311"/>
      <c r="CWT73" s="311"/>
      <c r="CWU73" s="311"/>
      <c r="CWV73" s="311"/>
      <c r="CWW73" s="311"/>
      <c r="CWX73" s="311"/>
      <c r="CWY73" s="311"/>
      <c r="CWZ73" s="311"/>
      <c r="CXA73" s="311"/>
      <c r="CXB73" s="311"/>
      <c r="CXC73" s="311"/>
      <c r="CXD73" s="311"/>
      <c r="CXE73" s="311"/>
      <c r="CXF73" s="311"/>
      <c r="CXG73" s="311"/>
      <c r="CXH73" s="311"/>
      <c r="CXI73" s="311"/>
      <c r="CXJ73" s="311"/>
      <c r="CXK73" s="311"/>
      <c r="CXL73" s="311"/>
      <c r="CXM73" s="311"/>
      <c r="CXN73" s="311"/>
      <c r="CXO73" s="311"/>
      <c r="CXP73" s="311"/>
      <c r="CXQ73" s="311"/>
      <c r="CXR73" s="311"/>
      <c r="CXS73" s="311"/>
      <c r="CXT73" s="311"/>
      <c r="CXU73" s="311"/>
      <c r="CXV73" s="311"/>
      <c r="CXW73" s="311"/>
      <c r="CXX73" s="311"/>
      <c r="CXY73" s="311"/>
      <c r="CXZ73" s="311"/>
      <c r="CYA73" s="311"/>
      <c r="CYB73" s="311"/>
      <c r="CYC73" s="311"/>
      <c r="CYD73" s="311"/>
      <c r="CYE73" s="311"/>
      <c r="CYF73" s="311"/>
      <c r="CYG73" s="311"/>
      <c r="CYH73" s="311"/>
      <c r="CYI73" s="311"/>
      <c r="CYJ73" s="311"/>
      <c r="CYK73" s="311"/>
      <c r="CYL73" s="311"/>
      <c r="CYM73" s="311"/>
      <c r="CYN73" s="311"/>
      <c r="CYO73" s="311"/>
      <c r="CYP73" s="311"/>
      <c r="CYQ73" s="311"/>
      <c r="CYR73" s="311"/>
      <c r="CYS73" s="311"/>
      <c r="CYT73" s="311"/>
      <c r="CYU73" s="311"/>
      <c r="CYV73" s="311"/>
      <c r="CYW73" s="311"/>
      <c r="CYX73" s="311"/>
      <c r="CYY73" s="311"/>
      <c r="CYZ73" s="311"/>
      <c r="CZA73" s="311"/>
      <c r="CZB73" s="311"/>
      <c r="CZC73" s="311"/>
      <c r="CZD73" s="311"/>
      <c r="CZE73" s="311"/>
      <c r="CZF73" s="311"/>
      <c r="CZG73" s="311"/>
      <c r="CZH73" s="311"/>
      <c r="CZI73" s="311"/>
      <c r="CZJ73" s="311"/>
      <c r="CZK73" s="311"/>
      <c r="CZL73" s="311"/>
      <c r="CZM73" s="311"/>
      <c r="CZN73" s="311"/>
      <c r="CZO73" s="311"/>
      <c r="CZP73" s="311"/>
      <c r="CZQ73" s="311"/>
      <c r="CZR73" s="311"/>
      <c r="CZS73" s="311"/>
      <c r="CZT73" s="311"/>
      <c r="CZU73" s="311"/>
      <c r="CZV73" s="311"/>
      <c r="CZW73" s="311"/>
      <c r="CZX73" s="311"/>
      <c r="CZY73" s="311"/>
      <c r="CZZ73" s="311"/>
      <c r="DAA73" s="311"/>
      <c r="DAB73" s="311"/>
      <c r="DAC73" s="311"/>
      <c r="DAD73" s="311"/>
      <c r="DAE73" s="311"/>
      <c r="DAF73" s="311"/>
      <c r="DAG73" s="311"/>
      <c r="DAH73" s="311"/>
      <c r="DAI73" s="311"/>
      <c r="DAJ73" s="311"/>
      <c r="DAK73" s="311"/>
      <c r="DAL73" s="311"/>
      <c r="DAM73" s="311"/>
      <c r="DAN73" s="311"/>
      <c r="DAO73" s="311"/>
      <c r="DAP73" s="311"/>
      <c r="DAQ73" s="311"/>
      <c r="DAR73" s="311"/>
      <c r="DAS73" s="311"/>
      <c r="DAT73" s="311"/>
      <c r="DAU73" s="311"/>
      <c r="DAV73" s="311"/>
      <c r="DAW73" s="311"/>
      <c r="DAX73" s="311"/>
      <c r="DAY73" s="311"/>
      <c r="DAZ73" s="311"/>
      <c r="DBA73" s="311"/>
      <c r="DBB73" s="311"/>
      <c r="DBC73" s="311"/>
      <c r="DBD73" s="311"/>
      <c r="DBE73" s="311"/>
      <c r="DBF73" s="311"/>
      <c r="DBG73" s="311"/>
      <c r="DBH73" s="311"/>
      <c r="DBI73" s="311"/>
      <c r="DBJ73" s="311"/>
      <c r="DBK73" s="311"/>
      <c r="DBL73" s="311"/>
      <c r="DBM73" s="311"/>
      <c r="DBN73" s="311"/>
      <c r="DBO73" s="311"/>
      <c r="DBP73" s="311"/>
      <c r="DBQ73" s="311"/>
      <c r="DBR73" s="311"/>
      <c r="DBS73" s="311"/>
      <c r="DBT73" s="311"/>
      <c r="DBU73" s="311"/>
      <c r="DBV73" s="311"/>
      <c r="DBW73" s="311"/>
      <c r="DBX73" s="311"/>
      <c r="DBY73" s="311"/>
      <c r="DBZ73" s="311"/>
      <c r="DCA73" s="311"/>
      <c r="DCB73" s="311"/>
      <c r="DCC73" s="311"/>
      <c r="DCD73" s="311"/>
      <c r="DCE73" s="311"/>
      <c r="DCF73" s="311"/>
      <c r="DCG73" s="311"/>
      <c r="DCH73" s="311"/>
      <c r="DCI73" s="311"/>
      <c r="DCJ73" s="311"/>
      <c r="DCK73" s="311"/>
      <c r="DCL73" s="311"/>
      <c r="DCM73" s="311"/>
      <c r="DCN73" s="311"/>
      <c r="DCO73" s="311"/>
      <c r="DCP73" s="311"/>
      <c r="DCQ73" s="311"/>
      <c r="DCR73" s="311"/>
      <c r="DCS73" s="311"/>
      <c r="DCT73" s="311"/>
      <c r="DCU73" s="311"/>
      <c r="DCV73" s="311"/>
      <c r="DCW73" s="311"/>
      <c r="DCX73" s="311"/>
      <c r="DCY73" s="311"/>
      <c r="DCZ73" s="311"/>
      <c r="DDA73" s="311"/>
      <c r="DDB73" s="311"/>
      <c r="DDC73" s="311"/>
      <c r="DDD73" s="311"/>
      <c r="DDE73" s="311"/>
      <c r="DDF73" s="311"/>
      <c r="DDG73" s="311"/>
      <c r="DDH73" s="311"/>
      <c r="DDI73" s="311"/>
      <c r="DDJ73" s="311"/>
      <c r="DDK73" s="311"/>
      <c r="DDL73" s="311"/>
      <c r="DDM73" s="311"/>
      <c r="DDN73" s="311"/>
      <c r="DDO73" s="311"/>
      <c r="DDP73" s="311"/>
      <c r="DDQ73" s="311"/>
      <c r="DDR73" s="311"/>
      <c r="DDS73" s="311"/>
      <c r="DDT73" s="311"/>
      <c r="DDU73" s="311"/>
      <c r="DDV73" s="311"/>
      <c r="DDW73" s="311"/>
      <c r="DDX73" s="311"/>
      <c r="DDY73" s="311"/>
      <c r="DDZ73" s="311"/>
      <c r="DEA73" s="311"/>
      <c r="DEB73" s="311"/>
      <c r="DEC73" s="311"/>
      <c r="DED73" s="311"/>
      <c r="DEE73" s="311"/>
      <c r="DEF73" s="311"/>
      <c r="DEG73" s="311"/>
      <c r="DEH73" s="311"/>
      <c r="DEI73" s="311"/>
      <c r="DEJ73" s="311"/>
      <c r="DEK73" s="311"/>
      <c r="DEL73" s="311"/>
      <c r="DEM73" s="311"/>
      <c r="DEN73" s="311"/>
      <c r="DEO73" s="311"/>
      <c r="DEP73" s="311"/>
      <c r="DEQ73" s="311"/>
      <c r="DER73" s="311"/>
      <c r="DES73" s="311"/>
      <c r="DET73" s="311"/>
      <c r="DEU73" s="311"/>
      <c r="DEV73" s="311"/>
      <c r="DEW73" s="311"/>
      <c r="DEX73" s="311"/>
      <c r="DEY73" s="311"/>
      <c r="DEZ73" s="311"/>
      <c r="DFA73" s="311"/>
      <c r="DFB73" s="311"/>
      <c r="DFC73" s="311"/>
      <c r="DFD73" s="311"/>
      <c r="DFE73" s="311"/>
      <c r="DFF73" s="311"/>
      <c r="DFG73" s="311"/>
      <c r="DFH73" s="311"/>
      <c r="DFI73" s="311"/>
      <c r="DFJ73" s="311"/>
      <c r="DFK73" s="311"/>
      <c r="DFL73" s="311"/>
      <c r="DFM73" s="311"/>
      <c r="DFN73" s="311"/>
      <c r="DFO73" s="311"/>
      <c r="DFP73" s="311"/>
      <c r="DFQ73" s="311"/>
      <c r="DFR73" s="311"/>
      <c r="DFS73" s="311"/>
      <c r="DFT73" s="311"/>
      <c r="DFU73" s="311"/>
      <c r="DFV73" s="311"/>
      <c r="DFW73" s="311"/>
      <c r="DFX73" s="311"/>
      <c r="DFY73" s="311"/>
      <c r="DFZ73" s="311"/>
      <c r="DGA73" s="311"/>
      <c r="DGB73" s="311"/>
      <c r="DGC73" s="311"/>
      <c r="DGD73" s="311"/>
      <c r="DGE73" s="311"/>
      <c r="DGF73" s="311"/>
      <c r="DGG73" s="311"/>
      <c r="DGH73" s="311"/>
      <c r="DGI73" s="311"/>
      <c r="DGJ73" s="311"/>
      <c r="DGK73" s="311"/>
      <c r="DGL73" s="311"/>
      <c r="DGM73" s="311"/>
      <c r="DGN73" s="311"/>
      <c r="DGO73" s="311"/>
      <c r="DGP73" s="311"/>
      <c r="DGQ73" s="311"/>
      <c r="DGR73" s="311"/>
      <c r="DGS73" s="311"/>
      <c r="DGT73" s="311"/>
      <c r="DGU73" s="311"/>
      <c r="DGV73" s="311"/>
      <c r="DGW73" s="311"/>
      <c r="DGX73" s="311"/>
      <c r="DGY73" s="311"/>
      <c r="DGZ73" s="311"/>
      <c r="DHA73" s="311"/>
      <c r="DHB73" s="311"/>
      <c r="DHC73" s="311"/>
      <c r="DHD73" s="311"/>
      <c r="DHE73" s="311"/>
      <c r="DHF73" s="311"/>
      <c r="DHG73" s="311"/>
      <c r="DHH73" s="311"/>
      <c r="DHI73" s="311"/>
      <c r="DHJ73" s="311"/>
      <c r="DHK73" s="311"/>
      <c r="DHL73" s="311"/>
      <c r="DHM73" s="311"/>
      <c r="DHN73" s="311"/>
      <c r="DHO73" s="311"/>
      <c r="DHP73" s="311"/>
      <c r="DHQ73" s="311"/>
      <c r="DHR73" s="311"/>
      <c r="DHS73" s="311"/>
      <c r="DHT73" s="311"/>
      <c r="DHU73" s="311"/>
      <c r="DHV73" s="311"/>
      <c r="DHW73" s="311"/>
      <c r="DHX73" s="311"/>
      <c r="DHY73" s="311"/>
      <c r="DHZ73" s="311"/>
      <c r="DIA73" s="311"/>
      <c r="DIB73" s="311"/>
      <c r="DIC73" s="311"/>
      <c r="DID73" s="311"/>
      <c r="DIE73" s="311"/>
      <c r="DIF73" s="311"/>
      <c r="DIG73" s="311"/>
      <c r="DIH73" s="311"/>
      <c r="DII73" s="311"/>
      <c r="DIJ73" s="311"/>
      <c r="DIK73" s="311"/>
      <c r="DIL73" s="311"/>
      <c r="DIM73" s="311"/>
      <c r="DIN73" s="311"/>
      <c r="DIO73" s="311"/>
      <c r="DIP73" s="311"/>
      <c r="DIQ73" s="311"/>
      <c r="DIR73" s="311"/>
      <c r="DIS73" s="311"/>
      <c r="DIT73" s="311"/>
      <c r="DIU73" s="311"/>
      <c r="DIV73" s="311"/>
      <c r="DIW73" s="311"/>
      <c r="DIX73" s="311"/>
      <c r="DIY73" s="311"/>
      <c r="DIZ73" s="311"/>
      <c r="DJA73" s="311"/>
      <c r="DJB73" s="311"/>
      <c r="DJC73" s="311"/>
      <c r="DJD73" s="311"/>
      <c r="DJE73" s="311"/>
      <c r="DJF73" s="311"/>
      <c r="DJG73" s="311"/>
      <c r="DJH73" s="311"/>
      <c r="DJI73" s="311"/>
      <c r="DJJ73" s="311"/>
      <c r="DJK73" s="311"/>
      <c r="DJL73" s="311"/>
      <c r="DJM73" s="311"/>
      <c r="DJN73" s="311"/>
      <c r="DJO73" s="311"/>
      <c r="DJP73" s="311"/>
      <c r="DJQ73" s="311"/>
      <c r="DJR73" s="311"/>
      <c r="DJS73" s="311"/>
      <c r="DJT73" s="311"/>
      <c r="DJU73" s="311"/>
      <c r="DJV73" s="311"/>
      <c r="DJW73" s="311"/>
      <c r="DJX73" s="311"/>
      <c r="DJY73" s="311"/>
      <c r="DJZ73" s="311"/>
      <c r="DKA73" s="311"/>
      <c r="DKB73" s="311"/>
      <c r="DKC73" s="311"/>
      <c r="DKD73" s="311"/>
      <c r="DKE73" s="311"/>
      <c r="DKF73" s="311"/>
      <c r="DKG73" s="311"/>
      <c r="DKH73" s="311"/>
      <c r="DKI73" s="311"/>
      <c r="DKJ73" s="311"/>
      <c r="DKK73" s="311"/>
      <c r="DKL73" s="311"/>
      <c r="DKM73" s="311"/>
      <c r="DKN73" s="311"/>
      <c r="DKO73" s="311"/>
      <c r="DKP73" s="311"/>
      <c r="DKQ73" s="311"/>
      <c r="DKR73" s="311"/>
      <c r="DKS73" s="311"/>
      <c r="DKT73" s="311"/>
      <c r="DKU73" s="311"/>
      <c r="DKV73" s="311"/>
      <c r="DKW73" s="311"/>
      <c r="DKX73" s="311"/>
      <c r="DKY73" s="311"/>
      <c r="DKZ73" s="311"/>
      <c r="DLA73" s="311"/>
      <c r="DLB73" s="311"/>
      <c r="DLC73" s="311"/>
      <c r="DLD73" s="311"/>
      <c r="DLE73" s="311"/>
      <c r="DLF73" s="311"/>
      <c r="DLG73" s="311"/>
      <c r="DLH73" s="311"/>
      <c r="DLI73" s="311"/>
      <c r="DLJ73" s="311"/>
      <c r="DLK73" s="311"/>
      <c r="DLL73" s="311"/>
      <c r="DLM73" s="311"/>
      <c r="DLN73" s="311"/>
      <c r="DLO73" s="311"/>
      <c r="DLP73" s="311"/>
      <c r="DLQ73" s="311"/>
      <c r="DLR73" s="311"/>
      <c r="DLS73" s="311"/>
      <c r="DLT73" s="311"/>
      <c r="DLU73" s="311"/>
      <c r="DLV73" s="311"/>
      <c r="DLW73" s="311"/>
      <c r="DLX73" s="311"/>
      <c r="DLY73" s="311"/>
      <c r="DLZ73" s="311"/>
      <c r="DMA73" s="311"/>
      <c r="DMB73" s="311"/>
      <c r="DMC73" s="311"/>
      <c r="DMD73" s="311"/>
      <c r="DME73" s="311"/>
      <c r="DMF73" s="311"/>
      <c r="DMG73" s="311"/>
      <c r="DMH73" s="311"/>
      <c r="DMI73" s="311"/>
      <c r="DMJ73" s="311"/>
      <c r="DMK73" s="311"/>
      <c r="DML73" s="311"/>
      <c r="DMM73" s="311"/>
      <c r="DMN73" s="311"/>
      <c r="DMO73" s="311"/>
      <c r="DMP73" s="311"/>
      <c r="DMQ73" s="311"/>
      <c r="DMR73" s="311"/>
      <c r="DMS73" s="311"/>
      <c r="DMT73" s="311"/>
      <c r="DMU73" s="311"/>
      <c r="DMV73" s="311"/>
      <c r="DMW73" s="311"/>
      <c r="DMX73" s="311"/>
      <c r="DMY73" s="311"/>
      <c r="DMZ73" s="311"/>
      <c r="DNA73" s="311"/>
      <c r="DNB73" s="311"/>
      <c r="DNC73" s="311"/>
      <c r="DND73" s="311"/>
      <c r="DNE73" s="311"/>
      <c r="DNF73" s="311"/>
      <c r="DNG73" s="311"/>
      <c r="DNH73" s="311"/>
      <c r="DNI73" s="311"/>
      <c r="DNJ73" s="311"/>
      <c r="DNK73" s="311"/>
      <c r="DNL73" s="311"/>
      <c r="DNM73" s="311"/>
      <c r="DNN73" s="311"/>
      <c r="DNO73" s="311"/>
      <c r="DNP73" s="311"/>
      <c r="DNQ73" s="311"/>
      <c r="DNR73" s="311"/>
      <c r="DNS73" s="311"/>
      <c r="DNT73" s="311"/>
      <c r="DNU73" s="311"/>
      <c r="DNV73" s="311"/>
      <c r="DNW73" s="311"/>
      <c r="DNX73" s="311"/>
      <c r="DNY73" s="311"/>
      <c r="DNZ73" s="311"/>
      <c r="DOA73" s="311"/>
      <c r="DOB73" s="311"/>
      <c r="DOC73" s="311"/>
      <c r="DOD73" s="311"/>
      <c r="DOE73" s="311"/>
      <c r="DOF73" s="311"/>
      <c r="DOG73" s="311"/>
      <c r="DOH73" s="311"/>
      <c r="DOI73" s="311"/>
      <c r="DOJ73" s="311"/>
      <c r="DOK73" s="311"/>
      <c r="DOL73" s="311"/>
      <c r="DOM73" s="311"/>
      <c r="DON73" s="311"/>
      <c r="DOO73" s="311"/>
      <c r="DOP73" s="311"/>
      <c r="DOQ73" s="311"/>
      <c r="DOR73" s="311"/>
      <c r="DOS73" s="311"/>
      <c r="DOT73" s="311"/>
      <c r="DOU73" s="311"/>
      <c r="DOV73" s="311"/>
      <c r="DOW73" s="311"/>
      <c r="DOX73" s="311"/>
      <c r="DOY73" s="311"/>
      <c r="DOZ73" s="311"/>
      <c r="DPA73" s="311"/>
      <c r="DPB73" s="311"/>
      <c r="DPC73" s="311"/>
      <c r="DPD73" s="311"/>
      <c r="DPE73" s="311"/>
      <c r="DPF73" s="311"/>
      <c r="DPG73" s="311"/>
      <c r="DPH73" s="311"/>
      <c r="DPI73" s="311"/>
      <c r="DPJ73" s="311"/>
      <c r="DPK73" s="311"/>
      <c r="DPL73" s="311"/>
      <c r="DPM73" s="311"/>
      <c r="DPN73" s="311"/>
      <c r="DPO73" s="311"/>
      <c r="DPP73" s="311"/>
      <c r="DPQ73" s="311"/>
      <c r="DPR73" s="311"/>
      <c r="DPS73" s="311"/>
      <c r="DPT73" s="311"/>
      <c r="DPU73" s="311"/>
      <c r="DPV73" s="311"/>
      <c r="DPW73" s="311"/>
      <c r="DPX73" s="311"/>
      <c r="DPY73" s="311"/>
      <c r="DPZ73" s="311"/>
      <c r="DQA73" s="311"/>
      <c r="DQB73" s="311"/>
      <c r="DQC73" s="311"/>
      <c r="DQD73" s="311"/>
      <c r="DQE73" s="311"/>
      <c r="DQF73" s="311"/>
      <c r="DQG73" s="311"/>
      <c r="DQH73" s="311"/>
      <c r="DQI73" s="311"/>
      <c r="DQJ73" s="311"/>
      <c r="DQK73" s="311"/>
      <c r="DQL73" s="311"/>
      <c r="DQM73" s="311"/>
      <c r="DQN73" s="311"/>
      <c r="DQO73" s="311"/>
      <c r="DQP73" s="311"/>
      <c r="DQQ73" s="311"/>
      <c r="DQR73" s="311"/>
      <c r="DQS73" s="311"/>
      <c r="DQT73" s="311"/>
      <c r="DQU73" s="311"/>
      <c r="DQV73" s="311"/>
      <c r="DQW73" s="311"/>
      <c r="DQX73" s="311"/>
      <c r="DQY73" s="311"/>
      <c r="DQZ73" s="311"/>
      <c r="DRA73" s="311"/>
      <c r="DRB73" s="311"/>
      <c r="DRC73" s="311"/>
      <c r="DRD73" s="311"/>
      <c r="DRE73" s="311"/>
      <c r="DRF73" s="311"/>
      <c r="DRG73" s="311"/>
      <c r="DRH73" s="311"/>
      <c r="DRI73" s="311"/>
      <c r="DRJ73" s="311"/>
      <c r="DRK73" s="311"/>
      <c r="DRL73" s="311"/>
      <c r="DRM73" s="311"/>
      <c r="DRN73" s="311"/>
      <c r="DRO73" s="311"/>
      <c r="DRP73" s="311"/>
      <c r="DRQ73" s="311"/>
      <c r="DRR73" s="311"/>
      <c r="DRS73" s="311"/>
      <c r="DRT73" s="311"/>
      <c r="DRU73" s="311"/>
      <c r="DRV73" s="311"/>
      <c r="DRW73" s="311"/>
      <c r="DRX73" s="311"/>
      <c r="DRY73" s="311"/>
      <c r="DRZ73" s="311"/>
      <c r="DSA73" s="311"/>
      <c r="DSB73" s="311"/>
      <c r="DSC73" s="311"/>
      <c r="DSD73" s="311"/>
      <c r="DSE73" s="311"/>
      <c r="DSF73" s="311"/>
      <c r="DSG73" s="311"/>
      <c r="DSH73" s="311"/>
      <c r="DSI73" s="311"/>
      <c r="DSJ73" s="311"/>
      <c r="DSK73" s="311"/>
      <c r="DSL73" s="311"/>
      <c r="DSM73" s="311"/>
      <c r="DSN73" s="311"/>
      <c r="DSO73" s="311"/>
      <c r="DSP73" s="311"/>
      <c r="DSQ73" s="311"/>
      <c r="DSR73" s="311"/>
      <c r="DSS73" s="311"/>
      <c r="DST73" s="311"/>
      <c r="DSU73" s="311"/>
      <c r="DSV73" s="311"/>
      <c r="DSW73" s="311"/>
      <c r="DSX73" s="311"/>
      <c r="DSY73" s="311"/>
      <c r="DSZ73" s="311"/>
      <c r="DTA73" s="311"/>
      <c r="DTB73" s="311"/>
      <c r="DTC73" s="311"/>
      <c r="DTD73" s="311"/>
      <c r="DTE73" s="311"/>
      <c r="DTF73" s="311"/>
      <c r="DTG73" s="311"/>
      <c r="DTH73" s="311"/>
      <c r="DTI73" s="311"/>
      <c r="DTJ73" s="311"/>
      <c r="DTK73" s="311"/>
      <c r="DTL73" s="311"/>
      <c r="DTM73" s="311"/>
      <c r="DTN73" s="311"/>
      <c r="DTO73" s="311"/>
      <c r="DTP73" s="311"/>
      <c r="DTQ73" s="311"/>
      <c r="DTR73" s="311"/>
      <c r="DTS73" s="311"/>
      <c r="DTT73" s="311"/>
      <c r="DTU73" s="311"/>
      <c r="DTV73" s="311"/>
      <c r="DTW73" s="311"/>
      <c r="DTX73" s="311"/>
      <c r="DTY73" s="311"/>
      <c r="DTZ73" s="311"/>
      <c r="DUA73" s="311"/>
      <c r="DUB73" s="311"/>
      <c r="DUC73" s="311"/>
      <c r="DUD73" s="311"/>
      <c r="DUE73" s="311"/>
      <c r="DUF73" s="311"/>
      <c r="DUG73" s="311"/>
      <c r="DUH73" s="311"/>
      <c r="DUI73" s="311"/>
      <c r="DUJ73" s="311"/>
      <c r="DUK73" s="311"/>
      <c r="DUL73" s="311"/>
      <c r="DUM73" s="311"/>
      <c r="DUN73" s="311"/>
      <c r="DUO73" s="311"/>
      <c r="DUP73" s="311"/>
      <c r="DUQ73" s="311"/>
      <c r="DUR73" s="311"/>
      <c r="DUS73" s="311"/>
      <c r="DUT73" s="311"/>
      <c r="DUU73" s="311"/>
      <c r="DUV73" s="311"/>
      <c r="DUW73" s="311"/>
      <c r="DUX73" s="311"/>
      <c r="DUY73" s="311"/>
      <c r="DUZ73" s="311"/>
      <c r="DVA73" s="311"/>
      <c r="DVB73" s="311"/>
      <c r="DVC73" s="311"/>
      <c r="DVD73" s="311"/>
      <c r="DVE73" s="311"/>
      <c r="DVF73" s="311"/>
      <c r="DVG73" s="311"/>
      <c r="DVH73" s="311"/>
      <c r="DVI73" s="311"/>
      <c r="DVJ73" s="311"/>
      <c r="DVK73" s="311"/>
      <c r="DVL73" s="311"/>
      <c r="DVM73" s="311"/>
      <c r="DVN73" s="311"/>
      <c r="DVO73" s="311"/>
      <c r="DVP73" s="311"/>
      <c r="DVQ73" s="311"/>
      <c r="DVR73" s="311"/>
      <c r="DVS73" s="311"/>
      <c r="DVT73" s="311"/>
      <c r="DVU73" s="311"/>
      <c r="DVV73" s="311"/>
      <c r="DVW73" s="311"/>
      <c r="DVX73" s="311"/>
      <c r="DVY73" s="311"/>
      <c r="DVZ73" s="311"/>
      <c r="DWA73" s="311"/>
      <c r="DWB73" s="311"/>
      <c r="DWC73" s="311"/>
      <c r="DWD73" s="311"/>
      <c r="DWE73" s="311"/>
      <c r="DWF73" s="311"/>
      <c r="DWG73" s="311"/>
      <c r="DWH73" s="311"/>
      <c r="DWI73" s="311"/>
      <c r="DWJ73" s="311"/>
      <c r="DWK73" s="311"/>
      <c r="DWL73" s="311"/>
      <c r="DWM73" s="311"/>
      <c r="DWN73" s="311"/>
      <c r="DWO73" s="311"/>
      <c r="DWP73" s="311"/>
      <c r="DWQ73" s="311"/>
      <c r="DWR73" s="311"/>
      <c r="DWS73" s="311"/>
      <c r="DWT73" s="311"/>
      <c r="DWU73" s="311"/>
      <c r="DWV73" s="311"/>
      <c r="DWW73" s="311"/>
      <c r="DWX73" s="311"/>
      <c r="DWY73" s="311"/>
      <c r="DWZ73" s="311"/>
      <c r="DXA73" s="311"/>
      <c r="DXB73" s="311"/>
      <c r="DXC73" s="311"/>
      <c r="DXD73" s="311"/>
      <c r="DXE73" s="311"/>
      <c r="DXF73" s="311"/>
      <c r="DXG73" s="311"/>
      <c r="DXH73" s="311"/>
      <c r="DXI73" s="311"/>
      <c r="DXJ73" s="311"/>
      <c r="DXK73" s="311"/>
      <c r="DXL73" s="311"/>
      <c r="DXM73" s="311"/>
      <c r="DXN73" s="311"/>
      <c r="DXO73" s="311"/>
      <c r="DXP73" s="311"/>
      <c r="DXQ73" s="311"/>
      <c r="DXR73" s="311"/>
      <c r="DXS73" s="311"/>
      <c r="DXT73" s="311"/>
      <c r="DXU73" s="311"/>
      <c r="DXV73" s="311"/>
      <c r="DXW73" s="311"/>
      <c r="DXX73" s="311"/>
      <c r="DXY73" s="311"/>
      <c r="DXZ73" s="311"/>
      <c r="DYA73" s="311"/>
      <c r="DYB73" s="311"/>
      <c r="DYC73" s="311"/>
      <c r="DYD73" s="311"/>
      <c r="DYE73" s="311"/>
      <c r="DYF73" s="311"/>
      <c r="DYG73" s="311"/>
      <c r="DYH73" s="311"/>
      <c r="DYI73" s="311"/>
      <c r="DYJ73" s="311"/>
      <c r="DYK73" s="311"/>
      <c r="DYL73" s="311"/>
      <c r="DYM73" s="311"/>
      <c r="DYN73" s="311"/>
      <c r="DYO73" s="311"/>
      <c r="DYP73" s="311"/>
      <c r="DYQ73" s="311"/>
      <c r="DYR73" s="311"/>
      <c r="DYS73" s="311"/>
      <c r="DYT73" s="311"/>
      <c r="DYU73" s="311"/>
      <c r="DYV73" s="311"/>
      <c r="DYW73" s="311"/>
      <c r="DYX73" s="311"/>
      <c r="DYY73" s="311"/>
      <c r="DYZ73" s="311"/>
      <c r="DZA73" s="311"/>
      <c r="DZB73" s="311"/>
      <c r="DZC73" s="311"/>
      <c r="DZD73" s="311"/>
      <c r="DZE73" s="311"/>
      <c r="DZF73" s="311"/>
      <c r="DZG73" s="311"/>
      <c r="DZH73" s="311"/>
      <c r="DZI73" s="311"/>
      <c r="DZJ73" s="311"/>
      <c r="DZK73" s="311"/>
      <c r="DZL73" s="311"/>
      <c r="DZM73" s="311"/>
      <c r="DZN73" s="311"/>
      <c r="DZO73" s="311"/>
      <c r="DZP73" s="311"/>
      <c r="DZQ73" s="311"/>
      <c r="DZR73" s="311"/>
      <c r="DZS73" s="311"/>
      <c r="DZT73" s="311"/>
      <c r="DZU73" s="311"/>
      <c r="DZV73" s="311"/>
      <c r="DZW73" s="311"/>
      <c r="DZX73" s="311"/>
      <c r="DZY73" s="311"/>
      <c r="DZZ73" s="311"/>
      <c r="EAA73" s="311"/>
      <c r="EAB73" s="311"/>
      <c r="EAC73" s="311"/>
      <c r="EAD73" s="311"/>
      <c r="EAE73" s="311"/>
      <c r="EAF73" s="311"/>
      <c r="EAG73" s="311"/>
      <c r="EAH73" s="311"/>
      <c r="EAI73" s="311"/>
      <c r="EAJ73" s="311"/>
      <c r="EAK73" s="311"/>
      <c r="EAL73" s="311"/>
      <c r="EAM73" s="311"/>
      <c r="EAN73" s="311"/>
      <c r="EAO73" s="311"/>
      <c r="EAP73" s="311"/>
      <c r="EAQ73" s="311"/>
      <c r="EAR73" s="311"/>
      <c r="EAS73" s="311"/>
      <c r="EAT73" s="311"/>
      <c r="EAU73" s="311"/>
      <c r="EAV73" s="311"/>
      <c r="EAW73" s="311"/>
      <c r="EAX73" s="311"/>
      <c r="EAY73" s="311"/>
      <c r="EAZ73" s="311"/>
      <c r="EBA73" s="311"/>
      <c r="EBB73" s="311"/>
      <c r="EBC73" s="311"/>
      <c r="EBD73" s="311"/>
      <c r="EBE73" s="311"/>
      <c r="EBF73" s="311"/>
      <c r="EBG73" s="311"/>
      <c r="EBH73" s="311"/>
      <c r="EBI73" s="311"/>
      <c r="EBJ73" s="311"/>
      <c r="EBK73" s="311"/>
      <c r="EBL73" s="311"/>
      <c r="EBM73" s="311"/>
      <c r="EBN73" s="311"/>
      <c r="EBO73" s="311"/>
      <c r="EBP73" s="311"/>
      <c r="EBQ73" s="311"/>
      <c r="EBR73" s="311"/>
      <c r="EBS73" s="311"/>
      <c r="EBT73" s="311"/>
      <c r="EBU73" s="311"/>
      <c r="EBV73" s="311"/>
      <c r="EBW73" s="311"/>
      <c r="EBX73" s="311"/>
      <c r="EBY73" s="311"/>
      <c r="EBZ73" s="311"/>
      <c r="ECA73" s="311"/>
      <c r="ECB73" s="311"/>
      <c r="ECC73" s="311"/>
      <c r="ECD73" s="311"/>
      <c r="ECE73" s="311"/>
      <c r="ECF73" s="311"/>
      <c r="ECG73" s="311"/>
      <c r="ECH73" s="311"/>
      <c r="ECI73" s="311"/>
      <c r="ECJ73" s="311"/>
      <c r="ECK73" s="311"/>
      <c r="ECL73" s="311"/>
      <c r="ECM73" s="311"/>
      <c r="ECN73" s="311"/>
      <c r="ECO73" s="311"/>
      <c r="ECP73" s="311"/>
      <c r="ECQ73" s="311"/>
      <c r="ECR73" s="311"/>
      <c r="ECS73" s="311"/>
      <c r="ECT73" s="311"/>
      <c r="ECU73" s="311"/>
      <c r="ECV73" s="311"/>
      <c r="ECW73" s="311"/>
      <c r="ECX73" s="311"/>
      <c r="ECY73" s="311"/>
      <c r="ECZ73" s="311"/>
      <c r="EDA73" s="311"/>
      <c r="EDB73" s="311"/>
      <c r="EDC73" s="311"/>
      <c r="EDD73" s="311"/>
      <c r="EDE73" s="311"/>
      <c r="EDF73" s="311"/>
      <c r="EDG73" s="311"/>
      <c r="EDH73" s="311"/>
      <c r="EDI73" s="311"/>
      <c r="EDJ73" s="311"/>
      <c r="EDK73" s="311"/>
      <c r="EDL73" s="311"/>
      <c r="EDM73" s="311"/>
      <c r="EDN73" s="311"/>
      <c r="EDO73" s="311"/>
      <c r="EDP73" s="311"/>
      <c r="EDQ73" s="311"/>
      <c r="EDR73" s="311"/>
      <c r="EDS73" s="311"/>
      <c r="EDT73" s="311"/>
      <c r="EDU73" s="311"/>
      <c r="EDV73" s="311"/>
      <c r="EDW73" s="311"/>
      <c r="EDX73" s="311"/>
      <c r="EDY73" s="311"/>
      <c r="EDZ73" s="311"/>
      <c r="EEA73" s="311"/>
      <c r="EEB73" s="311"/>
      <c r="EEC73" s="311"/>
      <c r="EED73" s="311"/>
      <c r="EEE73" s="311"/>
      <c r="EEF73" s="311"/>
      <c r="EEG73" s="311"/>
      <c r="EEH73" s="311"/>
      <c r="EEI73" s="311"/>
      <c r="EEJ73" s="311"/>
      <c r="EEK73" s="311"/>
      <c r="EEL73" s="311"/>
      <c r="EEM73" s="311"/>
      <c r="EEN73" s="311"/>
      <c r="EEO73" s="311"/>
      <c r="EEP73" s="311"/>
      <c r="EEQ73" s="311"/>
      <c r="EER73" s="311"/>
      <c r="EES73" s="311"/>
      <c r="EET73" s="311"/>
      <c r="EEU73" s="311"/>
      <c r="EEV73" s="311"/>
      <c r="EEW73" s="311"/>
      <c r="EEX73" s="311"/>
      <c r="EEY73" s="311"/>
      <c r="EEZ73" s="311"/>
      <c r="EFA73" s="311"/>
      <c r="EFB73" s="311"/>
      <c r="EFC73" s="311"/>
      <c r="EFD73" s="311"/>
      <c r="EFE73" s="311"/>
      <c r="EFF73" s="311"/>
      <c r="EFG73" s="311"/>
      <c r="EFH73" s="311"/>
      <c r="EFI73" s="311"/>
      <c r="EFJ73" s="311"/>
      <c r="EFK73" s="311"/>
      <c r="EFL73" s="311"/>
      <c r="EFM73" s="311"/>
      <c r="EFN73" s="311"/>
      <c r="EFO73" s="311"/>
      <c r="EFP73" s="311"/>
      <c r="EFQ73" s="311"/>
      <c r="EFR73" s="311"/>
      <c r="EFS73" s="311"/>
      <c r="EFT73" s="311"/>
      <c r="EFU73" s="311"/>
      <c r="EFV73" s="311"/>
      <c r="EFW73" s="311"/>
      <c r="EFX73" s="311"/>
      <c r="EFY73" s="311"/>
      <c r="EFZ73" s="311"/>
      <c r="EGA73" s="311"/>
      <c r="EGB73" s="311"/>
      <c r="EGC73" s="311"/>
      <c r="EGD73" s="311"/>
      <c r="EGE73" s="311"/>
      <c r="EGF73" s="311"/>
      <c r="EGG73" s="311"/>
      <c r="EGH73" s="311"/>
      <c r="EGI73" s="311"/>
      <c r="EGJ73" s="311"/>
      <c r="EGK73" s="311"/>
      <c r="EGL73" s="311"/>
      <c r="EGM73" s="311"/>
      <c r="EGN73" s="311"/>
      <c r="EGO73" s="311"/>
      <c r="EGP73" s="311"/>
      <c r="EGQ73" s="311"/>
      <c r="EGR73" s="311"/>
      <c r="EGS73" s="311"/>
      <c r="EGT73" s="311"/>
      <c r="EGU73" s="311"/>
      <c r="EGV73" s="311"/>
      <c r="EGW73" s="311"/>
      <c r="EGX73" s="311"/>
      <c r="EGY73" s="311"/>
      <c r="EGZ73" s="311"/>
      <c r="EHA73" s="311"/>
      <c r="EHB73" s="311"/>
      <c r="EHC73" s="311"/>
      <c r="EHD73" s="311"/>
      <c r="EHE73" s="311"/>
      <c r="EHF73" s="311"/>
      <c r="EHG73" s="311"/>
      <c r="EHH73" s="311"/>
      <c r="EHI73" s="311"/>
      <c r="EHJ73" s="311"/>
      <c r="EHK73" s="311"/>
      <c r="EHL73" s="311"/>
      <c r="EHM73" s="311"/>
      <c r="EHN73" s="311"/>
      <c r="EHO73" s="311"/>
      <c r="EHP73" s="311"/>
      <c r="EHQ73" s="311"/>
      <c r="EHR73" s="311"/>
      <c r="EHS73" s="311"/>
      <c r="EHT73" s="311"/>
      <c r="EHU73" s="311"/>
      <c r="EHV73" s="311"/>
      <c r="EHW73" s="311"/>
      <c r="EHX73" s="311"/>
      <c r="EHY73" s="311"/>
      <c r="EHZ73" s="311"/>
      <c r="EIA73" s="311"/>
      <c r="EIB73" s="311"/>
      <c r="EIC73" s="311"/>
      <c r="EID73" s="311"/>
      <c r="EIE73" s="311"/>
      <c r="EIF73" s="311"/>
      <c r="EIG73" s="311"/>
      <c r="EIH73" s="311"/>
      <c r="EII73" s="311"/>
      <c r="EIJ73" s="311"/>
      <c r="EIK73" s="311"/>
      <c r="EIL73" s="311"/>
      <c r="EIM73" s="311"/>
      <c r="EIN73" s="311"/>
      <c r="EIO73" s="311"/>
      <c r="EIP73" s="311"/>
      <c r="EIQ73" s="311"/>
      <c r="EIR73" s="311"/>
      <c r="EIS73" s="311"/>
      <c r="EIT73" s="311"/>
      <c r="EIU73" s="311"/>
      <c r="EIV73" s="311"/>
      <c r="EIW73" s="311"/>
      <c r="EIX73" s="311"/>
      <c r="EIY73" s="311"/>
      <c r="EIZ73" s="311"/>
      <c r="EJA73" s="311"/>
      <c r="EJB73" s="311"/>
      <c r="EJC73" s="311"/>
      <c r="EJD73" s="311"/>
      <c r="EJE73" s="311"/>
      <c r="EJF73" s="311"/>
      <c r="EJG73" s="311"/>
      <c r="EJH73" s="311"/>
      <c r="EJI73" s="311"/>
      <c r="EJJ73" s="311"/>
      <c r="EJK73" s="311"/>
      <c r="EJL73" s="311"/>
      <c r="EJM73" s="311"/>
      <c r="EJN73" s="311"/>
      <c r="EJO73" s="311"/>
      <c r="EJP73" s="311"/>
      <c r="EJQ73" s="311"/>
      <c r="EJR73" s="311"/>
      <c r="EJS73" s="311"/>
      <c r="EJT73" s="311"/>
      <c r="EJU73" s="311"/>
      <c r="EJV73" s="311"/>
      <c r="EJW73" s="311"/>
      <c r="EJX73" s="311"/>
      <c r="EJY73" s="311"/>
      <c r="EJZ73" s="311"/>
      <c r="EKA73" s="311"/>
      <c r="EKB73" s="311"/>
      <c r="EKC73" s="311"/>
      <c r="EKD73" s="311"/>
      <c r="EKE73" s="311"/>
      <c r="EKF73" s="311"/>
      <c r="EKG73" s="311"/>
      <c r="EKH73" s="311"/>
      <c r="EKI73" s="311"/>
      <c r="EKJ73" s="311"/>
      <c r="EKK73" s="311"/>
      <c r="EKL73" s="311"/>
      <c r="EKM73" s="311"/>
      <c r="EKN73" s="311"/>
      <c r="EKO73" s="311"/>
      <c r="EKP73" s="311"/>
      <c r="EKQ73" s="311"/>
      <c r="EKR73" s="311"/>
      <c r="EKS73" s="311"/>
      <c r="EKT73" s="311"/>
      <c r="EKU73" s="311"/>
      <c r="EKV73" s="311"/>
      <c r="EKW73" s="311"/>
      <c r="EKX73" s="311"/>
      <c r="EKY73" s="311"/>
      <c r="EKZ73" s="311"/>
      <c r="ELA73" s="311"/>
      <c r="ELB73" s="311"/>
      <c r="ELC73" s="311"/>
      <c r="ELD73" s="311"/>
      <c r="ELE73" s="311"/>
      <c r="ELF73" s="311"/>
      <c r="ELG73" s="311"/>
      <c r="ELH73" s="311"/>
      <c r="ELI73" s="311"/>
      <c r="ELJ73" s="311"/>
      <c r="ELK73" s="311"/>
      <c r="ELL73" s="311"/>
      <c r="ELM73" s="311"/>
      <c r="ELN73" s="311"/>
      <c r="ELO73" s="311"/>
      <c r="ELP73" s="311"/>
      <c r="ELQ73" s="311"/>
      <c r="ELR73" s="311"/>
      <c r="ELS73" s="311"/>
      <c r="ELT73" s="311"/>
      <c r="ELU73" s="311"/>
      <c r="ELV73" s="311"/>
      <c r="ELW73" s="311"/>
      <c r="ELX73" s="311"/>
      <c r="ELY73" s="311"/>
      <c r="ELZ73" s="311"/>
      <c r="EMA73" s="311"/>
      <c r="EMB73" s="311"/>
      <c r="EMC73" s="311"/>
      <c r="EMD73" s="311"/>
      <c r="EME73" s="311"/>
      <c r="EMF73" s="311"/>
      <c r="EMG73" s="311"/>
      <c r="EMH73" s="311"/>
      <c r="EMI73" s="311"/>
      <c r="EMJ73" s="311"/>
      <c r="EMK73" s="311"/>
      <c r="EML73" s="311"/>
      <c r="EMM73" s="311"/>
      <c r="EMN73" s="311"/>
      <c r="EMO73" s="311"/>
      <c r="EMP73" s="311"/>
      <c r="EMQ73" s="311"/>
      <c r="EMR73" s="311"/>
      <c r="EMS73" s="311"/>
      <c r="EMT73" s="311"/>
      <c r="EMU73" s="311"/>
      <c r="EMV73" s="311"/>
      <c r="EMW73" s="311"/>
      <c r="EMX73" s="311"/>
      <c r="EMY73" s="311"/>
      <c r="EMZ73" s="311"/>
      <c r="ENA73" s="311"/>
      <c r="ENB73" s="311"/>
      <c r="ENC73" s="311"/>
      <c r="END73" s="311"/>
      <c r="ENE73" s="311"/>
      <c r="ENF73" s="311"/>
      <c r="ENG73" s="311"/>
      <c r="ENH73" s="311"/>
      <c r="ENI73" s="311"/>
      <c r="ENJ73" s="311"/>
      <c r="ENK73" s="311"/>
      <c r="ENL73" s="311"/>
      <c r="ENM73" s="311"/>
      <c r="ENN73" s="311"/>
      <c r="ENO73" s="311"/>
      <c r="ENP73" s="311"/>
      <c r="ENQ73" s="311"/>
      <c r="ENR73" s="311"/>
      <c r="ENS73" s="311"/>
      <c r="ENT73" s="311"/>
      <c r="ENU73" s="311"/>
      <c r="ENV73" s="311"/>
      <c r="ENW73" s="311"/>
      <c r="ENX73" s="311"/>
      <c r="ENY73" s="311"/>
      <c r="ENZ73" s="311"/>
      <c r="EOA73" s="311"/>
      <c r="EOB73" s="311"/>
      <c r="EOC73" s="311"/>
      <c r="EOD73" s="311"/>
      <c r="EOE73" s="311"/>
      <c r="EOF73" s="311"/>
      <c r="EOG73" s="311"/>
      <c r="EOH73" s="311"/>
      <c r="EOI73" s="311"/>
      <c r="EOJ73" s="311"/>
      <c r="EOK73" s="311"/>
      <c r="EOL73" s="311"/>
      <c r="EOM73" s="311"/>
      <c r="EON73" s="311"/>
      <c r="EOO73" s="311"/>
      <c r="EOP73" s="311"/>
      <c r="EOQ73" s="311"/>
      <c r="EOR73" s="311"/>
      <c r="EOS73" s="311"/>
      <c r="EOT73" s="311"/>
      <c r="EOU73" s="311"/>
      <c r="EOV73" s="311"/>
      <c r="EOW73" s="311"/>
      <c r="EOX73" s="311"/>
      <c r="EOY73" s="311"/>
      <c r="EOZ73" s="311"/>
      <c r="EPA73" s="311"/>
      <c r="EPB73" s="311"/>
      <c r="EPC73" s="311"/>
      <c r="EPD73" s="311"/>
      <c r="EPE73" s="311"/>
      <c r="EPF73" s="311"/>
      <c r="EPG73" s="311"/>
      <c r="EPH73" s="311"/>
      <c r="EPI73" s="311"/>
      <c r="EPJ73" s="311"/>
      <c r="EPK73" s="311"/>
      <c r="EPL73" s="311"/>
      <c r="EPM73" s="311"/>
      <c r="EPN73" s="311"/>
      <c r="EPO73" s="311"/>
      <c r="EPP73" s="311"/>
      <c r="EPQ73" s="311"/>
      <c r="EPR73" s="311"/>
      <c r="EPS73" s="311"/>
      <c r="EPT73" s="311"/>
      <c r="EPU73" s="311"/>
      <c r="EPV73" s="311"/>
      <c r="EPW73" s="311"/>
      <c r="EPX73" s="311"/>
      <c r="EPY73" s="311"/>
      <c r="EPZ73" s="311"/>
      <c r="EQA73" s="311"/>
      <c r="EQB73" s="311"/>
      <c r="EQC73" s="311"/>
      <c r="EQD73" s="311"/>
      <c r="EQE73" s="311"/>
      <c r="EQF73" s="311"/>
      <c r="EQG73" s="311"/>
      <c r="EQH73" s="311"/>
      <c r="EQI73" s="311"/>
      <c r="EQJ73" s="311"/>
      <c r="EQK73" s="311"/>
      <c r="EQL73" s="311"/>
      <c r="EQM73" s="311"/>
      <c r="EQN73" s="311"/>
      <c r="EQO73" s="311"/>
      <c r="EQP73" s="311"/>
      <c r="EQQ73" s="311"/>
      <c r="EQR73" s="311"/>
      <c r="EQS73" s="311"/>
      <c r="EQT73" s="311"/>
      <c r="EQU73" s="311"/>
      <c r="EQV73" s="311"/>
      <c r="EQW73" s="311"/>
      <c r="EQX73" s="311"/>
      <c r="EQY73" s="311"/>
      <c r="EQZ73" s="311"/>
      <c r="ERA73" s="311"/>
      <c r="ERB73" s="311"/>
      <c r="ERC73" s="311"/>
      <c r="ERD73" s="311"/>
      <c r="ERE73" s="311"/>
      <c r="ERF73" s="311"/>
      <c r="ERG73" s="311"/>
      <c r="ERH73" s="311"/>
      <c r="ERI73" s="311"/>
      <c r="ERJ73" s="311"/>
      <c r="ERK73" s="311"/>
      <c r="ERL73" s="311"/>
      <c r="ERM73" s="311"/>
      <c r="ERN73" s="311"/>
      <c r="ERO73" s="311"/>
      <c r="ERP73" s="311"/>
      <c r="ERQ73" s="311"/>
      <c r="ERR73" s="311"/>
      <c r="ERS73" s="311"/>
      <c r="ERT73" s="311"/>
      <c r="ERU73" s="311"/>
      <c r="ERV73" s="311"/>
      <c r="ERW73" s="311"/>
      <c r="ERX73" s="311"/>
      <c r="ERY73" s="311"/>
      <c r="ERZ73" s="311"/>
      <c r="ESA73" s="311"/>
      <c r="ESB73" s="311"/>
      <c r="ESC73" s="311"/>
      <c r="ESD73" s="311"/>
      <c r="ESE73" s="311"/>
      <c r="ESF73" s="311"/>
      <c r="ESG73" s="311"/>
      <c r="ESH73" s="311"/>
      <c r="ESI73" s="311"/>
      <c r="ESJ73" s="311"/>
      <c r="ESK73" s="311"/>
      <c r="ESL73" s="311"/>
      <c r="ESM73" s="311"/>
      <c r="ESN73" s="311"/>
      <c r="ESO73" s="311"/>
      <c r="ESP73" s="311"/>
      <c r="ESQ73" s="311"/>
      <c r="ESR73" s="311"/>
      <c r="ESS73" s="311"/>
      <c r="EST73" s="311"/>
      <c r="ESU73" s="311"/>
      <c r="ESV73" s="311"/>
      <c r="ESW73" s="311"/>
      <c r="ESX73" s="311"/>
      <c r="ESY73" s="311"/>
      <c r="ESZ73" s="311"/>
      <c r="ETA73" s="311"/>
      <c r="ETB73" s="311"/>
      <c r="ETC73" s="311"/>
      <c r="ETD73" s="311"/>
      <c r="ETE73" s="311"/>
      <c r="ETF73" s="311"/>
      <c r="ETG73" s="311"/>
      <c r="ETH73" s="311"/>
      <c r="ETI73" s="311"/>
      <c r="ETJ73" s="311"/>
      <c r="ETK73" s="311"/>
      <c r="ETL73" s="311"/>
      <c r="ETM73" s="311"/>
      <c r="ETN73" s="311"/>
      <c r="ETO73" s="311"/>
      <c r="ETP73" s="311"/>
      <c r="ETQ73" s="311"/>
      <c r="ETR73" s="311"/>
      <c r="ETS73" s="311"/>
      <c r="ETT73" s="311"/>
      <c r="ETU73" s="311"/>
      <c r="ETV73" s="311"/>
      <c r="ETW73" s="311"/>
      <c r="ETX73" s="311"/>
      <c r="ETY73" s="311"/>
      <c r="ETZ73" s="311"/>
      <c r="EUA73" s="311"/>
      <c r="EUB73" s="311"/>
      <c r="EUC73" s="311"/>
      <c r="EUD73" s="311"/>
      <c r="EUE73" s="311"/>
      <c r="EUF73" s="311"/>
      <c r="EUG73" s="311"/>
      <c r="EUH73" s="311"/>
      <c r="EUI73" s="311"/>
      <c r="EUJ73" s="311"/>
      <c r="EUK73" s="311"/>
      <c r="EUL73" s="311"/>
      <c r="EUM73" s="311"/>
      <c r="EUN73" s="311"/>
      <c r="EUO73" s="311"/>
      <c r="EUP73" s="311"/>
      <c r="EUQ73" s="311"/>
      <c r="EUR73" s="311"/>
      <c r="EUS73" s="311"/>
      <c r="EUT73" s="311"/>
      <c r="EUU73" s="311"/>
      <c r="EUV73" s="311"/>
      <c r="EUW73" s="311"/>
      <c r="EUX73" s="311"/>
      <c r="EUY73" s="311"/>
      <c r="EUZ73" s="311"/>
      <c r="EVA73" s="311"/>
      <c r="EVB73" s="311"/>
      <c r="EVC73" s="311"/>
      <c r="EVD73" s="311"/>
      <c r="EVE73" s="311"/>
      <c r="EVF73" s="311"/>
      <c r="EVG73" s="311"/>
      <c r="EVH73" s="311"/>
      <c r="EVI73" s="311"/>
      <c r="EVJ73" s="311"/>
      <c r="EVK73" s="311"/>
      <c r="EVL73" s="311"/>
      <c r="EVM73" s="311"/>
      <c r="EVN73" s="311"/>
      <c r="EVO73" s="311"/>
      <c r="EVP73" s="311"/>
      <c r="EVQ73" s="311"/>
      <c r="EVR73" s="311"/>
      <c r="EVS73" s="311"/>
      <c r="EVT73" s="311"/>
      <c r="EVU73" s="311"/>
      <c r="EVV73" s="311"/>
      <c r="EVW73" s="311"/>
      <c r="EVX73" s="311"/>
      <c r="EVY73" s="311"/>
      <c r="EVZ73" s="311"/>
      <c r="EWA73" s="311"/>
      <c r="EWB73" s="311"/>
      <c r="EWC73" s="311"/>
      <c r="EWD73" s="311"/>
      <c r="EWE73" s="311"/>
      <c r="EWF73" s="311"/>
      <c r="EWG73" s="311"/>
      <c r="EWH73" s="311"/>
      <c r="EWI73" s="311"/>
      <c r="EWJ73" s="311"/>
      <c r="EWK73" s="311"/>
      <c r="EWL73" s="311"/>
      <c r="EWM73" s="311"/>
      <c r="EWN73" s="311"/>
      <c r="EWO73" s="311"/>
      <c r="EWP73" s="311"/>
      <c r="EWQ73" s="311"/>
      <c r="EWR73" s="311"/>
      <c r="EWS73" s="311"/>
      <c r="EWT73" s="311"/>
      <c r="EWU73" s="311"/>
      <c r="EWV73" s="311"/>
      <c r="EWW73" s="311"/>
      <c r="EWX73" s="311"/>
      <c r="EWY73" s="311"/>
      <c r="EWZ73" s="311"/>
      <c r="EXA73" s="311"/>
      <c r="EXB73" s="311"/>
      <c r="EXC73" s="311"/>
      <c r="EXD73" s="311"/>
      <c r="EXE73" s="311"/>
      <c r="EXF73" s="311"/>
      <c r="EXG73" s="311"/>
      <c r="EXH73" s="311"/>
      <c r="EXI73" s="311"/>
      <c r="EXJ73" s="311"/>
      <c r="EXK73" s="311"/>
      <c r="EXL73" s="311"/>
      <c r="EXM73" s="311"/>
      <c r="EXN73" s="311"/>
      <c r="EXO73" s="311"/>
      <c r="EXP73" s="311"/>
      <c r="EXQ73" s="311"/>
      <c r="EXR73" s="311"/>
      <c r="EXS73" s="311"/>
      <c r="EXT73" s="311"/>
      <c r="EXU73" s="311"/>
      <c r="EXV73" s="311"/>
      <c r="EXW73" s="311"/>
      <c r="EXX73" s="311"/>
      <c r="EXY73" s="311"/>
      <c r="EXZ73" s="311"/>
      <c r="EYA73" s="311"/>
      <c r="EYB73" s="311"/>
      <c r="EYC73" s="311"/>
      <c r="EYD73" s="311"/>
      <c r="EYE73" s="311"/>
      <c r="EYF73" s="311"/>
      <c r="EYG73" s="311"/>
      <c r="EYH73" s="311"/>
      <c r="EYI73" s="311"/>
      <c r="EYJ73" s="311"/>
      <c r="EYK73" s="311"/>
      <c r="EYL73" s="311"/>
      <c r="EYM73" s="311"/>
      <c r="EYN73" s="311"/>
      <c r="EYO73" s="311"/>
      <c r="EYP73" s="311"/>
      <c r="EYQ73" s="311"/>
      <c r="EYR73" s="311"/>
      <c r="EYS73" s="311"/>
      <c r="EYT73" s="311"/>
      <c r="EYU73" s="311"/>
      <c r="EYV73" s="311"/>
      <c r="EYW73" s="311"/>
      <c r="EYX73" s="311"/>
      <c r="EYY73" s="311"/>
      <c r="EYZ73" s="311"/>
      <c r="EZA73" s="311"/>
      <c r="EZB73" s="311"/>
      <c r="EZC73" s="311"/>
      <c r="EZD73" s="311"/>
      <c r="EZE73" s="311"/>
      <c r="EZF73" s="311"/>
      <c r="EZG73" s="311"/>
      <c r="EZH73" s="311"/>
      <c r="EZI73" s="311"/>
      <c r="EZJ73" s="311"/>
      <c r="EZK73" s="311"/>
      <c r="EZL73" s="311"/>
      <c r="EZM73" s="311"/>
      <c r="EZN73" s="311"/>
      <c r="EZO73" s="311"/>
      <c r="EZP73" s="311"/>
      <c r="EZQ73" s="311"/>
      <c r="EZR73" s="311"/>
      <c r="EZS73" s="311"/>
      <c r="EZT73" s="311"/>
      <c r="EZU73" s="311"/>
      <c r="EZV73" s="311"/>
      <c r="EZW73" s="311"/>
      <c r="EZX73" s="311"/>
      <c r="EZY73" s="311"/>
      <c r="EZZ73" s="311"/>
      <c r="FAA73" s="311"/>
      <c r="FAB73" s="311"/>
      <c r="FAC73" s="311"/>
      <c r="FAD73" s="311"/>
      <c r="FAE73" s="311"/>
      <c r="FAF73" s="311"/>
      <c r="FAG73" s="311"/>
      <c r="FAH73" s="311"/>
      <c r="FAI73" s="311"/>
      <c r="FAJ73" s="311"/>
      <c r="FAK73" s="311"/>
      <c r="FAL73" s="311"/>
      <c r="FAM73" s="311"/>
      <c r="FAN73" s="311"/>
      <c r="FAO73" s="311"/>
      <c r="FAP73" s="311"/>
      <c r="FAQ73" s="311"/>
      <c r="FAR73" s="311"/>
      <c r="FAS73" s="311"/>
      <c r="FAT73" s="311"/>
      <c r="FAU73" s="311"/>
      <c r="FAV73" s="311"/>
      <c r="FAW73" s="311"/>
      <c r="FAX73" s="311"/>
      <c r="FAY73" s="311"/>
      <c r="FAZ73" s="311"/>
      <c r="FBA73" s="311"/>
      <c r="FBB73" s="311"/>
      <c r="FBC73" s="311"/>
      <c r="FBD73" s="311"/>
      <c r="FBE73" s="311"/>
      <c r="FBF73" s="311"/>
      <c r="FBG73" s="311"/>
      <c r="FBH73" s="311"/>
      <c r="FBI73" s="311"/>
      <c r="FBJ73" s="311"/>
      <c r="FBK73" s="311"/>
      <c r="FBL73" s="311"/>
      <c r="FBM73" s="311"/>
      <c r="FBN73" s="311"/>
      <c r="FBO73" s="311"/>
      <c r="FBP73" s="311"/>
      <c r="FBQ73" s="311"/>
      <c r="FBR73" s="311"/>
      <c r="FBS73" s="311"/>
      <c r="FBT73" s="311"/>
      <c r="FBU73" s="311"/>
      <c r="FBV73" s="311"/>
      <c r="FBW73" s="311"/>
      <c r="FBX73" s="311"/>
      <c r="FBY73" s="311"/>
      <c r="FBZ73" s="311"/>
      <c r="FCA73" s="311"/>
      <c r="FCB73" s="311"/>
      <c r="FCC73" s="311"/>
      <c r="FCD73" s="311"/>
      <c r="FCE73" s="311"/>
      <c r="FCF73" s="311"/>
      <c r="FCG73" s="311"/>
      <c r="FCH73" s="311"/>
      <c r="FCI73" s="311"/>
      <c r="FCJ73" s="311"/>
      <c r="FCK73" s="311"/>
      <c r="FCL73" s="311"/>
      <c r="FCM73" s="311"/>
      <c r="FCN73" s="311"/>
      <c r="FCO73" s="311"/>
      <c r="FCP73" s="311"/>
      <c r="FCQ73" s="311"/>
      <c r="FCR73" s="311"/>
      <c r="FCS73" s="311"/>
      <c r="FCT73" s="311"/>
      <c r="FCU73" s="311"/>
      <c r="FCV73" s="311"/>
      <c r="FCW73" s="311"/>
      <c r="FCX73" s="311"/>
      <c r="FCY73" s="311"/>
      <c r="FCZ73" s="311"/>
      <c r="FDA73" s="311"/>
      <c r="FDB73" s="311"/>
      <c r="FDC73" s="311"/>
      <c r="FDD73" s="311"/>
      <c r="FDE73" s="311"/>
      <c r="FDF73" s="311"/>
      <c r="FDG73" s="311"/>
      <c r="FDH73" s="311"/>
      <c r="FDI73" s="311"/>
      <c r="FDJ73" s="311"/>
      <c r="FDK73" s="311"/>
      <c r="FDL73" s="311"/>
      <c r="FDM73" s="311"/>
      <c r="FDN73" s="311"/>
      <c r="FDO73" s="311"/>
      <c r="FDP73" s="311"/>
      <c r="FDQ73" s="311"/>
      <c r="FDR73" s="311"/>
      <c r="FDS73" s="311"/>
      <c r="FDT73" s="311"/>
      <c r="FDU73" s="311"/>
      <c r="FDV73" s="311"/>
      <c r="FDW73" s="311"/>
      <c r="FDX73" s="311"/>
      <c r="FDY73" s="311"/>
      <c r="FDZ73" s="311"/>
      <c r="FEA73" s="311"/>
      <c r="FEB73" s="311"/>
      <c r="FEC73" s="311"/>
      <c r="FED73" s="311"/>
      <c r="FEE73" s="311"/>
      <c r="FEF73" s="311"/>
      <c r="FEG73" s="311"/>
      <c r="FEH73" s="311"/>
      <c r="FEI73" s="311"/>
      <c r="FEJ73" s="311"/>
      <c r="FEK73" s="311"/>
      <c r="FEL73" s="311"/>
      <c r="FEM73" s="311"/>
      <c r="FEN73" s="311"/>
      <c r="FEO73" s="311"/>
      <c r="FEP73" s="311"/>
      <c r="FEQ73" s="311"/>
      <c r="FER73" s="311"/>
      <c r="FES73" s="311"/>
      <c r="FET73" s="311"/>
      <c r="FEU73" s="311"/>
      <c r="FEV73" s="311"/>
      <c r="FEW73" s="311"/>
      <c r="FEX73" s="311"/>
      <c r="FEY73" s="311"/>
      <c r="FEZ73" s="311"/>
      <c r="FFA73" s="311"/>
      <c r="FFB73" s="311"/>
      <c r="FFC73" s="311"/>
      <c r="FFD73" s="311"/>
      <c r="FFE73" s="311"/>
      <c r="FFF73" s="311"/>
      <c r="FFG73" s="311"/>
      <c r="FFH73" s="311"/>
      <c r="FFI73" s="311"/>
      <c r="FFJ73" s="311"/>
      <c r="FFK73" s="311"/>
      <c r="FFL73" s="311"/>
      <c r="FFM73" s="311"/>
      <c r="FFN73" s="311"/>
      <c r="FFO73" s="311"/>
      <c r="FFP73" s="311"/>
      <c r="FFQ73" s="311"/>
      <c r="FFR73" s="311"/>
      <c r="FFS73" s="311"/>
      <c r="FFT73" s="311"/>
      <c r="FFU73" s="311"/>
      <c r="FFV73" s="311"/>
      <c r="FFW73" s="311"/>
      <c r="FFX73" s="311"/>
      <c r="FFY73" s="311"/>
      <c r="FFZ73" s="311"/>
      <c r="FGA73" s="311"/>
      <c r="FGB73" s="311"/>
      <c r="FGC73" s="311"/>
      <c r="FGD73" s="311"/>
      <c r="FGE73" s="311"/>
      <c r="FGF73" s="311"/>
      <c r="FGG73" s="311"/>
      <c r="FGH73" s="311"/>
      <c r="FGI73" s="311"/>
      <c r="FGJ73" s="311"/>
      <c r="FGK73" s="311"/>
      <c r="FGL73" s="311"/>
      <c r="FGM73" s="311"/>
      <c r="FGN73" s="311"/>
      <c r="FGO73" s="311"/>
      <c r="FGP73" s="311"/>
      <c r="FGQ73" s="311"/>
      <c r="FGR73" s="311"/>
      <c r="FGS73" s="311"/>
      <c r="FGT73" s="311"/>
      <c r="FGU73" s="311"/>
      <c r="FGV73" s="311"/>
      <c r="FGW73" s="311"/>
      <c r="FGX73" s="311"/>
      <c r="FGY73" s="311"/>
      <c r="FGZ73" s="311"/>
      <c r="FHA73" s="311"/>
      <c r="FHB73" s="311"/>
      <c r="FHC73" s="311"/>
      <c r="FHD73" s="311"/>
      <c r="FHE73" s="311"/>
      <c r="FHF73" s="311"/>
      <c r="FHG73" s="311"/>
      <c r="FHH73" s="311"/>
      <c r="FHI73" s="311"/>
      <c r="FHJ73" s="311"/>
      <c r="FHK73" s="311"/>
      <c r="FHL73" s="311"/>
      <c r="FHM73" s="311"/>
      <c r="FHN73" s="311"/>
      <c r="FHO73" s="311"/>
      <c r="FHP73" s="311"/>
      <c r="FHQ73" s="311"/>
      <c r="FHR73" s="311"/>
      <c r="FHS73" s="311"/>
      <c r="FHT73" s="311"/>
      <c r="FHU73" s="311"/>
      <c r="FHV73" s="311"/>
      <c r="FHW73" s="311"/>
      <c r="FHX73" s="311"/>
      <c r="FHY73" s="311"/>
      <c r="FHZ73" s="311"/>
      <c r="FIA73" s="311"/>
      <c r="FIB73" s="311"/>
      <c r="FIC73" s="311"/>
      <c r="FID73" s="311"/>
      <c r="FIE73" s="311"/>
      <c r="FIF73" s="311"/>
      <c r="FIG73" s="311"/>
      <c r="FIH73" s="311"/>
      <c r="FII73" s="311"/>
      <c r="FIJ73" s="311"/>
      <c r="FIK73" s="311"/>
      <c r="FIL73" s="311"/>
      <c r="FIM73" s="311"/>
      <c r="FIN73" s="311"/>
      <c r="FIO73" s="311"/>
      <c r="FIP73" s="311"/>
      <c r="FIQ73" s="311"/>
      <c r="FIR73" s="311"/>
      <c r="FIS73" s="311"/>
      <c r="FIT73" s="311"/>
      <c r="FIU73" s="311"/>
      <c r="FIV73" s="311"/>
      <c r="FIW73" s="311"/>
      <c r="FIX73" s="311"/>
      <c r="FIY73" s="311"/>
      <c r="FIZ73" s="311"/>
      <c r="FJA73" s="311"/>
      <c r="FJB73" s="311"/>
      <c r="FJC73" s="311"/>
      <c r="FJD73" s="311"/>
      <c r="FJE73" s="311"/>
      <c r="FJF73" s="311"/>
      <c r="FJG73" s="311"/>
      <c r="FJH73" s="311"/>
      <c r="FJI73" s="311"/>
      <c r="FJJ73" s="311"/>
      <c r="FJK73" s="311"/>
      <c r="FJL73" s="311"/>
      <c r="FJM73" s="311"/>
      <c r="FJN73" s="311"/>
      <c r="FJO73" s="311"/>
      <c r="FJP73" s="311"/>
      <c r="FJQ73" s="311"/>
      <c r="FJR73" s="311"/>
      <c r="FJS73" s="311"/>
      <c r="FJT73" s="311"/>
      <c r="FJU73" s="311"/>
      <c r="FJV73" s="311"/>
      <c r="FJW73" s="311"/>
      <c r="FJX73" s="311"/>
      <c r="FJY73" s="311"/>
      <c r="FJZ73" s="311"/>
      <c r="FKA73" s="311"/>
      <c r="FKB73" s="311"/>
      <c r="FKC73" s="311"/>
      <c r="FKD73" s="311"/>
      <c r="FKE73" s="311"/>
      <c r="FKF73" s="311"/>
      <c r="FKG73" s="311"/>
      <c r="FKH73" s="311"/>
      <c r="FKI73" s="311"/>
      <c r="FKJ73" s="311"/>
      <c r="FKK73" s="311"/>
      <c r="FKL73" s="311"/>
      <c r="FKM73" s="311"/>
      <c r="FKN73" s="311"/>
      <c r="FKO73" s="311"/>
      <c r="FKP73" s="311"/>
      <c r="FKQ73" s="311"/>
      <c r="FKR73" s="311"/>
      <c r="FKS73" s="311"/>
      <c r="FKT73" s="311"/>
      <c r="FKU73" s="311"/>
      <c r="FKV73" s="311"/>
      <c r="FKW73" s="311"/>
      <c r="FKX73" s="311"/>
      <c r="FKY73" s="311"/>
      <c r="FKZ73" s="311"/>
      <c r="FLA73" s="311"/>
      <c r="FLB73" s="311"/>
      <c r="FLC73" s="311"/>
      <c r="FLD73" s="311"/>
      <c r="FLE73" s="311"/>
      <c r="FLF73" s="311"/>
      <c r="FLG73" s="311"/>
      <c r="FLH73" s="311"/>
      <c r="FLI73" s="311"/>
      <c r="FLJ73" s="311"/>
      <c r="FLK73" s="311"/>
      <c r="FLL73" s="311"/>
      <c r="FLM73" s="311"/>
      <c r="FLN73" s="311"/>
      <c r="FLO73" s="311"/>
      <c r="FLP73" s="311"/>
      <c r="FLQ73" s="311"/>
      <c r="FLR73" s="311"/>
      <c r="FLS73" s="311"/>
      <c r="FLT73" s="311"/>
      <c r="FLU73" s="311"/>
      <c r="FLV73" s="311"/>
      <c r="FLW73" s="311"/>
      <c r="FLX73" s="311"/>
      <c r="FLY73" s="311"/>
      <c r="FLZ73" s="311"/>
      <c r="FMA73" s="311"/>
      <c r="FMB73" s="311"/>
      <c r="FMC73" s="311"/>
      <c r="FMD73" s="311"/>
      <c r="FME73" s="311"/>
      <c r="FMF73" s="311"/>
      <c r="FMG73" s="311"/>
      <c r="FMH73" s="311"/>
      <c r="FMI73" s="311"/>
      <c r="FMJ73" s="311"/>
      <c r="FMK73" s="311"/>
      <c r="FML73" s="311"/>
      <c r="FMM73" s="311"/>
      <c r="FMN73" s="311"/>
      <c r="FMO73" s="311"/>
      <c r="FMP73" s="311"/>
      <c r="FMQ73" s="311"/>
      <c r="FMR73" s="311"/>
      <c r="FMS73" s="311"/>
      <c r="FMT73" s="311"/>
      <c r="FMU73" s="311"/>
      <c r="FMV73" s="311"/>
      <c r="FMW73" s="311"/>
      <c r="FMX73" s="311"/>
      <c r="FMY73" s="311"/>
      <c r="FMZ73" s="311"/>
      <c r="FNA73" s="311"/>
      <c r="FNB73" s="311"/>
      <c r="FNC73" s="311"/>
      <c r="FND73" s="311"/>
      <c r="FNE73" s="311"/>
      <c r="FNF73" s="311"/>
      <c r="FNG73" s="311"/>
      <c r="FNH73" s="311"/>
      <c r="FNI73" s="311"/>
      <c r="FNJ73" s="311"/>
      <c r="FNK73" s="311"/>
      <c r="FNL73" s="311"/>
      <c r="FNM73" s="311"/>
      <c r="FNN73" s="311"/>
      <c r="FNO73" s="311"/>
      <c r="FNP73" s="311"/>
      <c r="FNQ73" s="311"/>
      <c r="FNR73" s="311"/>
      <c r="FNS73" s="311"/>
      <c r="FNT73" s="311"/>
      <c r="FNU73" s="311"/>
      <c r="FNV73" s="311"/>
      <c r="FNW73" s="311"/>
      <c r="FNX73" s="311"/>
      <c r="FNY73" s="311"/>
      <c r="FNZ73" s="311"/>
      <c r="FOA73" s="311"/>
      <c r="FOB73" s="311"/>
      <c r="FOC73" s="311"/>
      <c r="FOD73" s="311"/>
      <c r="FOE73" s="311"/>
      <c r="FOF73" s="311"/>
      <c r="FOG73" s="311"/>
      <c r="FOH73" s="311"/>
      <c r="FOI73" s="311"/>
      <c r="FOJ73" s="311"/>
      <c r="FOK73" s="311"/>
      <c r="FOL73" s="311"/>
      <c r="FOM73" s="311"/>
      <c r="FON73" s="311"/>
      <c r="FOO73" s="311"/>
      <c r="FOP73" s="311"/>
      <c r="FOQ73" s="311"/>
      <c r="FOR73" s="311"/>
      <c r="FOS73" s="311"/>
      <c r="FOT73" s="311"/>
      <c r="FOU73" s="311"/>
      <c r="FOV73" s="311"/>
      <c r="FOW73" s="311"/>
      <c r="FOX73" s="311"/>
      <c r="FOY73" s="311"/>
      <c r="FOZ73" s="311"/>
      <c r="FPA73" s="311"/>
      <c r="FPB73" s="311"/>
      <c r="FPC73" s="311"/>
      <c r="FPD73" s="311"/>
      <c r="FPE73" s="311"/>
      <c r="FPF73" s="311"/>
      <c r="FPG73" s="311"/>
      <c r="FPH73" s="311"/>
      <c r="FPI73" s="311"/>
      <c r="FPJ73" s="311"/>
      <c r="FPK73" s="311"/>
      <c r="FPL73" s="311"/>
      <c r="FPM73" s="311"/>
      <c r="FPN73" s="311"/>
      <c r="FPO73" s="311"/>
      <c r="FPP73" s="311"/>
      <c r="FPQ73" s="311"/>
      <c r="FPR73" s="311"/>
      <c r="FPS73" s="311"/>
      <c r="FPT73" s="311"/>
      <c r="FPU73" s="311"/>
      <c r="FPV73" s="311"/>
      <c r="FPW73" s="311"/>
      <c r="FPX73" s="311"/>
      <c r="FPY73" s="311"/>
      <c r="FPZ73" s="311"/>
      <c r="FQA73" s="311"/>
      <c r="FQB73" s="311"/>
      <c r="FQC73" s="311"/>
      <c r="FQD73" s="311"/>
      <c r="FQE73" s="311"/>
      <c r="FQF73" s="311"/>
      <c r="FQG73" s="311"/>
      <c r="FQH73" s="311"/>
      <c r="FQI73" s="311"/>
      <c r="FQJ73" s="311"/>
      <c r="FQK73" s="311"/>
      <c r="FQL73" s="311"/>
      <c r="FQM73" s="311"/>
      <c r="FQN73" s="311"/>
      <c r="FQO73" s="311"/>
      <c r="FQP73" s="311"/>
      <c r="FQQ73" s="311"/>
      <c r="FQR73" s="311"/>
      <c r="FQS73" s="311"/>
      <c r="FQT73" s="311"/>
      <c r="FQU73" s="311"/>
      <c r="FQV73" s="311"/>
      <c r="FQW73" s="311"/>
      <c r="FQX73" s="311"/>
      <c r="FQY73" s="311"/>
      <c r="FQZ73" s="311"/>
      <c r="FRA73" s="311"/>
      <c r="FRB73" s="311"/>
      <c r="FRC73" s="311"/>
      <c r="FRD73" s="311"/>
      <c r="FRE73" s="311"/>
      <c r="FRF73" s="311"/>
      <c r="FRG73" s="311"/>
      <c r="FRH73" s="311"/>
      <c r="FRI73" s="311"/>
      <c r="FRJ73" s="311"/>
      <c r="FRK73" s="311"/>
      <c r="FRL73" s="311"/>
      <c r="FRM73" s="311"/>
      <c r="FRN73" s="311"/>
      <c r="FRO73" s="311"/>
      <c r="FRP73" s="311"/>
      <c r="FRQ73" s="311"/>
      <c r="FRR73" s="311"/>
      <c r="FRS73" s="311"/>
      <c r="FRT73" s="311"/>
      <c r="FRU73" s="311"/>
      <c r="FRV73" s="311"/>
      <c r="FRW73" s="311"/>
      <c r="FRX73" s="311"/>
      <c r="FRY73" s="311"/>
      <c r="FRZ73" s="311"/>
      <c r="FSA73" s="311"/>
      <c r="FSB73" s="311"/>
      <c r="FSC73" s="311"/>
      <c r="FSD73" s="311"/>
      <c r="FSE73" s="311"/>
      <c r="FSF73" s="311"/>
      <c r="FSG73" s="311"/>
      <c r="FSH73" s="311"/>
      <c r="FSI73" s="311"/>
      <c r="FSJ73" s="311"/>
      <c r="FSK73" s="311"/>
      <c r="FSL73" s="311"/>
      <c r="FSM73" s="311"/>
      <c r="FSN73" s="311"/>
      <c r="FSO73" s="311"/>
      <c r="FSP73" s="311"/>
      <c r="FSQ73" s="311"/>
      <c r="FSR73" s="311"/>
      <c r="FSS73" s="311"/>
      <c r="FST73" s="311"/>
      <c r="FSU73" s="311"/>
      <c r="FSV73" s="311"/>
      <c r="FSW73" s="311"/>
      <c r="FSX73" s="311"/>
      <c r="FSY73" s="311"/>
      <c r="FSZ73" s="311"/>
      <c r="FTA73" s="311"/>
      <c r="FTB73" s="311"/>
      <c r="FTC73" s="311"/>
      <c r="FTD73" s="311"/>
      <c r="FTE73" s="311"/>
      <c r="FTF73" s="311"/>
      <c r="FTG73" s="311"/>
      <c r="FTH73" s="311"/>
      <c r="FTI73" s="311"/>
      <c r="FTJ73" s="311"/>
      <c r="FTK73" s="311"/>
      <c r="FTL73" s="311"/>
      <c r="FTM73" s="311"/>
      <c r="FTN73" s="311"/>
      <c r="FTO73" s="311"/>
      <c r="FTP73" s="311"/>
      <c r="FTQ73" s="311"/>
      <c r="FTR73" s="311"/>
      <c r="FTS73" s="311"/>
      <c r="FTT73" s="311"/>
      <c r="FTU73" s="311"/>
      <c r="FTV73" s="311"/>
      <c r="FTW73" s="311"/>
      <c r="FTX73" s="311"/>
      <c r="FTY73" s="311"/>
      <c r="FTZ73" s="311"/>
      <c r="FUA73" s="311"/>
      <c r="FUB73" s="311"/>
      <c r="FUC73" s="311"/>
      <c r="FUD73" s="311"/>
      <c r="FUE73" s="311"/>
      <c r="FUF73" s="311"/>
      <c r="FUG73" s="311"/>
      <c r="FUH73" s="311"/>
      <c r="FUI73" s="311"/>
      <c r="FUJ73" s="311"/>
      <c r="FUK73" s="311"/>
      <c r="FUL73" s="311"/>
      <c r="FUM73" s="311"/>
      <c r="FUN73" s="311"/>
      <c r="FUO73" s="311"/>
      <c r="FUP73" s="311"/>
      <c r="FUQ73" s="311"/>
      <c r="FUR73" s="311"/>
      <c r="FUS73" s="311"/>
      <c r="FUT73" s="311"/>
      <c r="FUU73" s="311"/>
      <c r="FUV73" s="311"/>
      <c r="FUW73" s="311"/>
      <c r="FUX73" s="311"/>
      <c r="FUY73" s="311"/>
      <c r="FUZ73" s="311"/>
      <c r="FVA73" s="311"/>
      <c r="FVB73" s="311"/>
      <c r="FVC73" s="311"/>
      <c r="FVD73" s="311"/>
      <c r="FVE73" s="311"/>
      <c r="FVF73" s="311"/>
      <c r="FVG73" s="311"/>
      <c r="FVH73" s="311"/>
      <c r="FVI73" s="311"/>
      <c r="FVJ73" s="311"/>
      <c r="FVK73" s="311"/>
      <c r="FVL73" s="311"/>
      <c r="FVM73" s="311"/>
      <c r="FVN73" s="311"/>
      <c r="FVO73" s="311"/>
      <c r="FVP73" s="311"/>
      <c r="FVQ73" s="311"/>
      <c r="FVR73" s="311"/>
      <c r="FVS73" s="311"/>
      <c r="FVT73" s="311"/>
      <c r="FVU73" s="311"/>
      <c r="FVV73" s="311"/>
      <c r="FVW73" s="311"/>
      <c r="FVX73" s="311"/>
      <c r="FVY73" s="311"/>
      <c r="FVZ73" s="311"/>
      <c r="FWA73" s="311"/>
      <c r="FWB73" s="311"/>
      <c r="FWC73" s="311"/>
      <c r="FWD73" s="311"/>
      <c r="FWE73" s="311"/>
      <c r="FWF73" s="311"/>
      <c r="FWG73" s="311"/>
      <c r="FWH73" s="311"/>
      <c r="FWI73" s="311"/>
      <c r="FWJ73" s="311"/>
      <c r="FWK73" s="311"/>
      <c r="FWL73" s="311"/>
      <c r="FWM73" s="311"/>
      <c r="FWN73" s="311"/>
      <c r="FWO73" s="311"/>
      <c r="FWP73" s="311"/>
      <c r="FWQ73" s="311"/>
      <c r="FWR73" s="311"/>
      <c r="FWS73" s="311"/>
      <c r="FWT73" s="311"/>
      <c r="FWU73" s="311"/>
      <c r="FWV73" s="311"/>
      <c r="FWW73" s="311"/>
      <c r="FWX73" s="311"/>
      <c r="FWY73" s="311"/>
      <c r="FWZ73" s="311"/>
      <c r="FXA73" s="311"/>
      <c r="FXB73" s="311"/>
      <c r="FXC73" s="311"/>
      <c r="FXD73" s="311"/>
      <c r="FXE73" s="311"/>
      <c r="FXF73" s="311"/>
      <c r="FXG73" s="311"/>
      <c r="FXH73" s="311"/>
      <c r="FXI73" s="311"/>
      <c r="FXJ73" s="311"/>
      <c r="FXK73" s="311"/>
      <c r="FXL73" s="311"/>
      <c r="FXM73" s="311"/>
      <c r="FXN73" s="311"/>
      <c r="FXO73" s="311"/>
      <c r="FXP73" s="311"/>
      <c r="FXQ73" s="311"/>
      <c r="FXR73" s="311"/>
      <c r="FXS73" s="311"/>
      <c r="FXT73" s="311"/>
      <c r="FXU73" s="311"/>
      <c r="FXV73" s="311"/>
      <c r="FXW73" s="311"/>
      <c r="FXX73" s="311"/>
      <c r="FXY73" s="311"/>
      <c r="FXZ73" s="311"/>
      <c r="FYA73" s="311"/>
      <c r="FYB73" s="311"/>
      <c r="FYC73" s="311"/>
      <c r="FYD73" s="311"/>
      <c r="FYE73" s="311"/>
      <c r="FYF73" s="311"/>
      <c r="FYG73" s="311"/>
      <c r="FYH73" s="311"/>
      <c r="FYI73" s="311"/>
      <c r="FYJ73" s="311"/>
      <c r="FYK73" s="311"/>
      <c r="FYL73" s="311"/>
      <c r="FYM73" s="311"/>
      <c r="FYN73" s="311"/>
      <c r="FYO73" s="311"/>
      <c r="FYP73" s="311"/>
      <c r="FYQ73" s="311"/>
      <c r="FYR73" s="311"/>
      <c r="FYS73" s="311"/>
      <c r="FYT73" s="311"/>
      <c r="FYU73" s="311"/>
      <c r="FYV73" s="311"/>
      <c r="FYW73" s="311"/>
      <c r="FYX73" s="311"/>
      <c r="FYY73" s="311"/>
      <c r="FYZ73" s="311"/>
      <c r="FZA73" s="311"/>
      <c r="FZB73" s="311"/>
      <c r="FZC73" s="311"/>
      <c r="FZD73" s="311"/>
      <c r="FZE73" s="311"/>
      <c r="FZF73" s="311"/>
      <c r="FZG73" s="311"/>
      <c r="FZH73" s="311"/>
      <c r="FZI73" s="311"/>
      <c r="FZJ73" s="311"/>
      <c r="FZK73" s="311"/>
      <c r="FZL73" s="311"/>
      <c r="FZM73" s="311"/>
      <c r="FZN73" s="311"/>
      <c r="FZO73" s="311"/>
      <c r="FZP73" s="311"/>
      <c r="FZQ73" s="311"/>
      <c r="FZR73" s="311"/>
      <c r="FZS73" s="311"/>
      <c r="FZT73" s="311"/>
      <c r="FZU73" s="311"/>
      <c r="FZV73" s="311"/>
      <c r="FZW73" s="311"/>
      <c r="FZX73" s="311"/>
      <c r="FZY73" s="311"/>
      <c r="FZZ73" s="311"/>
      <c r="GAA73" s="311"/>
      <c r="GAB73" s="311"/>
      <c r="GAC73" s="311"/>
      <c r="GAD73" s="311"/>
      <c r="GAE73" s="311"/>
      <c r="GAF73" s="311"/>
      <c r="GAG73" s="311"/>
      <c r="GAH73" s="311"/>
      <c r="GAI73" s="311"/>
      <c r="GAJ73" s="311"/>
      <c r="GAK73" s="311"/>
      <c r="GAL73" s="311"/>
      <c r="GAM73" s="311"/>
      <c r="GAN73" s="311"/>
      <c r="GAO73" s="311"/>
      <c r="GAP73" s="311"/>
      <c r="GAQ73" s="311"/>
      <c r="GAR73" s="311"/>
      <c r="GAS73" s="311"/>
      <c r="GAT73" s="311"/>
      <c r="GAU73" s="311"/>
      <c r="GAV73" s="311"/>
      <c r="GAW73" s="311"/>
      <c r="GAX73" s="311"/>
      <c r="GAY73" s="311"/>
      <c r="GAZ73" s="311"/>
      <c r="GBA73" s="311"/>
      <c r="GBB73" s="311"/>
      <c r="GBC73" s="311"/>
      <c r="GBD73" s="311"/>
      <c r="GBE73" s="311"/>
      <c r="GBF73" s="311"/>
      <c r="GBG73" s="311"/>
      <c r="GBH73" s="311"/>
      <c r="GBI73" s="311"/>
      <c r="GBJ73" s="311"/>
      <c r="GBK73" s="311"/>
      <c r="GBL73" s="311"/>
      <c r="GBM73" s="311"/>
      <c r="GBN73" s="311"/>
      <c r="GBO73" s="311"/>
      <c r="GBP73" s="311"/>
      <c r="GBQ73" s="311"/>
      <c r="GBR73" s="311"/>
      <c r="GBS73" s="311"/>
      <c r="GBT73" s="311"/>
      <c r="GBU73" s="311"/>
      <c r="GBV73" s="311"/>
      <c r="GBW73" s="311"/>
      <c r="GBX73" s="311"/>
      <c r="GBY73" s="311"/>
      <c r="GBZ73" s="311"/>
      <c r="GCA73" s="311"/>
      <c r="GCB73" s="311"/>
      <c r="GCC73" s="311"/>
      <c r="GCD73" s="311"/>
      <c r="GCE73" s="311"/>
      <c r="GCF73" s="311"/>
      <c r="GCG73" s="311"/>
      <c r="GCH73" s="311"/>
      <c r="GCI73" s="311"/>
      <c r="GCJ73" s="311"/>
      <c r="GCK73" s="311"/>
      <c r="GCL73" s="311"/>
      <c r="GCM73" s="311"/>
      <c r="GCN73" s="311"/>
      <c r="GCO73" s="311"/>
      <c r="GCP73" s="311"/>
      <c r="GCQ73" s="311"/>
      <c r="GCR73" s="311"/>
      <c r="GCS73" s="311"/>
      <c r="GCT73" s="311"/>
      <c r="GCU73" s="311"/>
      <c r="GCV73" s="311"/>
      <c r="GCW73" s="311"/>
      <c r="GCX73" s="311"/>
      <c r="GCY73" s="311"/>
      <c r="GCZ73" s="311"/>
      <c r="GDA73" s="311"/>
      <c r="GDB73" s="311"/>
      <c r="GDC73" s="311"/>
      <c r="GDD73" s="311"/>
      <c r="GDE73" s="311"/>
      <c r="GDF73" s="311"/>
      <c r="GDG73" s="311"/>
      <c r="GDH73" s="311"/>
      <c r="GDI73" s="311"/>
      <c r="GDJ73" s="311"/>
      <c r="GDK73" s="311"/>
      <c r="GDL73" s="311"/>
      <c r="GDM73" s="311"/>
      <c r="GDN73" s="311"/>
      <c r="GDO73" s="311"/>
      <c r="GDP73" s="311"/>
      <c r="GDQ73" s="311"/>
      <c r="GDR73" s="311"/>
      <c r="GDS73" s="311"/>
      <c r="GDT73" s="311"/>
      <c r="GDU73" s="311"/>
      <c r="GDV73" s="311"/>
      <c r="GDW73" s="311"/>
      <c r="GDX73" s="311"/>
      <c r="GDY73" s="311"/>
      <c r="GDZ73" s="311"/>
      <c r="GEA73" s="311"/>
      <c r="GEB73" s="311"/>
      <c r="GEC73" s="311"/>
      <c r="GED73" s="311"/>
      <c r="GEE73" s="311"/>
      <c r="GEF73" s="311"/>
      <c r="GEG73" s="311"/>
      <c r="GEH73" s="311"/>
      <c r="GEI73" s="311"/>
      <c r="GEJ73" s="311"/>
      <c r="GEK73" s="311"/>
      <c r="GEL73" s="311"/>
      <c r="GEM73" s="311"/>
      <c r="GEN73" s="311"/>
      <c r="GEO73" s="311"/>
      <c r="GEP73" s="311"/>
      <c r="GEQ73" s="311"/>
      <c r="GER73" s="311"/>
      <c r="GES73" s="311"/>
      <c r="GET73" s="311"/>
      <c r="GEU73" s="311"/>
      <c r="GEV73" s="311"/>
      <c r="GEW73" s="311"/>
      <c r="GEX73" s="311"/>
      <c r="GEY73" s="311"/>
      <c r="GEZ73" s="311"/>
      <c r="GFA73" s="311"/>
      <c r="GFB73" s="311"/>
      <c r="GFC73" s="311"/>
      <c r="GFD73" s="311"/>
      <c r="GFE73" s="311"/>
      <c r="GFF73" s="311"/>
      <c r="GFG73" s="311"/>
      <c r="GFH73" s="311"/>
      <c r="GFI73" s="311"/>
      <c r="GFJ73" s="311"/>
      <c r="GFK73" s="311"/>
      <c r="GFL73" s="311"/>
      <c r="GFM73" s="311"/>
      <c r="GFN73" s="311"/>
      <c r="GFO73" s="311"/>
      <c r="GFP73" s="311"/>
      <c r="GFQ73" s="311"/>
      <c r="GFR73" s="311"/>
      <c r="GFS73" s="311"/>
      <c r="GFT73" s="311"/>
      <c r="GFU73" s="311"/>
      <c r="GFV73" s="311"/>
      <c r="GFW73" s="311"/>
      <c r="GFX73" s="311"/>
      <c r="GFY73" s="311"/>
      <c r="GFZ73" s="311"/>
      <c r="GGA73" s="311"/>
      <c r="GGB73" s="311"/>
      <c r="GGC73" s="311"/>
      <c r="GGD73" s="311"/>
      <c r="GGE73" s="311"/>
      <c r="GGF73" s="311"/>
      <c r="GGG73" s="311"/>
      <c r="GGH73" s="311"/>
      <c r="GGI73" s="311"/>
      <c r="GGJ73" s="311"/>
      <c r="GGK73" s="311"/>
      <c r="GGL73" s="311"/>
      <c r="GGM73" s="311"/>
      <c r="GGN73" s="311"/>
      <c r="GGO73" s="311"/>
      <c r="GGP73" s="311"/>
      <c r="GGQ73" s="311"/>
      <c r="GGR73" s="311"/>
      <c r="GGS73" s="311"/>
      <c r="GGT73" s="311"/>
      <c r="GGU73" s="311"/>
      <c r="GGV73" s="311"/>
      <c r="GGW73" s="311"/>
      <c r="GGX73" s="311"/>
      <c r="GGY73" s="311"/>
      <c r="GGZ73" s="311"/>
      <c r="GHA73" s="311"/>
      <c r="GHB73" s="311"/>
      <c r="GHC73" s="311"/>
      <c r="GHD73" s="311"/>
      <c r="GHE73" s="311"/>
      <c r="GHF73" s="311"/>
      <c r="GHG73" s="311"/>
      <c r="GHH73" s="311"/>
      <c r="GHI73" s="311"/>
      <c r="GHJ73" s="311"/>
      <c r="GHK73" s="311"/>
      <c r="GHL73" s="311"/>
      <c r="GHM73" s="311"/>
      <c r="GHN73" s="311"/>
      <c r="GHO73" s="311"/>
      <c r="GHP73" s="311"/>
      <c r="GHQ73" s="311"/>
      <c r="GHR73" s="311"/>
      <c r="GHS73" s="311"/>
      <c r="GHT73" s="311"/>
      <c r="GHU73" s="311"/>
      <c r="GHV73" s="311"/>
      <c r="GHW73" s="311"/>
      <c r="GHX73" s="311"/>
      <c r="GHY73" s="311"/>
      <c r="GHZ73" s="311"/>
      <c r="GIA73" s="311"/>
      <c r="GIB73" s="311"/>
      <c r="GIC73" s="311"/>
      <c r="GID73" s="311"/>
      <c r="GIE73" s="311"/>
      <c r="GIF73" s="311"/>
      <c r="GIG73" s="311"/>
      <c r="GIH73" s="311"/>
      <c r="GII73" s="311"/>
      <c r="GIJ73" s="311"/>
      <c r="GIK73" s="311"/>
      <c r="GIL73" s="311"/>
      <c r="GIM73" s="311"/>
      <c r="GIN73" s="311"/>
      <c r="GIO73" s="311"/>
      <c r="GIP73" s="311"/>
      <c r="GIQ73" s="311"/>
      <c r="GIR73" s="311"/>
      <c r="GIS73" s="311"/>
      <c r="GIT73" s="311"/>
      <c r="GIU73" s="311"/>
      <c r="GIV73" s="311"/>
      <c r="GIW73" s="311"/>
      <c r="GIX73" s="311"/>
      <c r="GIY73" s="311"/>
      <c r="GIZ73" s="311"/>
      <c r="GJA73" s="311"/>
      <c r="GJB73" s="311"/>
      <c r="GJC73" s="311"/>
      <c r="GJD73" s="311"/>
      <c r="GJE73" s="311"/>
      <c r="GJF73" s="311"/>
      <c r="GJG73" s="311"/>
      <c r="GJH73" s="311"/>
      <c r="GJI73" s="311"/>
      <c r="GJJ73" s="311"/>
      <c r="GJK73" s="311"/>
      <c r="GJL73" s="311"/>
      <c r="GJM73" s="311"/>
      <c r="GJN73" s="311"/>
      <c r="GJO73" s="311"/>
      <c r="GJP73" s="311"/>
      <c r="GJQ73" s="311"/>
      <c r="GJR73" s="311"/>
      <c r="GJS73" s="311"/>
      <c r="GJT73" s="311"/>
      <c r="GJU73" s="311"/>
      <c r="GJV73" s="311"/>
      <c r="GJW73" s="311"/>
      <c r="GJX73" s="311"/>
      <c r="GJY73" s="311"/>
      <c r="GJZ73" s="311"/>
      <c r="GKA73" s="311"/>
      <c r="GKB73" s="311"/>
      <c r="GKC73" s="311"/>
      <c r="GKD73" s="311"/>
      <c r="GKE73" s="311"/>
      <c r="GKF73" s="311"/>
      <c r="GKG73" s="311"/>
      <c r="GKH73" s="311"/>
      <c r="GKI73" s="311"/>
      <c r="GKJ73" s="311"/>
      <c r="GKK73" s="311"/>
      <c r="GKL73" s="311"/>
      <c r="GKM73" s="311"/>
      <c r="GKN73" s="311"/>
      <c r="GKO73" s="311"/>
      <c r="GKP73" s="311"/>
      <c r="GKQ73" s="311"/>
      <c r="GKR73" s="311"/>
      <c r="GKS73" s="311"/>
      <c r="GKT73" s="311"/>
      <c r="GKU73" s="311"/>
      <c r="GKV73" s="311"/>
      <c r="GKW73" s="311"/>
      <c r="GKX73" s="311"/>
      <c r="GKY73" s="311"/>
      <c r="GKZ73" s="311"/>
      <c r="GLA73" s="311"/>
      <c r="GLB73" s="311"/>
      <c r="GLC73" s="311"/>
      <c r="GLD73" s="311"/>
      <c r="GLE73" s="311"/>
      <c r="GLF73" s="311"/>
      <c r="GLG73" s="311"/>
      <c r="GLH73" s="311"/>
      <c r="GLI73" s="311"/>
      <c r="GLJ73" s="311"/>
      <c r="GLK73" s="311"/>
      <c r="GLL73" s="311"/>
      <c r="GLM73" s="311"/>
      <c r="GLN73" s="311"/>
      <c r="GLO73" s="311"/>
      <c r="GLP73" s="311"/>
      <c r="GLQ73" s="311"/>
      <c r="GLR73" s="311"/>
      <c r="GLS73" s="311"/>
      <c r="GLT73" s="311"/>
      <c r="GLU73" s="311"/>
      <c r="GLV73" s="311"/>
      <c r="GLW73" s="311"/>
      <c r="GLX73" s="311"/>
      <c r="GLY73" s="311"/>
      <c r="GLZ73" s="311"/>
      <c r="GMA73" s="311"/>
      <c r="GMB73" s="311"/>
      <c r="GMC73" s="311"/>
      <c r="GMD73" s="311"/>
      <c r="GME73" s="311"/>
      <c r="GMF73" s="311"/>
      <c r="GMG73" s="311"/>
      <c r="GMH73" s="311"/>
      <c r="GMI73" s="311"/>
      <c r="GMJ73" s="311"/>
      <c r="GMK73" s="311"/>
      <c r="GML73" s="311"/>
      <c r="GMM73" s="311"/>
      <c r="GMN73" s="311"/>
      <c r="GMO73" s="311"/>
      <c r="GMP73" s="311"/>
      <c r="GMQ73" s="311"/>
      <c r="GMR73" s="311"/>
      <c r="GMS73" s="311"/>
      <c r="GMT73" s="311"/>
      <c r="GMU73" s="311"/>
      <c r="GMV73" s="311"/>
      <c r="GMW73" s="311"/>
      <c r="GMX73" s="311"/>
      <c r="GMY73" s="311"/>
      <c r="GMZ73" s="311"/>
      <c r="GNA73" s="311"/>
      <c r="GNB73" s="311"/>
      <c r="GNC73" s="311"/>
      <c r="GND73" s="311"/>
      <c r="GNE73" s="311"/>
      <c r="GNF73" s="311"/>
      <c r="GNG73" s="311"/>
      <c r="GNH73" s="311"/>
      <c r="GNI73" s="311"/>
      <c r="GNJ73" s="311"/>
      <c r="GNK73" s="311"/>
      <c r="GNL73" s="311"/>
      <c r="GNM73" s="311"/>
      <c r="GNN73" s="311"/>
      <c r="GNO73" s="311"/>
      <c r="GNP73" s="311"/>
      <c r="GNQ73" s="311"/>
      <c r="GNR73" s="311"/>
      <c r="GNS73" s="311"/>
      <c r="GNT73" s="311"/>
      <c r="GNU73" s="311"/>
      <c r="GNV73" s="311"/>
      <c r="GNW73" s="311"/>
      <c r="GNX73" s="311"/>
      <c r="GNY73" s="311"/>
      <c r="GNZ73" s="311"/>
      <c r="GOA73" s="311"/>
      <c r="GOB73" s="311"/>
      <c r="GOC73" s="311"/>
      <c r="GOD73" s="311"/>
      <c r="GOE73" s="311"/>
      <c r="GOF73" s="311"/>
      <c r="GOG73" s="311"/>
      <c r="GOH73" s="311"/>
      <c r="GOI73" s="311"/>
      <c r="GOJ73" s="311"/>
      <c r="GOK73" s="311"/>
      <c r="GOL73" s="311"/>
      <c r="GOM73" s="311"/>
      <c r="GON73" s="311"/>
      <c r="GOO73" s="311"/>
      <c r="GOP73" s="311"/>
      <c r="GOQ73" s="311"/>
      <c r="GOR73" s="311"/>
      <c r="GOS73" s="311"/>
      <c r="GOT73" s="311"/>
      <c r="GOU73" s="311"/>
      <c r="GOV73" s="311"/>
      <c r="GOW73" s="311"/>
      <c r="GOX73" s="311"/>
      <c r="GOY73" s="311"/>
      <c r="GOZ73" s="311"/>
      <c r="GPA73" s="311"/>
      <c r="GPB73" s="311"/>
      <c r="GPC73" s="311"/>
      <c r="GPD73" s="311"/>
      <c r="GPE73" s="311"/>
      <c r="GPF73" s="311"/>
      <c r="GPG73" s="311"/>
      <c r="GPH73" s="311"/>
      <c r="GPI73" s="311"/>
      <c r="GPJ73" s="311"/>
      <c r="GPK73" s="311"/>
      <c r="GPL73" s="311"/>
      <c r="GPM73" s="311"/>
      <c r="GPN73" s="311"/>
      <c r="GPO73" s="311"/>
      <c r="GPP73" s="311"/>
      <c r="GPQ73" s="311"/>
      <c r="GPR73" s="311"/>
      <c r="GPS73" s="311"/>
      <c r="GPT73" s="311"/>
      <c r="GPU73" s="311"/>
      <c r="GPV73" s="311"/>
      <c r="GPW73" s="311"/>
      <c r="GPX73" s="311"/>
      <c r="GPY73" s="311"/>
      <c r="GPZ73" s="311"/>
      <c r="GQA73" s="311"/>
      <c r="GQB73" s="311"/>
      <c r="GQC73" s="311"/>
      <c r="GQD73" s="311"/>
      <c r="GQE73" s="311"/>
      <c r="GQF73" s="311"/>
      <c r="GQG73" s="311"/>
      <c r="GQH73" s="311"/>
      <c r="GQI73" s="311"/>
      <c r="GQJ73" s="311"/>
      <c r="GQK73" s="311"/>
      <c r="GQL73" s="311"/>
      <c r="GQM73" s="311"/>
      <c r="GQN73" s="311"/>
      <c r="GQO73" s="311"/>
      <c r="GQP73" s="311"/>
      <c r="GQQ73" s="311"/>
      <c r="GQR73" s="311"/>
      <c r="GQS73" s="311"/>
      <c r="GQT73" s="311"/>
      <c r="GQU73" s="311"/>
      <c r="GQV73" s="311"/>
      <c r="GQW73" s="311"/>
      <c r="GQX73" s="311"/>
      <c r="GQY73" s="311"/>
      <c r="GQZ73" s="311"/>
      <c r="GRA73" s="311"/>
      <c r="GRB73" s="311"/>
      <c r="GRC73" s="311"/>
      <c r="GRD73" s="311"/>
      <c r="GRE73" s="311"/>
      <c r="GRF73" s="311"/>
      <c r="GRG73" s="311"/>
      <c r="GRH73" s="311"/>
      <c r="GRI73" s="311"/>
      <c r="GRJ73" s="311"/>
      <c r="GRK73" s="311"/>
      <c r="GRL73" s="311"/>
      <c r="GRM73" s="311"/>
      <c r="GRN73" s="311"/>
      <c r="GRO73" s="311"/>
      <c r="GRP73" s="311"/>
      <c r="GRQ73" s="311"/>
      <c r="GRR73" s="311"/>
      <c r="GRS73" s="311"/>
      <c r="GRT73" s="311"/>
      <c r="GRU73" s="311"/>
      <c r="GRV73" s="311"/>
      <c r="GRW73" s="311"/>
      <c r="GRX73" s="311"/>
      <c r="GRY73" s="311"/>
      <c r="GRZ73" s="311"/>
      <c r="GSA73" s="311"/>
      <c r="GSB73" s="311"/>
      <c r="GSC73" s="311"/>
      <c r="GSD73" s="311"/>
      <c r="GSE73" s="311"/>
      <c r="GSF73" s="311"/>
      <c r="GSG73" s="311"/>
      <c r="GSH73" s="311"/>
      <c r="GSI73" s="311"/>
      <c r="GSJ73" s="311"/>
      <c r="GSK73" s="311"/>
      <c r="GSL73" s="311"/>
      <c r="GSM73" s="311"/>
      <c r="GSN73" s="311"/>
      <c r="GSO73" s="311"/>
      <c r="GSP73" s="311"/>
      <c r="GSQ73" s="311"/>
      <c r="GSR73" s="311"/>
      <c r="GSS73" s="311"/>
      <c r="GST73" s="311"/>
      <c r="GSU73" s="311"/>
      <c r="GSV73" s="311"/>
      <c r="GSW73" s="311"/>
      <c r="GSX73" s="311"/>
      <c r="GSY73" s="311"/>
      <c r="GSZ73" s="311"/>
      <c r="GTA73" s="311"/>
      <c r="GTB73" s="311"/>
      <c r="GTC73" s="311"/>
      <c r="GTD73" s="311"/>
      <c r="GTE73" s="311"/>
      <c r="GTF73" s="311"/>
      <c r="GTG73" s="311"/>
      <c r="GTH73" s="311"/>
      <c r="GTI73" s="311"/>
      <c r="GTJ73" s="311"/>
      <c r="GTK73" s="311"/>
      <c r="GTL73" s="311"/>
      <c r="GTM73" s="311"/>
      <c r="GTN73" s="311"/>
      <c r="GTO73" s="311"/>
      <c r="GTP73" s="311"/>
      <c r="GTQ73" s="311"/>
      <c r="GTR73" s="311"/>
      <c r="GTS73" s="311"/>
      <c r="GTT73" s="311"/>
      <c r="GTU73" s="311"/>
      <c r="GTV73" s="311"/>
      <c r="GTW73" s="311"/>
      <c r="GTX73" s="311"/>
      <c r="GTY73" s="311"/>
      <c r="GTZ73" s="311"/>
      <c r="GUA73" s="311"/>
      <c r="GUB73" s="311"/>
      <c r="GUC73" s="311"/>
      <c r="GUD73" s="311"/>
      <c r="GUE73" s="311"/>
      <c r="GUF73" s="311"/>
      <c r="GUG73" s="311"/>
      <c r="GUH73" s="311"/>
      <c r="GUI73" s="311"/>
      <c r="GUJ73" s="311"/>
      <c r="GUK73" s="311"/>
      <c r="GUL73" s="311"/>
      <c r="GUM73" s="311"/>
      <c r="GUN73" s="311"/>
      <c r="GUO73" s="311"/>
      <c r="GUP73" s="311"/>
      <c r="GUQ73" s="311"/>
      <c r="GUR73" s="311"/>
      <c r="GUS73" s="311"/>
      <c r="GUT73" s="311"/>
      <c r="GUU73" s="311"/>
      <c r="GUV73" s="311"/>
      <c r="GUW73" s="311"/>
      <c r="GUX73" s="311"/>
      <c r="GUY73" s="311"/>
      <c r="GUZ73" s="311"/>
      <c r="GVA73" s="311"/>
      <c r="GVB73" s="311"/>
      <c r="GVC73" s="311"/>
      <c r="GVD73" s="311"/>
      <c r="GVE73" s="311"/>
      <c r="GVF73" s="311"/>
      <c r="GVG73" s="311"/>
      <c r="GVH73" s="311"/>
      <c r="GVI73" s="311"/>
      <c r="GVJ73" s="311"/>
      <c r="GVK73" s="311"/>
      <c r="GVL73" s="311"/>
      <c r="GVM73" s="311"/>
      <c r="GVN73" s="311"/>
      <c r="GVO73" s="311"/>
      <c r="GVP73" s="311"/>
      <c r="GVQ73" s="311"/>
      <c r="GVR73" s="311"/>
      <c r="GVS73" s="311"/>
      <c r="GVT73" s="311"/>
      <c r="GVU73" s="311"/>
      <c r="GVV73" s="311"/>
      <c r="GVW73" s="311"/>
      <c r="GVX73" s="311"/>
      <c r="GVY73" s="311"/>
      <c r="GVZ73" s="311"/>
      <c r="GWA73" s="311"/>
      <c r="GWB73" s="311"/>
      <c r="GWC73" s="311"/>
      <c r="GWD73" s="311"/>
      <c r="GWE73" s="311"/>
      <c r="GWF73" s="311"/>
      <c r="GWG73" s="311"/>
      <c r="GWH73" s="311"/>
      <c r="GWI73" s="311"/>
      <c r="GWJ73" s="311"/>
      <c r="GWK73" s="311"/>
      <c r="GWL73" s="311"/>
      <c r="GWM73" s="311"/>
      <c r="GWN73" s="311"/>
      <c r="GWO73" s="311"/>
      <c r="GWP73" s="311"/>
      <c r="GWQ73" s="311"/>
      <c r="GWR73" s="311"/>
      <c r="GWS73" s="311"/>
      <c r="GWT73" s="311"/>
      <c r="GWU73" s="311"/>
      <c r="GWV73" s="311"/>
      <c r="GWW73" s="311"/>
      <c r="GWX73" s="311"/>
      <c r="GWY73" s="311"/>
      <c r="GWZ73" s="311"/>
      <c r="GXA73" s="311"/>
      <c r="GXB73" s="311"/>
      <c r="GXC73" s="311"/>
      <c r="GXD73" s="311"/>
      <c r="GXE73" s="311"/>
      <c r="GXF73" s="311"/>
      <c r="GXG73" s="311"/>
      <c r="GXH73" s="311"/>
      <c r="GXI73" s="311"/>
      <c r="GXJ73" s="311"/>
      <c r="GXK73" s="311"/>
      <c r="GXL73" s="311"/>
      <c r="GXM73" s="311"/>
      <c r="GXN73" s="311"/>
      <c r="GXO73" s="311"/>
      <c r="GXP73" s="311"/>
      <c r="GXQ73" s="311"/>
      <c r="GXR73" s="311"/>
      <c r="GXS73" s="311"/>
      <c r="GXT73" s="311"/>
      <c r="GXU73" s="311"/>
      <c r="GXV73" s="311"/>
      <c r="GXW73" s="311"/>
      <c r="GXX73" s="311"/>
      <c r="GXY73" s="311"/>
      <c r="GXZ73" s="311"/>
      <c r="GYA73" s="311"/>
      <c r="GYB73" s="311"/>
      <c r="GYC73" s="311"/>
      <c r="GYD73" s="311"/>
      <c r="GYE73" s="311"/>
      <c r="GYF73" s="311"/>
      <c r="GYG73" s="311"/>
      <c r="GYH73" s="311"/>
      <c r="GYI73" s="311"/>
      <c r="GYJ73" s="311"/>
      <c r="GYK73" s="311"/>
      <c r="GYL73" s="311"/>
      <c r="GYM73" s="311"/>
      <c r="GYN73" s="311"/>
      <c r="GYO73" s="311"/>
      <c r="GYP73" s="311"/>
      <c r="GYQ73" s="311"/>
      <c r="GYR73" s="311"/>
      <c r="GYS73" s="311"/>
      <c r="GYT73" s="311"/>
      <c r="GYU73" s="311"/>
      <c r="GYV73" s="311"/>
      <c r="GYW73" s="311"/>
      <c r="GYX73" s="311"/>
      <c r="GYY73" s="311"/>
      <c r="GYZ73" s="311"/>
      <c r="GZA73" s="311"/>
      <c r="GZB73" s="311"/>
      <c r="GZC73" s="311"/>
      <c r="GZD73" s="311"/>
      <c r="GZE73" s="311"/>
      <c r="GZF73" s="311"/>
      <c r="GZG73" s="311"/>
      <c r="GZH73" s="311"/>
      <c r="GZI73" s="311"/>
      <c r="GZJ73" s="311"/>
      <c r="GZK73" s="311"/>
      <c r="GZL73" s="311"/>
      <c r="GZM73" s="311"/>
      <c r="GZN73" s="311"/>
      <c r="GZO73" s="311"/>
      <c r="GZP73" s="311"/>
      <c r="GZQ73" s="311"/>
      <c r="GZR73" s="311"/>
      <c r="GZS73" s="311"/>
      <c r="GZT73" s="311"/>
      <c r="GZU73" s="311"/>
      <c r="GZV73" s="311"/>
      <c r="GZW73" s="311"/>
      <c r="GZX73" s="311"/>
      <c r="GZY73" s="311"/>
      <c r="GZZ73" s="311"/>
      <c r="HAA73" s="311"/>
      <c r="HAB73" s="311"/>
      <c r="HAC73" s="311"/>
      <c r="HAD73" s="311"/>
      <c r="HAE73" s="311"/>
      <c r="HAF73" s="311"/>
      <c r="HAG73" s="311"/>
      <c r="HAH73" s="311"/>
      <c r="HAI73" s="311"/>
      <c r="HAJ73" s="311"/>
      <c r="HAK73" s="311"/>
      <c r="HAL73" s="311"/>
      <c r="HAM73" s="311"/>
      <c r="HAN73" s="311"/>
      <c r="HAO73" s="311"/>
      <c r="HAP73" s="311"/>
      <c r="HAQ73" s="311"/>
      <c r="HAR73" s="311"/>
      <c r="HAS73" s="311"/>
      <c r="HAT73" s="311"/>
      <c r="HAU73" s="311"/>
      <c r="HAV73" s="311"/>
      <c r="HAW73" s="311"/>
      <c r="HAX73" s="311"/>
      <c r="HAY73" s="311"/>
      <c r="HAZ73" s="311"/>
      <c r="HBA73" s="311"/>
      <c r="HBB73" s="311"/>
      <c r="HBC73" s="311"/>
      <c r="HBD73" s="311"/>
      <c r="HBE73" s="311"/>
      <c r="HBF73" s="311"/>
      <c r="HBG73" s="311"/>
      <c r="HBH73" s="311"/>
      <c r="HBI73" s="311"/>
      <c r="HBJ73" s="311"/>
      <c r="HBK73" s="311"/>
      <c r="HBL73" s="311"/>
      <c r="HBM73" s="311"/>
      <c r="HBN73" s="311"/>
      <c r="HBO73" s="311"/>
      <c r="HBP73" s="311"/>
      <c r="HBQ73" s="311"/>
      <c r="HBR73" s="311"/>
      <c r="HBS73" s="311"/>
      <c r="HBT73" s="311"/>
      <c r="HBU73" s="311"/>
      <c r="HBV73" s="311"/>
      <c r="HBW73" s="311"/>
      <c r="HBX73" s="311"/>
      <c r="HBY73" s="311"/>
      <c r="HBZ73" s="311"/>
      <c r="HCA73" s="311"/>
      <c r="HCB73" s="311"/>
      <c r="HCC73" s="311"/>
      <c r="HCD73" s="311"/>
      <c r="HCE73" s="311"/>
      <c r="HCF73" s="311"/>
      <c r="HCG73" s="311"/>
      <c r="HCH73" s="311"/>
      <c r="HCI73" s="311"/>
      <c r="HCJ73" s="311"/>
      <c r="HCK73" s="311"/>
      <c r="HCL73" s="311"/>
      <c r="HCM73" s="311"/>
      <c r="HCN73" s="311"/>
      <c r="HCO73" s="311"/>
      <c r="HCP73" s="311"/>
      <c r="HCQ73" s="311"/>
      <c r="HCR73" s="311"/>
      <c r="HCS73" s="311"/>
      <c r="HCT73" s="311"/>
      <c r="HCU73" s="311"/>
      <c r="HCV73" s="311"/>
      <c r="HCW73" s="311"/>
      <c r="HCX73" s="311"/>
      <c r="HCY73" s="311"/>
      <c r="HCZ73" s="311"/>
      <c r="HDA73" s="311"/>
      <c r="HDB73" s="311"/>
      <c r="HDC73" s="311"/>
      <c r="HDD73" s="311"/>
      <c r="HDE73" s="311"/>
      <c r="HDF73" s="311"/>
      <c r="HDG73" s="311"/>
      <c r="HDH73" s="311"/>
      <c r="HDI73" s="311"/>
      <c r="HDJ73" s="311"/>
      <c r="HDK73" s="311"/>
      <c r="HDL73" s="311"/>
      <c r="HDM73" s="311"/>
      <c r="HDN73" s="311"/>
      <c r="HDO73" s="311"/>
      <c r="HDP73" s="311"/>
      <c r="HDQ73" s="311"/>
      <c r="HDR73" s="311"/>
      <c r="HDS73" s="311"/>
      <c r="HDT73" s="311"/>
      <c r="HDU73" s="311"/>
      <c r="HDV73" s="311"/>
      <c r="HDW73" s="311"/>
      <c r="HDX73" s="311"/>
      <c r="HDY73" s="311"/>
      <c r="HDZ73" s="311"/>
      <c r="HEA73" s="311"/>
      <c r="HEB73" s="311"/>
      <c r="HEC73" s="311"/>
      <c r="HED73" s="311"/>
      <c r="HEE73" s="311"/>
      <c r="HEF73" s="311"/>
      <c r="HEG73" s="311"/>
      <c r="HEH73" s="311"/>
      <c r="HEI73" s="311"/>
      <c r="HEJ73" s="311"/>
      <c r="HEK73" s="311"/>
      <c r="HEL73" s="311"/>
      <c r="HEM73" s="311"/>
      <c r="HEN73" s="311"/>
      <c r="HEO73" s="311"/>
      <c r="HEP73" s="311"/>
      <c r="HEQ73" s="311"/>
      <c r="HER73" s="311"/>
      <c r="HES73" s="311"/>
      <c r="HET73" s="311"/>
      <c r="HEU73" s="311"/>
      <c r="HEV73" s="311"/>
      <c r="HEW73" s="311"/>
      <c r="HEX73" s="311"/>
      <c r="HEY73" s="311"/>
      <c r="HEZ73" s="311"/>
      <c r="HFA73" s="311"/>
      <c r="HFB73" s="311"/>
      <c r="HFC73" s="311"/>
      <c r="HFD73" s="311"/>
      <c r="HFE73" s="311"/>
      <c r="HFF73" s="311"/>
      <c r="HFG73" s="311"/>
      <c r="HFH73" s="311"/>
      <c r="HFI73" s="311"/>
      <c r="HFJ73" s="311"/>
      <c r="HFK73" s="311"/>
      <c r="HFL73" s="311"/>
      <c r="HFM73" s="311"/>
      <c r="HFN73" s="311"/>
      <c r="HFO73" s="311"/>
      <c r="HFP73" s="311"/>
      <c r="HFQ73" s="311"/>
      <c r="HFR73" s="311"/>
      <c r="HFS73" s="311"/>
      <c r="HFT73" s="311"/>
      <c r="HFU73" s="311"/>
      <c r="HFV73" s="311"/>
      <c r="HFW73" s="311"/>
      <c r="HFX73" s="311"/>
      <c r="HFY73" s="311"/>
      <c r="HFZ73" s="311"/>
      <c r="HGA73" s="311"/>
      <c r="HGB73" s="311"/>
      <c r="HGC73" s="311"/>
      <c r="HGD73" s="311"/>
      <c r="HGE73" s="311"/>
      <c r="HGF73" s="311"/>
      <c r="HGG73" s="311"/>
      <c r="HGH73" s="311"/>
      <c r="HGI73" s="311"/>
      <c r="HGJ73" s="311"/>
      <c r="HGK73" s="311"/>
      <c r="HGL73" s="311"/>
      <c r="HGM73" s="311"/>
      <c r="HGN73" s="311"/>
      <c r="HGO73" s="311"/>
      <c r="HGP73" s="311"/>
      <c r="HGQ73" s="311"/>
      <c r="HGR73" s="311"/>
      <c r="HGS73" s="311"/>
      <c r="HGT73" s="311"/>
      <c r="HGU73" s="311"/>
      <c r="HGV73" s="311"/>
      <c r="HGW73" s="311"/>
      <c r="HGX73" s="311"/>
      <c r="HGY73" s="311"/>
      <c r="HGZ73" s="311"/>
      <c r="HHA73" s="311"/>
      <c r="HHB73" s="311"/>
      <c r="HHC73" s="311"/>
      <c r="HHD73" s="311"/>
      <c r="HHE73" s="311"/>
      <c r="HHF73" s="311"/>
      <c r="HHG73" s="311"/>
      <c r="HHH73" s="311"/>
      <c r="HHI73" s="311"/>
      <c r="HHJ73" s="311"/>
      <c r="HHK73" s="311"/>
      <c r="HHL73" s="311"/>
      <c r="HHM73" s="311"/>
      <c r="HHN73" s="311"/>
      <c r="HHO73" s="311"/>
      <c r="HHP73" s="311"/>
      <c r="HHQ73" s="311"/>
      <c r="HHR73" s="311"/>
      <c r="HHS73" s="311"/>
      <c r="HHT73" s="311"/>
      <c r="HHU73" s="311"/>
      <c r="HHV73" s="311"/>
      <c r="HHW73" s="311"/>
      <c r="HHX73" s="311"/>
      <c r="HHY73" s="311"/>
      <c r="HHZ73" s="311"/>
      <c r="HIA73" s="311"/>
      <c r="HIB73" s="311"/>
      <c r="HIC73" s="311"/>
      <c r="HID73" s="311"/>
      <c r="HIE73" s="311"/>
      <c r="HIF73" s="311"/>
      <c r="HIG73" s="311"/>
      <c r="HIH73" s="311"/>
      <c r="HII73" s="311"/>
      <c r="HIJ73" s="311"/>
      <c r="HIK73" s="311"/>
      <c r="HIL73" s="311"/>
      <c r="HIM73" s="311"/>
      <c r="HIN73" s="311"/>
      <c r="HIO73" s="311"/>
      <c r="HIP73" s="311"/>
      <c r="HIQ73" s="311"/>
      <c r="HIR73" s="311"/>
      <c r="HIS73" s="311"/>
      <c r="HIT73" s="311"/>
      <c r="HIU73" s="311"/>
      <c r="HIV73" s="311"/>
      <c r="HIW73" s="311"/>
      <c r="HIX73" s="311"/>
      <c r="HIY73" s="311"/>
      <c r="HIZ73" s="311"/>
      <c r="HJA73" s="311"/>
      <c r="HJB73" s="311"/>
      <c r="HJC73" s="311"/>
      <c r="HJD73" s="311"/>
      <c r="HJE73" s="311"/>
      <c r="HJF73" s="311"/>
      <c r="HJG73" s="311"/>
      <c r="HJH73" s="311"/>
      <c r="HJI73" s="311"/>
      <c r="HJJ73" s="311"/>
      <c r="HJK73" s="311"/>
      <c r="HJL73" s="311"/>
      <c r="HJM73" s="311"/>
      <c r="HJN73" s="311"/>
      <c r="HJO73" s="311"/>
      <c r="HJP73" s="311"/>
      <c r="HJQ73" s="311"/>
      <c r="HJR73" s="311"/>
      <c r="HJS73" s="311"/>
      <c r="HJT73" s="311"/>
      <c r="HJU73" s="311"/>
      <c r="HJV73" s="311"/>
      <c r="HJW73" s="311"/>
      <c r="HJX73" s="311"/>
      <c r="HJY73" s="311"/>
      <c r="HJZ73" s="311"/>
      <c r="HKA73" s="311"/>
      <c r="HKB73" s="311"/>
      <c r="HKC73" s="311"/>
      <c r="HKD73" s="311"/>
      <c r="HKE73" s="311"/>
      <c r="HKF73" s="311"/>
      <c r="HKG73" s="311"/>
      <c r="HKH73" s="311"/>
      <c r="HKI73" s="311"/>
      <c r="HKJ73" s="311"/>
      <c r="HKK73" s="311"/>
      <c r="HKL73" s="311"/>
      <c r="HKM73" s="311"/>
      <c r="HKN73" s="311"/>
      <c r="HKO73" s="311"/>
      <c r="HKP73" s="311"/>
      <c r="HKQ73" s="311"/>
      <c r="HKR73" s="311"/>
      <c r="HKS73" s="311"/>
      <c r="HKT73" s="311"/>
      <c r="HKU73" s="311"/>
      <c r="HKV73" s="311"/>
      <c r="HKW73" s="311"/>
      <c r="HKX73" s="311"/>
      <c r="HKY73" s="311"/>
      <c r="HKZ73" s="311"/>
      <c r="HLA73" s="311"/>
      <c r="HLB73" s="311"/>
      <c r="HLC73" s="311"/>
      <c r="HLD73" s="311"/>
      <c r="HLE73" s="311"/>
      <c r="HLF73" s="311"/>
      <c r="HLG73" s="311"/>
      <c r="HLH73" s="311"/>
      <c r="HLI73" s="311"/>
      <c r="HLJ73" s="311"/>
      <c r="HLK73" s="311"/>
      <c r="HLL73" s="311"/>
      <c r="HLM73" s="311"/>
      <c r="HLN73" s="311"/>
      <c r="HLO73" s="311"/>
      <c r="HLP73" s="311"/>
      <c r="HLQ73" s="311"/>
      <c r="HLR73" s="311"/>
      <c r="HLS73" s="311"/>
      <c r="HLT73" s="311"/>
      <c r="HLU73" s="311"/>
      <c r="HLV73" s="311"/>
      <c r="HLW73" s="311"/>
      <c r="HLX73" s="311"/>
      <c r="HLY73" s="311"/>
      <c r="HLZ73" s="311"/>
      <c r="HMA73" s="311"/>
      <c r="HMB73" s="311"/>
      <c r="HMC73" s="311"/>
      <c r="HMD73" s="311"/>
      <c r="HME73" s="311"/>
      <c r="HMF73" s="311"/>
      <c r="HMG73" s="311"/>
      <c r="HMH73" s="311"/>
      <c r="HMI73" s="311"/>
      <c r="HMJ73" s="311"/>
      <c r="HMK73" s="311"/>
      <c r="HML73" s="311"/>
      <c r="HMM73" s="311"/>
      <c r="HMN73" s="311"/>
      <c r="HMO73" s="311"/>
      <c r="HMP73" s="311"/>
      <c r="HMQ73" s="311"/>
      <c r="HMR73" s="311"/>
      <c r="HMS73" s="311"/>
      <c r="HMT73" s="311"/>
      <c r="HMU73" s="311"/>
      <c r="HMV73" s="311"/>
      <c r="HMW73" s="311"/>
      <c r="HMX73" s="311"/>
      <c r="HMY73" s="311"/>
      <c r="HMZ73" s="311"/>
      <c r="HNA73" s="311"/>
      <c r="HNB73" s="311"/>
      <c r="HNC73" s="311"/>
      <c r="HND73" s="311"/>
      <c r="HNE73" s="311"/>
      <c r="HNF73" s="311"/>
      <c r="HNG73" s="311"/>
      <c r="HNH73" s="311"/>
      <c r="HNI73" s="311"/>
      <c r="HNJ73" s="311"/>
      <c r="HNK73" s="311"/>
      <c r="HNL73" s="311"/>
      <c r="HNM73" s="311"/>
      <c r="HNN73" s="311"/>
      <c r="HNO73" s="311"/>
      <c r="HNP73" s="311"/>
      <c r="HNQ73" s="311"/>
      <c r="HNR73" s="311"/>
      <c r="HNS73" s="311"/>
      <c r="HNT73" s="311"/>
      <c r="HNU73" s="311"/>
      <c r="HNV73" s="311"/>
      <c r="HNW73" s="311"/>
      <c r="HNX73" s="311"/>
      <c r="HNY73" s="311"/>
      <c r="HNZ73" s="311"/>
      <c r="HOA73" s="311"/>
      <c r="HOB73" s="311"/>
      <c r="HOC73" s="311"/>
      <c r="HOD73" s="311"/>
      <c r="HOE73" s="311"/>
      <c r="HOF73" s="311"/>
      <c r="HOG73" s="311"/>
      <c r="HOH73" s="311"/>
      <c r="HOI73" s="311"/>
      <c r="HOJ73" s="311"/>
      <c r="HOK73" s="311"/>
      <c r="HOL73" s="311"/>
      <c r="HOM73" s="311"/>
      <c r="HON73" s="311"/>
      <c r="HOO73" s="311"/>
      <c r="HOP73" s="311"/>
      <c r="HOQ73" s="311"/>
      <c r="HOR73" s="311"/>
      <c r="HOS73" s="311"/>
      <c r="HOT73" s="311"/>
      <c r="HOU73" s="311"/>
      <c r="HOV73" s="311"/>
      <c r="HOW73" s="311"/>
      <c r="HOX73" s="311"/>
      <c r="HOY73" s="311"/>
      <c r="HOZ73" s="311"/>
      <c r="HPA73" s="311"/>
      <c r="HPB73" s="311"/>
      <c r="HPC73" s="311"/>
      <c r="HPD73" s="311"/>
      <c r="HPE73" s="311"/>
      <c r="HPF73" s="311"/>
      <c r="HPG73" s="311"/>
      <c r="HPH73" s="311"/>
      <c r="HPI73" s="311"/>
      <c r="HPJ73" s="311"/>
      <c r="HPK73" s="311"/>
      <c r="HPL73" s="311"/>
      <c r="HPM73" s="311"/>
      <c r="HPN73" s="311"/>
      <c r="HPO73" s="311"/>
      <c r="HPP73" s="311"/>
      <c r="HPQ73" s="311"/>
      <c r="HPR73" s="311"/>
      <c r="HPS73" s="311"/>
      <c r="HPT73" s="311"/>
      <c r="HPU73" s="311"/>
      <c r="HPV73" s="311"/>
      <c r="HPW73" s="311"/>
      <c r="HPX73" s="311"/>
      <c r="HPY73" s="311"/>
      <c r="HPZ73" s="311"/>
      <c r="HQA73" s="311"/>
      <c r="HQB73" s="311"/>
      <c r="HQC73" s="311"/>
      <c r="HQD73" s="311"/>
      <c r="HQE73" s="311"/>
      <c r="HQF73" s="311"/>
      <c r="HQG73" s="311"/>
      <c r="HQH73" s="311"/>
      <c r="HQI73" s="311"/>
      <c r="HQJ73" s="311"/>
      <c r="HQK73" s="311"/>
      <c r="HQL73" s="311"/>
      <c r="HQM73" s="311"/>
      <c r="HQN73" s="311"/>
      <c r="HQO73" s="311"/>
      <c r="HQP73" s="311"/>
      <c r="HQQ73" s="311"/>
      <c r="HQR73" s="311"/>
      <c r="HQS73" s="311"/>
      <c r="HQT73" s="311"/>
      <c r="HQU73" s="311"/>
      <c r="HQV73" s="311"/>
      <c r="HQW73" s="311"/>
      <c r="HQX73" s="311"/>
      <c r="HQY73" s="311"/>
      <c r="HQZ73" s="311"/>
      <c r="HRA73" s="311"/>
      <c r="HRB73" s="311"/>
      <c r="HRC73" s="311"/>
      <c r="HRD73" s="311"/>
      <c r="HRE73" s="311"/>
      <c r="HRF73" s="311"/>
      <c r="HRG73" s="311"/>
      <c r="HRH73" s="311"/>
      <c r="HRI73" s="311"/>
      <c r="HRJ73" s="311"/>
      <c r="HRK73" s="311"/>
      <c r="HRL73" s="311"/>
      <c r="HRM73" s="311"/>
      <c r="HRN73" s="311"/>
      <c r="HRO73" s="311"/>
      <c r="HRP73" s="311"/>
      <c r="HRQ73" s="311"/>
      <c r="HRR73" s="311"/>
      <c r="HRS73" s="311"/>
      <c r="HRT73" s="311"/>
      <c r="HRU73" s="311"/>
      <c r="HRV73" s="311"/>
      <c r="HRW73" s="311"/>
      <c r="HRX73" s="311"/>
      <c r="HRY73" s="311"/>
      <c r="HRZ73" s="311"/>
      <c r="HSA73" s="311"/>
      <c r="HSB73" s="311"/>
      <c r="HSC73" s="311"/>
      <c r="HSD73" s="311"/>
      <c r="HSE73" s="311"/>
      <c r="HSF73" s="311"/>
      <c r="HSG73" s="311"/>
      <c r="HSH73" s="311"/>
      <c r="HSI73" s="311"/>
      <c r="HSJ73" s="311"/>
      <c r="HSK73" s="311"/>
      <c r="HSL73" s="311"/>
      <c r="HSM73" s="311"/>
      <c r="HSN73" s="311"/>
      <c r="HSO73" s="311"/>
      <c r="HSP73" s="311"/>
      <c r="HSQ73" s="311"/>
      <c r="HSR73" s="311"/>
      <c r="HSS73" s="311"/>
      <c r="HST73" s="311"/>
      <c r="HSU73" s="311"/>
      <c r="HSV73" s="311"/>
      <c r="HSW73" s="311"/>
      <c r="HSX73" s="311"/>
      <c r="HSY73" s="311"/>
      <c r="HSZ73" s="311"/>
      <c r="HTA73" s="311"/>
      <c r="HTB73" s="311"/>
      <c r="HTC73" s="311"/>
      <c r="HTD73" s="311"/>
      <c r="HTE73" s="311"/>
      <c r="HTF73" s="311"/>
      <c r="HTG73" s="311"/>
      <c r="HTH73" s="311"/>
      <c r="HTI73" s="311"/>
      <c r="HTJ73" s="311"/>
      <c r="HTK73" s="311"/>
      <c r="HTL73" s="311"/>
      <c r="HTM73" s="311"/>
      <c r="HTN73" s="311"/>
      <c r="HTO73" s="311"/>
      <c r="HTP73" s="311"/>
      <c r="HTQ73" s="311"/>
      <c r="HTR73" s="311"/>
      <c r="HTS73" s="311"/>
      <c r="HTT73" s="311"/>
      <c r="HTU73" s="311"/>
      <c r="HTV73" s="311"/>
      <c r="HTW73" s="311"/>
      <c r="HTX73" s="311"/>
      <c r="HTY73" s="311"/>
      <c r="HTZ73" s="311"/>
      <c r="HUA73" s="311"/>
      <c r="HUB73" s="311"/>
      <c r="HUC73" s="311"/>
      <c r="HUD73" s="311"/>
      <c r="HUE73" s="311"/>
      <c r="HUF73" s="311"/>
      <c r="HUG73" s="311"/>
      <c r="HUH73" s="311"/>
      <c r="HUI73" s="311"/>
      <c r="HUJ73" s="311"/>
      <c r="HUK73" s="311"/>
      <c r="HUL73" s="311"/>
      <c r="HUM73" s="311"/>
      <c r="HUN73" s="311"/>
      <c r="HUO73" s="311"/>
      <c r="HUP73" s="311"/>
      <c r="HUQ73" s="311"/>
      <c r="HUR73" s="311"/>
      <c r="HUS73" s="311"/>
      <c r="HUT73" s="311"/>
      <c r="HUU73" s="311"/>
      <c r="HUV73" s="311"/>
      <c r="HUW73" s="311"/>
      <c r="HUX73" s="311"/>
      <c r="HUY73" s="311"/>
      <c r="HUZ73" s="311"/>
      <c r="HVA73" s="311"/>
      <c r="HVB73" s="311"/>
      <c r="HVC73" s="311"/>
      <c r="HVD73" s="311"/>
      <c r="HVE73" s="311"/>
      <c r="HVF73" s="311"/>
      <c r="HVG73" s="311"/>
      <c r="HVH73" s="311"/>
      <c r="HVI73" s="311"/>
      <c r="HVJ73" s="311"/>
      <c r="HVK73" s="311"/>
      <c r="HVL73" s="311"/>
      <c r="HVM73" s="311"/>
      <c r="HVN73" s="311"/>
      <c r="HVO73" s="311"/>
      <c r="HVP73" s="311"/>
      <c r="HVQ73" s="311"/>
      <c r="HVR73" s="311"/>
      <c r="HVS73" s="311"/>
      <c r="HVT73" s="311"/>
      <c r="HVU73" s="311"/>
      <c r="HVV73" s="311"/>
      <c r="HVW73" s="311"/>
      <c r="HVX73" s="311"/>
      <c r="HVY73" s="311"/>
      <c r="HVZ73" s="311"/>
      <c r="HWA73" s="311"/>
      <c r="HWB73" s="311"/>
      <c r="HWC73" s="311"/>
      <c r="HWD73" s="311"/>
      <c r="HWE73" s="311"/>
      <c r="HWF73" s="311"/>
      <c r="HWG73" s="311"/>
      <c r="HWH73" s="311"/>
      <c r="HWI73" s="311"/>
      <c r="HWJ73" s="311"/>
      <c r="HWK73" s="311"/>
      <c r="HWL73" s="311"/>
      <c r="HWM73" s="311"/>
      <c r="HWN73" s="311"/>
      <c r="HWO73" s="311"/>
      <c r="HWP73" s="311"/>
      <c r="HWQ73" s="311"/>
      <c r="HWR73" s="311"/>
      <c r="HWS73" s="311"/>
      <c r="HWT73" s="311"/>
      <c r="HWU73" s="311"/>
      <c r="HWV73" s="311"/>
      <c r="HWW73" s="311"/>
      <c r="HWX73" s="311"/>
      <c r="HWY73" s="311"/>
      <c r="HWZ73" s="311"/>
      <c r="HXA73" s="311"/>
      <c r="HXB73" s="311"/>
      <c r="HXC73" s="311"/>
      <c r="HXD73" s="311"/>
      <c r="HXE73" s="311"/>
      <c r="HXF73" s="311"/>
      <c r="HXG73" s="311"/>
      <c r="HXH73" s="311"/>
      <c r="HXI73" s="311"/>
      <c r="HXJ73" s="311"/>
      <c r="HXK73" s="311"/>
      <c r="HXL73" s="311"/>
      <c r="HXM73" s="311"/>
      <c r="HXN73" s="311"/>
      <c r="HXO73" s="311"/>
      <c r="HXP73" s="311"/>
      <c r="HXQ73" s="311"/>
      <c r="HXR73" s="311"/>
      <c r="HXS73" s="311"/>
      <c r="HXT73" s="311"/>
      <c r="HXU73" s="311"/>
      <c r="HXV73" s="311"/>
      <c r="HXW73" s="311"/>
      <c r="HXX73" s="311"/>
      <c r="HXY73" s="311"/>
      <c r="HXZ73" s="311"/>
      <c r="HYA73" s="311"/>
      <c r="HYB73" s="311"/>
      <c r="HYC73" s="311"/>
      <c r="HYD73" s="311"/>
      <c r="HYE73" s="311"/>
      <c r="HYF73" s="311"/>
      <c r="HYG73" s="311"/>
      <c r="HYH73" s="311"/>
      <c r="HYI73" s="311"/>
      <c r="HYJ73" s="311"/>
      <c r="HYK73" s="311"/>
      <c r="HYL73" s="311"/>
      <c r="HYM73" s="311"/>
      <c r="HYN73" s="311"/>
      <c r="HYO73" s="311"/>
      <c r="HYP73" s="311"/>
      <c r="HYQ73" s="311"/>
      <c r="HYR73" s="311"/>
      <c r="HYS73" s="311"/>
      <c r="HYT73" s="311"/>
      <c r="HYU73" s="311"/>
      <c r="HYV73" s="311"/>
      <c r="HYW73" s="311"/>
      <c r="HYX73" s="311"/>
      <c r="HYY73" s="311"/>
      <c r="HYZ73" s="311"/>
      <c r="HZA73" s="311"/>
      <c r="HZB73" s="311"/>
      <c r="HZC73" s="311"/>
      <c r="HZD73" s="311"/>
      <c r="HZE73" s="311"/>
      <c r="HZF73" s="311"/>
      <c r="HZG73" s="311"/>
      <c r="HZH73" s="311"/>
      <c r="HZI73" s="311"/>
      <c r="HZJ73" s="311"/>
      <c r="HZK73" s="311"/>
      <c r="HZL73" s="311"/>
      <c r="HZM73" s="311"/>
      <c r="HZN73" s="311"/>
      <c r="HZO73" s="311"/>
      <c r="HZP73" s="311"/>
      <c r="HZQ73" s="311"/>
      <c r="HZR73" s="311"/>
      <c r="HZS73" s="311"/>
      <c r="HZT73" s="311"/>
      <c r="HZU73" s="311"/>
      <c r="HZV73" s="311"/>
      <c r="HZW73" s="311"/>
      <c r="HZX73" s="311"/>
      <c r="HZY73" s="311"/>
      <c r="HZZ73" s="311"/>
      <c r="IAA73" s="311"/>
      <c r="IAB73" s="311"/>
      <c r="IAC73" s="311"/>
      <c r="IAD73" s="311"/>
      <c r="IAE73" s="311"/>
      <c r="IAF73" s="311"/>
      <c r="IAG73" s="311"/>
      <c r="IAH73" s="311"/>
      <c r="IAI73" s="311"/>
      <c r="IAJ73" s="311"/>
      <c r="IAK73" s="311"/>
      <c r="IAL73" s="311"/>
      <c r="IAM73" s="311"/>
      <c r="IAN73" s="311"/>
      <c r="IAO73" s="311"/>
      <c r="IAP73" s="311"/>
      <c r="IAQ73" s="311"/>
      <c r="IAR73" s="311"/>
      <c r="IAS73" s="311"/>
      <c r="IAT73" s="311"/>
      <c r="IAU73" s="311"/>
      <c r="IAV73" s="311"/>
      <c r="IAW73" s="311"/>
      <c r="IAX73" s="311"/>
      <c r="IAY73" s="311"/>
      <c r="IAZ73" s="311"/>
      <c r="IBA73" s="311"/>
      <c r="IBB73" s="311"/>
      <c r="IBC73" s="311"/>
      <c r="IBD73" s="311"/>
      <c r="IBE73" s="311"/>
      <c r="IBF73" s="311"/>
      <c r="IBG73" s="311"/>
      <c r="IBH73" s="311"/>
      <c r="IBI73" s="311"/>
      <c r="IBJ73" s="311"/>
      <c r="IBK73" s="311"/>
      <c r="IBL73" s="311"/>
      <c r="IBM73" s="311"/>
      <c r="IBN73" s="311"/>
      <c r="IBO73" s="311"/>
      <c r="IBP73" s="311"/>
      <c r="IBQ73" s="311"/>
      <c r="IBR73" s="311"/>
      <c r="IBS73" s="311"/>
      <c r="IBT73" s="311"/>
      <c r="IBU73" s="311"/>
      <c r="IBV73" s="311"/>
      <c r="IBW73" s="311"/>
      <c r="IBX73" s="311"/>
      <c r="IBY73" s="311"/>
      <c r="IBZ73" s="311"/>
      <c r="ICA73" s="311"/>
      <c r="ICB73" s="311"/>
      <c r="ICC73" s="311"/>
      <c r="ICD73" s="311"/>
      <c r="ICE73" s="311"/>
      <c r="ICF73" s="311"/>
      <c r="ICG73" s="311"/>
      <c r="ICH73" s="311"/>
      <c r="ICI73" s="311"/>
      <c r="ICJ73" s="311"/>
      <c r="ICK73" s="311"/>
      <c r="ICL73" s="311"/>
      <c r="ICM73" s="311"/>
      <c r="ICN73" s="311"/>
      <c r="ICO73" s="311"/>
      <c r="ICP73" s="311"/>
      <c r="ICQ73" s="311"/>
      <c r="ICR73" s="311"/>
      <c r="ICS73" s="311"/>
      <c r="ICT73" s="311"/>
      <c r="ICU73" s="311"/>
      <c r="ICV73" s="311"/>
      <c r="ICW73" s="311"/>
      <c r="ICX73" s="311"/>
      <c r="ICY73" s="311"/>
      <c r="ICZ73" s="311"/>
      <c r="IDA73" s="311"/>
      <c r="IDB73" s="311"/>
      <c r="IDC73" s="311"/>
      <c r="IDD73" s="311"/>
      <c r="IDE73" s="311"/>
      <c r="IDF73" s="311"/>
      <c r="IDG73" s="311"/>
      <c r="IDH73" s="311"/>
      <c r="IDI73" s="311"/>
      <c r="IDJ73" s="311"/>
      <c r="IDK73" s="311"/>
      <c r="IDL73" s="311"/>
      <c r="IDM73" s="311"/>
      <c r="IDN73" s="311"/>
      <c r="IDO73" s="311"/>
      <c r="IDP73" s="311"/>
      <c r="IDQ73" s="311"/>
      <c r="IDR73" s="311"/>
      <c r="IDS73" s="311"/>
      <c r="IDT73" s="311"/>
      <c r="IDU73" s="311"/>
      <c r="IDV73" s="311"/>
      <c r="IDW73" s="311"/>
      <c r="IDX73" s="311"/>
      <c r="IDY73" s="311"/>
      <c r="IDZ73" s="311"/>
      <c r="IEA73" s="311"/>
      <c r="IEB73" s="311"/>
      <c r="IEC73" s="311"/>
      <c r="IED73" s="311"/>
      <c r="IEE73" s="311"/>
      <c r="IEF73" s="311"/>
      <c r="IEG73" s="311"/>
      <c r="IEH73" s="311"/>
      <c r="IEI73" s="311"/>
      <c r="IEJ73" s="311"/>
      <c r="IEK73" s="311"/>
      <c r="IEL73" s="311"/>
      <c r="IEM73" s="311"/>
      <c r="IEN73" s="311"/>
      <c r="IEO73" s="311"/>
      <c r="IEP73" s="311"/>
      <c r="IEQ73" s="311"/>
      <c r="IER73" s="311"/>
      <c r="IES73" s="311"/>
      <c r="IET73" s="311"/>
      <c r="IEU73" s="311"/>
      <c r="IEV73" s="311"/>
      <c r="IEW73" s="311"/>
      <c r="IEX73" s="311"/>
      <c r="IEY73" s="311"/>
      <c r="IEZ73" s="311"/>
      <c r="IFA73" s="311"/>
      <c r="IFB73" s="311"/>
      <c r="IFC73" s="311"/>
      <c r="IFD73" s="311"/>
      <c r="IFE73" s="311"/>
      <c r="IFF73" s="311"/>
      <c r="IFG73" s="311"/>
      <c r="IFH73" s="311"/>
      <c r="IFI73" s="311"/>
      <c r="IFJ73" s="311"/>
      <c r="IFK73" s="311"/>
      <c r="IFL73" s="311"/>
      <c r="IFM73" s="311"/>
      <c r="IFN73" s="311"/>
      <c r="IFO73" s="311"/>
      <c r="IFP73" s="311"/>
      <c r="IFQ73" s="311"/>
      <c r="IFR73" s="311"/>
      <c r="IFS73" s="311"/>
      <c r="IFT73" s="311"/>
      <c r="IFU73" s="311"/>
      <c r="IFV73" s="311"/>
      <c r="IFW73" s="311"/>
      <c r="IFX73" s="311"/>
      <c r="IFY73" s="311"/>
      <c r="IFZ73" s="311"/>
      <c r="IGA73" s="311"/>
      <c r="IGB73" s="311"/>
      <c r="IGC73" s="311"/>
      <c r="IGD73" s="311"/>
      <c r="IGE73" s="311"/>
      <c r="IGF73" s="311"/>
      <c r="IGG73" s="311"/>
      <c r="IGH73" s="311"/>
      <c r="IGI73" s="311"/>
      <c r="IGJ73" s="311"/>
      <c r="IGK73" s="311"/>
      <c r="IGL73" s="311"/>
      <c r="IGM73" s="311"/>
      <c r="IGN73" s="311"/>
      <c r="IGO73" s="311"/>
      <c r="IGP73" s="311"/>
      <c r="IGQ73" s="311"/>
      <c r="IGR73" s="311"/>
      <c r="IGS73" s="311"/>
      <c r="IGT73" s="311"/>
      <c r="IGU73" s="311"/>
      <c r="IGV73" s="311"/>
      <c r="IGW73" s="311"/>
      <c r="IGX73" s="311"/>
      <c r="IGY73" s="311"/>
      <c r="IGZ73" s="311"/>
      <c r="IHA73" s="311"/>
      <c r="IHB73" s="311"/>
      <c r="IHC73" s="311"/>
      <c r="IHD73" s="311"/>
      <c r="IHE73" s="311"/>
      <c r="IHF73" s="311"/>
      <c r="IHG73" s="311"/>
      <c r="IHH73" s="311"/>
      <c r="IHI73" s="311"/>
      <c r="IHJ73" s="311"/>
      <c r="IHK73" s="311"/>
      <c r="IHL73" s="311"/>
      <c r="IHM73" s="311"/>
      <c r="IHN73" s="311"/>
      <c r="IHO73" s="311"/>
      <c r="IHP73" s="311"/>
      <c r="IHQ73" s="311"/>
      <c r="IHR73" s="311"/>
      <c r="IHS73" s="311"/>
      <c r="IHT73" s="311"/>
      <c r="IHU73" s="311"/>
      <c r="IHV73" s="311"/>
      <c r="IHW73" s="311"/>
      <c r="IHX73" s="311"/>
      <c r="IHY73" s="311"/>
      <c r="IHZ73" s="311"/>
      <c r="IIA73" s="311"/>
      <c r="IIB73" s="311"/>
      <c r="IIC73" s="311"/>
      <c r="IID73" s="311"/>
      <c r="IIE73" s="311"/>
      <c r="IIF73" s="311"/>
      <c r="IIG73" s="311"/>
      <c r="IIH73" s="311"/>
      <c r="III73" s="311"/>
      <c r="IIJ73" s="311"/>
      <c r="IIK73" s="311"/>
      <c r="IIL73" s="311"/>
      <c r="IIM73" s="311"/>
      <c r="IIN73" s="311"/>
      <c r="IIO73" s="311"/>
      <c r="IIP73" s="311"/>
      <c r="IIQ73" s="311"/>
      <c r="IIR73" s="311"/>
      <c r="IIS73" s="311"/>
      <c r="IIT73" s="311"/>
      <c r="IIU73" s="311"/>
      <c r="IIV73" s="311"/>
      <c r="IIW73" s="311"/>
      <c r="IIX73" s="311"/>
      <c r="IIY73" s="311"/>
      <c r="IIZ73" s="311"/>
      <c r="IJA73" s="311"/>
      <c r="IJB73" s="311"/>
      <c r="IJC73" s="311"/>
      <c r="IJD73" s="311"/>
      <c r="IJE73" s="311"/>
      <c r="IJF73" s="311"/>
      <c r="IJG73" s="311"/>
      <c r="IJH73" s="311"/>
      <c r="IJI73" s="311"/>
      <c r="IJJ73" s="311"/>
      <c r="IJK73" s="311"/>
      <c r="IJL73" s="311"/>
      <c r="IJM73" s="311"/>
      <c r="IJN73" s="311"/>
      <c r="IJO73" s="311"/>
      <c r="IJP73" s="311"/>
      <c r="IJQ73" s="311"/>
      <c r="IJR73" s="311"/>
      <c r="IJS73" s="311"/>
      <c r="IJT73" s="311"/>
      <c r="IJU73" s="311"/>
      <c r="IJV73" s="311"/>
      <c r="IJW73" s="311"/>
      <c r="IJX73" s="311"/>
      <c r="IJY73" s="311"/>
      <c r="IJZ73" s="311"/>
      <c r="IKA73" s="311"/>
      <c r="IKB73" s="311"/>
      <c r="IKC73" s="311"/>
      <c r="IKD73" s="311"/>
      <c r="IKE73" s="311"/>
      <c r="IKF73" s="311"/>
      <c r="IKG73" s="311"/>
      <c r="IKH73" s="311"/>
      <c r="IKI73" s="311"/>
      <c r="IKJ73" s="311"/>
      <c r="IKK73" s="311"/>
      <c r="IKL73" s="311"/>
      <c r="IKM73" s="311"/>
      <c r="IKN73" s="311"/>
      <c r="IKO73" s="311"/>
      <c r="IKP73" s="311"/>
      <c r="IKQ73" s="311"/>
      <c r="IKR73" s="311"/>
      <c r="IKS73" s="311"/>
      <c r="IKT73" s="311"/>
      <c r="IKU73" s="311"/>
      <c r="IKV73" s="311"/>
      <c r="IKW73" s="311"/>
      <c r="IKX73" s="311"/>
      <c r="IKY73" s="311"/>
      <c r="IKZ73" s="311"/>
      <c r="ILA73" s="311"/>
      <c r="ILB73" s="311"/>
      <c r="ILC73" s="311"/>
      <c r="ILD73" s="311"/>
      <c r="ILE73" s="311"/>
      <c r="ILF73" s="311"/>
      <c r="ILG73" s="311"/>
      <c r="ILH73" s="311"/>
      <c r="ILI73" s="311"/>
      <c r="ILJ73" s="311"/>
      <c r="ILK73" s="311"/>
      <c r="ILL73" s="311"/>
      <c r="ILM73" s="311"/>
      <c r="ILN73" s="311"/>
      <c r="ILO73" s="311"/>
      <c r="ILP73" s="311"/>
      <c r="ILQ73" s="311"/>
      <c r="ILR73" s="311"/>
      <c r="ILS73" s="311"/>
      <c r="ILT73" s="311"/>
      <c r="ILU73" s="311"/>
      <c r="ILV73" s="311"/>
      <c r="ILW73" s="311"/>
      <c r="ILX73" s="311"/>
      <c r="ILY73" s="311"/>
      <c r="ILZ73" s="311"/>
      <c r="IMA73" s="311"/>
      <c r="IMB73" s="311"/>
      <c r="IMC73" s="311"/>
      <c r="IMD73" s="311"/>
      <c r="IME73" s="311"/>
      <c r="IMF73" s="311"/>
      <c r="IMG73" s="311"/>
      <c r="IMH73" s="311"/>
      <c r="IMI73" s="311"/>
      <c r="IMJ73" s="311"/>
      <c r="IMK73" s="311"/>
      <c r="IML73" s="311"/>
      <c r="IMM73" s="311"/>
      <c r="IMN73" s="311"/>
      <c r="IMO73" s="311"/>
      <c r="IMP73" s="311"/>
      <c r="IMQ73" s="311"/>
      <c r="IMR73" s="311"/>
      <c r="IMS73" s="311"/>
      <c r="IMT73" s="311"/>
      <c r="IMU73" s="311"/>
      <c r="IMV73" s="311"/>
      <c r="IMW73" s="311"/>
      <c r="IMX73" s="311"/>
      <c r="IMY73" s="311"/>
      <c r="IMZ73" s="311"/>
      <c r="INA73" s="311"/>
      <c r="INB73" s="311"/>
      <c r="INC73" s="311"/>
      <c r="IND73" s="311"/>
      <c r="INE73" s="311"/>
      <c r="INF73" s="311"/>
      <c r="ING73" s="311"/>
      <c r="INH73" s="311"/>
      <c r="INI73" s="311"/>
      <c r="INJ73" s="311"/>
      <c r="INK73" s="311"/>
      <c r="INL73" s="311"/>
      <c r="INM73" s="311"/>
      <c r="INN73" s="311"/>
      <c r="INO73" s="311"/>
      <c r="INP73" s="311"/>
      <c r="INQ73" s="311"/>
      <c r="INR73" s="311"/>
      <c r="INS73" s="311"/>
      <c r="INT73" s="311"/>
      <c r="INU73" s="311"/>
      <c r="INV73" s="311"/>
      <c r="INW73" s="311"/>
      <c r="INX73" s="311"/>
      <c r="INY73" s="311"/>
      <c r="INZ73" s="311"/>
      <c r="IOA73" s="311"/>
      <c r="IOB73" s="311"/>
      <c r="IOC73" s="311"/>
      <c r="IOD73" s="311"/>
      <c r="IOE73" s="311"/>
      <c r="IOF73" s="311"/>
      <c r="IOG73" s="311"/>
      <c r="IOH73" s="311"/>
      <c r="IOI73" s="311"/>
      <c r="IOJ73" s="311"/>
      <c r="IOK73" s="311"/>
      <c r="IOL73" s="311"/>
      <c r="IOM73" s="311"/>
      <c r="ION73" s="311"/>
      <c r="IOO73" s="311"/>
      <c r="IOP73" s="311"/>
      <c r="IOQ73" s="311"/>
      <c r="IOR73" s="311"/>
      <c r="IOS73" s="311"/>
      <c r="IOT73" s="311"/>
      <c r="IOU73" s="311"/>
      <c r="IOV73" s="311"/>
      <c r="IOW73" s="311"/>
      <c r="IOX73" s="311"/>
      <c r="IOY73" s="311"/>
      <c r="IOZ73" s="311"/>
      <c r="IPA73" s="311"/>
      <c r="IPB73" s="311"/>
      <c r="IPC73" s="311"/>
      <c r="IPD73" s="311"/>
      <c r="IPE73" s="311"/>
      <c r="IPF73" s="311"/>
      <c r="IPG73" s="311"/>
      <c r="IPH73" s="311"/>
      <c r="IPI73" s="311"/>
      <c r="IPJ73" s="311"/>
      <c r="IPK73" s="311"/>
      <c r="IPL73" s="311"/>
      <c r="IPM73" s="311"/>
      <c r="IPN73" s="311"/>
      <c r="IPO73" s="311"/>
      <c r="IPP73" s="311"/>
      <c r="IPQ73" s="311"/>
      <c r="IPR73" s="311"/>
      <c r="IPS73" s="311"/>
      <c r="IPT73" s="311"/>
      <c r="IPU73" s="311"/>
      <c r="IPV73" s="311"/>
      <c r="IPW73" s="311"/>
      <c r="IPX73" s="311"/>
      <c r="IPY73" s="311"/>
      <c r="IPZ73" s="311"/>
      <c r="IQA73" s="311"/>
      <c r="IQB73" s="311"/>
      <c r="IQC73" s="311"/>
      <c r="IQD73" s="311"/>
      <c r="IQE73" s="311"/>
      <c r="IQF73" s="311"/>
      <c r="IQG73" s="311"/>
      <c r="IQH73" s="311"/>
      <c r="IQI73" s="311"/>
      <c r="IQJ73" s="311"/>
      <c r="IQK73" s="311"/>
      <c r="IQL73" s="311"/>
      <c r="IQM73" s="311"/>
      <c r="IQN73" s="311"/>
      <c r="IQO73" s="311"/>
      <c r="IQP73" s="311"/>
      <c r="IQQ73" s="311"/>
      <c r="IQR73" s="311"/>
      <c r="IQS73" s="311"/>
      <c r="IQT73" s="311"/>
      <c r="IQU73" s="311"/>
      <c r="IQV73" s="311"/>
      <c r="IQW73" s="311"/>
      <c r="IQX73" s="311"/>
      <c r="IQY73" s="311"/>
      <c r="IQZ73" s="311"/>
      <c r="IRA73" s="311"/>
      <c r="IRB73" s="311"/>
      <c r="IRC73" s="311"/>
      <c r="IRD73" s="311"/>
      <c r="IRE73" s="311"/>
      <c r="IRF73" s="311"/>
      <c r="IRG73" s="311"/>
      <c r="IRH73" s="311"/>
      <c r="IRI73" s="311"/>
      <c r="IRJ73" s="311"/>
      <c r="IRK73" s="311"/>
      <c r="IRL73" s="311"/>
      <c r="IRM73" s="311"/>
      <c r="IRN73" s="311"/>
      <c r="IRO73" s="311"/>
      <c r="IRP73" s="311"/>
      <c r="IRQ73" s="311"/>
      <c r="IRR73" s="311"/>
      <c r="IRS73" s="311"/>
      <c r="IRT73" s="311"/>
      <c r="IRU73" s="311"/>
      <c r="IRV73" s="311"/>
      <c r="IRW73" s="311"/>
      <c r="IRX73" s="311"/>
      <c r="IRY73" s="311"/>
      <c r="IRZ73" s="311"/>
      <c r="ISA73" s="311"/>
      <c r="ISB73" s="311"/>
      <c r="ISC73" s="311"/>
      <c r="ISD73" s="311"/>
      <c r="ISE73" s="311"/>
      <c r="ISF73" s="311"/>
      <c r="ISG73" s="311"/>
      <c r="ISH73" s="311"/>
      <c r="ISI73" s="311"/>
      <c r="ISJ73" s="311"/>
      <c r="ISK73" s="311"/>
      <c r="ISL73" s="311"/>
      <c r="ISM73" s="311"/>
      <c r="ISN73" s="311"/>
      <c r="ISO73" s="311"/>
      <c r="ISP73" s="311"/>
      <c r="ISQ73" s="311"/>
      <c r="ISR73" s="311"/>
      <c r="ISS73" s="311"/>
      <c r="IST73" s="311"/>
      <c r="ISU73" s="311"/>
      <c r="ISV73" s="311"/>
      <c r="ISW73" s="311"/>
      <c r="ISX73" s="311"/>
      <c r="ISY73" s="311"/>
      <c r="ISZ73" s="311"/>
      <c r="ITA73" s="311"/>
      <c r="ITB73" s="311"/>
      <c r="ITC73" s="311"/>
      <c r="ITD73" s="311"/>
      <c r="ITE73" s="311"/>
      <c r="ITF73" s="311"/>
      <c r="ITG73" s="311"/>
      <c r="ITH73" s="311"/>
      <c r="ITI73" s="311"/>
      <c r="ITJ73" s="311"/>
      <c r="ITK73" s="311"/>
      <c r="ITL73" s="311"/>
      <c r="ITM73" s="311"/>
      <c r="ITN73" s="311"/>
      <c r="ITO73" s="311"/>
      <c r="ITP73" s="311"/>
      <c r="ITQ73" s="311"/>
      <c r="ITR73" s="311"/>
      <c r="ITS73" s="311"/>
      <c r="ITT73" s="311"/>
      <c r="ITU73" s="311"/>
      <c r="ITV73" s="311"/>
      <c r="ITW73" s="311"/>
      <c r="ITX73" s="311"/>
      <c r="ITY73" s="311"/>
      <c r="ITZ73" s="311"/>
      <c r="IUA73" s="311"/>
      <c r="IUB73" s="311"/>
      <c r="IUC73" s="311"/>
      <c r="IUD73" s="311"/>
      <c r="IUE73" s="311"/>
      <c r="IUF73" s="311"/>
      <c r="IUG73" s="311"/>
      <c r="IUH73" s="311"/>
      <c r="IUI73" s="311"/>
      <c r="IUJ73" s="311"/>
      <c r="IUK73" s="311"/>
      <c r="IUL73" s="311"/>
      <c r="IUM73" s="311"/>
      <c r="IUN73" s="311"/>
      <c r="IUO73" s="311"/>
      <c r="IUP73" s="311"/>
      <c r="IUQ73" s="311"/>
      <c r="IUR73" s="311"/>
      <c r="IUS73" s="311"/>
      <c r="IUT73" s="311"/>
      <c r="IUU73" s="311"/>
      <c r="IUV73" s="311"/>
      <c r="IUW73" s="311"/>
      <c r="IUX73" s="311"/>
      <c r="IUY73" s="311"/>
      <c r="IUZ73" s="311"/>
      <c r="IVA73" s="311"/>
      <c r="IVB73" s="311"/>
      <c r="IVC73" s="311"/>
      <c r="IVD73" s="311"/>
      <c r="IVE73" s="311"/>
      <c r="IVF73" s="311"/>
      <c r="IVG73" s="311"/>
      <c r="IVH73" s="311"/>
      <c r="IVI73" s="311"/>
      <c r="IVJ73" s="311"/>
      <c r="IVK73" s="311"/>
      <c r="IVL73" s="311"/>
      <c r="IVM73" s="311"/>
      <c r="IVN73" s="311"/>
      <c r="IVO73" s="311"/>
      <c r="IVP73" s="311"/>
      <c r="IVQ73" s="311"/>
      <c r="IVR73" s="311"/>
      <c r="IVS73" s="311"/>
      <c r="IVT73" s="311"/>
      <c r="IVU73" s="311"/>
      <c r="IVV73" s="311"/>
      <c r="IVW73" s="311"/>
      <c r="IVX73" s="311"/>
      <c r="IVY73" s="311"/>
      <c r="IVZ73" s="311"/>
      <c r="IWA73" s="311"/>
      <c r="IWB73" s="311"/>
      <c r="IWC73" s="311"/>
      <c r="IWD73" s="311"/>
      <c r="IWE73" s="311"/>
      <c r="IWF73" s="311"/>
      <c r="IWG73" s="311"/>
      <c r="IWH73" s="311"/>
      <c r="IWI73" s="311"/>
      <c r="IWJ73" s="311"/>
      <c r="IWK73" s="311"/>
      <c r="IWL73" s="311"/>
      <c r="IWM73" s="311"/>
      <c r="IWN73" s="311"/>
      <c r="IWO73" s="311"/>
      <c r="IWP73" s="311"/>
      <c r="IWQ73" s="311"/>
      <c r="IWR73" s="311"/>
      <c r="IWS73" s="311"/>
      <c r="IWT73" s="311"/>
      <c r="IWU73" s="311"/>
      <c r="IWV73" s="311"/>
      <c r="IWW73" s="311"/>
      <c r="IWX73" s="311"/>
      <c r="IWY73" s="311"/>
      <c r="IWZ73" s="311"/>
      <c r="IXA73" s="311"/>
      <c r="IXB73" s="311"/>
      <c r="IXC73" s="311"/>
      <c r="IXD73" s="311"/>
      <c r="IXE73" s="311"/>
      <c r="IXF73" s="311"/>
      <c r="IXG73" s="311"/>
      <c r="IXH73" s="311"/>
      <c r="IXI73" s="311"/>
      <c r="IXJ73" s="311"/>
      <c r="IXK73" s="311"/>
      <c r="IXL73" s="311"/>
      <c r="IXM73" s="311"/>
      <c r="IXN73" s="311"/>
      <c r="IXO73" s="311"/>
      <c r="IXP73" s="311"/>
      <c r="IXQ73" s="311"/>
      <c r="IXR73" s="311"/>
      <c r="IXS73" s="311"/>
      <c r="IXT73" s="311"/>
      <c r="IXU73" s="311"/>
      <c r="IXV73" s="311"/>
      <c r="IXW73" s="311"/>
      <c r="IXX73" s="311"/>
      <c r="IXY73" s="311"/>
      <c r="IXZ73" s="311"/>
      <c r="IYA73" s="311"/>
      <c r="IYB73" s="311"/>
      <c r="IYC73" s="311"/>
      <c r="IYD73" s="311"/>
      <c r="IYE73" s="311"/>
      <c r="IYF73" s="311"/>
      <c r="IYG73" s="311"/>
      <c r="IYH73" s="311"/>
      <c r="IYI73" s="311"/>
      <c r="IYJ73" s="311"/>
      <c r="IYK73" s="311"/>
      <c r="IYL73" s="311"/>
      <c r="IYM73" s="311"/>
      <c r="IYN73" s="311"/>
      <c r="IYO73" s="311"/>
      <c r="IYP73" s="311"/>
      <c r="IYQ73" s="311"/>
      <c r="IYR73" s="311"/>
      <c r="IYS73" s="311"/>
      <c r="IYT73" s="311"/>
      <c r="IYU73" s="311"/>
      <c r="IYV73" s="311"/>
      <c r="IYW73" s="311"/>
      <c r="IYX73" s="311"/>
      <c r="IYY73" s="311"/>
      <c r="IYZ73" s="311"/>
      <c r="IZA73" s="311"/>
      <c r="IZB73" s="311"/>
      <c r="IZC73" s="311"/>
      <c r="IZD73" s="311"/>
      <c r="IZE73" s="311"/>
      <c r="IZF73" s="311"/>
      <c r="IZG73" s="311"/>
      <c r="IZH73" s="311"/>
      <c r="IZI73" s="311"/>
      <c r="IZJ73" s="311"/>
      <c r="IZK73" s="311"/>
      <c r="IZL73" s="311"/>
      <c r="IZM73" s="311"/>
      <c r="IZN73" s="311"/>
      <c r="IZO73" s="311"/>
      <c r="IZP73" s="311"/>
      <c r="IZQ73" s="311"/>
      <c r="IZR73" s="311"/>
      <c r="IZS73" s="311"/>
      <c r="IZT73" s="311"/>
      <c r="IZU73" s="311"/>
      <c r="IZV73" s="311"/>
      <c r="IZW73" s="311"/>
      <c r="IZX73" s="311"/>
      <c r="IZY73" s="311"/>
      <c r="IZZ73" s="311"/>
      <c r="JAA73" s="311"/>
      <c r="JAB73" s="311"/>
      <c r="JAC73" s="311"/>
      <c r="JAD73" s="311"/>
      <c r="JAE73" s="311"/>
      <c r="JAF73" s="311"/>
      <c r="JAG73" s="311"/>
      <c r="JAH73" s="311"/>
      <c r="JAI73" s="311"/>
      <c r="JAJ73" s="311"/>
      <c r="JAK73" s="311"/>
      <c r="JAL73" s="311"/>
      <c r="JAM73" s="311"/>
      <c r="JAN73" s="311"/>
      <c r="JAO73" s="311"/>
      <c r="JAP73" s="311"/>
      <c r="JAQ73" s="311"/>
      <c r="JAR73" s="311"/>
      <c r="JAS73" s="311"/>
      <c r="JAT73" s="311"/>
      <c r="JAU73" s="311"/>
      <c r="JAV73" s="311"/>
      <c r="JAW73" s="311"/>
      <c r="JAX73" s="311"/>
      <c r="JAY73" s="311"/>
      <c r="JAZ73" s="311"/>
      <c r="JBA73" s="311"/>
      <c r="JBB73" s="311"/>
      <c r="JBC73" s="311"/>
      <c r="JBD73" s="311"/>
      <c r="JBE73" s="311"/>
      <c r="JBF73" s="311"/>
      <c r="JBG73" s="311"/>
      <c r="JBH73" s="311"/>
      <c r="JBI73" s="311"/>
      <c r="JBJ73" s="311"/>
      <c r="JBK73" s="311"/>
      <c r="JBL73" s="311"/>
      <c r="JBM73" s="311"/>
      <c r="JBN73" s="311"/>
      <c r="JBO73" s="311"/>
      <c r="JBP73" s="311"/>
      <c r="JBQ73" s="311"/>
      <c r="JBR73" s="311"/>
      <c r="JBS73" s="311"/>
      <c r="JBT73" s="311"/>
      <c r="JBU73" s="311"/>
      <c r="JBV73" s="311"/>
      <c r="JBW73" s="311"/>
      <c r="JBX73" s="311"/>
      <c r="JBY73" s="311"/>
      <c r="JBZ73" s="311"/>
      <c r="JCA73" s="311"/>
      <c r="JCB73" s="311"/>
      <c r="JCC73" s="311"/>
      <c r="JCD73" s="311"/>
      <c r="JCE73" s="311"/>
      <c r="JCF73" s="311"/>
      <c r="JCG73" s="311"/>
      <c r="JCH73" s="311"/>
      <c r="JCI73" s="311"/>
      <c r="JCJ73" s="311"/>
      <c r="JCK73" s="311"/>
      <c r="JCL73" s="311"/>
      <c r="JCM73" s="311"/>
      <c r="JCN73" s="311"/>
      <c r="JCO73" s="311"/>
      <c r="JCP73" s="311"/>
      <c r="JCQ73" s="311"/>
      <c r="JCR73" s="311"/>
      <c r="JCS73" s="311"/>
      <c r="JCT73" s="311"/>
      <c r="JCU73" s="311"/>
      <c r="JCV73" s="311"/>
      <c r="JCW73" s="311"/>
      <c r="JCX73" s="311"/>
      <c r="JCY73" s="311"/>
      <c r="JCZ73" s="311"/>
      <c r="JDA73" s="311"/>
      <c r="JDB73" s="311"/>
      <c r="JDC73" s="311"/>
      <c r="JDD73" s="311"/>
      <c r="JDE73" s="311"/>
      <c r="JDF73" s="311"/>
      <c r="JDG73" s="311"/>
      <c r="JDH73" s="311"/>
      <c r="JDI73" s="311"/>
      <c r="JDJ73" s="311"/>
      <c r="JDK73" s="311"/>
      <c r="JDL73" s="311"/>
      <c r="JDM73" s="311"/>
      <c r="JDN73" s="311"/>
      <c r="JDO73" s="311"/>
      <c r="JDP73" s="311"/>
      <c r="JDQ73" s="311"/>
      <c r="JDR73" s="311"/>
      <c r="JDS73" s="311"/>
      <c r="JDT73" s="311"/>
      <c r="JDU73" s="311"/>
      <c r="JDV73" s="311"/>
      <c r="JDW73" s="311"/>
      <c r="JDX73" s="311"/>
      <c r="JDY73" s="311"/>
      <c r="JDZ73" s="311"/>
      <c r="JEA73" s="311"/>
      <c r="JEB73" s="311"/>
      <c r="JEC73" s="311"/>
      <c r="JED73" s="311"/>
      <c r="JEE73" s="311"/>
      <c r="JEF73" s="311"/>
      <c r="JEG73" s="311"/>
      <c r="JEH73" s="311"/>
      <c r="JEI73" s="311"/>
      <c r="JEJ73" s="311"/>
      <c r="JEK73" s="311"/>
      <c r="JEL73" s="311"/>
      <c r="JEM73" s="311"/>
      <c r="JEN73" s="311"/>
      <c r="JEO73" s="311"/>
      <c r="JEP73" s="311"/>
      <c r="JEQ73" s="311"/>
      <c r="JER73" s="311"/>
      <c r="JES73" s="311"/>
      <c r="JET73" s="311"/>
      <c r="JEU73" s="311"/>
      <c r="JEV73" s="311"/>
      <c r="JEW73" s="311"/>
      <c r="JEX73" s="311"/>
      <c r="JEY73" s="311"/>
      <c r="JEZ73" s="311"/>
      <c r="JFA73" s="311"/>
      <c r="JFB73" s="311"/>
      <c r="JFC73" s="311"/>
      <c r="JFD73" s="311"/>
      <c r="JFE73" s="311"/>
      <c r="JFF73" s="311"/>
      <c r="JFG73" s="311"/>
      <c r="JFH73" s="311"/>
      <c r="JFI73" s="311"/>
      <c r="JFJ73" s="311"/>
      <c r="JFK73" s="311"/>
      <c r="JFL73" s="311"/>
      <c r="JFM73" s="311"/>
      <c r="JFN73" s="311"/>
      <c r="JFO73" s="311"/>
      <c r="JFP73" s="311"/>
      <c r="JFQ73" s="311"/>
      <c r="JFR73" s="311"/>
      <c r="JFS73" s="311"/>
      <c r="JFT73" s="311"/>
      <c r="JFU73" s="311"/>
      <c r="JFV73" s="311"/>
      <c r="JFW73" s="311"/>
      <c r="JFX73" s="311"/>
      <c r="JFY73" s="311"/>
      <c r="JFZ73" s="311"/>
      <c r="JGA73" s="311"/>
      <c r="JGB73" s="311"/>
      <c r="JGC73" s="311"/>
      <c r="JGD73" s="311"/>
      <c r="JGE73" s="311"/>
      <c r="JGF73" s="311"/>
      <c r="JGG73" s="311"/>
      <c r="JGH73" s="311"/>
      <c r="JGI73" s="311"/>
      <c r="JGJ73" s="311"/>
      <c r="JGK73" s="311"/>
      <c r="JGL73" s="311"/>
      <c r="JGM73" s="311"/>
      <c r="JGN73" s="311"/>
      <c r="JGO73" s="311"/>
      <c r="JGP73" s="311"/>
      <c r="JGQ73" s="311"/>
      <c r="JGR73" s="311"/>
      <c r="JGS73" s="311"/>
      <c r="JGT73" s="311"/>
      <c r="JGU73" s="311"/>
      <c r="JGV73" s="311"/>
      <c r="JGW73" s="311"/>
      <c r="JGX73" s="311"/>
      <c r="JGY73" s="311"/>
      <c r="JGZ73" s="311"/>
      <c r="JHA73" s="311"/>
      <c r="JHB73" s="311"/>
      <c r="JHC73" s="311"/>
      <c r="JHD73" s="311"/>
      <c r="JHE73" s="311"/>
      <c r="JHF73" s="311"/>
      <c r="JHG73" s="311"/>
      <c r="JHH73" s="311"/>
      <c r="JHI73" s="311"/>
      <c r="JHJ73" s="311"/>
      <c r="JHK73" s="311"/>
      <c r="JHL73" s="311"/>
      <c r="JHM73" s="311"/>
      <c r="JHN73" s="311"/>
      <c r="JHO73" s="311"/>
      <c r="JHP73" s="311"/>
      <c r="JHQ73" s="311"/>
      <c r="JHR73" s="311"/>
      <c r="JHS73" s="311"/>
      <c r="JHT73" s="311"/>
      <c r="JHU73" s="311"/>
      <c r="JHV73" s="311"/>
      <c r="JHW73" s="311"/>
      <c r="JHX73" s="311"/>
      <c r="JHY73" s="311"/>
      <c r="JHZ73" s="311"/>
      <c r="JIA73" s="311"/>
      <c r="JIB73" s="311"/>
      <c r="JIC73" s="311"/>
      <c r="JID73" s="311"/>
      <c r="JIE73" s="311"/>
      <c r="JIF73" s="311"/>
      <c r="JIG73" s="311"/>
      <c r="JIH73" s="311"/>
      <c r="JII73" s="311"/>
      <c r="JIJ73" s="311"/>
      <c r="JIK73" s="311"/>
      <c r="JIL73" s="311"/>
      <c r="JIM73" s="311"/>
      <c r="JIN73" s="311"/>
      <c r="JIO73" s="311"/>
      <c r="JIP73" s="311"/>
      <c r="JIQ73" s="311"/>
      <c r="JIR73" s="311"/>
      <c r="JIS73" s="311"/>
      <c r="JIT73" s="311"/>
      <c r="JIU73" s="311"/>
      <c r="JIV73" s="311"/>
      <c r="JIW73" s="311"/>
      <c r="JIX73" s="311"/>
      <c r="JIY73" s="311"/>
      <c r="JIZ73" s="311"/>
      <c r="JJA73" s="311"/>
      <c r="JJB73" s="311"/>
      <c r="JJC73" s="311"/>
      <c r="JJD73" s="311"/>
      <c r="JJE73" s="311"/>
      <c r="JJF73" s="311"/>
      <c r="JJG73" s="311"/>
      <c r="JJH73" s="311"/>
      <c r="JJI73" s="311"/>
      <c r="JJJ73" s="311"/>
      <c r="JJK73" s="311"/>
      <c r="JJL73" s="311"/>
      <c r="JJM73" s="311"/>
      <c r="JJN73" s="311"/>
      <c r="JJO73" s="311"/>
      <c r="JJP73" s="311"/>
      <c r="JJQ73" s="311"/>
      <c r="JJR73" s="311"/>
      <c r="JJS73" s="311"/>
      <c r="JJT73" s="311"/>
      <c r="JJU73" s="311"/>
      <c r="JJV73" s="311"/>
      <c r="JJW73" s="311"/>
      <c r="JJX73" s="311"/>
      <c r="JJY73" s="311"/>
      <c r="JJZ73" s="311"/>
      <c r="JKA73" s="311"/>
      <c r="JKB73" s="311"/>
      <c r="JKC73" s="311"/>
      <c r="JKD73" s="311"/>
      <c r="JKE73" s="311"/>
      <c r="JKF73" s="311"/>
      <c r="JKG73" s="311"/>
      <c r="JKH73" s="311"/>
      <c r="JKI73" s="311"/>
      <c r="JKJ73" s="311"/>
      <c r="JKK73" s="311"/>
      <c r="JKL73" s="311"/>
      <c r="JKM73" s="311"/>
      <c r="JKN73" s="311"/>
      <c r="JKO73" s="311"/>
      <c r="JKP73" s="311"/>
      <c r="JKQ73" s="311"/>
      <c r="JKR73" s="311"/>
      <c r="JKS73" s="311"/>
      <c r="JKT73" s="311"/>
      <c r="JKU73" s="311"/>
      <c r="JKV73" s="311"/>
      <c r="JKW73" s="311"/>
      <c r="JKX73" s="311"/>
      <c r="JKY73" s="311"/>
      <c r="JKZ73" s="311"/>
      <c r="JLA73" s="311"/>
      <c r="JLB73" s="311"/>
      <c r="JLC73" s="311"/>
      <c r="JLD73" s="311"/>
      <c r="JLE73" s="311"/>
      <c r="JLF73" s="311"/>
      <c r="JLG73" s="311"/>
      <c r="JLH73" s="311"/>
      <c r="JLI73" s="311"/>
      <c r="JLJ73" s="311"/>
      <c r="JLK73" s="311"/>
      <c r="JLL73" s="311"/>
      <c r="JLM73" s="311"/>
      <c r="JLN73" s="311"/>
      <c r="JLO73" s="311"/>
      <c r="JLP73" s="311"/>
      <c r="JLQ73" s="311"/>
      <c r="JLR73" s="311"/>
      <c r="JLS73" s="311"/>
      <c r="JLT73" s="311"/>
      <c r="JLU73" s="311"/>
      <c r="JLV73" s="311"/>
      <c r="JLW73" s="311"/>
      <c r="JLX73" s="311"/>
      <c r="JLY73" s="311"/>
      <c r="JLZ73" s="311"/>
      <c r="JMA73" s="311"/>
      <c r="JMB73" s="311"/>
      <c r="JMC73" s="311"/>
      <c r="JMD73" s="311"/>
      <c r="JME73" s="311"/>
      <c r="JMF73" s="311"/>
      <c r="JMG73" s="311"/>
      <c r="JMH73" s="311"/>
      <c r="JMI73" s="311"/>
      <c r="JMJ73" s="311"/>
      <c r="JMK73" s="311"/>
      <c r="JML73" s="311"/>
      <c r="JMM73" s="311"/>
      <c r="JMN73" s="311"/>
      <c r="JMO73" s="311"/>
      <c r="JMP73" s="311"/>
      <c r="JMQ73" s="311"/>
      <c r="JMR73" s="311"/>
      <c r="JMS73" s="311"/>
      <c r="JMT73" s="311"/>
      <c r="JMU73" s="311"/>
      <c r="JMV73" s="311"/>
      <c r="JMW73" s="311"/>
      <c r="JMX73" s="311"/>
      <c r="JMY73" s="311"/>
      <c r="JMZ73" s="311"/>
      <c r="JNA73" s="311"/>
      <c r="JNB73" s="311"/>
      <c r="JNC73" s="311"/>
      <c r="JND73" s="311"/>
      <c r="JNE73" s="311"/>
      <c r="JNF73" s="311"/>
      <c r="JNG73" s="311"/>
      <c r="JNH73" s="311"/>
      <c r="JNI73" s="311"/>
      <c r="JNJ73" s="311"/>
      <c r="JNK73" s="311"/>
      <c r="JNL73" s="311"/>
      <c r="JNM73" s="311"/>
      <c r="JNN73" s="311"/>
      <c r="JNO73" s="311"/>
      <c r="JNP73" s="311"/>
      <c r="JNQ73" s="311"/>
      <c r="JNR73" s="311"/>
      <c r="JNS73" s="311"/>
      <c r="JNT73" s="311"/>
      <c r="JNU73" s="311"/>
      <c r="JNV73" s="311"/>
      <c r="JNW73" s="311"/>
      <c r="JNX73" s="311"/>
      <c r="JNY73" s="311"/>
      <c r="JNZ73" s="311"/>
      <c r="JOA73" s="311"/>
      <c r="JOB73" s="311"/>
      <c r="JOC73" s="311"/>
      <c r="JOD73" s="311"/>
      <c r="JOE73" s="311"/>
      <c r="JOF73" s="311"/>
      <c r="JOG73" s="311"/>
      <c r="JOH73" s="311"/>
      <c r="JOI73" s="311"/>
      <c r="JOJ73" s="311"/>
      <c r="JOK73" s="311"/>
      <c r="JOL73" s="311"/>
      <c r="JOM73" s="311"/>
      <c r="JON73" s="311"/>
      <c r="JOO73" s="311"/>
      <c r="JOP73" s="311"/>
      <c r="JOQ73" s="311"/>
      <c r="JOR73" s="311"/>
      <c r="JOS73" s="311"/>
      <c r="JOT73" s="311"/>
      <c r="JOU73" s="311"/>
      <c r="JOV73" s="311"/>
      <c r="JOW73" s="311"/>
      <c r="JOX73" s="311"/>
      <c r="JOY73" s="311"/>
      <c r="JOZ73" s="311"/>
      <c r="JPA73" s="311"/>
      <c r="JPB73" s="311"/>
      <c r="JPC73" s="311"/>
      <c r="JPD73" s="311"/>
      <c r="JPE73" s="311"/>
      <c r="JPF73" s="311"/>
      <c r="JPG73" s="311"/>
      <c r="JPH73" s="311"/>
      <c r="JPI73" s="311"/>
      <c r="JPJ73" s="311"/>
      <c r="JPK73" s="311"/>
      <c r="JPL73" s="311"/>
      <c r="JPM73" s="311"/>
      <c r="JPN73" s="311"/>
      <c r="JPO73" s="311"/>
      <c r="JPP73" s="311"/>
      <c r="JPQ73" s="311"/>
      <c r="JPR73" s="311"/>
      <c r="JPS73" s="311"/>
      <c r="JPT73" s="311"/>
      <c r="JPU73" s="311"/>
      <c r="JPV73" s="311"/>
      <c r="JPW73" s="311"/>
      <c r="JPX73" s="311"/>
      <c r="JPY73" s="311"/>
      <c r="JPZ73" s="311"/>
      <c r="JQA73" s="311"/>
      <c r="JQB73" s="311"/>
      <c r="JQC73" s="311"/>
      <c r="JQD73" s="311"/>
      <c r="JQE73" s="311"/>
      <c r="JQF73" s="311"/>
      <c r="JQG73" s="311"/>
      <c r="JQH73" s="311"/>
      <c r="JQI73" s="311"/>
      <c r="JQJ73" s="311"/>
      <c r="JQK73" s="311"/>
      <c r="JQL73" s="311"/>
      <c r="JQM73" s="311"/>
      <c r="JQN73" s="311"/>
      <c r="JQO73" s="311"/>
      <c r="JQP73" s="311"/>
      <c r="JQQ73" s="311"/>
      <c r="JQR73" s="311"/>
      <c r="JQS73" s="311"/>
      <c r="JQT73" s="311"/>
      <c r="JQU73" s="311"/>
      <c r="JQV73" s="311"/>
      <c r="JQW73" s="311"/>
      <c r="JQX73" s="311"/>
      <c r="JQY73" s="311"/>
      <c r="JQZ73" s="311"/>
      <c r="JRA73" s="311"/>
      <c r="JRB73" s="311"/>
      <c r="JRC73" s="311"/>
      <c r="JRD73" s="311"/>
      <c r="JRE73" s="311"/>
      <c r="JRF73" s="311"/>
      <c r="JRG73" s="311"/>
      <c r="JRH73" s="311"/>
      <c r="JRI73" s="311"/>
      <c r="JRJ73" s="311"/>
      <c r="JRK73" s="311"/>
      <c r="JRL73" s="311"/>
      <c r="JRM73" s="311"/>
      <c r="JRN73" s="311"/>
      <c r="JRO73" s="311"/>
      <c r="JRP73" s="311"/>
      <c r="JRQ73" s="311"/>
      <c r="JRR73" s="311"/>
      <c r="JRS73" s="311"/>
      <c r="JRT73" s="311"/>
      <c r="JRU73" s="311"/>
      <c r="JRV73" s="311"/>
      <c r="JRW73" s="311"/>
      <c r="JRX73" s="311"/>
      <c r="JRY73" s="311"/>
      <c r="JRZ73" s="311"/>
      <c r="JSA73" s="311"/>
      <c r="JSB73" s="311"/>
      <c r="JSC73" s="311"/>
      <c r="JSD73" s="311"/>
      <c r="JSE73" s="311"/>
      <c r="JSF73" s="311"/>
      <c r="JSG73" s="311"/>
      <c r="JSH73" s="311"/>
      <c r="JSI73" s="311"/>
      <c r="JSJ73" s="311"/>
      <c r="JSK73" s="311"/>
      <c r="JSL73" s="311"/>
      <c r="JSM73" s="311"/>
      <c r="JSN73" s="311"/>
      <c r="JSO73" s="311"/>
      <c r="JSP73" s="311"/>
      <c r="JSQ73" s="311"/>
      <c r="JSR73" s="311"/>
      <c r="JSS73" s="311"/>
      <c r="JST73" s="311"/>
      <c r="JSU73" s="311"/>
      <c r="JSV73" s="311"/>
      <c r="JSW73" s="311"/>
      <c r="JSX73" s="311"/>
      <c r="JSY73" s="311"/>
      <c r="JSZ73" s="311"/>
      <c r="JTA73" s="311"/>
      <c r="JTB73" s="311"/>
      <c r="JTC73" s="311"/>
      <c r="JTD73" s="311"/>
      <c r="JTE73" s="311"/>
      <c r="JTF73" s="311"/>
      <c r="JTG73" s="311"/>
      <c r="JTH73" s="311"/>
      <c r="JTI73" s="311"/>
      <c r="JTJ73" s="311"/>
      <c r="JTK73" s="311"/>
      <c r="JTL73" s="311"/>
      <c r="JTM73" s="311"/>
      <c r="JTN73" s="311"/>
      <c r="JTO73" s="311"/>
      <c r="JTP73" s="311"/>
      <c r="JTQ73" s="311"/>
      <c r="JTR73" s="311"/>
      <c r="JTS73" s="311"/>
      <c r="JTT73" s="311"/>
      <c r="JTU73" s="311"/>
      <c r="JTV73" s="311"/>
      <c r="JTW73" s="311"/>
      <c r="JTX73" s="311"/>
      <c r="JTY73" s="311"/>
      <c r="JTZ73" s="311"/>
      <c r="JUA73" s="311"/>
      <c r="JUB73" s="311"/>
      <c r="JUC73" s="311"/>
      <c r="JUD73" s="311"/>
      <c r="JUE73" s="311"/>
      <c r="JUF73" s="311"/>
      <c r="JUG73" s="311"/>
      <c r="JUH73" s="311"/>
      <c r="JUI73" s="311"/>
      <c r="JUJ73" s="311"/>
      <c r="JUK73" s="311"/>
      <c r="JUL73" s="311"/>
      <c r="JUM73" s="311"/>
      <c r="JUN73" s="311"/>
      <c r="JUO73" s="311"/>
      <c r="JUP73" s="311"/>
      <c r="JUQ73" s="311"/>
      <c r="JUR73" s="311"/>
      <c r="JUS73" s="311"/>
      <c r="JUT73" s="311"/>
      <c r="JUU73" s="311"/>
      <c r="JUV73" s="311"/>
      <c r="JUW73" s="311"/>
      <c r="JUX73" s="311"/>
      <c r="JUY73" s="311"/>
      <c r="JUZ73" s="311"/>
      <c r="JVA73" s="311"/>
      <c r="JVB73" s="311"/>
      <c r="JVC73" s="311"/>
      <c r="JVD73" s="311"/>
      <c r="JVE73" s="311"/>
      <c r="JVF73" s="311"/>
      <c r="JVG73" s="311"/>
      <c r="JVH73" s="311"/>
      <c r="JVI73" s="311"/>
      <c r="JVJ73" s="311"/>
      <c r="JVK73" s="311"/>
      <c r="JVL73" s="311"/>
      <c r="JVM73" s="311"/>
      <c r="JVN73" s="311"/>
      <c r="JVO73" s="311"/>
      <c r="JVP73" s="311"/>
      <c r="JVQ73" s="311"/>
      <c r="JVR73" s="311"/>
      <c r="JVS73" s="311"/>
      <c r="JVT73" s="311"/>
      <c r="JVU73" s="311"/>
      <c r="JVV73" s="311"/>
      <c r="JVW73" s="311"/>
      <c r="JVX73" s="311"/>
      <c r="JVY73" s="311"/>
      <c r="JVZ73" s="311"/>
      <c r="JWA73" s="311"/>
      <c r="JWB73" s="311"/>
      <c r="JWC73" s="311"/>
      <c r="JWD73" s="311"/>
      <c r="JWE73" s="311"/>
      <c r="JWF73" s="311"/>
      <c r="JWG73" s="311"/>
      <c r="JWH73" s="311"/>
      <c r="JWI73" s="311"/>
      <c r="JWJ73" s="311"/>
      <c r="JWK73" s="311"/>
      <c r="JWL73" s="311"/>
      <c r="JWM73" s="311"/>
      <c r="JWN73" s="311"/>
      <c r="JWO73" s="311"/>
      <c r="JWP73" s="311"/>
      <c r="JWQ73" s="311"/>
      <c r="JWR73" s="311"/>
      <c r="JWS73" s="311"/>
      <c r="JWT73" s="311"/>
      <c r="JWU73" s="311"/>
      <c r="JWV73" s="311"/>
      <c r="JWW73" s="311"/>
      <c r="JWX73" s="311"/>
      <c r="JWY73" s="311"/>
      <c r="JWZ73" s="311"/>
      <c r="JXA73" s="311"/>
      <c r="JXB73" s="311"/>
      <c r="JXC73" s="311"/>
      <c r="JXD73" s="311"/>
      <c r="JXE73" s="311"/>
      <c r="JXF73" s="311"/>
      <c r="JXG73" s="311"/>
      <c r="JXH73" s="311"/>
      <c r="JXI73" s="311"/>
      <c r="JXJ73" s="311"/>
      <c r="JXK73" s="311"/>
      <c r="JXL73" s="311"/>
      <c r="JXM73" s="311"/>
      <c r="JXN73" s="311"/>
      <c r="JXO73" s="311"/>
      <c r="JXP73" s="311"/>
      <c r="JXQ73" s="311"/>
      <c r="JXR73" s="311"/>
      <c r="JXS73" s="311"/>
      <c r="JXT73" s="311"/>
      <c r="JXU73" s="311"/>
      <c r="JXV73" s="311"/>
      <c r="JXW73" s="311"/>
      <c r="JXX73" s="311"/>
      <c r="JXY73" s="311"/>
      <c r="JXZ73" s="311"/>
      <c r="JYA73" s="311"/>
      <c r="JYB73" s="311"/>
      <c r="JYC73" s="311"/>
      <c r="JYD73" s="311"/>
      <c r="JYE73" s="311"/>
      <c r="JYF73" s="311"/>
      <c r="JYG73" s="311"/>
      <c r="JYH73" s="311"/>
      <c r="JYI73" s="311"/>
      <c r="JYJ73" s="311"/>
      <c r="JYK73" s="311"/>
      <c r="JYL73" s="311"/>
      <c r="JYM73" s="311"/>
      <c r="JYN73" s="311"/>
      <c r="JYO73" s="311"/>
      <c r="JYP73" s="311"/>
      <c r="JYQ73" s="311"/>
      <c r="JYR73" s="311"/>
      <c r="JYS73" s="311"/>
      <c r="JYT73" s="311"/>
      <c r="JYU73" s="311"/>
      <c r="JYV73" s="311"/>
      <c r="JYW73" s="311"/>
      <c r="JYX73" s="311"/>
      <c r="JYY73" s="311"/>
      <c r="JYZ73" s="311"/>
      <c r="JZA73" s="311"/>
      <c r="JZB73" s="311"/>
      <c r="JZC73" s="311"/>
      <c r="JZD73" s="311"/>
      <c r="JZE73" s="311"/>
      <c r="JZF73" s="311"/>
      <c r="JZG73" s="311"/>
      <c r="JZH73" s="311"/>
      <c r="JZI73" s="311"/>
      <c r="JZJ73" s="311"/>
      <c r="JZK73" s="311"/>
      <c r="JZL73" s="311"/>
      <c r="JZM73" s="311"/>
      <c r="JZN73" s="311"/>
      <c r="JZO73" s="311"/>
      <c r="JZP73" s="311"/>
      <c r="JZQ73" s="311"/>
      <c r="JZR73" s="311"/>
      <c r="JZS73" s="311"/>
      <c r="JZT73" s="311"/>
      <c r="JZU73" s="311"/>
      <c r="JZV73" s="311"/>
      <c r="JZW73" s="311"/>
      <c r="JZX73" s="311"/>
      <c r="JZY73" s="311"/>
      <c r="JZZ73" s="311"/>
      <c r="KAA73" s="311"/>
      <c r="KAB73" s="311"/>
      <c r="KAC73" s="311"/>
      <c r="KAD73" s="311"/>
      <c r="KAE73" s="311"/>
      <c r="KAF73" s="311"/>
      <c r="KAG73" s="311"/>
      <c r="KAH73" s="311"/>
      <c r="KAI73" s="311"/>
      <c r="KAJ73" s="311"/>
      <c r="KAK73" s="311"/>
      <c r="KAL73" s="311"/>
      <c r="KAM73" s="311"/>
      <c r="KAN73" s="311"/>
      <c r="KAO73" s="311"/>
      <c r="KAP73" s="311"/>
      <c r="KAQ73" s="311"/>
      <c r="KAR73" s="311"/>
      <c r="KAS73" s="311"/>
      <c r="KAT73" s="311"/>
      <c r="KAU73" s="311"/>
      <c r="KAV73" s="311"/>
      <c r="KAW73" s="311"/>
      <c r="KAX73" s="311"/>
      <c r="KAY73" s="311"/>
      <c r="KAZ73" s="311"/>
      <c r="KBA73" s="311"/>
      <c r="KBB73" s="311"/>
      <c r="KBC73" s="311"/>
      <c r="KBD73" s="311"/>
      <c r="KBE73" s="311"/>
      <c r="KBF73" s="311"/>
      <c r="KBG73" s="311"/>
      <c r="KBH73" s="311"/>
      <c r="KBI73" s="311"/>
      <c r="KBJ73" s="311"/>
      <c r="KBK73" s="311"/>
      <c r="KBL73" s="311"/>
      <c r="KBM73" s="311"/>
      <c r="KBN73" s="311"/>
      <c r="KBO73" s="311"/>
      <c r="KBP73" s="311"/>
      <c r="KBQ73" s="311"/>
      <c r="KBR73" s="311"/>
      <c r="KBS73" s="311"/>
      <c r="KBT73" s="311"/>
      <c r="KBU73" s="311"/>
      <c r="KBV73" s="311"/>
      <c r="KBW73" s="311"/>
      <c r="KBX73" s="311"/>
      <c r="KBY73" s="311"/>
      <c r="KBZ73" s="311"/>
      <c r="KCA73" s="311"/>
      <c r="KCB73" s="311"/>
      <c r="KCC73" s="311"/>
      <c r="KCD73" s="311"/>
      <c r="KCE73" s="311"/>
      <c r="KCF73" s="311"/>
      <c r="KCG73" s="311"/>
      <c r="KCH73" s="311"/>
      <c r="KCI73" s="311"/>
      <c r="KCJ73" s="311"/>
      <c r="KCK73" s="311"/>
      <c r="KCL73" s="311"/>
      <c r="KCM73" s="311"/>
      <c r="KCN73" s="311"/>
      <c r="KCO73" s="311"/>
      <c r="KCP73" s="311"/>
      <c r="KCQ73" s="311"/>
      <c r="KCR73" s="311"/>
      <c r="KCS73" s="311"/>
      <c r="KCT73" s="311"/>
      <c r="KCU73" s="311"/>
      <c r="KCV73" s="311"/>
      <c r="KCW73" s="311"/>
      <c r="KCX73" s="311"/>
      <c r="KCY73" s="311"/>
      <c r="KCZ73" s="311"/>
      <c r="KDA73" s="311"/>
      <c r="KDB73" s="311"/>
      <c r="KDC73" s="311"/>
      <c r="KDD73" s="311"/>
      <c r="KDE73" s="311"/>
      <c r="KDF73" s="311"/>
      <c r="KDG73" s="311"/>
      <c r="KDH73" s="311"/>
      <c r="KDI73" s="311"/>
      <c r="KDJ73" s="311"/>
      <c r="KDK73" s="311"/>
      <c r="KDL73" s="311"/>
      <c r="KDM73" s="311"/>
      <c r="KDN73" s="311"/>
      <c r="KDO73" s="311"/>
      <c r="KDP73" s="311"/>
      <c r="KDQ73" s="311"/>
      <c r="KDR73" s="311"/>
      <c r="KDS73" s="311"/>
      <c r="KDT73" s="311"/>
      <c r="KDU73" s="311"/>
      <c r="KDV73" s="311"/>
      <c r="KDW73" s="311"/>
      <c r="KDX73" s="311"/>
      <c r="KDY73" s="311"/>
      <c r="KDZ73" s="311"/>
      <c r="KEA73" s="311"/>
      <c r="KEB73" s="311"/>
      <c r="KEC73" s="311"/>
      <c r="KED73" s="311"/>
      <c r="KEE73" s="311"/>
      <c r="KEF73" s="311"/>
      <c r="KEG73" s="311"/>
      <c r="KEH73" s="311"/>
      <c r="KEI73" s="311"/>
      <c r="KEJ73" s="311"/>
      <c r="KEK73" s="311"/>
      <c r="KEL73" s="311"/>
      <c r="KEM73" s="311"/>
      <c r="KEN73" s="311"/>
      <c r="KEO73" s="311"/>
      <c r="KEP73" s="311"/>
      <c r="KEQ73" s="311"/>
      <c r="KER73" s="311"/>
      <c r="KES73" s="311"/>
      <c r="KET73" s="311"/>
      <c r="KEU73" s="311"/>
      <c r="KEV73" s="311"/>
      <c r="KEW73" s="311"/>
      <c r="KEX73" s="311"/>
      <c r="KEY73" s="311"/>
      <c r="KEZ73" s="311"/>
      <c r="KFA73" s="311"/>
      <c r="KFB73" s="311"/>
      <c r="KFC73" s="311"/>
      <c r="KFD73" s="311"/>
      <c r="KFE73" s="311"/>
      <c r="KFF73" s="311"/>
      <c r="KFG73" s="311"/>
      <c r="KFH73" s="311"/>
      <c r="KFI73" s="311"/>
      <c r="KFJ73" s="311"/>
      <c r="KFK73" s="311"/>
      <c r="KFL73" s="311"/>
      <c r="KFM73" s="311"/>
      <c r="KFN73" s="311"/>
      <c r="KFO73" s="311"/>
      <c r="KFP73" s="311"/>
      <c r="KFQ73" s="311"/>
      <c r="KFR73" s="311"/>
      <c r="KFS73" s="311"/>
      <c r="KFT73" s="311"/>
      <c r="KFU73" s="311"/>
      <c r="KFV73" s="311"/>
      <c r="KFW73" s="311"/>
      <c r="KFX73" s="311"/>
      <c r="KFY73" s="311"/>
      <c r="KFZ73" s="311"/>
      <c r="KGA73" s="311"/>
      <c r="KGB73" s="311"/>
      <c r="KGC73" s="311"/>
      <c r="KGD73" s="311"/>
      <c r="KGE73" s="311"/>
      <c r="KGF73" s="311"/>
      <c r="KGG73" s="311"/>
      <c r="KGH73" s="311"/>
      <c r="KGI73" s="311"/>
      <c r="KGJ73" s="311"/>
      <c r="KGK73" s="311"/>
      <c r="KGL73" s="311"/>
      <c r="KGM73" s="311"/>
      <c r="KGN73" s="311"/>
      <c r="KGO73" s="311"/>
      <c r="KGP73" s="311"/>
      <c r="KGQ73" s="311"/>
      <c r="KGR73" s="311"/>
      <c r="KGS73" s="311"/>
      <c r="KGT73" s="311"/>
      <c r="KGU73" s="311"/>
      <c r="KGV73" s="311"/>
      <c r="KGW73" s="311"/>
      <c r="KGX73" s="311"/>
      <c r="KGY73" s="311"/>
      <c r="KGZ73" s="311"/>
      <c r="KHA73" s="311"/>
      <c r="KHB73" s="311"/>
      <c r="KHC73" s="311"/>
      <c r="KHD73" s="311"/>
      <c r="KHE73" s="311"/>
      <c r="KHF73" s="311"/>
      <c r="KHG73" s="311"/>
      <c r="KHH73" s="311"/>
      <c r="KHI73" s="311"/>
      <c r="KHJ73" s="311"/>
      <c r="KHK73" s="311"/>
      <c r="KHL73" s="311"/>
      <c r="KHM73" s="311"/>
      <c r="KHN73" s="311"/>
      <c r="KHO73" s="311"/>
      <c r="KHP73" s="311"/>
      <c r="KHQ73" s="311"/>
      <c r="KHR73" s="311"/>
      <c r="KHS73" s="311"/>
      <c r="KHT73" s="311"/>
      <c r="KHU73" s="311"/>
      <c r="KHV73" s="311"/>
      <c r="KHW73" s="311"/>
      <c r="KHX73" s="311"/>
      <c r="KHY73" s="311"/>
      <c r="KHZ73" s="311"/>
      <c r="KIA73" s="311"/>
      <c r="KIB73" s="311"/>
      <c r="KIC73" s="311"/>
      <c r="KID73" s="311"/>
      <c r="KIE73" s="311"/>
      <c r="KIF73" s="311"/>
      <c r="KIG73" s="311"/>
      <c r="KIH73" s="311"/>
      <c r="KII73" s="311"/>
      <c r="KIJ73" s="311"/>
      <c r="KIK73" s="311"/>
      <c r="KIL73" s="311"/>
      <c r="KIM73" s="311"/>
      <c r="KIN73" s="311"/>
      <c r="KIO73" s="311"/>
      <c r="KIP73" s="311"/>
      <c r="KIQ73" s="311"/>
      <c r="KIR73" s="311"/>
      <c r="KIS73" s="311"/>
      <c r="KIT73" s="311"/>
      <c r="KIU73" s="311"/>
      <c r="KIV73" s="311"/>
      <c r="KIW73" s="311"/>
      <c r="KIX73" s="311"/>
      <c r="KIY73" s="311"/>
      <c r="KIZ73" s="311"/>
      <c r="KJA73" s="311"/>
      <c r="KJB73" s="311"/>
      <c r="KJC73" s="311"/>
      <c r="KJD73" s="311"/>
      <c r="KJE73" s="311"/>
      <c r="KJF73" s="311"/>
      <c r="KJG73" s="311"/>
      <c r="KJH73" s="311"/>
      <c r="KJI73" s="311"/>
      <c r="KJJ73" s="311"/>
      <c r="KJK73" s="311"/>
      <c r="KJL73" s="311"/>
      <c r="KJM73" s="311"/>
      <c r="KJN73" s="311"/>
      <c r="KJO73" s="311"/>
      <c r="KJP73" s="311"/>
      <c r="KJQ73" s="311"/>
      <c r="KJR73" s="311"/>
      <c r="KJS73" s="311"/>
      <c r="KJT73" s="311"/>
      <c r="KJU73" s="311"/>
      <c r="KJV73" s="311"/>
      <c r="KJW73" s="311"/>
      <c r="KJX73" s="311"/>
      <c r="KJY73" s="311"/>
      <c r="KJZ73" s="311"/>
      <c r="KKA73" s="311"/>
      <c r="KKB73" s="311"/>
      <c r="KKC73" s="311"/>
      <c r="KKD73" s="311"/>
      <c r="KKE73" s="311"/>
      <c r="KKF73" s="311"/>
      <c r="KKG73" s="311"/>
      <c r="KKH73" s="311"/>
      <c r="KKI73" s="311"/>
      <c r="KKJ73" s="311"/>
      <c r="KKK73" s="311"/>
      <c r="KKL73" s="311"/>
      <c r="KKM73" s="311"/>
      <c r="KKN73" s="311"/>
      <c r="KKO73" s="311"/>
      <c r="KKP73" s="311"/>
      <c r="KKQ73" s="311"/>
      <c r="KKR73" s="311"/>
      <c r="KKS73" s="311"/>
      <c r="KKT73" s="311"/>
      <c r="KKU73" s="311"/>
      <c r="KKV73" s="311"/>
      <c r="KKW73" s="311"/>
      <c r="KKX73" s="311"/>
      <c r="KKY73" s="311"/>
      <c r="KKZ73" s="311"/>
      <c r="KLA73" s="311"/>
      <c r="KLB73" s="311"/>
      <c r="KLC73" s="311"/>
      <c r="KLD73" s="311"/>
      <c r="KLE73" s="311"/>
      <c r="KLF73" s="311"/>
      <c r="KLG73" s="311"/>
      <c r="KLH73" s="311"/>
      <c r="KLI73" s="311"/>
      <c r="KLJ73" s="311"/>
      <c r="KLK73" s="311"/>
      <c r="KLL73" s="311"/>
      <c r="KLM73" s="311"/>
      <c r="KLN73" s="311"/>
      <c r="KLO73" s="311"/>
      <c r="KLP73" s="311"/>
      <c r="KLQ73" s="311"/>
      <c r="KLR73" s="311"/>
      <c r="KLS73" s="311"/>
      <c r="KLT73" s="311"/>
      <c r="KLU73" s="311"/>
      <c r="KLV73" s="311"/>
      <c r="KLW73" s="311"/>
      <c r="KLX73" s="311"/>
      <c r="KLY73" s="311"/>
      <c r="KLZ73" s="311"/>
      <c r="KMA73" s="311"/>
      <c r="KMB73" s="311"/>
      <c r="KMC73" s="311"/>
      <c r="KMD73" s="311"/>
      <c r="KME73" s="311"/>
      <c r="KMF73" s="311"/>
      <c r="KMG73" s="311"/>
      <c r="KMH73" s="311"/>
      <c r="KMI73" s="311"/>
      <c r="KMJ73" s="311"/>
      <c r="KMK73" s="311"/>
      <c r="KML73" s="311"/>
      <c r="KMM73" s="311"/>
      <c r="KMN73" s="311"/>
      <c r="KMO73" s="311"/>
      <c r="KMP73" s="311"/>
      <c r="KMQ73" s="311"/>
      <c r="KMR73" s="311"/>
      <c r="KMS73" s="311"/>
      <c r="KMT73" s="311"/>
      <c r="KMU73" s="311"/>
      <c r="KMV73" s="311"/>
      <c r="KMW73" s="311"/>
      <c r="KMX73" s="311"/>
      <c r="KMY73" s="311"/>
      <c r="KMZ73" s="311"/>
      <c r="KNA73" s="311"/>
      <c r="KNB73" s="311"/>
      <c r="KNC73" s="311"/>
      <c r="KND73" s="311"/>
      <c r="KNE73" s="311"/>
      <c r="KNF73" s="311"/>
      <c r="KNG73" s="311"/>
      <c r="KNH73" s="311"/>
      <c r="KNI73" s="311"/>
      <c r="KNJ73" s="311"/>
      <c r="KNK73" s="311"/>
      <c r="KNL73" s="311"/>
      <c r="KNM73" s="311"/>
      <c r="KNN73" s="311"/>
      <c r="KNO73" s="311"/>
      <c r="KNP73" s="311"/>
      <c r="KNQ73" s="311"/>
      <c r="KNR73" s="311"/>
      <c r="KNS73" s="311"/>
      <c r="KNT73" s="311"/>
      <c r="KNU73" s="311"/>
      <c r="KNV73" s="311"/>
      <c r="KNW73" s="311"/>
      <c r="KNX73" s="311"/>
      <c r="KNY73" s="311"/>
      <c r="KNZ73" s="311"/>
      <c r="KOA73" s="311"/>
      <c r="KOB73" s="311"/>
      <c r="KOC73" s="311"/>
      <c r="KOD73" s="311"/>
      <c r="KOE73" s="311"/>
      <c r="KOF73" s="311"/>
      <c r="KOG73" s="311"/>
      <c r="KOH73" s="311"/>
      <c r="KOI73" s="311"/>
      <c r="KOJ73" s="311"/>
      <c r="KOK73" s="311"/>
      <c r="KOL73" s="311"/>
      <c r="KOM73" s="311"/>
      <c r="KON73" s="311"/>
      <c r="KOO73" s="311"/>
      <c r="KOP73" s="311"/>
      <c r="KOQ73" s="311"/>
      <c r="KOR73" s="311"/>
      <c r="KOS73" s="311"/>
      <c r="KOT73" s="311"/>
      <c r="KOU73" s="311"/>
      <c r="KOV73" s="311"/>
      <c r="KOW73" s="311"/>
      <c r="KOX73" s="311"/>
      <c r="KOY73" s="311"/>
      <c r="KOZ73" s="311"/>
      <c r="KPA73" s="311"/>
      <c r="KPB73" s="311"/>
      <c r="KPC73" s="311"/>
      <c r="KPD73" s="311"/>
      <c r="KPE73" s="311"/>
      <c r="KPF73" s="311"/>
      <c r="KPG73" s="311"/>
      <c r="KPH73" s="311"/>
      <c r="KPI73" s="311"/>
      <c r="KPJ73" s="311"/>
      <c r="KPK73" s="311"/>
      <c r="KPL73" s="311"/>
      <c r="KPM73" s="311"/>
      <c r="KPN73" s="311"/>
      <c r="KPO73" s="311"/>
      <c r="KPP73" s="311"/>
      <c r="KPQ73" s="311"/>
      <c r="KPR73" s="311"/>
      <c r="KPS73" s="311"/>
      <c r="KPT73" s="311"/>
      <c r="KPU73" s="311"/>
      <c r="KPV73" s="311"/>
      <c r="KPW73" s="311"/>
      <c r="KPX73" s="311"/>
      <c r="KPY73" s="311"/>
      <c r="KPZ73" s="311"/>
      <c r="KQA73" s="311"/>
      <c r="KQB73" s="311"/>
      <c r="KQC73" s="311"/>
      <c r="KQD73" s="311"/>
      <c r="KQE73" s="311"/>
      <c r="KQF73" s="311"/>
      <c r="KQG73" s="311"/>
      <c r="KQH73" s="311"/>
      <c r="KQI73" s="311"/>
      <c r="KQJ73" s="311"/>
      <c r="KQK73" s="311"/>
      <c r="KQL73" s="311"/>
      <c r="KQM73" s="311"/>
      <c r="KQN73" s="311"/>
      <c r="KQO73" s="311"/>
      <c r="KQP73" s="311"/>
      <c r="KQQ73" s="311"/>
      <c r="KQR73" s="311"/>
      <c r="KQS73" s="311"/>
      <c r="KQT73" s="311"/>
      <c r="KQU73" s="311"/>
      <c r="KQV73" s="311"/>
      <c r="KQW73" s="311"/>
      <c r="KQX73" s="311"/>
      <c r="KQY73" s="311"/>
      <c r="KQZ73" s="311"/>
      <c r="KRA73" s="311"/>
      <c r="KRB73" s="311"/>
      <c r="KRC73" s="311"/>
      <c r="KRD73" s="311"/>
      <c r="KRE73" s="311"/>
      <c r="KRF73" s="311"/>
      <c r="KRG73" s="311"/>
      <c r="KRH73" s="311"/>
      <c r="KRI73" s="311"/>
      <c r="KRJ73" s="311"/>
      <c r="KRK73" s="311"/>
      <c r="KRL73" s="311"/>
      <c r="KRM73" s="311"/>
      <c r="KRN73" s="311"/>
      <c r="KRO73" s="311"/>
      <c r="KRP73" s="311"/>
      <c r="KRQ73" s="311"/>
      <c r="KRR73" s="311"/>
      <c r="KRS73" s="311"/>
      <c r="KRT73" s="311"/>
      <c r="KRU73" s="311"/>
      <c r="KRV73" s="311"/>
      <c r="KRW73" s="311"/>
      <c r="KRX73" s="311"/>
      <c r="KRY73" s="311"/>
      <c r="KRZ73" s="311"/>
      <c r="KSA73" s="311"/>
      <c r="KSB73" s="311"/>
      <c r="KSC73" s="311"/>
      <c r="KSD73" s="311"/>
      <c r="KSE73" s="311"/>
      <c r="KSF73" s="311"/>
      <c r="KSG73" s="311"/>
      <c r="KSH73" s="311"/>
      <c r="KSI73" s="311"/>
      <c r="KSJ73" s="311"/>
      <c r="KSK73" s="311"/>
      <c r="KSL73" s="311"/>
      <c r="KSM73" s="311"/>
      <c r="KSN73" s="311"/>
      <c r="KSO73" s="311"/>
      <c r="KSP73" s="311"/>
      <c r="KSQ73" s="311"/>
      <c r="KSR73" s="311"/>
      <c r="KSS73" s="311"/>
      <c r="KST73" s="311"/>
      <c r="KSU73" s="311"/>
      <c r="KSV73" s="311"/>
      <c r="KSW73" s="311"/>
      <c r="KSX73" s="311"/>
      <c r="KSY73" s="311"/>
      <c r="KSZ73" s="311"/>
      <c r="KTA73" s="311"/>
      <c r="KTB73" s="311"/>
      <c r="KTC73" s="311"/>
      <c r="KTD73" s="311"/>
      <c r="KTE73" s="311"/>
      <c r="KTF73" s="311"/>
      <c r="KTG73" s="311"/>
      <c r="KTH73" s="311"/>
      <c r="KTI73" s="311"/>
      <c r="KTJ73" s="311"/>
      <c r="KTK73" s="311"/>
      <c r="KTL73" s="311"/>
      <c r="KTM73" s="311"/>
      <c r="KTN73" s="311"/>
      <c r="KTO73" s="311"/>
      <c r="KTP73" s="311"/>
      <c r="KTQ73" s="311"/>
      <c r="KTR73" s="311"/>
      <c r="KTS73" s="311"/>
      <c r="KTT73" s="311"/>
      <c r="KTU73" s="311"/>
      <c r="KTV73" s="311"/>
      <c r="KTW73" s="311"/>
      <c r="KTX73" s="311"/>
      <c r="KTY73" s="311"/>
      <c r="KTZ73" s="311"/>
      <c r="KUA73" s="311"/>
      <c r="KUB73" s="311"/>
      <c r="KUC73" s="311"/>
      <c r="KUD73" s="311"/>
      <c r="KUE73" s="311"/>
      <c r="KUF73" s="311"/>
      <c r="KUG73" s="311"/>
      <c r="KUH73" s="311"/>
      <c r="KUI73" s="311"/>
      <c r="KUJ73" s="311"/>
      <c r="KUK73" s="311"/>
      <c r="KUL73" s="311"/>
      <c r="KUM73" s="311"/>
      <c r="KUN73" s="311"/>
      <c r="KUO73" s="311"/>
      <c r="KUP73" s="311"/>
      <c r="KUQ73" s="311"/>
      <c r="KUR73" s="311"/>
      <c r="KUS73" s="311"/>
      <c r="KUT73" s="311"/>
      <c r="KUU73" s="311"/>
      <c r="KUV73" s="311"/>
      <c r="KUW73" s="311"/>
      <c r="KUX73" s="311"/>
      <c r="KUY73" s="311"/>
      <c r="KUZ73" s="311"/>
      <c r="KVA73" s="311"/>
      <c r="KVB73" s="311"/>
      <c r="KVC73" s="311"/>
      <c r="KVD73" s="311"/>
      <c r="KVE73" s="311"/>
      <c r="KVF73" s="311"/>
      <c r="KVG73" s="311"/>
      <c r="KVH73" s="311"/>
      <c r="KVI73" s="311"/>
      <c r="KVJ73" s="311"/>
      <c r="KVK73" s="311"/>
      <c r="KVL73" s="311"/>
      <c r="KVM73" s="311"/>
      <c r="KVN73" s="311"/>
      <c r="KVO73" s="311"/>
      <c r="KVP73" s="311"/>
      <c r="KVQ73" s="311"/>
      <c r="KVR73" s="311"/>
      <c r="KVS73" s="311"/>
      <c r="KVT73" s="311"/>
      <c r="KVU73" s="311"/>
      <c r="KVV73" s="311"/>
      <c r="KVW73" s="311"/>
      <c r="KVX73" s="311"/>
      <c r="KVY73" s="311"/>
      <c r="KVZ73" s="311"/>
      <c r="KWA73" s="311"/>
      <c r="KWB73" s="311"/>
      <c r="KWC73" s="311"/>
      <c r="KWD73" s="311"/>
      <c r="KWE73" s="311"/>
      <c r="KWF73" s="311"/>
      <c r="KWG73" s="311"/>
      <c r="KWH73" s="311"/>
      <c r="KWI73" s="311"/>
      <c r="KWJ73" s="311"/>
      <c r="KWK73" s="311"/>
      <c r="KWL73" s="311"/>
      <c r="KWM73" s="311"/>
      <c r="KWN73" s="311"/>
      <c r="KWO73" s="311"/>
      <c r="KWP73" s="311"/>
      <c r="KWQ73" s="311"/>
      <c r="KWR73" s="311"/>
      <c r="KWS73" s="311"/>
      <c r="KWT73" s="311"/>
      <c r="KWU73" s="311"/>
      <c r="KWV73" s="311"/>
      <c r="KWW73" s="311"/>
      <c r="KWX73" s="311"/>
      <c r="KWY73" s="311"/>
      <c r="KWZ73" s="311"/>
      <c r="KXA73" s="311"/>
      <c r="KXB73" s="311"/>
      <c r="KXC73" s="311"/>
      <c r="KXD73" s="311"/>
      <c r="KXE73" s="311"/>
      <c r="KXF73" s="311"/>
      <c r="KXG73" s="311"/>
      <c r="KXH73" s="311"/>
      <c r="KXI73" s="311"/>
      <c r="KXJ73" s="311"/>
      <c r="KXK73" s="311"/>
      <c r="KXL73" s="311"/>
      <c r="KXM73" s="311"/>
      <c r="KXN73" s="311"/>
      <c r="KXO73" s="311"/>
      <c r="KXP73" s="311"/>
      <c r="KXQ73" s="311"/>
      <c r="KXR73" s="311"/>
      <c r="KXS73" s="311"/>
      <c r="KXT73" s="311"/>
      <c r="KXU73" s="311"/>
      <c r="KXV73" s="311"/>
      <c r="KXW73" s="311"/>
      <c r="KXX73" s="311"/>
      <c r="KXY73" s="311"/>
      <c r="KXZ73" s="311"/>
      <c r="KYA73" s="311"/>
      <c r="KYB73" s="311"/>
      <c r="KYC73" s="311"/>
      <c r="KYD73" s="311"/>
      <c r="KYE73" s="311"/>
      <c r="KYF73" s="311"/>
      <c r="KYG73" s="311"/>
      <c r="KYH73" s="311"/>
      <c r="KYI73" s="311"/>
      <c r="KYJ73" s="311"/>
      <c r="KYK73" s="311"/>
      <c r="KYL73" s="311"/>
      <c r="KYM73" s="311"/>
      <c r="KYN73" s="311"/>
      <c r="KYO73" s="311"/>
      <c r="KYP73" s="311"/>
      <c r="KYQ73" s="311"/>
      <c r="KYR73" s="311"/>
      <c r="KYS73" s="311"/>
      <c r="KYT73" s="311"/>
      <c r="KYU73" s="311"/>
      <c r="KYV73" s="311"/>
      <c r="KYW73" s="311"/>
      <c r="KYX73" s="311"/>
      <c r="KYY73" s="311"/>
      <c r="KYZ73" s="311"/>
      <c r="KZA73" s="311"/>
      <c r="KZB73" s="311"/>
      <c r="KZC73" s="311"/>
      <c r="KZD73" s="311"/>
      <c r="KZE73" s="311"/>
      <c r="KZF73" s="311"/>
      <c r="KZG73" s="311"/>
      <c r="KZH73" s="311"/>
      <c r="KZI73" s="311"/>
      <c r="KZJ73" s="311"/>
      <c r="KZK73" s="311"/>
      <c r="KZL73" s="311"/>
      <c r="KZM73" s="311"/>
      <c r="KZN73" s="311"/>
      <c r="KZO73" s="311"/>
      <c r="KZP73" s="311"/>
      <c r="KZQ73" s="311"/>
      <c r="KZR73" s="311"/>
      <c r="KZS73" s="311"/>
      <c r="KZT73" s="311"/>
      <c r="KZU73" s="311"/>
      <c r="KZV73" s="311"/>
      <c r="KZW73" s="311"/>
      <c r="KZX73" s="311"/>
      <c r="KZY73" s="311"/>
      <c r="KZZ73" s="311"/>
      <c r="LAA73" s="311"/>
      <c r="LAB73" s="311"/>
      <c r="LAC73" s="311"/>
      <c r="LAD73" s="311"/>
      <c r="LAE73" s="311"/>
      <c r="LAF73" s="311"/>
      <c r="LAG73" s="311"/>
      <c r="LAH73" s="311"/>
      <c r="LAI73" s="311"/>
      <c r="LAJ73" s="311"/>
      <c r="LAK73" s="311"/>
      <c r="LAL73" s="311"/>
      <c r="LAM73" s="311"/>
      <c r="LAN73" s="311"/>
      <c r="LAO73" s="311"/>
      <c r="LAP73" s="311"/>
      <c r="LAQ73" s="311"/>
      <c r="LAR73" s="311"/>
      <c r="LAS73" s="311"/>
      <c r="LAT73" s="311"/>
      <c r="LAU73" s="311"/>
      <c r="LAV73" s="311"/>
      <c r="LAW73" s="311"/>
      <c r="LAX73" s="311"/>
      <c r="LAY73" s="311"/>
      <c r="LAZ73" s="311"/>
      <c r="LBA73" s="311"/>
      <c r="LBB73" s="311"/>
      <c r="LBC73" s="311"/>
      <c r="LBD73" s="311"/>
      <c r="LBE73" s="311"/>
      <c r="LBF73" s="311"/>
      <c r="LBG73" s="311"/>
      <c r="LBH73" s="311"/>
      <c r="LBI73" s="311"/>
      <c r="LBJ73" s="311"/>
      <c r="LBK73" s="311"/>
      <c r="LBL73" s="311"/>
      <c r="LBM73" s="311"/>
      <c r="LBN73" s="311"/>
      <c r="LBO73" s="311"/>
      <c r="LBP73" s="311"/>
      <c r="LBQ73" s="311"/>
      <c r="LBR73" s="311"/>
      <c r="LBS73" s="311"/>
      <c r="LBT73" s="311"/>
      <c r="LBU73" s="311"/>
      <c r="LBV73" s="311"/>
      <c r="LBW73" s="311"/>
      <c r="LBX73" s="311"/>
      <c r="LBY73" s="311"/>
      <c r="LBZ73" s="311"/>
      <c r="LCA73" s="311"/>
      <c r="LCB73" s="311"/>
      <c r="LCC73" s="311"/>
      <c r="LCD73" s="311"/>
      <c r="LCE73" s="311"/>
      <c r="LCF73" s="311"/>
      <c r="LCG73" s="311"/>
      <c r="LCH73" s="311"/>
      <c r="LCI73" s="311"/>
      <c r="LCJ73" s="311"/>
      <c r="LCK73" s="311"/>
      <c r="LCL73" s="311"/>
      <c r="LCM73" s="311"/>
      <c r="LCN73" s="311"/>
      <c r="LCO73" s="311"/>
      <c r="LCP73" s="311"/>
      <c r="LCQ73" s="311"/>
      <c r="LCR73" s="311"/>
      <c r="LCS73" s="311"/>
      <c r="LCT73" s="311"/>
      <c r="LCU73" s="311"/>
      <c r="LCV73" s="311"/>
      <c r="LCW73" s="311"/>
      <c r="LCX73" s="311"/>
      <c r="LCY73" s="311"/>
      <c r="LCZ73" s="311"/>
      <c r="LDA73" s="311"/>
      <c r="LDB73" s="311"/>
      <c r="LDC73" s="311"/>
      <c r="LDD73" s="311"/>
      <c r="LDE73" s="311"/>
      <c r="LDF73" s="311"/>
      <c r="LDG73" s="311"/>
      <c r="LDH73" s="311"/>
      <c r="LDI73" s="311"/>
      <c r="LDJ73" s="311"/>
      <c r="LDK73" s="311"/>
      <c r="LDL73" s="311"/>
      <c r="LDM73" s="311"/>
      <c r="LDN73" s="311"/>
      <c r="LDO73" s="311"/>
      <c r="LDP73" s="311"/>
      <c r="LDQ73" s="311"/>
      <c r="LDR73" s="311"/>
      <c r="LDS73" s="311"/>
      <c r="LDT73" s="311"/>
      <c r="LDU73" s="311"/>
      <c r="LDV73" s="311"/>
      <c r="LDW73" s="311"/>
      <c r="LDX73" s="311"/>
      <c r="LDY73" s="311"/>
      <c r="LDZ73" s="311"/>
      <c r="LEA73" s="311"/>
      <c r="LEB73" s="311"/>
      <c r="LEC73" s="311"/>
      <c r="LED73" s="311"/>
      <c r="LEE73" s="311"/>
      <c r="LEF73" s="311"/>
      <c r="LEG73" s="311"/>
      <c r="LEH73" s="311"/>
      <c r="LEI73" s="311"/>
      <c r="LEJ73" s="311"/>
      <c r="LEK73" s="311"/>
      <c r="LEL73" s="311"/>
      <c r="LEM73" s="311"/>
      <c r="LEN73" s="311"/>
      <c r="LEO73" s="311"/>
      <c r="LEP73" s="311"/>
      <c r="LEQ73" s="311"/>
      <c r="LER73" s="311"/>
      <c r="LES73" s="311"/>
      <c r="LET73" s="311"/>
      <c r="LEU73" s="311"/>
      <c r="LEV73" s="311"/>
      <c r="LEW73" s="311"/>
      <c r="LEX73" s="311"/>
      <c r="LEY73" s="311"/>
      <c r="LEZ73" s="311"/>
      <c r="LFA73" s="311"/>
      <c r="LFB73" s="311"/>
      <c r="LFC73" s="311"/>
      <c r="LFD73" s="311"/>
      <c r="LFE73" s="311"/>
      <c r="LFF73" s="311"/>
      <c r="LFG73" s="311"/>
      <c r="LFH73" s="311"/>
      <c r="LFI73" s="311"/>
      <c r="LFJ73" s="311"/>
      <c r="LFK73" s="311"/>
      <c r="LFL73" s="311"/>
      <c r="LFM73" s="311"/>
      <c r="LFN73" s="311"/>
      <c r="LFO73" s="311"/>
      <c r="LFP73" s="311"/>
      <c r="LFQ73" s="311"/>
      <c r="LFR73" s="311"/>
      <c r="LFS73" s="311"/>
      <c r="LFT73" s="311"/>
      <c r="LFU73" s="311"/>
      <c r="LFV73" s="311"/>
      <c r="LFW73" s="311"/>
      <c r="LFX73" s="311"/>
      <c r="LFY73" s="311"/>
      <c r="LFZ73" s="311"/>
      <c r="LGA73" s="311"/>
      <c r="LGB73" s="311"/>
      <c r="LGC73" s="311"/>
      <c r="LGD73" s="311"/>
      <c r="LGE73" s="311"/>
      <c r="LGF73" s="311"/>
      <c r="LGG73" s="311"/>
      <c r="LGH73" s="311"/>
      <c r="LGI73" s="311"/>
      <c r="LGJ73" s="311"/>
      <c r="LGK73" s="311"/>
      <c r="LGL73" s="311"/>
      <c r="LGM73" s="311"/>
      <c r="LGN73" s="311"/>
      <c r="LGO73" s="311"/>
      <c r="LGP73" s="311"/>
      <c r="LGQ73" s="311"/>
      <c r="LGR73" s="311"/>
      <c r="LGS73" s="311"/>
      <c r="LGT73" s="311"/>
      <c r="LGU73" s="311"/>
      <c r="LGV73" s="311"/>
      <c r="LGW73" s="311"/>
      <c r="LGX73" s="311"/>
      <c r="LGY73" s="311"/>
      <c r="LGZ73" s="311"/>
      <c r="LHA73" s="311"/>
      <c r="LHB73" s="311"/>
      <c r="LHC73" s="311"/>
      <c r="LHD73" s="311"/>
      <c r="LHE73" s="311"/>
      <c r="LHF73" s="311"/>
      <c r="LHG73" s="311"/>
      <c r="LHH73" s="311"/>
      <c r="LHI73" s="311"/>
      <c r="LHJ73" s="311"/>
      <c r="LHK73" s="311"/>
      <c r="LHL73" s="311"/>
      <c r="LHM73" s="311"/>
      <c r="LHN73" s="311"/>
      <c r="LHO73" s="311"/>
      <c r="LHP73" s="311"/>
      <c r="LHQ73" s="311"/>
      <c r="LHR73" s="311"/>
      <c r="LHS73" s="311"/>
      <c r="LHT73" s="311"/>
      <c r="LHU73" s="311"/>
      <c r="LHV73" s="311"/>
      <c r="LHW73" s="311"/>
      <c r="LHX73" s="311"/>
      <c r="LHY73" s="311"/>
      <c r="LHZ73" s="311"/>
      <c r="LIA73" s="311"/>
      <c r="LIB73" s="311"/>
      <c r="LIC73" s="311"/>
      <c r="LID73" s="311"/>
      <c r="LIE73" s="311"/>
      <c r="LIF73" s="311"/>
      <c r="LIG73" s="311"/>
      <c r="LIH73" s="311"/>
      <c r="LII73" s="311"/>
      <c r="LIJ73" s="311"/>
      <c r="LIK73" s="311"/>
      <c r="LIL73" s="311"/>
      <c r="LIM73" s="311"/>
      <c r="LIN73" s="311"/>
      <c r="LIO73" s="311"/>
      <c r="LIP73" s="311"/>
      <c r="LIQ73" s="311"/>
      <c r="LIR73" s="311"/>
      <c r="LIS73" s="311"/>
      <c r="LIT73" s="311"/>
      <c r="LIU73" s="311"/>
      <c r="LIV73" s="311"/>
      <c r="LIW73" s="311"/>
      <c r="LIX73" s="311"/>
      <c r="LIY73" s="311"/>
      <c r="LIZ73" s="311"/>
      <c r="LJA73" s="311"/>
      <c r="LJB73" s="311"/>
      <c r="LJC73" s="311"/>
      <c r="LJD73" s="311"/>
      <c r="LJE73" s="311"/>
      <c r="LJF73" s="311"/>
      <c r="LJG73" s="311"/>
      <c r="LJH73" s="311"/>
      <c r="LJI73" s="311"/>
      <c r="LJJ73" s="311"/>
      <c r="LJK73" s="311"/>
      <c r="LJL73" s="311"/>
      <c r="LJM73" s="311"/>
      <c r="LJN73" s="311"/>
      <c r="LJO73" s="311"/>
      <c r="LJP73" s="311"/>
      <c r="LJQ73" s="311"/>
      <c r="LJR73" s="311"/>
      <c r="LJS73" s="311"/>
      <c r="LJT73" s="311"/>
      <c r="LJU73" s="311"/>
      <c r="LJV73" s="311"/>
      <c r="LJW73" s="311"/>
      <c r="LJX73" s="311"/>
      <c r="LJY73" s="311"/>
      <c r="LJZ73" s="311"/>
      <c r="LKA73" s="311"/>
      <c r="LKB73" s="311"/>
      <c r="LKC73" s="311"/>
      <c r="LKD73" s="311"/>
      <c r="LKE73" s="311"/>
      <c r="LKF73" s="311"/>
      <c r="LKG73" s="311"/>
      <c r="LKH73" s="311"/>
      <c r="LKI73" s="311"/>
      <c r="LKJ73" s="311"/>
      <c r="LKK73" s="311"/>
      <c r="LKL73" s="311"/>
      <c r="LKM73" s="311"/>
      <c r="LKN73" s="311"/>
      <c r="LKO73" s="311"/>
      <c r="LKP73" s="311"/>
      <c r="LKQ73" s="311"/>
      <c r="LKR73" s="311"/>
      <c r="LKS73" s="311"/>
      <c r="LKT73" s="311"/>
      <c r="LKU73" s="311"/>
      <c r="LKV73" s="311"/>
      <c r="LKW73" s="311"/>
      <c r="LKX73" s="311"/>
      <c r="LKY73" s="311"/>
      <c r="LKZ73" s="311"/>
      <c r="LLA73" s="311"/>
      <c r="LLB73" s="311"/>
      <c r="LLC73" s="311"/>
      <c r="LLD73" s="311"/>
      <c r="LLE73" s="311"/>
      <c r="LLF73" s="311"/>
      <c r="LLG73" s="311"/>
      <c r="LLH73" s="311"/>
      <c r="LLI73" s="311"/>
      <c r="LLJ73" s="311"/>
      <c r="LLK73" s="311"/>
      <c r="LLL73" s="311"/>
      <c r="LLM73" s="311"/>
      <c r="LLN73" s="311"/>
      <c r="LLO73" s="311"/>
      <c r="LLP73" s="311"/>
      <c r="LLQ73" s="311"/>
      <c r="LLR73" s="311"/>
      <c r="LLS73" s="311"/>
      <c r="LLT73" s="311"/>
      <c r="LLU73" s="311"/>
      <c r="LLV73" s="311"/>
      <c r="LLW73" s="311"/>
      <c r="LLX73" s="311"/>
      <c r="LLY73" s="311"/>
      <c r="LLZ73" s="311"/>
      <c r="LMA73" s="311"/>
      <c r="LMB73" s="311"/>
      <c r="LMC73" s="311"/>
      <c r="LMD73" s="311"/>
      <c r="LME73" s="311"/>
      <c r="LMF73" s="311"/>
      <c r="LMG73" s="311"/>
      <c r="LMH73" s="311"/>
      <c r="LMI73" s="311"/>
      <c r="LMJ73" s="311"/>
      <c r="LMK73" s="311"/>
      <c r="LML73" s="311"/>
      <c r="LMM73" s="311"/>
      <c r="LMN73" s="311"/>
      <c r="LMO73" s="311"/>
      <c r="LMP73" s="311"/>
      <c r="LMQ73" s="311"/>
      <c r="LMR73" s="311"/>
      <c r="LMS73" s="311"/>
      <c r="LMT73" s="311"/>
      <c r="LMU73" s="311"/>
      <c r="LMV73" s="311"/>
      <c r="LMW73" s="311"/>
      <c r="LMX73" s="311"/>
      <c r="LMY73" s="311"/>
      <c r="LMZ73" s="311"/>
      <c r="LNA73" s="311"/>
      <c r="LNB73" s="311"/>
      <c r="LNC73" s="311"/>
      <c r="LND73" s="311"/>
      <c r="LNE73" s="311"/>
      <c r="LNF73" s="311"/>
      <c r="LNG73" s="311"/>
      <c r="LNH73" s="311"/>
      <c r="LNI73" s="311"/>
      <c r="LNJ73" s="311"/>
      <c r="LNK73" s="311"/>
      <c r="LNL73" s="311"/>
      <c r="LNM73" s="311"/>
      <c r="LNN73" s="311"/>
      <c r="LNO73" s="311"/>
      <c r="LNP73" s="311"/>
      <c r="LNQ73" s="311"/>
      <c r="LNR73" s="311"/>
      <c r="LNS73" s="311"/>
      <c r="LNT73" s="311"/>
      <c r="LNU73" s="311"/>
      <c r="LNV73" s="311"/>
      <c r="LNW73" s="311"/>
      <c r="LNX73" s="311"/>
      <c r="LNY73" s="311"/>
      <c r="LNZ73" s="311"/>
      <c r="LOA73" s="311"/>
      <c r="LOB73" s="311"/>
      <c r="LOC73" s="311"/>
      <c r="LOD73" s="311"/>
      <c r="LOE73" s="311"/>
      <c r="LOF73" s="311"/>
      <c r="LOG73" s="311"/>
      <c r="LOH73" s="311"/>
      <c r="LOI73" s="311"/>
      <c r="LOJ73" s="311"/>
      <c r="LOK73" s="311"/>
      <c r="LOL73" s="311"/>
      <c r="LOM73" s="311"/>
      <c r="LON73" s="311"/>
      <c r="LOO73" s="311"/>
      <c r="LOP73" s="311"/>
      <c r="LOQ73" s="311"/>
      <c r="LOR73" s="311"/>
      <c r="LOS73" s="311"/>
      <c r="LOT73" s="311"/>
      <c r="LOU73" s="311"/>
      <c r="LOV73" s="311"/>
      <c r="LOW73" s="311"/>
      <c r="LOX73" s="311"/>
      <c r="LOY73" s="311"/>
      <c r="LOZ73" s="311"/>
      <c r="LPA73" s="311"/>
      <c r="LPB73" s="311"/>
      <c r="LPC73" s="311"/>
      <c r="LPD73" s="311"/>
      <c r="LPE73" s="311"/>
      <c r="LPF73" s="311"/>
      <c r="LPG73" s="311"/>
      <c r="LPH73" s="311"/>
      <c r="LPI73" s="311"/>
      <c r="LPJ73" s="311"/>
      <c r="LPK73" s="311"/>
      <c r="LPL73" s="311"/>
      <c r="LPM73" s="311"/>
      <c r="LPN73" s="311"/>
      <c r="LPO73" s="311"/>
      <c r="LPP73" s="311"/>
      <c r="LPQ73" s="311"/>
      <c r="LPR73" s="311"/>
      <c r="LPS73" s="311"/>
      <c r="LPT73" s="311"/>
      <c r="LPU73" s="311"/>
      <c r="LPV73" s="311"/>
      <c r="LPW73" s="311"/>
      <c r="LPX73" s="311"/>
      <c r="LPY73" s="311"/>
      <c r="LPZ73" s="311"/>
      <c r="LQA73" s="311"/>
      <c r="LQB73" s="311"/>
      <c r="LQC73" s="311"/>
      <c r="LQD73" s="311"/>
      <c r="LQE73" s="311"/>
      <c r="LQF73" s="311"/>
      <c r="LQG73" s="311"/>
      <c r="LQH73" s="311"/>
      <c r="LQI73" s="311"/>
      <c r="LQJ73" s="311"/>
      <c r="LQK73" s="311"/>
      <c r="LQL73" s="311"/>
      <c r="LQM73" s="311"/>
      <c r="LQN73" s="311"/>
      <c r="LQO73" s="311"/>
      <c r="LQP73" s="311"/>
      <c r="LQQ73" s="311"/>
      <c r="LQR73" s="311"/>
      <c r="LQS73" s="311"/>
      <c r="LQT73" s="311"/>
      <c r="LQU73" s="311"/>
      <c r="LQV73" s="311"/>
      <c r="LQW73" s="311"/>
      <c r="LQX73" s="311"/>
      <c r="LQY73" s="311"/>
      <c r="LQZ73" s="311"/>
      <c r="LRA73" s="311"/>
      <c r="LRB73" s="311"/>
      <c r="LRC73" s="311"/>
      <c r="LRD73" s="311"/>
      <c r="LRE73" s="311"/>
      <c r="LRF73" s="311"/>
      <c r="LRG73" s="311"/>
      <c r="LRH73" s="311"/>
      <c r="LRI73" s="311"/>
      <c r="LRJ73" s="311"/>
      <c r="LRK73" s="311"/>
      <c r="LRL73" s="311"/>
      <c r="LRM73" s="311"/>
      <c r="LRN73" s="311"/>
      <c r="LRO73" s="311"/>
      <c r="LRP73" s="311"/>
      <c r="LRQ73" s="311"/>
      <c r="LRR73" s="311"/>
      <c r="LRS73" s="311"/>
      <c r="LRT73" s="311"/>
      <c r="LRU73" s="311"/>
      <c r="LRV73" s="311"/>
      <c r="LRW73" s="311"/>
      <c r="LRX73" s="311"/>
      <c r="LRY73" s="311"/>
      <c r="LRZ73" s="311"/>
      <c r="LSA73" s="311"/>
      <c r="LSB73" s="311"/>
      <c r="LSC73" s="311"/>
      <c r="LSD73" s="311"/>
      <c r="LSE73" s="311"/>
      <c r="LSF73" s="311"/>
      <c r="LSG73" s="311"/>
      <c r="LSH73" s="311"/>
      <c r="LSI73" s="311"/>
      <c r="LSJ73" s="311"/>
      <c r="LSK73" s="311"/>
      <c r="LSL73" s="311"/>
      <c r="LSM73" s="311"/>
      <c r="LSN73" s="311"/>
      <c r="LSO73" s="311"/>
      <c r="LSP73" s="311"/>
      <c r="LSQ73" s="311"/>
      <c r="LSR73" s="311"/>
      <c r="LSS73" s="311"/>
      <c r="LST73" s="311"/>
      <c r="LSU73" s="311"/>
      <c r="LSV73" s="311"/>
      <c r="LSW73" s="311"/>
      <c r="LSX73" s="311"/>
      <c r="LSY73" s="311"/>
      <c r="LSZ73" s="311"/>
      <c r="LTA73" s="311"/>
      <c r="LTB73" s="311"/>
      <c r="LTC73" s="311"/>
      <c r="LTD73" s="311"/>
      <c r="LTE73" s="311"/>
      <c r="LTF73" s="311"/>
      <c r="LTG73" s="311"/>
      <c r="LTH73" s="311"/>
      <c r="LTI73" s="311"/>
      <c r="LTJ73" s="311"/>
      <c r="LTK73" s="311"/>
      <c r="LTL73" s="311"/>
      <c r="LTM73" s="311"/>
      <c r="LTN73" s="311"/>
      <c r="LTO73" s="311"/>
      <c r="LTP73" s="311"/>
      <c r="LTQ73" s="311"/>
      <c r="LTR73" s="311"/>
      <c r="LTS73" s="311"/>
      <c r="LTT73" s="311"/>
      <c r="LTU73" s="311"/>
      <c r="LTV73" s="311"/>
      <c r="LTW73" s="311"/>
      <c r="LTX73" s="311"/>
      <c r="LTY73" s="311"/>
      <c r="LTZ73" s="311"/>
      <c r="LUA73" s="311"/>
      <c r="LUB73" s="311"/>
      <c r="LUC73" s="311"/>
      <c r="LUD73" s="311"/>
      <c r="LUE73" s="311"/>
      <c r="LUF73" s="311"/>
      <c r="LUG73" s="311"/>
      <c r="LUH73" s="311"/>
      <c r="LUI73" s="311"/>
      <c r="LUJ73" s="311"/>
      <c r="LUK73" s="311"/>
      <c r="LUL73" s="311"/>
      <c r="LUM73" s="311"/>
      <c r="LUN73" s="311"/>
      <c r="LUO73" s="311"/>
      <c r="LUP73" s="311"/>
      <c r="LUQ73" s="311"/>
      <c r="LUR73" s="311"/>
      <c r="LUS73" s="311"/>
      <c r="LUT73" s="311"/>
      <c r="LUU73" s="311"/>
      <c r="LUV73" s="311"/>
      <c r="LUW73" s="311"/>
      <c r="LUX73" s="311"/>
      <c r="LUY73" s="311"/>
      <c r="LUZ73" s="311"/>
      <c r="LVA73" s="311"/>
      <c r="LVB73" s="311"/>
      <c r="LVC73" s="311"/>
      <c r="LVD73" s="311"/>
      <c r="LVE73" s="311"/>
      <c r="LVF73" s="311"/>
      <c r="LVG73" s="311"/>
      <c r="LVH73" s="311"/>
      <c r="LVI73" s="311"/>
      <c r="LVJ73" s="311"/>
      <c r="LVK73" s="311"/>
      <c r="LVL73" s="311"/>
      <c r="LVM73" s="311"/>
      <c r="LVN73" s="311"/>
      <c r="LVO73" s="311"/>
      <c r="LVP73" s="311"/>
      <c r="LVQ73" s="311"/>
      <c r="LVR73" s="311"/>
      <c r="LVS73" s="311"/>
      <c r="LVT73" s="311"/>
      <c r="LVU73" s="311"/>
      <c r="LVV73" s="311"/>
      <c r="LVW73" s="311"/>
      <c r="LVX73" s="311"/>
      <c r="LVY73" s="311"/>
      <c r="LVZ73" s="311"/>
      <c r="LWA73" s="311"/>
      <c r="LWB73" s="311"/>
      <c r="LWC73" s="311"/>
      <c r="LWD73" s="311"/>
      <c r="LWE73" s="311"/>
      <c r="LWF73" s="311"/>
      <c r="LWG73" s="311"/>
      <c r="LWH73" s="311"/>
      <c r="LWI73" s="311"/>
      <c r="LWJ73" s="311"/>
      <c r="LWK73" s="311"/>
      <c r="LWL73" s="311"/>
      <c r="LWM73" s="311"/>
      <c r="LWN73" s="311"/>
      <c r="LWO73" s="311"/>
      <c r="LWP73" s="311"/>
      <c r="LWQ73" s="311"/>
      <c r="LWR73" s="311"/>
      <c r="LWS73" s="311"/>
      <c r="LWT73" s="311"/>
      <c r="LWU73" s="311"/>
      <c r="LWV73" s="311"/>
      <c r="LWW73" s="311"/>
      <c r="LWX73" s="311"/>
      <c r="LWY73" s="311"/>
      <c r="LWZ73" s="311"/>
      <c r="LXA73" s="311"/>
      <c r="LXB73" s="311"/>
      <c r="LXC73" s="311"/>
      <c r="LXD73" s="311"/>
      <c r="LXE73" s="311"/>
      <c r="LXF73" s="311"/>
      <c r="LXG73" s="311"/>
      <c r="LXH73" s="311"/>
      <c r="LXI73" s="311"/>
      <c r="LXJ73" s="311"/>
      <c r="LXK73" s="311"/>
      <c r="LXL73" s="311"/>
      <c r="LXM73" s="311"/>
      <c r="LXN73" s="311"/>
      <c r="LXO73" s="311"/>
      <c r="LXP73" s="311"/>
      <c r="LXQ73" s="311"/>
      <c r="LXR73" s="311"/>
      <c r="LXS73" s="311"/>
      <c r="LXT73" s="311"/>
      <c r="LXU73" s="311"/>
      <c r="LXV73" s="311"/>
      <c r="LXW73" s="311"/>
      <c r="LXX73" s="311"/>
      <c r="LXY73" s="311"/>
      <c r="LXZ73" s="311"/>
      <c r="LYA73" s="311"/>
      <c r="LYB73" s="311"/>
      <c r="LYC73" s="311"/>
      <c r="LYD73" s="311"/>
      <c r="LYE73" s="311"/>
      <c r="LYF73" s="311"/>
      <c r="LYG73" s="311"/>
      <c r="LYH73" s="311"/>
      <c r="LYI73" s="311"/>
      <c r="LYJ73" s="311"/>
      <c r="LYK73" s="311"/>
      <c r="LYL73" s="311"/>
      <c r="LYM73" s="311"/>
      <c r="LYN73" s="311"/>
      <c r="LYO73" s="311"/>
      <c r="LYP73" s="311"/>
      <c r="LYQ73" s="311"/>
      <c r="LYR73" s="311"/>
      <c r="LYS73" s="311"/>
      <c r="LYT73" s="311"/>
      <c r="LYU73" s="311"/>
      <c r="LYV73" s="311"/>
      <c r="LYW73" s="311"/>
      <c r="LYX73" s="311"/>
      <c r="LYY73" s="311"/>
      <c r="LYZ73" s="311"/>
      <c r="LZA73" s="311"/>
      <c r="LZB73" s="311"/>
      <c r="LZC73" s="311"/>
      <c r="LZD73" s="311"/>
      <c r="LZE73" s="311"/>
      <c r="LZF73" s="311"/>
      <c r="LZG73" s="311"/>
      <c r="LZH73" s="311"/>
      <c r="LZI73" s="311"/>
      <c r="LZJ73" s="311"/>
      <c r="LZK73" s="311"/>
      <c r="LZL73" s="311"/>
      <c r="LZM73" s="311"/>
      <c r="LZN73" s="311"/>
      <c r="LZO73" s="311"/>
      <c r="LZP73" s="311"/>
      <c r="LZQ73" s="311"/>
      <c r="LZR73" s="311"/>
      <c r="LZS73" s="311"/>
      <c r="LZT73" s="311"/>
      <c r="LZU73" s="311"/>
      <c r="LZV73" s="311"/>
      <c r="LZW73" s="311"/>
      <c r="LZX73" s="311"/>
      <c r="LZY73" s="311"/>
      <c r="LZZ73" s="311"/>
      <c r="MAA73" s="311"/>
      <c r="MAB73" s="311"/>
      <c r="MAC73" s="311"/>
      <c r="MAD73" s="311"/>
      <c r="MAE73" s="311"/>
      <c r="MAF73" s="311"/>
      <c r="MAG73" s="311"/>
      <c r="MAH73" s="311"/>
      <c r="MAI73" s="311"/>
      <c r="MAJ73" s="311"/>
      <c r="MAK73" s="311"/>
      <c r="MAL73" s="311"/>
      <c r="MAM73" s="311"/>
      <c r="MAN73" s="311"/>
      <c r="MAO73" s="311"/>
      <c r="MAP73" s="311"/>
      <c r="MAQ73" s="311"/>
      <c r="MAR73" s="311"/>
      <c r="MAS73" s="311"/>
      <c r="MAT73" s="311"/>
      <c r="MAU73" s="311"/>
      <c r="MAV73" s="311"/>
      <c r="MAW73" s="311"/>
      <c r="MAX73" s="311"/>
      <c r="MAY73" s="311"/>
      <c r="MAZ73" s="311"/>
      <c r="MBA73" s="311"/>
      <c r="MBB73" s="311"/>
      <c r="MBC73" s="311"/>
      <c r="MBD73" s="311"/>
      <c r="MBE73" s="311"/>
      <c r="MBF73" s="311"/>
      <c r="MBG73" s="311"/>
      <c r="MBH73" s="311"/>
      <c r="MBI73" s="311"/>
      <c r="MBJ73" s="311"/>
      <c r="MBK73" s="311"/>
      <c r="MBL73" s="311"/>
      <c r="MBM73" s="311"/>
      <c r="MBN73" s="311"/>
      <c r="MBO73" s="311"/>
      <c r="MBP73" s="311"/>
      <c r="MBQ73" s="311"/>
      <c r="MBR73" s="311"/>
      <c r="MBS73" s="311"/>
      <c r="MBT73" s="311"/>
      <c r="MBU73" s="311"/>
      <c r="MBV73" s="311"/>
      <c r="MBW73" s="311"/>
      <c r="MBX73" s="311"/>
      <c r="MBY73" s="311"/>
      <c r="MBZ73" s="311"/>
      <c r="MCA73" s="311"/>
      <c r="MCB73" s="311"/>
      <c r="MCC73" s="311"/>
      <c r="MCD73" s="311"/>
      <c r="MCE73" s="311"/>
      <c r="MCF73" s="311"/>
      <c r="MCG73" s="311"/>
      <c r="MCH73" s="311"/>
      <c r="MCI73" s="311"/>
      <c r="MCJ73" s="311"/>
      <c r="MCK73" s="311"/>
      <c r="MCL73" s="311"/>
      <c r="MCM73" s="311"/>
      <c r="MCN73" s="311"/>
      <c r="MCO73" s="311"/>
      <c r="MCP73" s="311"/>
      <c r="MCQ73" s="311"/>
      <c r="MCR73" s="311"/>
      <c r="MCS73" s="311"/>
      <c r="MCT73" s="311"/>
      <c r="MCU73" s="311"/>
      <c r="MCV73" s="311"/>
      <c r="MCW73" s="311"/>
      <c r="MCX73" s="311"/>
      <c r="MCY73" s="311"/>
      <c r="MCZ73" s="311"/>
      <c r="MDA73" s="311"/>
      <c r="MDB73" s="311"/>
      <c r="MDC73" s="311"/>
      <c r="MDD73" s="311"/>
      <c r="MDE73" s="311"/>
      <c r="MDF73" s="311"/>
      <c r="MDG73" s="311"/>
      <c r="MDH73" s="311"/>
      <c r="MDI73" s="311"/>
      <c r="MDJ73" s="311"/>
      <c r="MDK73" s="311"/>
      <c r="MDL73" s="311"/>
      <c r="MDM73" s="311"/>
      <c r="MDN73" s="311"/>
      <c r="MDO73" s="311"/>
      <c r="MDP73" s="311"/>
      <c r="MDQ73" s="311"/>
      <c r="MDR73" s="311"/>
      <c r="MDS73" s="311"/>
      <c r="MDT73" s="311"/>
      <c r="MDU73" s="311"/>
      <c r="MDV73" s="311"/>
      <c r="MDW73" s="311"/>
      <c r="MDX73" s="311"/>
      <c r="MDY73" s="311"/>
      <c r="MDZ73" s="311"/>
      <c r="MEA73" s="311"/>
      <c r="MEB73" s="311"/>
      <c r="MEC73" s="311"/>
      <c r="MED73" s="311"/>
      <c r="MEE73" s="311"/>
      <c r="MEF73" s="311"/>
      <c r="MEG73" s="311"/>
      <c r="MEH73" s="311"/>
      <c r="MEI73" s="311"/>
      <c r="MEJ73" s="311"/>
      <c r="MEK73" s="311"/>
      <c r="MEL73" s="311"/>
      <c r="MEM73" s="311"/>
      <c r="MEN73" s="311"/>
      <c r="MEO73" s="311"/>
      <c r="MEP73" s="311"/>
      <c r="MEQ73" s="311"/>
      <c r="MER73" s="311"/>
      <c r="MES73" s="311"/>
      <c r="MET73" s="311"/>
      <c r="MEU73" s="311"/>
      <c r="MEV73" s="311"/>
      <c r="MEW73" s="311"/>
      <c r="MEX73" s="311"/>
      <c r="MEY73" s="311"/>
      <c r="MEZ73" s="311"/>
      <c r="MFA73" s="311"/>
      <c r="MFB73" s="311"/>
      <c r="MFC73" s="311"/>
      <c r="MFD73" s="311"/>
      <c r="MFE73" s="311"/>
      <c r="MFF73" s="311"/>
      <c r="MFG73" s="311"/>
      <c r="MFH73" s="311"/>
      <c r="MFI73" s="311"/>
      <c r="MFJ73" s="311"/>
      <c r="MFK73" s="311"/>
      <c r="MFL73" s="311"/>
      <c r="MFM73" s="311"/>
      <c r="MFN73" s="311"/>
      <c r="MFO73" s="311"/>
      <c r="MFP73" s="311"/>
      <c r="MFQ73" s="311"/>
      <c r="MFR73" s="311"/>
      <c r="MFS73" s="311"/>
      <c r="MFT73" s="311"/>
      <c r="MFU73" s="311"/>
      <c r="MFV73" s="311"/>
      <c r="MFW73" s="311"/>
      <c r="MFX73" s="311"/>
      <c r="MFY73" s="311"/>
      <c r="MFZ73" s="311"/>
      <c r="MGA73" s="311"/>
      <c r="MGB73" s="311"/>
      <c r="MGC73" s="311"/>
      <c r="MGD73" s="311"/>
      <c r="MGE73" s="311"/>
      <c r="MGF73" s="311"/>
      <c r="MGG73" s="311"/>
      <c r="MGH73" s="311"/>
      <c r="MGI73" s="311"/>
      <c r="MGJ73" s="311"/>
      <c r="MGK73" s="311"/>
      <c r="MGL73" s="311"/>
      <c r="MGM73" s="311"/>
      <c r="MGN73" s="311"/>
      <c r="MGO73" s="311"/>
      <c r="MGP73" s="311"/>
      <c r="MGQ73" s="311"/>
      <c r="MGR73" s="311"/>
      <c r="MGS73" s="311"/>
      <c r="MGT73" s="311"/>
      <c r="MGU73" s="311"/>
      <c r="MGV73" s="311"/>
      <c r="MGW73" s="311"/>
      <c r="MGX73" s="311"/>
      <c r="MGY73" s="311"/>
      <c r="MGZ73" s="311"/>
      <c r="MHA73" s="311"/>
      <c r="MHB73" s="311"/>
      <c r="MHC73" s="311"/>
      <c r="MHD73" s="311"/>
      <c r="MHE73" s="311"/>
      <c r="MHF73" s="311"/>
      <c r="MHG73" s="311"/>
      <c r="MHH73" s="311"/>
      <c r="MHI73" s="311"/>
      <c r="MHJ73" s="311"/>
      <c r="MHK73" s="311"/>
      <c r="MHL73" s="311"/>
      <c r="MHM73" s="311"/>
      <c r="MHN73" s="311"/>
      <c r="MHO73" s="311"/>
      <c r="MHP73" s="311"/>
      <c r="MHQ73" s="311"/>
      <c r="MHR73" s="311"/>
      <c r="MHS73" s="311"/>
      <c r="MHT73" s="311"/>
      <c r="MHU73" s="311"/>
      <c r="MHV73" s="311"/>
      <c r="MHW73" s="311"/>
      <c r="MHX73" s="311"/>
      <c r="MHY73" s="311"/>
      <c r="MHZ73" s="311"/>
      <c r="MIA73" s="311"/>
      <c r="MIB73" s="311"/>
      <c r="MIC73" s="311"/>
      <c r="MID73" s="311"/>
      <c r="MIE73" s="311"/>
      <c r="MIF73" s="311"/>
      <c r="MIG73" s="311"/>
      <c r="MIH73" s="311"/>
      <c r="MII73" s="311"/>
      <c r="MIJ73" s="311"/>
      <c r="MIK73" s="311"/>
      <c r="MIL73" s="311"/>
      <c r="MIM73" s="311"/>
      <c r="MIN73" s="311"/>
      <c r="MIO73" s="311"/>
      <c r="MIP73" s="311"/>
      <c r="MIQ73" s="311"/>
      <c r="MIR73" s="311"/>
      <c r="MIS73" s="311"/>
      <c r="MIT73" s="311"/>
      <c r="MIU73" s="311"/>
      <c r="MIV73" s="311"/>
      <c r="MIW73" s="311"/>
      <c r="MIX73" s="311"/>
      <c r="MIY73" s="311"/>
      <c r="MIZ73" s="311"/>
      <c r="MJA73" s="311"/>
      <c r="MJB73" s="311"/>
      <c r="MJC73" s="311"/>
      <c r="MJD73" s="311"/>
      <c r="MJE73" s="311"/>
      <c r="MJF73" s="311"/>
      <c r="MJG73" s="311"/>
      <c r="MJH73" s="311"/>
      <c r="MJI73" s="311"/>
      <c r="MJJ73" s="311"/>
      <c r="MJK73" s="311"/>
      <c r="MJL73" s="311"/>
      <c r="MJM73" s="311"/>
      <c r="MJN73" s="311"/>
      <c r="MJO73" s="311"/>
      <c r="MJP73" s="311"/>
      <c r="MJQ73" s="311"/>
      <c r="MJR73" s="311"/>
      <c r="MJS73" s="311"/>
      <c r="MJT73" s="311"/>
      <c r="MJU73" s="311"/>
      <c r="MJV73" s="311"/>
      <c r="MJW73" s="311"/>
      <c r="MJX73" s="311"/>
      <c r="MJY73" s="311"/>
      <c r="MJZ73" s="311"/>
      <c r="MKA73" s="311"/>
      <c r="MKB73" s="311"/>
      <c r="MKC73" s="311"/>
      <c r="MKD73" s="311"/>
      <c r="MKE73" s="311"/>
      <c r="MKF73" s="311"/>
      <c r="MKG73" s="311"/>
      <c r="MKH73" s="311"/>
      <c r="MKI73" s="311"/>
      <c r="MKJ73" s="311"/>
      <c r="MKK73" s="311"/>
      <c r="MKL73" s="311"/>
      <c r="MKM73" s="311"/>
      <c r="MKN73" s="311"/>
      <c r="MKO73" s="311"/>
      <c r="MKP73" s="311"/>
      <c r="MKQ73" s="311"/>
      <c r="MKR73" s="311"/>
      <c r="MKS73" s="311"/>
      <c r="MKT73" s="311"/>
      <c r="MKU73" s="311"/>
      <c r="MKV73" s="311"/>
      <c r="MKW73" s="311"/>
      <c r="MKX73" s="311"/>
      <c r="MKY73" s="311"/>
      <c r="MKZ73" s="311"/>
      <c r="MLA73" s="311"/>
      <c r="MLB73" s="311"/>
      <c r="MLC73" s="311"/>
      <c r="MLD73" s="311"/>
      <c r="MLE73" s="311"/>
      <c r="MLF73" s="311"/>
      <c r="MLG73" s="311"/>
      <c r="MLH73" s="311"/>
      <c r="MLI73" s="311"/>
      <c r="MLJ73" s="311"/>
      <c r="MLK73" s="311"/>
      <c r="MLL73" s="311"/>
      <c r="MLM73" s="311"/>
      <c r="MLN73" s="311"/>
      <c r="MLO73" s="311"/>
      <c r="MLP73" s="311"/>
      <c r="MLQ73" s="311"/>
      <c r="MLR73" s="311"/>
      <c r="MLS73" s="311"/>
      <c r="MLT73" s="311"/>
      <c r="MLU73" s="311"/>
      <c r="MLV73" s="311"/>
      <c r="MLW73" s="311"/>
      <c r="MLX73" s="311"/>
      <c r="MLY73" s="311"/>
      <c r="MLZ73" s="311"/>
      <c r="MMA73" s="311"/>
      <c r="MMB73" s="311"/>
      <c r="MMC73" s="311"/>
      <c r="MMD73" s="311"/>
      <c r="MME73" s="311"/>
      <c r="MMF73" s="311"/>
      <c r="MMG73" s="311"/>
      <c r="MMH73" s="311"/>
      <c r="MMI73" s="311"/>
      <c r="MMJ73" s="311"/>
      <c r="MMK73" s="311"/>
      <c r="MML73" s="311"/>
      <c r="MMM73" s="311"/>
      <c r="MMN73" s="311"/>
      <c r="MMO73" s="311"/>
      <c r="MMP73" s="311"/>
      <c r="MMQ73" s="311"/>
      <c r="MMR73" s="311"/>
      <c r="MMS73" s="311"/>
      <c r="MMT73" s="311"/>
      <c r="MMU73" s="311"/>
      <c r="MMV73" s="311"/>
      <c r="MMW73" s="311"/>
      <c r="MMX73" s="311"/>
      <c r="MMY73" s="311"/>
      <c r="MMZ73" s="311"/>
      <c r="MNA73" s="311"/>
      <c r="MNB73" s="311"/>
      <c r="MNC73" s="311"/>
      <c r="MND73" s="311"/>
      <c r="MNE73" s="311"/>
      <c r="MNF73" s="311"/>
      <c r="MNG73" s="311"/>
      <c r="MNH73" s="311"/>
      <c r="MNI73" s="311"/>
      <c r="MNJ73" s="311"/>
      <c r="MNK73" s="311"/>
      <c r="MNL73" s="311"/>
      <c r="MNM73" s="311"/>
      <c r="MNN73" s="311"/>
      <c r="MNO73" s="311"/>
      <c r="MNP73" s="311"/>
      <c r="MNQ73" s="311"/>
      <c r="MNR73" s="311"/>
      <c r="MNS73" s="311"/>
      <c r="MNT73" s="311"/>
      <c r="MNU73" s="311"/>
      <c r="MNV73" s="311"/>
      <c r="MNW73" s="311"/>
      <c r="MNX73" s="311"/>
      <c r="MNY73" s="311"/>
      <c r="MNZ73" s="311"/>
      <c r="MOA73" s="311"/>
      <c r="MOB73" s="311"/>
      <c r="MOC73" s="311"/>
      <c r="MOD73" s="311"/>
      <c r="MOE73" s="311"/>
      <c r="MOF73" s="311"/>
      <c r="MOG73" s="311"/>
      <c r="MOH73" s="311"/>
      <c r="MOI73" s="311"/>
      <c r="MOJ73" s="311"/>
      <c r="MOK73" s="311"/>
      <c r="MOL73" s="311"/>
      <c r="MOM73" s="311"/>
      <c r="MON73" s="311"/>
      <c r="MOO73" s="311"/>
      <c r="MOP73" s="311"/>
      <c r="MOQ73" s="311"/>
      <c r="MOR73" s="311"/>
      <c r="MOS73" s="311"/>
      <c r="MOT73" s="311"/>
      <c r="MOU73" s="311"/>
      <c r="MOV73" s="311"/>
      <c r="MOW73" s="311"/>
      <c r="MOX73" s="311"/>
      <c r="MOY73" s="311"/>
      <c r="MOZ73" s="311"/>
      <c r="MPA73" s="311"/>
      <c r="MPB73" s="311"/>
      <c r="MPC73" s="311"/>
      <c r="MPD73" s="311"/>
      <c r="MPE73" s="311"/>
      <c r="MPF73" s="311"/>
      <c r="MPG73" s="311"/>
      <c r="MPH73" s="311"/>
      <c r="MPI73" s="311"/>
      <c r="MPJ73" s="311"/>
      <c r="MPK73" s="311"/>
      <c r="MPL73" s="311"/>
      <c r="MPM73" s="311"/>
      <c r="MPN73" s="311"/>
      <c r="MPO73" s="311"/>
      <c r="MPP73" s="311"/>
      <c r="MPQ73" s="311"/>
      <c r="MPR73" s="311"/>
      <c r="MPS73" s="311"/>
      <c r="MPT73" s="311"/>
      <c r="MPU73" s="311"/>
      <c r="MPV73" s="311"/>
      <c r="MPW73" s="311"/>
      <c r="MPX73" s="311"/>
      <c r="MPY73" s="311"/>
      <c r="MPZ73" s="311"/>
      <c r="MQA73" s="311"/>
      <c r="MQB73" s="311"/>
      <c r="MQC73" s="311"/>
      <c r="MQD73" s="311"/>
      <c r="MQE73" s="311"/>
      <c r="MQF73" s="311"/>
      <c r="MQG73" s="311"/>
      <c r="MQH73" s="311"/>
      <c r="MQI73" s="311"/>
      <c r="MQJ73" s="311"/>
      <c r="MQK73" s="311"/>
      <c r="MQL73" s="311"/>
      <c r="MQM73" s="311"/>
      <c r="MQN73" s="311"/>
      <c r="MQO73" s="311"/>
      <c r="MQP73" s="311"/>
      <c r="MQQ73" s="311"/>
      <c r="MQR73" s="311"/>
      <c r="MQS73" s="311"/>
      <c r="MQT73" s="311"/>
      <c r="MQU73" s="311"/>
      <c r="MQV73" s="311"/>
      <c r="MQW73" s="311"/>
      <c r="MQX73" s="311"/>
      <c r="MQY73" s="311"/>
      <c r="MQZ73" s="311"/>
      <c r="MRA73" s="311"/>
      <c r="MRB73" s="311"/>
      <c r="MRC73" s="311"/>
      <c r="MRD73" s="311"/>
      <c r="MRE73" s="311"/>
      <c r="MRF73" s="311"/>
      <c r="MRG73" s="311"/>
      <c r="MRH73" s="311"/>
      <c r="MRI73" s="311"/>
      <c r="MRJ73" s="311"/>
      <c r="MRK73" s="311"/>
      <c r="MRL73" s="311"/>
      <c r="MRM73" s="311"/>
      <c r="MRN73" s="311"/>
      <c r="MRO73" s="311"/>
      <c r="MRP73" s="311"/>
      <c r="MRQ73" s="311"/>
      <c r="MRR73" s="311"/>
      <c r="MRS73" s="311"/>
      <c r="MRT73" s="311"/>
      <c r="MRU73" s="311"/>
      <c r="MRV73" s="311"/>
      <c r="MRW73" s="311"/>
      <c r="MRX73" s="311"/>
      <c r="MRY73" s="311"/>
      <c r="MRZ73" s="311"/>
      <c r="MSA73" s="311"/>
      <c r="MSB73" s="311"/>
      <c r="MSC73" s="311"/>
      <c r="MSD73" s="311"/>
      <c r="MSE73" s="311"/>
      <c r="MSF73" s="311"/>
      <c r="MSG73" s="311"/>
      <c r="MSH73" s="311"/>
      <c r="MSI73" s="311"/>
      <c r="MSJ73" s="311"/>
      <c r="MSK73" s="311"/>
      <c r="MSL73" s="311"/>
      <c r="MSM73" s="311"/>
      <c r="MSN73" s="311"/>
      <c r="MSO73" s="311"/>
      <c r="MSP73" s="311"/>
      <c r="MSQ73" s="311"/>
      <c r="MSR73" s="311"/>
      <c r="MSS73" s="311"/>
      <c r="MST73" s="311"/>
      <c r="MSU73" s="311"/>
      <c r="MSV73" s="311"/>
      <c r="MSW73" s="311"/>
      <c r="MSX73" s="311"/>
      <c r="MSY73" s="311"/>
      <c r="MSZ73" s="311"/>
      <c r="MTA73" s="311"/>
      <c r="MTB73" s="311"/>
      <c r="MTC73" s="311"/>
      <c r="MTD73" s="311"/>
      <c r="MTE73" s="311"/>
      <c r="MTF73" s="311"/>
      <c r="MTG73" s="311"/>
      <c r="MTH73" s="311"/>
      <c r="MTI73" s="311"/>
      <c r="MTJ73" s="311"/>
      <c r="MTK73" s="311"/>
      <c r="MTL73" s="311"/>
      <c r="MTM73" s="311"/>
      <c r="MTN73" s="311"/>
      <c r="MTO73" s="311"/>
      <c r="MTP73" s="311"/>
      <c r="MTQ73" s="311"/>
      <c r="MTR73" s="311"/>
      <c r="MTS73" s="311"/>
      <c r="MTT73" s="311"/>
      <c r="MTU73" s="311"/>
      <c r="MTV73" s="311"/>
      <c r="MTW73" s="311"/>
      <c r="MTX73" s="311"/>
      <c r="MTY73" s="311"/>
      <c r="MTZ73" s="311"/>
      <c r="MUA73" s="311"/>
      <c r="MUB73" s="311"/>
      <c r="MUC73" s="311"/>
      <c r="MUD73" s="311"/>
      <c r="MUE73" s="311"/>
      <c r="MUF73" s="311"/>
      <c r="MUG73" s="311"/>
      <c r="MUH73" s="311"/>
      <c r="MUI73" s="311"/>
      <c r="MUJ73" s="311"/>
      <c r="MUK73" s="311"/>
      <c r="MUL73" s="311"/>
      <c r="MUM73" s="311"/>
      <c r="MUN73" s="311"/>
      <c r="MUO73" s="311"/>
      <c r="MUP73" s="311"/>
      <c r="MUQ73" s="311"/>
      <c r="MUR73" s="311"/>
      <c r="MUS73" s="311"/>
      <c r="MUT73" s="311"/>
      <c r="MUU73" s="311"/>
      <c r="MUV73" s="311"/>
      <c r="MUW73" s="311"/>
      <c r="MUX73" s="311"/>
      <c r="MUY73" s="311"/>
      <c r="MUZ73" s="311"/>
      <c r="MVA73" s="311"/>
      <c r="MVB73" s="311"/>
      <c r="MVC73" s="311"/>
      <c r="MVD73" s="311"/>
      <c r="MVE73" s="311"/>
      <c r="MVF73" s="311"/>
      <c r="MVG73" s="311"/>
      <c r="MVH73" s="311"/>
      <c r="MVI73" s="311"/>
      <c r="MVJ73" s="311"/>
      <c r="MVK73" s="311"/>
      <c r="MVL73" s="311"/>
      <c r="MVM73" s="311"/>
      <c r="MVN73" s="311"/>
      <c r="MVO73" s="311"/>
      <c r="MVP73" s="311"/>
      <c r="MVQ73" s="311"/>
      <c r="MVR73" s="311"/>
      <c r="MVS73" s="311"/>
      <c r="MVT73" s="311"/>
      <c r="MVU73" s="311"/>
      <c r="MVV73" s="311"/>
      <c r="MVW73" s="311"/>
      <c r="MVX73" s="311"/>
      <c r="MVY73" s="311"/>
      <c r="MVZ73" s="311"/>
      <c r="MWA73" s="311"/>
      <c r="MWB73" s="311"/>
      <c r="MWC73" s="311"/>
      <c r="MWD73" s="311"/>
      <c r="MWE73" s="311"/>
      <c r="MWF73" s="311"/>
      <c r="MWG73" s="311"/>
      <c r="MWH73" s="311"/>
      <c r="MWI73" s="311"/>
      <c r="MWJ73" s="311"/>
      <c r="MWK73" s="311"/>
      <c r="MWL73" s="311"/>
      <c r="MWM73" s="311"/>
      <c r="MWN73" s="311"/>
      <c r="MWO73" s="311"/>
      <c r="MWP73" s="311"/>
      <c r="MWQ73" s="311"/>
      <c r="MWR73" s="311"/>
      <c r="MWS73" s="311"/>
      <c r="MWT73" s="311"/>
      <c r="MWU73" s="311"/>
      <c r="MWV73" s="311"/>
      <c r="MWW73" s="311"/>
      <c r="MWX73" s="311"/>
      <c r="MWY73" s="311"/>
      <c r="MWZ73" s="311"/>
      <c r="MXA73" s="311"/>
      <c r="MXB73" s="311"/>
      <c r="MXC73" s="311"/>
      <c r="MXD73" s="311"/>
      <c r="MXE73" s="311"/>
      <c r="MXF73" s="311"/>
      <c r="MXG73" s="311"/>
      <c r="MXH73" s="311"/>
      <c r="MXI73" s="311"/>
      <c r="MXJ73" s="311"/>
      <c r="MXK73" s="311"/>
      <c r="MXL73" s="311"/>
      <c r="MXM73" s="311"/>
      <c r="MXN73" s="311"/>
      <c r="MXO73" s="311"/>
      <c r="MXP73" s="311"/>
      <c r="MXQ73" s="311"/>
      <c r="MXR73" s="311"/>
      <c r="MXS73" s="311"/>
      <c r="MXT73" s="311"/>
      <c r="MXU73" s="311"/>
      <c r="MXV73" s="311"/>
      <c r="MXW73" s="311"/>
      <c r="MXX73" s="311"/>
      <c r="MXY73" s="311"/>
      <c r="MXZ73" s="311"/>
      <c r="MYA73" s="311"/>
      <c r="MYB73" s="311"/>
      <c r="MYC73" s="311"/>
      <c r="MYD73" s="311"/>
      <c r="MYE73" s="311"/>
      <c r="MYF73" s="311"/>
      <c r="MYG73" s="311"/>
      <c r="MYH73" s="311"/>
      <c r="MYI73" s="311"/>
      <c r="MYJ73" s="311"/>
      <c r="MYK73" s="311"/>
      <c r="MYL73" s="311"/>
      <c r="MYM73" s="311"/>
      <c r="MYN73" s="311"/>
      <c r="MYO73" s="311"/>
      <c r="MYP73" s="311"/>
      <c r="MYQ73" s="311"/>
      <c r="MYR73" s="311"/>
      <c r="MYS73" s="311"/>
      <c r="MYT73" s="311"/>
      <c r="MYU73" s="311"/>
      <c r="MYV73" s="311"/>
      <c r="MYW73" s="311"/>
      <c r="MYX73" s="311"/>
      <c r="MYY73" s="311"/>
      <c r="MYZ73" s="311"/>
      <c r="MZA73" s="311"/>
      <c r="MZB73" s="311"/>
      <c r="MZC73" s="311"/>
      <c r="MZD73" s="311"/>
      <c r="MZE73" s="311"/>
      <c r="MZF73" s="311"/>
      <c r="MZG73" s="311"/>
      <c r="MZH73" s="311"/>
      <c r="MZI73" s="311"/>
      <c r="MZJ73" s="311"/>
      <c r="MZK73" s="311"/>
      <c r="MZL73" s="311"/>
      <c r="MZM73" s="311"/>
      <c r="MZN73" s="311"/>
      <c r="MZO73" s="311"/>
      <c r="MZP73" s="311"/>
      <c r="MZQ73" s="311"/>
      <c r="MZR73" s="311"/>
      <c r="MZS73" s="311"/>
      <c r="MZT73" s="311"/>
      <c r="MZU73" s="311"/>
      <c r="MZV73" s="311"/>
      <c r="MZW73" s="311"/>
      <c r="MZX73" s="311"/>
      <c r="MZY73" s="311"/>
      <c r="MZZ73" s="311"/>
      <c r="NAA73" s="311"/>
      <c r="NAB73" s="311"/>
      <c r="NAC73" s="311"/>
      <c r="NAD73" s="311"/>
      <c r="NAE73" s="311"/>
      <c r="NAF73" s="311"/>
      <c r="NAG73" s="311"/>
      <c r="NAH73" s="311"/>
      <c r="NAI73" s="311"/>
      <c r="NAJ73" s="311"/>
      <c r="NAK73" s="311"/>
      <c r="NAL73" s="311"/>
      <c r="NAM73" s="311"/>
      <c r="NAN73" s="311"/>
      <c r="NAO73" s="311"/>
      <c r="NAP73" s="311"/>
      <c r="NAQ73" s="311"/>
      <c r="NAR73" s="311"/>
      <c r="NAS73" s="311"/>
      <c r="NAT73" s="311"/>
      <c r="NAU73" s="311"/>
      <c r="NAV73" s="311"/>
      <c r="NAW73" s="311"/>
      <c r="NAX73" s="311"/>
      <c r="NAY73" s="311"/>
      <c r="NAZ73" s="311"/>
      <c r="NBA73" s="311"/>
      <c r="NBB73" s="311"/>
      <c r="NBC73" s="311"/>
      <c r="NBD73" s="311"/>
      <c r="NBE73" s="311"/>
      <c r="NBF73" s="311"/>
      <c r="NBG73" s="311"/>
      <c r="NBH73" s="311"/>
      <c r="NBI73" s="311"/>
      <c r="NBJ73" s="311"/>
      <c r="NBK73" s="311"/>
      <c r="NBL73" s="311"/>
      <c r="NBM73" s="311"/>
      <c r="NBN73" s="311"/>
      <c r="NBO73" s="311"/>
      <c r="NBP73" s="311"/>
      <c r="NBQ73" s="311"/>
      <c r="NBR73" s="311"/>
      <c r="NBS73" s="311"/>
      <c r="NBT73" s="311"/>
      <c r="NBU73" s="311"/>
      <c r="NBV73" s="311"/>
      <c r="NBW73" s="311"/>
      <c r="NBX73" s="311"/>
      <c r="NBY73" s="311"/>
      <c r="NBZ73" s="311"/>
      <c r="NCA73" s="311"/>
      <c r="NCB73" s="311"/>
      <c r="NCC73" s="311"/>
      <c r="NCD73" s="311"/>
      <c r="NCE73" s="311"/>
      <c r="NCF73" s="311"/>
      <c r="NCG73" s="311"/>
      <c r="NCH73" s="311"/>
      <c r="NCI73" s="311"/>
      <c r="NCJ73" s="311"/>
      <c r="NCK73" s="311"/>
      <c r="NCL73" s="311"/>
      <c r="NCM73" s="311"/>
      <c r="NCN73" s="311"/>
      <c r="NCO73" s="311"/>
      <c r="NCP73" s="311"/>
      <c r="NCQ73" s="311"/>
      <c r="NCR73" s="311"/>
      <c r="NCS73" s="311"/>
      <c r="NCT73" s="311"/>
      <c r="NCU73" s="311"/>
      <c r="NCV73" s="311"/>
      <c r="NCW73" s="311"/>
      <c r="NCX73" s="311"/>
      <c r="NCY73" s="311"/>
      <c r="NCZ73" s="311"/>
      <c r="NDA73" s="311"/>
      <c r="NDB73" s="311"/>
      <c r="NDC73" s="311"/>
      <c r="NDD73" s="311"/>
      <c r="NDE73" s="311"/>
      <c r="NDF73" s="311"/>
      <c r="NDG73" s="311"/>
      <c r="NDH73" s="311"/>
      <c r="NDI73" s="311"/>
      <c r="NDJ73" s="311"/>
      <c r="NDK73" s="311"/>
      <c r="NDL73" s="311"/>
      <c r="NDM73" s="311"/>
      <c r="NDN73" s="311"/>
      <c r="NDO73" s="311"/>
      <c r="NDP73" s="311"/>
      <c r="NDQ73" s="311"/>
      <c r="NDR73" s="311"/>
      <c r="NDS73" s="311"/>
      <c r="NDT73" s="311"/>
      <c r="NDU73" s="311"/>
      <c r="NDV73" s="311"/>
      <c r="NDW73" s="311"/>
      <c r="NDX73" s="311"/>
      <c r="NDY73" s="311"/>
      <c r="NDZ73" s="311"/>
      <c r="NEA73" s="311"/>
      <c r="NEB73" s="311"/>
      <c r="NEC73" s="311"/>
      <c r="NED73" s="311"/>
      <c r="NEE73" s="311"/>
      <c r="NEF73" s="311"/>
      <c r="NEG73" s="311"/>
      <c r="NEH73" s="311"/>
      <c r="NEI73" s="311"/>
      <c r="NEJ73" s="311"/>
      <c r="NEK73" s="311"/>
      <c r="NEL73" s="311"/>
      <c r="NEM73" s="311"/>
      <c r="NEN73" s="311"/>
      <c r="NEO73" s="311"/>
      <c r="NEP73" s="311"/>
      <c r="NEQ73" s="311"/>
      <c r="NER73" s="311"/>
      <c r="NES73" s="311"/>
      <c r="NET73" s="311"/>
      <c r="NEU73" s="311"/>
      <c r="NEV73" s="311"/>
      <c r="NEW73" s="311"/>
      <c r="NEX73" s="311"/>
      <c r="NEY73" s="311"/>
      <c r="NEZ73" s="311"/>
      <c r="NFA73" s="311"/>
      <c r="NFB73" s="311"/>
      <c r="NFC73" s="311"/>
      <c r="NFD73" s="311"/>
      <c r="NFE73" s="311"/>
      <c r="NFF73" s="311"/>
      <c r="NFG73" s="311"/>
      <c r="NFH73" s="311"/>
      <c r="NFI73" s="311"/>
      <c r="NFJ73" s="311"/>
      <c r="NFK73" s="311"/>
      <c r="NFL73" s="311"/>
      <c r="NFM73" s="311"/>
      <c r="NFN73" s="311"/>
      <c r="NFO73" s="311"/>
      <c r="NFP73" s="311"/>
      <c r="NFQ73" s="311"/>
      <c r="NFR73" s="311"/>
      <c r="NFS73" s="311"/>
      <c r="NFT73" s="311"/>
      <c r="NFU73" s="311"/>
      <c r="NFV73" s="311"/>
      <c r="NFW73" s="311"/>
      <c r="NFX73" s="311"/>
      <c r="NFY73" s="311"/>
      <c r="NFZ73" s="311"/>
      <c r="NGA73" s="311"/>
      <c r="NGB73" s="311"/>
      <c r="NGC73" s="311"/>
      <c r="NGD73" s="311"/>
      <c r="NGE73" s="311"/>
      <c r="NGF73" s="311"/>
      <c r="NGG73" s="311"/>
      <c r="NGH73" s="311"/>
      <c r="NGI73" s="311"/>
      <c r="NGJ73" s="311"/>
      <c r="NGK73" s="311"/>
      <c r="NGL73" s="311"/>
      <c r="NGM73" s="311"/>
      <c r="NGN73" s="311"/>
      <c r="NGO73" s="311"/>
      <c r="NGP73" s="311"/>
      <c r="NGQ73" s="311"/>
      <c r="NGR73" s="311"/>
      <c r="NGS73" s="311"/>
      <c r="NGT73" s="311"/>
      <c r="NGU73" s="311"/>
      <c r="NGV73" s="311"/>
      <c r="NGW73" s="311"/>
      <c r="NGX73" s="311"/>
      <c r="NGY73" s="311"/>
      <c r="NGZ73" s="311"/>
      <c r="NHA73" s="311"/>
      <c r="NHB73" s="311"/>
      <c r="NHC73" s="311"/>
      <c r="NHD73" s="311"/>
      <c r="NHE73" s="311"/>
      <c r="NHF73" s="311"/>
      <c r="NHG73" s="311"/>
      <c r="NHH73" s="311"/>
      <c r="NHI73" s="311"/>
      <c r="NHJ73" s="311"/>
      <c r="NHK73" s="311"/>
      <c r="NHL73" s="311"/>
      <c r="NHM73" s="311"/>
      <c r="NHN73" s="311"/>
      <c r="NHO73" s="311"/>
      <c r="NHP73" s="311"/>
      <c r="NHQ73" s="311"/>
      <c r="NHR73" s="311"/>
      <c r="NHS73" s="311"/>
      <c r="NHT73" s="311"/>
      <c r="NHU73" s="311"/>
      <c r="NHV73" s="311"/>
      <c r="NHW73" s="311"/>
      <c r="NHX73" s="311"/>
      <c r="NHY73" s="311"/>
      <c r="NHZ73" s="311"/>
      <c r="NIA73" s="311"/>
      <c r="NIB73" s="311"/>
      <c r="NIC73" s="311"/>
      <c r="NID73" s="311"/>
      <c r="NIE73" s="311"/>
      <c r="NIF73" s="311"/>
      <c r="NIG73" s="311"/>
      <c r="NIH73" s="311"/>
      <c r="NII73" s="311"/>
      <c r="NIJ73" s="311"/>
      <c r="NIK73" s="311"/>
      <c r="NIL73" s="311"/>
      <c r="NIM73" s="311"/>
      <c r="NIN73" s="311"/>
      <c r="NIO73" s="311"/>
      <c r="NIP73" s="311"/>
      <c r="NIQ73" s="311"/>
      <c r="NIR73" s="311"/>
      <c r="NIS73" s="311"/>
      <c r="NIT73" s="311"/>
      <c r="NIU73" s="311"/>
      <c r="NIV73" s="311"/>
      <c r="NIW73" s="311"/>
      <c r="NIX73" s="311"/>
      <c r="NIY73" s="311"/>
      <c r="NIZ73" s="311"/>
      <c r="NJA73" s="311"/>
      <c r="NJB73" s="311"/>
      <c r="NJC73" s="311"/>
      <c r="NJD73" s="311"/>
      <c r="NJE73" s="311"/>
      <c r="NJF73" s="311"/>
      <c r="NJG73" s="311"/>
      <c r="NJH73" s="311"/>
      <c r="NJI73" s="311"/>
      <c r="NJJ73" s="311"/>
      <c r="NJK73" s="311"/>
      <c r="NJL73" s="311"/>
      <c r="NJM73" s="311"/>
      <c r="NJN73" s="311"/>
      <c r="NJO73" s="311"/>
      <c r="NJP73" s="311"/>
      <c r="NJQ73" s="311"/>
      <c r="NJR73" s="311"/>
      <c r="NJS73" s="311"/>
      <c r="NJT73" s="311"/>
      <c r="NJU73" s="311"/>
      <c r="NJV73" s="311"/>
      <c r="NJW73" s="311"/>
      <c r="NJX73" s="311"/>
      <c r="NJY73" s="311"/>
      <c r="NJZ73" s="311"/>
      <c r="NKA73" s="311"/>
      <c r="NKB73" s="311"/>
      <c r="NKC73" s="311"/>
      <c r="NKD73" s="311"/>
      <c r="NKE73" s="311"/>
      <c r="NKF73" s="311"/>
      <c r="NKG73" s="311"/>
      <c r="NKH73" s="311"/>
      <c r="NKI73" s="311"/>
      <c r="NKJ73" s="311"/>
      <c r="NKK73" s="311"/>
      <c r="NKL73" s="311"/>
      <c r="NKM73" s="311"/>
      <c r="NKN73" s="311"/>
      <c r="NKO73" s="311"/>
      <c r="NKP73" s="311"/>
      <c r="NKQ73" s="311"/>
      <c r="NKR73" s="311"/>
      <c r="NKS73" s="311"/>
      <c r="NKT73" s="311"/>
      <c r="NKU73" s="311"/>
      <c r="NKV73" s="311"/>
      <c r="NKW73" s="311"/>
      <c r="NKX73" s="311"/>
      <c r="NKY73" s="311"/>
      <c r="NKZ73" s="311"/>
      <c r="NLA73" s="311"/>
      <c r="NLB73" s="311"/>
      <c r="NLC73" s="311"/>
      <c r="NLD73" s="311"/>
      <c r="NLE73" s="311"/>
      <c r="NLF73" s="311"/>
      <c r="NLG73" s="311"/>
      <c r="NLH73" s="311"/>
      <c r="NLI73" s="311"/>
      <c r="NLJ73" s="311"/>
      <c r="NLK73" s="311"/>
      <c r="NLL73" s="311"/>
      <c r="NLM73" s="311"/>
      <c r="NLN73" s="311"/>
      <c r="NLO73" s="311"/>
      <c r="NLP73" s="311"/>
      <c r="NLQ73" s="311"/>
      <c r="NLR73" s="311"/>
      <c r="NLS73" s="311"/>
      <c r="NLT73" s="311"/>
      <c r="NLU73" s="311"/>
      <c r="NLV73" s="311"/>
      <c r="NLW73" s="311"/>
      <c r="NLX73" s="311"/>
      <c r="NLY73" s="311"/>
      <c r="NLZ73" s="311"/>
      <c r="NMA73" s="311"/>
      <c r="NMB73" s="311"/>
      <c r="NMC73" s="311"/>
      <c r="NMD73" s="311"/>
      <c r="NME73" s="311"/>
      <c r="NMF73" s="311"/>
      <c r="NMG73" s="311"/>
      <c r="NMH73" s="311"/>
      <c r="NMI73" s="311"/>
      <c r="NMJ73" s="311"/>
      <c r="NMK73" s="311"/>
      <c r="NML73" s="311"/>
      <c r="NMM73" s="311"/>
      <c r="NMN73" s="311"/>
      <c r="NMO73" s="311"/>
      <c r="NMP73" s="311"/>
      <c r="NMQ73" s="311"/>
      <c r="NMR73" s="311"/>
      <c r="NMS73" s="311"/>
      <c r="NMT73" s="311"/>
      <c r="NMU73" s="311"/>
      <c r="NMV73" s="311"/>
      <c r="NMW73" s="311"/>
      <c r="NMX73" s="311"/>
      <c r="NMY73" s="311"/>
      <c r="NMZ73" s="311"/>
      <c r="NNA73" s="311"/>
      <c r="NNB73" s="311"/>
      <c r="NNC73" s="311"/>
      <c r="NND73" s="311"/>
      <c r="NNE73" s="311"/>
      <c r="NNF73" s="311"/>
      <c r="NNG73" s="311"/>
      <c r="NNH73" s="311"/>
      <c r="NNI73" s="311"/>
      <c r="NNJ73" s="311"/>
      <c r="NNK73" s="311"/>
      <c r="NNL73" s="311"/>
      <c r="NNM73" s="311"/>
      <c r="NNN73" s="311"/>
      <c r="NNO73" s="311"/>
      <c r="NNP73" s="311"/>
      <c r="NNQ73" s="311"/>
      <c r="NNR73" s="311"/>
      <c r="NNS73" s="311"/>
      <c r="NNT73" s="311"/>
      <c r="NNU73" s="311"/>
      <c r="NNV73" s="311"/>
      <c r="NNW73" s="311"/>
      <c r="NNX73" s="311"/>
      <c r="NNY73" s="311"/>
      <c r="NNZ73" s="311"/>
      <c r="NOA73" s="311"/>
      <c r="NOB73" s="311"/>
      <c r="NOC73" s="311"/>
      <c r="NOD73" s="311"/>
      <c r="NOE73" s="311"/>
      <c r="NOF73" s="311"/>
      <c r="NOG73" s="311"/>
      <c r="NOH73" s="311"/>
      <c r="NOI73" s="311"/>
      <c r="NOJ73" s="311"/>
      <c r="NOK73" s="311"/>
      <c r="NOL73" s="311"/>
      <c r="NOM73" s="311"/>
      <c r="NON73" s="311"/>
      <c r="NOO73" s="311"/>
      <c r="NOP73" s="311"/>
      <c r="NOQ73" s="311"/>
      <c r="NOR73" s="311"/>
      <c r="NOS73" s="311"/>
      <c r="NOT73" s="311"/>
      <c r="NOU73" s="311"/>
      <c r="NOV73" s="311"/>
      <c r="NOW73" s="311"/>
      <c r="NOX73" s="311"/>
      <c r="NOY73" s="311"/>
      <c r="NOZ73" s="311"/>
      <c r="NPA73" s="311"/>
      <c r="NPB73" s="311"/>
      <c r="NPC73" s="311"/>
      <c r="NPD73" s="311"/>
      <c r="NPE73" s="311"/>
      <c r="NPF73" s="311"/>
      <c r="NPG73" s="311"/>
      <c r="NPH73" s="311"/>
      <c r="NPI73" s="311"/>
      <c r="NPJ73" s="311"/>
      <c r="NPK73" s="311"/>
      <c r="NPL73" s="311"/>
      <c r="NPM73" s="311"/>
      <c r="NPN73" s="311"/>
      <c r="NPO73" s="311"/>
      <c r="NPP73" s="311"/>
      <c r="NPQ73" s="311"/>
      <c r="NPR73" s="311"/>
      <c r="NPS73" s="311"/>
      <c r="NPT73" s="311"/>
      <c r="NPU73" s="311"/>
      <c r="NPV73" s="311"/>
      <c r="NPW73" s="311"/>
      <c r="NPX73" s="311"/>
      <c r="NPY73" s="311"/>
      <c r="NPZ73" s="311"/>
      <c r="NQA73" s="311"/>
      <c r="NQB73" s="311"/>
      <c r="NQC73" s="311"/>
      <c r="NQD73" s="311"/>
      <c r="NQE73" s="311"/>
      <c r="NQF73" s="311"/>
      <c r="NQG73" s="311"/>
      <c r="NQH73" s="311"/>
      <c r="NQI73" s="311"/>
      <c r="NQJ73" s="311"/>
      <c r="NQK73" s="311"/>
      <c r="NQL73" s="311"/>
      <c r="NQM73" s="311"/>
      <c r="NQN73" s="311"/>
      <c r="NQO73" s="311"/>
      <c r="NQP73" s="311"/>
      <c r="NQQ73" s="311"/>
      <c r="NQR73" s="311"/>
      <c r="NQS73" s="311"/>
      <c r="NQT73" s="311"/>
      <c r="NQU73" s="311"/>
      <c r="NQV73" s="311"/>
      <c r="NQW73" s="311"/>
      <c r="NQX73" s="311"/>
      <c r="NQY73" s="311"/>
      <c r="NQZ73" s="311"/>
      <c r="NRA73" s="311"/>
      <c r="NRB73" s="311"/>
      <c r="NRC73" s="311"/>
      <c r="NRD73" s="311"/>
      <c r="NRE73" s="311"/>
      <c r="NRF73" s="311"/>
      <c r="NRG73" s="311"/>
      <c r="NRH73" s="311"/>
      <c r="NRI73" s="311"/>
      <c r="NRJ73" s="311"/>
      <c r="NRK73" s="311"/>
      <c r="NRL73" s="311"/>
      <c r="NRM73" s="311"/>
      <c r="NRN73" s="311"/>
      <c r="NRO73" s="311"/>
      <c r="NRP73" s="311"/>
      <c r="NRQ73" s="311"/>
      <c r="NRR73" s="311"/>
      <c r="NRS73" s="311"/>
      <c r="NRT73" s="311"/>
      <c r="NRU73" s="311"/>
      <c r="NRV73" s="311"/>
      <c r="NRW73" s="311"/>
      <c r="NRX73" s="311"/>
      <c r="NRY73" s="311"/>
      <c r="NRZ73" s="311"/>
      <c r="NSA73" s="311"/>
      <c r="NSB73" s="311"/>
      <c r="NSC73" s="311"/>
      <c r="NSD73" s="311"/>
      <c r="NSE73" s="311"/>
      <c r="NSF73" s="311"/>
      <c r="NSG73" s="311"/>
      <c r="NSH73" s="311"/>
      <c r="NSI73" s="311"/>
      <c r="NSJ73" s="311"/>
      <c r="NSK73" s="311"/>
      <c r="NSL73" s="311"/>
      <c r="NSM73" s="311"/>
      <c r="NSN73" s="311"/>
      <c r="NSO73" s="311"/>
      <c r="NSP73" s="311"/>
      <c r="NSQ73" s="311"/>
      <c r="NSR73" s="311"/>
      <c r="NSS73" s="311"/>
      <c r="NST73" s="311"/>
      <c r="NSU73" s="311"/>
      <c r="NSV73" s="311"/>
      <c r="NSW73" s="311"/>
      <c r="NSX73" s="311"/>
      <c r="NSY73" s="311"/>
      <c r="NSZ73" s="311"/>
      <c r="NTA73" s="311"/>
      <c r="NTB73" s="311"/>
      <c r="NTC73" s="311"/>
      <c r="NTD73" s="311"/>
      <c r="NTE73" s="311"/>
      <c r="NTF73" s="311"/>
      <c r="NTG73" s="311"/>
      <c r="NTH73" s="311"/>
      <c r="NTI73" s="311"/>
      <c r="NTJ73" s="311"/>
      <c r="NTK73" s="311"/>
      <c r="NTL73" s="311"/>
      <c r="NTM73" s="311"/>
      <c r="NTN73" s="311"/>
      <c r="NTO73" s="311"/>
      <c r="NTP73" s="311"/>
      <c r="NTQ73" s="311"/>
      <c r="NTR73" s="311"/>
      <c r="NTS73" s="311"/>
      <c r="NTT73" s="311"/>
      <c r="NTU73" s="311"/>
      <c r="NTV73" s="311"/>
      <c r="NTW73" s="311"/>
      <c r="NTX73" s="311"/>
      <c r="NTY73" s="311"/>
      <c r="NTZ73" s="311"/>
      <c r="NUA73" s="311"/>
      <c r="NUB73" s="311"/>
      <c r="NUC73" s="311"/>
      <c r="NUD73" s="311"/>
      <c r="NUE73" s="311"/>
      <c r="NUF73" s="311"/>
      <c r="NUG73" s="311"/>
      <c r="NUH73" s="311"/>
      <c r="NUI73" s="311"/>
      <c r="NUJ73" s="311"/>
      <c r="NUK73" s="311"/>
      <c r="NUL73" s="311"/>
      <c r="NUM73" s="311"/>
      <c r="NUN73" s="311"/>
      <c r="NUO73" s="311"/>
      <c r="NUP73" s="311"/>
      <c r="NUQ73" s="311"/>
      <c r="NUR73" s="311"/>
      <c r="NUS73" s="311"/>
      <c r="NUT73" s="311"/>
      <c r="NUU73" s="311"/>
      <c r="NUV73" s="311"/>
      <c r="NUW73" s="311"/>
      <c r="NUX73" s="311"/>
      <c r="NUY73" s="311"/>
      <c r="NUZ73" s="311"/>
      <c r="NVA73" s="311"/>
      <c r="NVB73" s="311"/>
      <c r="NVC73" s="311"/>
      <c r="NVD73" s="311"/>
      <c r="NVE73" s="311"/>
      <c r="NVF73" s="311"/>
      <c r="NVG73" s="311"/>
      <c r="NVH73" s="311"/>
      <c r="NVI73" s="311"/>
      <c r="NVJ73" s="311"/>
      <c r="NVK73" s="311"/>
      <c r="NVL73" s="311"/>
      <c r="NVM73" s="311"/>
      <c r="NVN73" s="311"/>
      <c r="NVO73" s="311"/>
      <c r="NVP73" s="311"/>
      <c r="NVQ73" s="311"/>
      <c r="NVR73" s="311"/>
      <c r="NVS73" s="311"/>
      <c r="NVT73" s="311"/>
      <c r="NVU73" s="311"/>
      <c r="NVV73" s="311"/>
      <c r="NVW73" s="311"/>
      <c r="NVX73" s="311"/>
      <c r="NVY73" s="311"/>
      <c r="NVZ73" s="311"/>
      <c r="NWA73" s="311"/>
      <c r="NWB73" s="311"/>
      <c r="NWC73" s="311"/>
      <c r="NWD73" s="311"/>
      <c r="NWE73" s="311"/>
      <c r="NWF73" s="311"/>
      <c r="NWG73" s="311"/>
      <c r="NWH73" s="311"/>
      <c r="NWI73" s="311"/>
      <c r="NWJ73" s="311"/>
      <c r="NWK73" s="311"/>
      <c r="NWL73" s="311"/>
      <c r="NWM73" s="311"/>
      <c r="NWN73" s="311"/>
      <c r="NWO73" s="311"/>
      <c r="NWP73" s="311"/>
      <c r="NWQ73" s="311"/>
      <c r="NWR73" s="311"/>
      <c r="NWS73" s="311"/>
      <c r="NWT73" s="311"/>
      <c r="NWU73" s="311"/>
      <c r="NWV73" s="311"/>
      <c r="NWW73" s="311"/>
      <c r="NWX73" s="311"/>
      <c r="NWY73" s="311"/>
      <c r="NWZ73" s="311"/>
      <c r="NXA73" s="311"/>
      <c r="NXB73" s="311"/>
      <c r="NXC73" s="311"/>
      <c r="NXD73" s="311"/>
      <c r="NXE73" s="311"/>
      <c r="NXF73" s="311"/>
      <c r="NXG73" s="311"/>
      <c r="NXH73" s="311"/>
      <c r="NXI73" s="311"/>
      <c r="NXJ73" s="311"/>
      <c r="NXK73" s="311"/>
      <c r="NXL73" s="311"/>
      <c r="NXM73" s="311"/>
      <c r="NXN73" s="311"/>
      <c r="NXO73" s="311"/>
      <c r="NXP73" s="311"/>
      <c r="NXQ73" s="311"/>
      <c r="NXR73" s="311"/>
      <c r="NXS73" s="311"/>
      <c r="NXT73" s="311"/>
      <c r="NXU73" s="311"/>
      <c r="NXV73" s="311"/>
      <c r="NXW73" s="311"/>
      <c r="NXX73" s="311"/>
      <c r="NXY73" s="311"/>
      <c r="NXZ73" s="311"/>
      <c r="NYA73" s="311"/>
      <c r="NYB73" s="311"/>
      <c r="NYC73" s="311"/>
      <c r="NYD73" s="311"/>
      <c r="NYE73" s="311"/>
      <c r="NYF73" s="311"/>
      <c r="NYG73" s="311"/>
      <c r="NYH73" s="311"/>
      <c r="NYI73" s="311"/>
      <c r="NYJ73" s="311"/>
      <c r="NYK73" s="311"/>
      <c r="NYL73" s="311"/>
      <c r="NYM73" s="311"/>
      <c r="NYN73" s="311"/>
      <c r="NYO73" s="311"/>
      <c r="NYP73" s="311"/>
      <c r="NYQ73" s="311"/>
      <c r="NYR73" s="311"/>
      <c r="NYS73" s="311"/>
      <c r="NYT73" s="311"/>
      <c r="NYU73" s="311"/>
      <c r="NYV73" s="311"/>
      <c r="NYW73" s="311"/>
      <c r="NYX73" s="311"/>
      <c r="NYY73" s="311"/>
      <c r="NYZ73" s="311"/>
      <c r="NZA73" s="311"/>
      <c r="NZB73" s="311"/>
      <c r="NZC73" s="311"/>
      <c r="NZD73" s="311"/>
      <c r="NZE73" s="311"/>
      <c r="NZF73" s="311"/>
      <c r="NZG73" s="311"/>
      <c r="NZH73" s="311"/>
      <c r="NZI73" s="311"/>
      <c r="NZJ73" s="311"/>
      <c r="NZK73" s="311"/>
      <c r="NZL73" s="311"/>
      <c r="NZM73" s="311"/>
      <c r="NZN73" s="311"/>
      <c r="NZO73" s="311"/>
      <c r="NZP73" s="311"/>
      <c r="NZQ73" s="311"/>
      <c r="NZR73" s="311"/>
      <c r="NZS73" s="311"/>
      <c r="NZT73" s="311"/>
      <c r="NZU73" s="311"/>
      <c r="NZV73" s="311"/>
      <c r="NZW73" s="311"/>
      <c r="NZX73" s="311"/>
      <c r="NZY73" s="311"/>
      <c r="NZZ73" s="311"/>
      <c r="OAA73" s="311"/>
      <c r="OAB73" s="311"/>
      <c r="OAC73" s="311"/>
      <c r="OAD73" s="311"/>
      <c r="OAE73" s="311"/>
      <c r="OAF73" s="311"/>
      <c r="OAG73" s="311"/>
      <c r="OAH73" s="311"/>
      <c r="OAI73" s="311"/>
      <c r="OAJ73" s="311"/>
      <c r="OAK73" s="311"/>
      <c r="OAL73" s="311"/>
      <c r="OAM73" s="311"/>
      <c r="OAN73" s="311"/>
      <c r="OAO73" s="311"/>
      <c r="OAP73" s="311"/>
      <c r="OAQ73" s="311"/>
      <c r="OAR73" s="311"/>
      <c r="OAS73" s="311"/>
      <c r="OAT73" s="311"/>
      <c r="OAU73" s="311"/>
      <c r="OAV73" s="311"/>
      <c r="OAW73" s="311"/>
      <c r="OAX73" s="311"/>
      <c r="OAY73" s="311"/>
      <c r="OAZ73" s="311"/>
      <c r="OBA73" s="311"/>
      <c r="OBB73" s="311"/>
      <c r="OBC73" s="311"/>
      <c r="OBD73" s="311"/>
      <c r="OBE73" s="311"/>
      <c r="OBF73" s="311"/>
      <c r="OBG73" s="311"/>
      <c r="OBH73" s="311"/>
      <c r="OBI73" s="311"/>
      <c r="OBJ73" s="311"/>
      <c r="OBK73" s="311"/>
      <c r="OBL73" s="311"/>
      <c r="OBM73" s="311"/>
      <c r="OBN73" s="311"/>
      <c r="OBO73" s="311"/>
      <c r="OBP73" s="311"/>
      <c r="OBQ73" s="311"/>
      <c r="OBR73" s="311"/>
      <c r="OBS73" s="311"/>
      <c r="OBT73" s="311"/>
      <c r="OBU73" s="311"/>
      <c r="OBV73" s="311"/>
      <c r="OBW73" s="311"/>
      <c r="OBX73" s="311"/>
      <c r="OBY73" s="311"/>
      <c r="OBZ73" s="311"/>
      <c r="OCA73" s="311"/>
      <c r="OCB73" s="311"/>
      <c r="OCC73" s="311"/>
      <c r="OCD73" s="311"/>
      <c r="OCE73" s="311"/>
      <c r="OCF73" s="311"/>
      <c r="OCG73" s="311"/>
      <c r="OCH73" s="311"/>
      <c r="OCI73" s="311"/>
      <c r="OCJ73" s="311"/>
      <c r="OCK73" s="311"/>
      <c r="OCL73" s="311"/>
      <c r="OCM73" s="311"/>
      <c r="OCN73" s="311"/>
      <c r="OCO73" s="311"/>
      <c r="OCP73" s="311"/>
      <c r="OCQ73" s="311"/>
      <c r="OCR73" s="311"/>
      <c r="OCS73" s="311"/>
      <c r="OCT73" s="311"/>
      <c r="OCU73" s="311"/>
      <c r="OCV73" s="311"/>
      <c r="OCW73" s="311"/>
      <c r="OCX73" s="311"/>
      <c r="OCY73" s="311"/>
      <c r="OCZ73" s="311"/>
      <c r="ODA73" s="311"/>
      <c r="ODB73" s="311"/>
      <c r="ODC73" s="311"/>
      <c r="ODD73" s="311"/>
      <c r="ODE73" s="311"/>
      <c r="ODF73" s="311"/>
      <c r="ODG73" s="311"/>
      <c r="ODH73" s="311"/>
      <c r="ODI73" s="311"/>
      <c r="ODJ73" s="311"/>
      <c r="ODK73" s="311"/>
      <c r="ODL73" s="311"/>
      <c r="ODM73" s="311"/>
      <c r="ODN73" s="311"/>
      <c r="ODO73" s="311"/>
      <c r="ODP73" s="311"/>
      <c r="ODQ73" s="311"/>
      <c r="ODR73" s="311"/>
      <c r="ODS73" s="311"/>
      <c r="ODT73" s="311"/>
      <c r="ODU73" s="311"/>
      <c r="ODV73" s="311"/>
      <c r="ODW73" s="311"/>
      <c r="ODX73" s="311"/>
      <c r="ODY73" s="311"/>
      <c r="ODZ73" s="311"/>
      <c r="OEA73" s="311"/>
      <c r="OEB73" s="311"/>
      <c r="OEC73" s="311"/>
      <c r="OED73" s="311"/>
      <c r="OEE73" s="311"/>
      <c r="OEF73" s="311"/>
      <c r="OEG73" s="311"/>
      <c r="OEH73" s="311"/>
      <c r="OEI73" s="311"/>
      <c r="OEJ73" s="311"/>
      <c r="OEK73" s="311"/>
      <c r="OEL73" s="311"/>
      <c r="OEM73" s="311"/>
      <c r="OEN73" s="311"/>
      <c r="OEO73" s="311"/>
      <c r="OEP73" s="311"/>
      <c r="OEQ73" s="311"/>
      <c r="OER73" s="311"/>
      <c r="OES73" s="311"/>
      <c r="OET73" s="311"/>
      <c r="OEU73" s="311"/>
      <c r="OEV73" s="311"/>
      <c r="OEW73" s="311"/>
      <c r="OEX73" s="311"/>
      <c r="OEY73" s="311"/>
      <c r="OEZ73" s="311"/>
      <c r="OFA73" s="311"/>
      <c r="OFB73" s="311"/>
      <c r="OFC73" s="311"/>
      <c r="OFD73" s="311"/>
      <c r="OFE73" s="311"/>
      <c r="OFF73" s="311"/>
      <c r="OFG73" s="311"/>
      <c r="OFH73" s="311"/>
      <c r="OFI73" s="311"/>
      <c r="OFJ73" s="311"/>
      <c r="OFK73" s="311"/>
      <c r="OFL73" s="311"/>
      <c r="OFM73" s="311"/>
      <c r="OFN73" s="311"/>
      <c r="OFO73" s="311"/>
      <c r="OFP73" s="311"/>
      <c r="OFQ73" s="311"/>
      <c r="OFR73" s="311"/>
      <c r="OFS73" s="311"/>
      <c r="OFT73" s="311"/>
      <c r="OFU73" s="311"/>
      <c r="OFV73" s="311"/>
      <c r="OFW73" s="311"/>
      <c r="OFX73" s="311"/>
      <c r="OFY73" s="311"/>
      <c r="OFZ73" s="311"/>
      <c r="OGA73" s="311"/>
      <c r="OGB73" s="311"/>
      <c r="OGC73" s="311"/>
      <c r="OGD73" s="311"/>
      <c r="OGE73" s="311"/>
      <c r="OGF73" s="311"/>
      <c r="OGG73" s="311"/>
      <c r="OGH73" s="311"/>
      <c r="OGI73" s="311"/>
      <c r="OGJ73" s="311"/>
      <c r="OGK73" s="311"/>
      <c r="OGL73" s="311"/>
      <c r="OGM73" s="311"/>
      <c r="OGN73" s="311"/>
      <c r="OGO73" s="311"/>
      <c r="OGP73" s="311"/>
      <c r="OGQ73" s="311"/>
      <c r="OGR73" s="311"/>
      <c r="OGS73" s="311"/>
      <c r="OGT73" s="311"/>
      <c r="OGU73" s="311"/>
      <c r="OGV73" s="311"/>
      <c r="OGW73" s="311"/>
      <c r="OGX73" s="311"/>
      <c r="OGY73" s="311"/>
      <c r="OGZ73" s="311"/>
      <c r="OHA73" s="311"/>
      <c r="OHB73" s="311"/>
      <c r="OHC73" s="311"/>
      <c r="OHD73" s="311"/>
      <c r="OHE73" s="311"/>
      <c r="OHF73" s="311"/>
      <c r="OHG73" s="311"/>
      <c r="OHH73" s="311"/>
      <c r="OHI73" s="311"/>
      <c r="OHJ73" s="311"/>
      <c r="OHK73" s="311"/>
      <c r="OHL73" s="311"/>
      <c r="OHM73" s="311"/>
      <c r="OHN73" s="311"/>
      <c r="OHO73" s="311"/>
      <c r="OHP73" s="311"/>
      <c r="OHQ73" s="311"/>
      <c r="OHR73" s="311"/>
      <c r="OHS73" s="311"/>
      <c r="OHT73" s="311"/>
      <c r="OHU73" s="311"/>
      <c r="OHV73" s="311"/>
      <c r="OHW73" s="311"/>
      <c r="OHX73" s="311"/>
      <c r="OHY73" s="311"/>
      <c r="OHZ73" s="311"/>
      <c r="OIA73" s="311"/>
      <c r="OIB73" s="311"/>
      <c r="OIC73" s="311"/>
      <c r="OID73" s="311"/>
      <c r="OIE73" s="311"/>
      <c r="OIF73" s="311"/>
      <c r="OIG73" s="311"/>
      <c r="OIH73" s="311"/>
      <c r="OII73" s="311"/>
      <c r="OIJ73" s="311"/>
      <c r="OIK73" s="311"/>
      <c r="OIL73" s="311"/>
      <c r="OIM73" s="311"/>
      <c r="OIN73" s="311"/>
      <c r="OIO73" s="311"/>
      <c r="OIP73" s="311"/>
      <c r="OIQ73" s="311"/>
      <c r="OIR73" s="311"/>
      <c r="OIS73" s="311"/>
      <c r="OIT73" s="311"/>
      <c r="OIU73" s="311"/>
      <c r="OIV73" s="311"/>
      <c r="OIW73" s="311"/>
      <c r="OIX73" s="311"/>
      <c r="OIY73" s="311"/>
      <c r="OIZ73" s="311"/>
      <c r="OJA73" s="311"/>
      <c r="OJB73" s="311"/>
      <c r="OJC73" s="311"/>
      <c r="OJD73" s="311"/>
      <c r="OJE73" s="311"/>
      <c r="OJF73" s="311"/>
      <c r="OJG73" s="311"/>
      <c r="OJH73" s="311"/>
      <c r="OJI73" s="311"/>
      <c r="OJJ73" s="311"/>
      <c r="OJK73" s="311"/>
      <c r="OJL73" s="311"/>
      <c r="OJM73" s="311"/>
      <c r="OJN73" s="311"/>
      <c r="OJO73" s="311"/>
      <c r="OJP73" s="311"/>
      <c r="OJQ73" s="311"/>
      <c r="OJR73" s="311"/>
      <c r="OJS73" s="311"/>
      <c r="OJT73" s="311"/>
      <c r="OJU73" s="311"/>
      <c r="OJV73" s="311"/>
      <c r="OJW73" s="311"/>
      <c r="OJX73" s="311"/>
      <c r="OJY73" s="311"/>
      <c r="OJZ73" s="311"/>
      <c r="OKA73" s="311"/>
      <c r="OKB73" s="311"/>
      <c r="OKC73" s="311"/>
      <c r="OKD73" s="311"/>
      <c r="OKE73" s="311"/>
      <c r="OKF73" s="311"/>
      <c r="OKG73" s="311"/>
      <c r="OKH73" s="311"/>
      <c r="OKI73" s="311"/>
      <c r="OKJ73" s="311"/>
      <c r="OKK73" s="311"/>
      <c r="OKL73" s="311"/>
      <c r="OKM73" s="311"/>
      <c r="OKN73" s="311"/>
      <c r="OKO73" s="311"/>
      <c r="OKP73" s="311"/>
      <c r="OKQ73" s="311"/>
      <c r="OKR73" s="311"/>
      <c r="OKS73" s="311"/>
      <c r="OKT73" s="311"/>
      <c r="OKU73" s="311"/>
      <c r="OKV73" s="311"/>
      <c r="OKW73" s="311"/>
      <c r="OKX73" s="311"/>
      <c r="OKY73" s="311"/>
      <c r="OKZ73" s="311"/>
      <c r="OLA73" s="311"/>
      <c r="OLB73" s="311"/>
      <c r="OLC73" s="311"/>
      <c r="OLD73" s="311"/>
      <c r="OLE73" s="311"/>
      <c r="OLF73" s="311"/>
      <c r="OLG73" s="311"/>
      <c r="OLH73" s="311"/>
      <c r="OLI73" s="311"/>
      <c r="OLJ73" s="311"/>
      <c r="OLK73" s="311"/>
      <c r="OLL73" s="311"/>
      <c r="OLM73" s="311"/>
      <c r="OLN73" s="311"/>
      <c r="OLO73" s="311"/>
      <c r="OLP73" s="311"/>
      <c r="OLQ73" s="311"/>
      <c r="OLR73" s="311"/>
      <c r="OLS73" s="311"/>
      <c r="OLT73" s="311"/>
      <c r="OLU73" s="311"/>
      <c r="OLV73" s="311"/>
      <c r="OLW73" s="311"/>
      <c r="OLX73" s="311"/>
      <c r="OLY73" s="311"/>
      <c r="OLZ73" s="311"/>
      <c r="OMA73" s="311"/>
      <c r="OMB73" s="311"/>
      <c r="OMC73" s="311"/>
      <c r="OMD73" s="311"/>
      <c r="OME73" s="311"/>
      <c r="OMF73" s="311"/>
      <c r="OMG73" s="311"/>
      <c r="OMH73" s="311"/>
      <c r="OMI73" s="311"/>
      <c r="OMJ73" s="311"/>
      <c r="OMK73" s="311"/>
      <c r="OML73" s="311"/>
      <c r="OMM73" s="311"/>
      <c r="OMN73" s="311"/>
      <c r="OMO73" s="311"/>
      <c r="OMP73" s="311"/>
      <c r="OMQ73" s="311"/>
      <c r="OMR73" s="311"/>
      <c r="OMS73" s="311"/>
      <c r="OMT73" s="311"/>
      <c r="OMU73" s="311"/>
      <c r="OMV73" s="311"/>
      <c r="OMW73" s="311"/>
      <c r="OMX73" s="311"/>
      <c r="OMY73" s="311"/>
      <c r="OMZ73" s="311"/>
      <c r="ONA73" s="311"/>
      <c r="ONB73" s="311"/>
      <c r="ONC73" s="311"/>
      <c r="OND73" s="311"/>
      <c r="ONE73" s="311"/>
      <c r="ONF73" s="311"/>
      <c r="ONG73" s="311"/>
      <c r="ONH73" s="311"/>
      <c r="ONI73" s="311"/>
      <c r="ONJ73" s="311"/>
      <c r="ONK73" s="311"/>
      <c r="ONL73" s="311"/>
      <c r="ONM73" s="311"/>
      <c r="ONN73" s="311"/>
      <c r="ONO73" s="311"/>
      <c r="ONP73" s="311"/>
      <c r="ONQ73" s="311"/>
      <c r="ONR73" s="311"/>
      <c r="ONS73" s="311"/>
      <c r="ONT73" s="311"/>
      <c r="ONU73" s="311"/>
      <c r="ONV73" s="311"/>
      <c r="ONW73" s="311"/>
      <c r="ONX73" s="311"/>
      <c r="ONY73" s="311"/>
      <c r="ONZ73" s="311"/>
      <c r="OOA73" s="311"/>
      <c r="OOB73" s="311"/>
      <c r="OOC73" s="311"/>
      <c r="OOD73" s="311"/>
      <c r="OOE73" s="311"/>
      <c r="OOF73" s="311"/>
      <c r="OOG73" s="311"/>
      <c r="OOH73" s="311"/>
      <c r="OOI73" s="311"/>
      <c r="OOJ73" s="311"/>
      <c r="OOK73" s="311"/>
      <c r="OOL73" s="311"/>
      <c r="OOM73" s="311"/>
      <c r="OON73" s="311"/>
      <c r="OOO73" s="311"/>
      <c r="OOP73" s="311"/>
      <c r="OOQ73" s="311"/>
      <c r="OOR73" s="311"/>
      <c r="OOS73" s="311"/>
      <c r="OOT73" s="311"/>
      <c r="OOU73" s="311"/>
      <c r="OOV73" s="311"/>
      <c r="OOW73" s="311"/>
      <c r="OOX73" s="311"/>
      <c r="OOY73" s="311"/>
      <c r="OOZ73" s="311"/>
      <c r="OPA73" s="311"/>
      <c r="OPB73" s="311"/>
      <c r="OPC73" s="311"/>
      <c r="OPD73" s="311"/>
      <c r="OPE73" s="311"/>
      <c r="OPF73" s="311"/>
      <c r="OPG73" s="311"/>
      <c r="OPH73" s="311"/>
      <c r="OPI73" s="311"/>
      <c r="OPJ73" s="311"/>
      <c r="OPK73" s="311"/>
      <c r="OPL73" s="311"/>
      <c r="OPM73" s="311"/>
      <c r="OPN73" s="311"/>
      <c r="OPO73" s="311"/>
      <c r="OPP73" s="311"/>
      <c r="OPQ73" s="311"/>
      <c r="OPR73" s="311"/>
      <c r="OPS73" s="311"/>
      <c r="OPT73" s="311"/>
      <c r="OPU73" s="311"/>
      <c r="OPV73" s="311"/>
      <c r="OPW73" s="311"/>
      <c r="OPX73" s="311"/>
      <c r="OPY73" s="311"/>
      <c r="OPZ73" s="311"/>
      <c r="OQA73" s="311"/>
      <c r="OQB73" s="311"/>
      <c r="OQC73" s="311"/>
      <c r="OQD73" s="311"/>
      <c r="OQE73" s="311"/>
      <c r="OQF73" s="311"/>
      <c r="OQG73" s="311"/>
      <c r="OQH73" s="311"/>
      <c r="OQI73" s="311"/>
      <c r="OQJ73" s="311"/>
      <c r="OQK73" s="311"/>
      <c r="OQL73" s="311"/>
      <c r="OQM73" s="311"/>
      <c r="OQN73" s="311"/>
      <c r="OQO73" s="311"/>
      <c r="OQP73" s="311"/>
      <c r="OQQ73" s="311"/>
      <c r="OQR73" s="311"/>
      <c r="OQS73" s="311"/>
      <c r="OQT73" s="311"/>
      <c r="OQU73" s="311"/>
      <c r="OQV73" s="311"/>
      <c r="OQW73" s="311"/>
      <c r="OQX73" s="311"/>
      <c r="OQY73" s="311"/>
      <c r="OQZ73" s="311"/>
      <c r="ORA73" s="311"/>
      <c r="ORB73" s="311"/>
      <c r="ORC73" s="311"/>
      <c r="ORD73" s="311"/>
      <c r="ORE73" s="311"/>
      <c r="ORF73" s="311"/>
      <c r="ORG73" s="311"/>
      <c r="ORH73" s="311"/>
      <c r="ORI73" s="311"/>
      <c r="ORJ73" s="311"/>
      <c r="ORK73" s="311"/>
      <c r="ORL73" s="311"/>
      <c r="ORM73" s="311"/>
      <c r="ORN73" s="311"/>
      <c r="ORO73" s="311"/>
      <c r="ORP73" s="311"/>
      <c r="ORQ73" s="311"/>
      <c r="ORR73" s="311"/>
      <c r="ORS73" s="311"/>
      <c r="ORT73" s="311"/>
      <c r="ORU73" s="311"/>
      <c r="ORV73" s="311"/>
      <c r="ORW73" s="311"/>
      <c r="ORX73" s="311"/>
      <c r="ORY73" s="311"/>
      <c r="ORZ73" s="311"/>
      <c r="OSA73" s="311"/>
      <c r="OSB73" s="311"/>
      <c r="OSC73" s="311"/>
      <c r="OSD73" s="311"/>
      <c r="OSE73" s="311"/>
      <c r="OSF73" s="311"/>
      <c r="OSG73" s="311"/>
      <c r="OSH73" s="311"/>
      <c r="OSI73" s="311"/>
      <c r="OSJ73" s="311"/>
      <c r="OSK73" s="311"/>
      <c r="OSL73" s="311"/>
      <c r="OSM73" s="311"/>
      <c r="OSN73" s="311"/>
      <c r="OSO73" s="311"/>
      <c r="OSP73" s="311"/>
      <c r="OSQ73" s="311"/>
      <c r="OSR73" s="311"/>
      <c r="OSS73" s="311"/>
      <c r="OST73" s="311"/>
      <c r="OSU73" s="311"/>
      <c r="OSV73" s="311"/>
      <c r="OSW73" s="311"/>
      <c r="OSX73" s="311"/>
      <c r="OSY73" s="311"/>
      <c r="OSZ73" s="311"/>
      <c r="OTA73" s="311"/>
      <c r="OTB73" s="311"/>
      <c r="OTC73" s="311"/>
      <c r="OTD73" s="311"/>
      <c r="OTE73" s="311"/>
      <c r="OTF73" s="311"/>
      <c r="OTG73" s="311"/>
      <c r="OTH73" s="311"/>
      <c r="OTI73" s="311"/>
      <c r="OTJ73" s="311"/>
      <c r="OTK73" s="311"/>
      <c r="OTL73" s="311"/>
      <c r="OTM73" s="311"/>
      <c r="OTN73" s="311"/>
      <c r="OTO73" s="311"/>
      <c r="OTP73" s="311"/>
      <c r="OTQ73" s="311"/>
      <c r="OTR73" s="311"/>
      <c r="OTS73" s="311"/>
      <c r="OTT73" s="311"/>
      <c r="OTU73" s="311"/>
      <c r="OTV73" s="311"/>
      <c r="OTW73" s="311"/>
      <c r="OTX73" s="311"/>
      <c r="OTY73" s="311"/>
      <c r="OTZ73" s="311"/>
      <c r="OUA73" s="311"/>
      <c r="OUB73" s="311"/>
      <c r="OUC73" s="311"/>
      <c r="OUD73" s="311"/>
      <c r="OUE73" s="311"/>
      <c r="OUF73" s="311"/>
      <c r="OUG73" s="311"/>
      <c r="OUH73" s="311"/>
      <c r="OUI73" s="311"/>
      <c r="OUJ73" s="311"/>
      <c r="OUK73" s="311"/>
      <c r="OUL73" s="311"/>
      <c r="OUM73" s="311"/>
      <c r="OUN73" s="311"/>
      <c r="OUO73" s="311"/>
      <c r="OUP73" s="311"/>
      <c r="OUQ73" s="311"/>
      <c r="OUR73" s="311"/>
      <c r="OUS73" s="311"/>
      <c r="OUT73" s="311"/>
      <c r="OUU73" s="311"/>
      <c r="OUV73" s="311"/>
      <c r="OUW73" s="311"/>
      <c r="OUX73" s="311"/>
      <c r="OUY73" s="311"/>
      <c r="OUZ73" s="311"/>
      <c r="OVA73" s="311"/>
      <c r="OVB73" s="311"/>
      <c r="OVC73" s="311"/>
      <c r="OVD73" s="311"/>
      <c r="OVE73" s="311"/>
      <c r="OVF73" s="311"/>
      <c r="OVG73" s="311"/>
      <c r="OVH73" s="311"/>
      <c r="OVI73" s="311"/>
      <c r="OVJ73" s="311"/>
      <c r="OVK73" s="311"/>
      <c r="OVL73" s="311"/>
      <c r="OVM73" s="311"/>
      <c r="OVN73" s="311"/>
      <c r="OVO73" s="311"/>
      <c r="OVP73" s="311"/>
      <c r="OVQ73" s="311"/>
      <c r="OVR73" s="311"/>
      <c r="OVS73" s="311"/>
      <c r="OVT73" s="311"/>
      <c r="OVU73" s="311"/>
      <c r="OVV73" s="311"/>
      <c r="OVW73" s="311"/>
      <c r="OVX73" s="311"/>
      <c r="OVY73" s="311"/>
      <c r="OVZ73" s="311"/>
      <c r="OWA73" s="311"/>
      <c r="OWB73" s="311"/>
      <c r="OWC73" s="311"/>
      <c r="OWD73" s="311"/>
      <c r="OWE73" s="311"/>
      <c r="OWF73" s="311"/>
      <c r="OWG73" s="311"/>
      <c r="OWH73" s="311"/>
      <c r="OWI73" s="311"/>
      <c r="OWJ73" s="311"/>
      <c r="OWK73" s="311"/>
      <c r="OWL73" s="311"/>
      <c r="OWM73" s="311"/>
      <c r="OWN73" s="311"/>
      <c r="OWO73" s="311"/>
      <c r="OWP73" s="311"/>
      <c r="OWQ73" s="311"/>
      <c r="OWR73" s="311"/>
      <c r="OWS73" s="311"/>
      <c r="OWT73" s="311"/>
      <c r="OWU73" s="311"/>
      <c r="OWV73" s="311"/>
      <c r="OWW73" s="311"/>
      <c r="OWX73" s="311"/>
      <c r="OWY73" s="311"/>
      <c r="OWZ73" s="311"/>
      <c r="OXA73" s="311"/>
      <c r="OXB73" s="311"/>
      <c r="OXC73" s="311"/>
      <c r="OXD73" s="311"/>
      <c r="OXE73" s="311"/>
      <c r="OXF73" s="311"/>
      <c r="OXG73" s="311"/>
      <c r="OXH73" s="311"/>
      <c r="OXI73" s="311"/>
      <c r="OXJ73" s="311"/>
      <c r="OXK73" s="311"/>
      <c r="OXL73" s="311"/>
      <c r="OXM73" s="311"/>
      <c r="OXN73" s="311"/>
      <c r="OXO73" s="311"/>
      <c r="OXP73" s="311"/>
      <c r="OXQ73" s="311"/>
      <c r="OXR73" s="311"/>
      <c r="OXS73" s="311"/>
      <c r="OXT73" s="311"/>
      <c r="OXU73" s="311"/>
      <c r="OXV73" s="311"/>
      <c r="OXW73" s="311"/>
      <c r="OXX73" s="311"/>
      <c r="OXY73" s="311"/>
      <c r="OXZ73" s="311"/>
      <c r="OYA73" s="311"/>
      <c r="OYB73" s="311"/>
      <c r="OYC73" s="311"/>
      <c r="OYD73" s="311"/>
      <c r="OYE73" s="311"/>
      <c r="OYF73" s="311"/>
      <c r="OYG73" s="311"/>
      <c r="OYH73" s="311"/>
      <c r="OYI73" s="311"/>
      <c r="OYJ73" s="311"/>
      <c r="OYK73" s="311"/>
      <c r="OYL73" s="311"/>
      <c r="OYM73" s="311"/>
      <c r="OYN73" s="311"/>
      <c r="OYO73" s="311"/>
      <c r="OYP73" s="311"/>
      <c r="OYQ73" s="311"/>
      <c r="OYR73" s="311"/>
      <c r="OYS73" s="311"/>
      <c r="OYT73" s="311"/>
      <c r="OYU73" s="311"/>
      <c r="OYV73" s="311"/>
      <c r="OYW73" s="311"/>
      <c r="OYX73" s="311"/>
      <c r="OYY73" s="311"/>
      <c r="OYZ73" s="311"/>
      <c r="OZA73" s="311"/>
      <c r="OZB73" s="311"/>
      <c r="OZC73" s="311"/>
      <c r="OZD73" s="311"/>
      <c r="OZE73" s="311"/>
      <c r="OZF73" s="311"/>
      <c r="OZG73" s="311"/>
      <c r="OZH73" s="311"/>
      <c r="OZI73" s="311"/>
      <c r="OZJ73" s="311"/>
      <c r="OZK73" s="311"/>
      <c r="OZL73" s="311"/>
      <c r="OZM73" s="311"/>
      <c r="OZN73" s="311"/>
      <c r="OZO73" s="311"/>
      <c r="OZP73" s="311"/>
      <c r="OZQ73" s="311"/>
      <c r="OZR73" s="311"/>
      <c r="OZS73" s="311"/>
      <c r="OZT73" s="311"/>
      <c r="OZU73" s="311"/>
      <c r="OZV73" s="311"/>
      <c r="OZW73" s="311"/>
      <c r="OZX73" s="311"/>
      <c r="OZY73" s="311"/>
      <c r="OZZ73" s="311"/>
      <c r="PAA73" s="311"/>
      <c r="PAB73" s="311"/>
      <c r="PAC73" s="311"/>
      <c r="PAD73" s="311"/>
      <c r="PAE73" s="311"/>
      <c r="PAF73" s="311"/>
      <c r="PAG73" s="311"/>
      <c r="PAH73" s="311"/>
      <c r="PAI73" s="311"/>
      <c r="PAJ73" s="311"/>
      <c r="PAK73" s="311"/>
      <c r="PAL73" s="311"/>
      <c r="PAM73" s="311"/>
      <c r="PAN73" s="311"/>
      <c r="PAO73" s="311"/>
      <c r="PAP73" s="311"/>
      <c r="PAQ73" s="311"/>
      <c r="PAR73" s="311"/>
      <c r="PAS73" s="311"/>
      <c r="PAT73" s="311"/>
      <c r="PAU73" s="311"/>
      <c r="PAV73" s="311"/>
      <c r="PAW73" s="311"/>
      <c r="PAX73" s="311"/>
      <c r="PAY73" s="311"/>
      <c r="PAZ73" s="311"/>
      <c r="PBA73" s="311"/>
      <c r="PBB73" s="311"/>
      <c r="PBC73" s="311"/>
      <c r="PBD73" s="311"/>
      <c r="PBE73" s="311"/>
      <c r="PBF73" s="311"/>
      <c r="PBG73" s="311"/>
      <c r="PBH73" s="311"/>
      <c r="PBI73" s="311"/>
      <c r="PBJ73" s="311"/>
      <c r="PBK73" s="311"/>
      <c r="PBL73" s="311"/>
      <c r="PBM73" s="311"/>
      <c r="PBN73" s="311"/>
      <c r="PBO73" s="311"/>
      <c r="PBP73" s="311"/>
      <c r="PBQ73" s="311"/>
      <c r="PBR73" s="311"/>
      <c r="PBS73" s="311"/>
      <c r="PBT73" s="311"/>
      <c r="PBU73" s="311"/>
      <c r="PBV73" s="311"/>
      <c r="PBW73" s="311"/>
      <c r="PBX73" s="311"/>
      <c r="PBY73" s="311"/>
      <c r="PBZ73" s="311"/>
      <c r="PCA73" s="311"/>
      <c r="PCB73" s="311"/>
      <c r="PCC73" s="311"/>
      <c r="PCD73" s="311"/>
      <c r="PCE73" s="311"/>
      <c r="PCF73" s="311"/>
      <c r="PCG73" s="311"/>
      <c r="PCH73" s="311"/>
      <c r="PCI73" s="311"/>
      <c r="PCJ73" s="311"/>
      <c r="PCK73" s="311"/>
      <c r="PCL73" s="311"/>
      <c r="PCM73" s="311"/>
      <c r="PCN73" s="311"/>
      <c r="PCO73" s="311"/>
      <c r="PCP73" s="311"/>
      <c r="PCQ73" s="311"/>
      <c r="PCR73" s="311"/>
      <c r="PCS73" s="311"/>
      <c r="PCT73" s="311"/>
      <c r="PCU73" s="311"/>
      <c r="PCV73" s="311"/>
      <c r="PCW73" s="311"/>
      <c r="PCX73" s="311"/>
      <c r="PCY73" s="311"/>
      <c r="PCZ73" s="311"/>
      <c r="PDA73" s="311"/>
      <c r="PDB73" s="311"/>
      <c r="PDC73" s="311"/>
      <c r="PDD73" s="311"/>
      <c r="PDE73" s="311"/>
      <c r="PDF73" s="311"/>
      <c r="PDG73" s="311"/>
      <c r="PDH73" s="311"/>
      <c r="PDI73" s="311"/>
      <c r="PDJ73" s="311"/>
      <c r="PDK73" s="311"/>
      <c r="PDL73" s="311"/>
      <c r="PDM73" s="311"/>
      <c r="PDN73" s="311"/>
      <c r="PDO73" s="311"/>
      <c r="PDP73" s="311"/>
      <c r="PDQ73" s="311"/>
      <c r="PDR73" s="311"/>
      <c r="PDS73" s="311"/>
      <c r="PDT73" s="311"/>
      <c r="PDU73" s="311"/>
      <c r="PDV73" s="311"/>
      <c r="PDW73" s="311"/>
      <c r="PDX73" s="311"/>
      <c r="PDY73" s="311"/>
      <c r="PDZ73" s="311"/>
      <c r="PEA73" s="311"/>
      <c r="PEB73" s="311"/>
      <c r="PEC73" s="311"/>
      <c r="PED73" s="311"/>
      <c r="PEE73" s="311"/>
      <c r="PEF73" s="311"/>
      <c r="PEG73" s="311"/>
      <c r="PEH73" s="311"/>
      <c r="PEI73" s="311"/>
      <c r="PEJ73" s="311"/>
      <c r="PEK73" s="311"/>
      <c r="PEL73" s="311"/>
      <c r="PEM73" s="311"/>
      <c r="PEN73" s="311"/>
      <c r="PEO73" s="311"/>
      <c r="PEP73" s="311"/>
      <c r="PEQ73" s="311"/>
      <c r="PER73" s="311"/>
      <c r="PES73" s="311"/>
      <c r="PET73" s="311"/>
      <c r="PEU73" s="311"/>
      <c r="PEV73" s="311"/>
      <c r="PEW73" s="311"/>
      <c r="PEX73" s="311"/>
      <c r="PEY73" s="311"/>
      <c r="PEZ73" s="311"/>
      <c r="PFA73" s="311"/>
      <c r="PFB73" s="311"/>
      <c r="PFC73" s="311"/>
      <c r="PFD73" s="311"/>
      <c r="PFE73" s="311"/>
      <c r="PFF73" s="311"/>
      <c r="PFG73" s="311"/>
      <c r="PFH73" s="311"/>
      <c r="PFI73" s="311"/>
      <c r="PFJ73" s="311"/>
      <c r="PFK73" s="311"/>
      <c r="PFL73" s="311"/>
      <c r="PFM73" s="311"/>
      <c r="PFN73" s="311"/>
      <c r="PFO73" s="311"/>
      <c r="PFP73" s="311"/>
      <c r="PFQ73" s="311"/>
      <c r="PFR73" s="311"/>
      <c r="PFS73" s="311"/>
      <c r="PFT73" s="311"/>
      <c r="PFU73" s="311"/>
      <c r="PFV73" s="311"/>
      <c r="PFW73" s="311"/>
      <c r="PFX73" s="311"/>
      <c r="PFY73" s="311"/>
      <c r="PFZ73" s="311"/>
      <c r="PGA73" s="311"/>
      <c r="PGB73" s="311"/>
      <c r="PGC73" s="311"/>
      <c r="PGD73" s="311"/>
      <c r="PGE73" s="311"/>
      <c r="PGF73" s="311"/>
      <c r="PGG73" s="311"/>
      <c r="PGH73" s="311"/>
      <c r="PGI73" s="311"/>
      <c r="PGJ73" s="311"/>
      <c r="PGK73" s="311"/>
      <c r="PGL73" s="311"/>
      <c r="PGM73" s="311"/>
      <c r="PGN73" s="311"/>
      <c r="PGO73" s="311"/>
      <c r="PGP73" s="311"/>
      <c r="PGQ73" s="311"/>
      <c r="PGR73" s="311"/>
      <c r="PGS73" s="311"/>
      <c r="PGT73" s="311"/>
      <c r="PGU73" s="311"/>
      <c r="PGV73" s="311"/>
      <c r="PGW73" s="311"/>
      <c r="PGX73" s="311"/>
      <c r="PGY73" s="311"/>
      <c r="PGZ73" s="311"/>
      <c r="PHA73" s="311"/>
      <c r="PHB73" s="311"/>
      <c r="PHC73" s="311"/>
      <c r="PHD73" s="311"/>
      <c r="PHE73" s="311"/>
      <c r="PHF73" s="311"/>
      <c r="PHG73" s="311"/>
      <c r="PHH73" s="311"/>
      <c r="PHI73" s="311"/>
      <c r="PHJ73" s="311"/>
      <c r="PHK73" s="311"/>
      <c r="PHL73" s="311"/>
      <c r="PHM73" s="311"/>
      <c r="PHN73" s="311"/>
      <c r="PHO73" s="311"/>
      <c r="PHP73" s="311"/>
      <c r="PHQ73" s="311"/>
      <c r="PHR73" s="311"/>
      <c r="PHS73" s="311"/>
      <c r="PHT73" s="311"/>
      <c r="PHU73" s="311"/>
      <c r="PHV73" s="311"/>
      <c r="PHW73" s="311"/>
      <c r="PHX73" s="311"/>
      <c r="PHY73" s="311"/>
      <c r="PHZ73" s="311"/>
      <c r="PIA73" s="311"/>
      <c r="PIB73" s="311"/>
      <c r="PIC73" s="311"/>
      <c r="PID73" s="311"/>
      <c r="PIE73" s="311"/>
      <c r="PIF73" s="311"/>
      <c r="PIG73" s="311"/>
      <c r="PIH73" s="311"/>
      <c r="PII73" s="311"/>
      <c r="PIJ73" s="311"/>
      <c r="PIK73" s="311"/>
      <c r="PIL73" s="311"/>
      <c r="PIM73" s="311"/>
      <c r="PIN73" s="311"/>
      <c r="PIO73" s="311"/>
      <c r="PIP73" s="311"/>
      <c r="PIQ73" s="311"/>
      <c r="PIR73" s="311"/>
      <c r="PIS73" s="311"/>
      <c r="PIT73" s="311"/>
      <c r="PIU73" s="311"/>
      <c r="PIV73" s="311"/>
      <c r="PIW73" s="311"/>
      <c r="PIX73" s="311"/>
      <c r="PIY73" s="311"/>
      <c r="PIZ73" s="311"/>
      <c r="PJA73" s="311"/>
      <c r="PJB73" s="311"/>
      <c r="PJC73" s="311"/>
      <c r="PJD73" s="311"/>
      <c r="PJE73" s="311"/>
      <c r="PJF73" s="311"/>
      <c r="PJG73" s="311"/>
      <c r="PJH73" s="311"/>
      <c r="PJI73" s="311"/>
      <c r="PJJ73" s="311"/>
      <c r="PJK73" s="311"/>
      <c r="PJL73" s="311"/>
      <c r="PJM73" s="311"/>
      <c r="PJN73" s="311"/>
      <c r="PJO73" s="311"/>
      <c r="PJP73" s="311"/>
      <c r="PJQ73" s="311"/>
      <c r="PJR73" s="311"/>
      <c r="PJS73" s="311"/>
      <c r="PJT73" s="311"/>
      <c r="PJU73" s="311"/>
      <c r="PJV73" s="311"/>
      <c r="PJW73" s="311"/>
      <c r="PJX73" s="311"/>
      <c r="PJY73" s="311"/>
      <c r="PJZ73" s="311"/>
      <c r="PKA73" s="311"/>
      <c r="PKB73" s="311"/>
      <c r="PKC73" s="311"/>
      <c r="PKD73" s="311"/>
      <c r="PKE73" s="311"/>
      <c r="PKF73" s="311"/>
      <c r="PKG73" s="311"/>
      <c r="PKH73" s="311"/>
      <c r="PKI73" s="311"/>
      <c r="PKJ73" s="311"/>
      <c r="PKK73" s="311"/>
      <c r="PKL73" s="311"/>
      <c r="PKM73" s="311"/>
      <c r="PKN73" s="311"/>
      <c r="PKO73" s="311"/>
      <c r="PKP73" s="311"/>
      <c r="PKQ73" s="311"/>
      <c r="PKR73" s="311"/>
      <c r="PKS73" s="311"/>
      <c r="PKT73" s="311"/>
      <c r="PKU73" s="311"/>
      <c r="PKV73" s="311"/>
      <c r="PKW73" s="311"/>
      <c r="PKX73" s="311"/>
      <c r="PKY73" s="311"/>
      <c r="PKZ73" s="311"/>
      <c r="PLA73" s="311"/>
      <c r="PLB73" s="311"/>
      <c r="PLC73" s="311"/>
      <c r="PLD73" s="311"/>
      <c r="PLE73" s="311"/>
      <c r="PLF73" s="311"/>
      <c r="PLG73" s="311"/>
      <c r="PLH73" s="311"/>
      <c r="PLI73" s="311"/>
      <c r="PLJ73" s="311"/>
      <c r="PLK73" s="311"/>
      <c r="PLL73" s="311"/>
      <c r="PLM73" s="311"/>
      <c r="PLN73" s="311"/>
      <c r="PLO73" s="311"/>
      <c r="PLP73" s="311"/>
      <c r="PLQ73" s="311"/>
      <c r="PLR73" s="311"/>
      <c r="PLS73" s="311"/>
      <c r="PLT73" s="311"/>
      <c r="PLU73" s="311"/>
      <c r="PLV73" s="311"/>
      <c r="PLW73" s="311"/>
      <c r="PLX73" s="311"/>
      <c r="PLY73" s="311"/>
      <c r="PLZ73" s="311"/>
      <c r="PMA73" s="311"/>
      <c r="PMB73" s="311"/>
      <c r="PMC73" s="311"/>
      <c r="PMD73" s="311"/>
      <c r="PME73" s="311"/>
      <c r="PMF73" s="311"/>
      <c r="PMG73" s="311"/>
      <c r="PMH73" s="311"/>
      <c r="PMI73" s="311"/>
      <c r="PMJ73" s="311"/>
      <c r="PMK73" s="311"/>
      <c r="PML73" s="311"/>
      <c r="PMM73" s="311"/>
      <c r="PMN73" s="311"/>
      <c r="PMO73" s="311"/>
      <c r="PMP73" s="311"/>
      <c r="PMQ73" s="311"/>
      <c r="PMR73" s="311"/>
      <c r="PMS73" s="311"/>
      <c r="PMT73" s="311"/>
      <c r="PMU73" s="311"/>
      <c r="PMV73" s="311"/>
      <c r="PMW73" s="311"/>
      <c r="PMX73" s="311"/>
      <c r="PMY73" s="311"/>
      <c r="PMZ73" s="311"/>
      <c r="PNA73" s="311"/>
      <c r="PNB73" s="311"/>
      <c r="PNC73" s="311"/>
      <c r="PND73" s="311"/>
      <c r="PNE73" s="311"/>
      <c r="PNF73" s="311"/>
      <c r="PNG73" s="311"/>
      <c r="PNH73" s="311"/>
      <c r="PNI73" s="311"/>
      <c r="PNJ73" s="311"/>
      <c r="PNK73" s="311"/>
      <c r="PNL73" s="311"/>
      <c r="PNM73" s="311"/>
      <c r="PNN73" s="311"/>
      <c r="PNO73" s="311"/>
      <c r="PNP73" s="311"/>
      <c r="PNQ73" s="311"/>
      <c r="PNR73" s="311"/>
      <c r="PNS73" s="311"/>
      <c r="PNT73" s="311"/>
      <c r="PNU73" s="311"/>
      <c r="PNV73" s="311"/>
      <c r="PNW73" s="311"/>
      <c r="PNX73" s="311"/>
      <c r="PNY73" s="311"/>
      <c r="PNZ73" s="311"/>
      <c r="POA73" s="311"/>
      <c r="POB73" s="311"/>
      <c r="POC73" s="311"/>
      <c r="POD73" s="311"/>
      <c r="POE73" s="311"/>
      <c r="POF73" s="311"/>
      <c r="POG73" s="311"/>
      <c r="POH73" s="311"/>
      <c r="POI73" s="311"/>
      <c r="POJ73" s="311"/>
      <c r="POK73" s="311"/>
      <c r="POL73" s="311"/>
      <c r="POM73" s="311"/>
      <c r="PON73" s="311"/>
      <c r="POO73" s="311"/>
      <c r="POP73" s="311"/>
      <c r="POQ73" s="311"/>
      <c r="POR73" s="311"/>
      <c r="POS73" s="311"/>
      <c r="POT73" s="311"/>
      <c r="POU73" s="311"/>
      <c r="POV73" s="311"/>
      <c r="POW73" s="311"/>
      <c r="POX73" s="311"/>
      <c r="POY73" s="311"/>
      <c r="POZ73" s="311"/>
      <c r="PPA73" s="311"/>
      <c r="PPB73" s="311"/>
      <c r="PPC73" s="311"/>
      <c r="PPD73" s="311"/>
      <c r="PPE73" s="311"/>
      <c r="PPF73" s="311"/>
      <c r="PPG73" s="311"/>
      <c r="PPH73" s="311"/>
      <c r="PPI73" s="311"/>
      <c r="PPJ73" s="311"/>
      <c r="PPK73" s="311"/>
      <c r="PPL73" s="311"/>
      <c r="PPM73" s="311"/>
      <c r="PPN73" s="311"/>
      <c r="PPO73" s="311"/>
      <c r="PPP73" s="311"/>
      <c r="PPQ73" s="311"/>
      <c r="PPR73" s="311"/>
      <c r="PPS73" s="311"/>
      <c r="PPT73" s="311"/>
      <c r="PPU73" s="311"/>
      <c r="PPV73" s="311"/>
      <c r="PPW73" s="311"/>
      <c r="PPX73" s="311"/>
      <c r="PPY73" s="311"/>
      <c r="PPZ73" s="311"/>
      <c r="PQA73" s="311"/>
      <c r="PQB73" s="311"/>
      <c r="PQC73" s="311"/>
      <c r="PQD73" s="311"/>
      <c r="PQE73" s="311"/>
      <c r="PQF73" s="311"/>
      <c r="PQG73" s="311"/>
      <c r="PQH73" s="311"/>
      <c r="PQI73" s="311"/>
      <c r="PQJ73" s="311"/>
      <c r="PQK73" s="311"/>
      <c r="PQL73" s="311"/>
      <c r="PQM73" s="311"/>
      <c r="PQN73" s="311"/>
      <c r="PQO73" s="311"/>
      <c r="PQP73" s="311"/>
      <c r="PQQ73" s="311"/>
      <c r="PQR73" s="311"/>
      <c r="PQS73" s="311"/>
      <c r="PQT73" s="311"/>
      <c r="PQU73" s="311"/>
      <c r="PQV73" s="311"/>
      <c r="PQW73" s="311"/>
      <c r="PQX73" s="311"/>
      <c r="PQY73" s="311"/>
      <c r="PQZ73" s="311"/>
      <c r="PRA73" s="311"/>
      <c r="PRB73" s="311"/>
      <c r="PRC73" s="311"/>
      <c r="PRD73" s="311"/>
      <c r="PRE73" s="311"/>
      <c r="PRF73" s="311"/>
      <c r="PRG73" s="311"/>
      <c r="PRH73" s="311"/>
      <c r="PRI73" s="311"/>
      <c r="PRJ73" s="311"/>
      <c r="PRK73" s="311"/>
      <c r="PRL73" s="311"/>
      <c r="PRM73" s="311"/>
      <c r="PRN73" s="311"/>
      <c r="PRO73" s="311"/>
      <c r="PRP73" s="311"/>
      <c r="PRQ73" s="311"/>
      <c r="PRR73" s="311"/>
      <c r="PRS73" s="311"/>
      <c r="PRT73" s="311"/>
      <c r="PRU73" s="311"/>
      <c r="PRV73" s="311"/>
      <c r="PRW73" s="311"/>
      <c r="PRX73" s="311"/>
      <c r="PRY73" s="311"/>
      <c r="PRZ73" s="311"/>
      <c r="PSA73" s="311"/>
      <c r="PSB73" s="311"/>
      <c r="PSC73" s="311"/>
      <c r="PSD73" s="311"/>
      <c r="PSE73" s="311"/>
      <c r="PSF73" s="311"/>
      <c r="PSG73" s="311"/>
      <c r="PSH73" s="311"/>
      <c r="PSI73" s="311"/>
      <c r="PSJ73" s="311"/>
      <c r="PSK73" s="311"/>
      <c r="PSL73" s="311"/>
      <c r="PSM73" s="311"/>
      <c r="PSN73" s="311"/>
      <c r="PSO73" s="311"/>
      <c r="PSP73" s="311"/>
      <c r="PSQ73" s="311"/>
      <c r="PSR73" s="311"/>
      <c r="PSS73" s="311"/>
      <c r="PST73" s="311"/>
      <c r="PSU73" s="311"/>
      <c r="PSV73" s="311"/>
      <c r="PSW73" s="311"/>
      <c r="PSX73" s="311"/>
      <c r="PSY73" s="311"/>
      <c r="PSZ73" s="311"/>
      <c r="PTA73" s="311"/>
      <c r="PTB73" s="311"/>
      <c r="PTC73" s="311"/>
      <c r="PTD73" s="311"/>
      <c r="PTE73" s="311"/>
      <c r="PTF73" s="311"/>
      <c r="PTG73" s="311"/>
      <c r="PTH73" s="311"/>
      <c r="PTI73" s="311"/>
      <c r="PTJ73" s="311"/>
      <c r="PTK73" s="311"/>
      <c r="PTL73" s="311"/>
      <c r="PTM73" s="311"/>
      <c r="PTN73" s="311"/>
      <c r="PTO73" s="311"/>
      <c r="PTP73" s="311"/>
      <c r="PTQ73" s="311"/>
      <c r="PTR73" s="311"/>
      <c r="PTS73" s="311"/>
      <c r="PTT73" s="311"/>
      <c r="PTU73" s="311"/>
      <c r="PTV73" s="311"/>
      <c r="PTW73" s="311"/>
      <c r="PTX73" s="311"/>
      <c r="PTY73" s="311"/>
      <c r="PTZ73" s="311"/>
      <c r="PUA73" s="311"/>
      <c r="PUB73" s="311"/>
      <c r="PUC73" s="311"/>
      <c r="PUD73" s="311"/>
      <c r="PUE73" s="311"/>
      <c r="PUF73" s="311"/>
      <c r="PUG73" s="311"/>
      <c r="PUH73" s="311"/>
      <c r="PUI73" s="311"/>
      <c r="PUJ73" s="311"/>
      <c r="PUK73" s="311"/>
      <c r="PUL73" s="311"/>
      <c r="PUM73" s="311"/>
      <c r="PUN73" s="311"/>
      <c r="PUO73" s="311"/>
      <c r="PUP73" s="311"/>
      <c r="PUQ73" s="311"/>
      <c r="PUR73" s="311"/>
      <c r="PUS73" s="311"/>
      <c r="PUT73" s="311"/>
      <c r="PUU73" s="311"/>
      <c r="PUV73" s="311"/>
      <c r="PUW73" s="311"/>
      <c r="PUX73" s="311"/>
      <c r="PUY73" s="311"/>
      <c r="PUZ73" s="311"/>
      <c r="PVA73" s="311"/>
      <c r="PVB73" s="311"/>
      <c r="PVC73" s="311"/>
      <c r="PVD73" s="311"/>
      <c r="PVE73" s="311"/>
      <c r="PVF73" s="311"/>
      <c r="PVG73" s="311"/>
      <c r="PVH73" s="311"/>
      <c r="PVI73" s="311"/>
      <c r="PVJ73" s="311"/>
      <c r="PVK73" s="311"/>
      <c r="PVL73" s="311"/>
      <c r="PVM73" s="311"/>
      <c r="PVN73" s="311"/>
      <c r="PVO73" s="311"/>
      <c r="PVP73" s="311"/>
      <c r="PVQ73" s="311"/>
      <c r="PVR73" s="311"/>
      <c r="PVS73" s="311"/>
      <c r="PVT73" s="311"/>
      <c r="PVU73" s="311"/>
      <c r="PVV73" s="311"/>
      <c r="PVW73" s="311"/>
      <c r="PVX73" s="311"/>
      <c r="PVY73" s="311"/>
      <c r="PVZ73" s="311"/>
      <c r="PWA73" s="311"/>
      <c r="PWB73" s="311"/>
      <c r="PWC73" s="311"/>
      <c r="PWD73" s="311"/>
      <c r="PWE73" s="311"/>
      <c r="PWF73" s="311"/>
      <c r="PWG73" s="311"/>
      <c r="PWH73" s="311"/>
      <c r="PWI73" s="311"/>
      <c r="PWJ73" s="311"/>
      <c r="PWK73" s="311"/>
      <c r="PWL73" s="311"/>
      <c r="PWM73" s="311"/>
      <c r="PWN73" s="311"/>
      <c r="PWO73" s="311"/>
      <c r="PWP73" s="311"/>
      <c r="PWQ73" s="311"/>
      <c r="PWR73" s="311"/>
      <c r="PWS73" s="311"/>
      <c r="PWT73" s="311"/>
      <c r="PWU73" s="311"/>
      <c r="PWV73" s="311"/>
      <c r="PWW73" s="311"/>
      <c r="PWX73" s="311"/>
      <c r="PWY73" s="311"/>
      <c r="PWZ73" s="311"/>
      <c r="PXA73" s="311"/>
      <c r="PXB73" s="311"/>
      <c r="PXC73" s="311"/>
      <c r="PXD73" s="311"/>
      <c r="PXE73" s="311"/>
      <c r="PXF73" s="311"/>
      <c r="PXG73" s="311"/>
      <c r="PXH73" s="311"/>
      <c r="PXI73" s="311"/>
      <c r="PXJ73" s="311"/>
      <c r="PXK73" s="311"/>
      <c r="PXL73" s="311"/>
      <c r="PXM73" s="311"/>
      <c r="PXN73" s="311"/>
      <c r="PXO73" s="311"/>
      <c r="PXP73" s="311"/>
      <c r="PXQ73" s="311"/>
      <c r="PXR73" s="311"/>
      <c r="PXS73" s="311"/>
      <c r="PXT73" s="311"/>
      <c r="PXU73" s="311"/>
      <c r="PXV73" s="311"/>
      <c r="PXW73" s="311"/>
      <c r="PXX73" s="311"/>
      <c r="PXY73" s="311"/>
      <c r="PXZ73" s="311"/>
      <c r="PYA73" s="311"/>
      <c r="PYB73" s="311"/>
      <c r="PYC73" s="311"/>
      <c r="PYD73" s="311"/>
      <c r="PYE73" s="311"/>
      <c r="PYF73" s="311"/>
      <c r="PYG73" s="311"/>
      <c r="PYH73" s="311"/>
      <c r="PYI73" s="311"/>
      <c r="PYJ73" s="311"/>
      <c r="PYK73" s="311"/>
      <c r="PYL73" s="311"/>
      <c r="PYM73" s="311"/>
      <c r="PYN73" s="311"/>
      <c r="PYO73" s="311"/>
      <c r="PYP73" s="311"/>
      <c r="PYQ73" s="311"/>
      <c r="PYR73" s="311"/>
      <c r="PYS73" s="311"/>
      <c r="PYT73" s="311"/>
      <c r="PYU73" s="311"/>
      <c r="PYV73" s="311"/>
      <c r="PYW73" s="311"/>
      <c r="PYX73" s="311"/>
      <c r="PYY73" s="311"/>
      <c r="PYZ73" s="311"/>
      <c r="PZA73" s="311"/>
      <c r="PZB73" s="311"/>
      <c r="PZC73" s="311"/>
      <c r="PZD73" s="311"/>
      <c r="PZE73" s="311"/>
      <c r="PZF73" s="311"/>
      <c r="PZG73" s="311"/>
      <c r="PZH73" s="311"/>
      <c r="PZI73" s="311"/>
      <c r="PZJ73" s="311"/>
      <c r="PZK73" s="311"/>
      <c r="PZL73" s="311"/>
      <c r="PZM73" s="311"/>
      <c r="PZN73" s="311"/>
      <c r="PZO73" s="311"/>
      <c r="PZP73" s="311"/>
      <c r="PZQ73" s="311"/>
      <c r="PZR73" s="311"/>
      <c r="PZS73" s="311"/>
      <c r="PZT73" s="311"/>
      <c r="PZU73" s="311"/>
      <c r="PZV73" s="311"/>
      <c r="PZW73" s="311"/>
      <c r="PZX73" s="311"/>
      <c r="PZY73" s="311"/>
      <c r="PZZ73" s="311"/>
      <c r="QAA73" s="311"/>
      <c r="QAB73" s="311"/>
      <c r="QAC73" s="311"/>
      <c r="QAD73" s="311"/>
      <c r="QAE73" s="311"/>
      <c r="QAF73" s="311"/>
      <c r="QAG73" s="311"/>
      <c r="QAH73" s="311"/>
      <c r="QAI73" s="311"/>
      <c r="QAJ73" s="311"/>
      <c r="QAK73" s="311"/>
      <c r="QAL73" s="311"/>
      <c r="QAM73" s="311"/>
      <c r="QAN73" s="311"/>
      <c r="QAO73" s="311"/>
      <c r="QAP73" s="311"/>
      <c r="QAQ73" s="311"/>
      <c r="QAR73" s="311"/>
      <c r="QAS73" s="311"/>
      <c r="QAT73" s="311"/>
      <c r="QAU73" s="311"/>
      <c r="QAV73" s="311"/>
      <c r="QAW73" s="311"/>
      <c r="QAX73" s="311"/>
      <c r="QAY73" s="311"/>
      <c r="QAZ73" s="311"/>
      <c r="QBA73" s="311"/>
      <c r="QBB73" s="311"/>
      <c r="QBC73" s="311"/>
      <c r="QBD73" s="311"/>
      <c r="QBE73" s="311"/>
      <c r="QBF73" s="311"/>
      <c r="QBG73" s="311"/>
      <c r="QBH73" s="311"/>
      <c r="QBI73" s="311"/>
      <c r="QBJ73" s="311"/>
      <c r="QBK73" s="311"/>
      <c r="QBL73" s="311"/>
      <c r="QBM73" s="311"/>
      <c r="QBN73" s="311"/>
      <c r="QBO73" s="311"/>
      <c r="QBP73" s="311"/>
      <c r="QBQ73" s="311"/>
      <c r="QBR73" s="311"/>
      <c r="QBS73" s="311"/>
      <c r="QBT73" s="311"/>
      <c r="QBU73" s="311"/>
      <c r="QBV73" s="311"/>
      <c r="QBW73" s="311"/>
      <c r="QBX73" s="311"/>
      <c r="QBY73" s="311"/>
      <c r="QBZ73" s="311"/>
      <c r="QCA73" s="311"/>
      <c r="QCB73" s="311"/>
      <c r="QCC73" s="311"/>
      <c r="QCD73" s="311"/>
      <c r="QCE73" s="311"/>
      <c r="QCF73" s="311"/>
      <c r="QCG73" s="311"/>
      <c r="QCH73" s="311"/>
      <c r="QCI73" s="311"/>
      <c r="QCJ73" s="311"/>
      <c r="QCK73" s="311"/>
      <c r="QCL73" s="311"/>
      <c r="QCM73" s="311"/>
      <c r="QCN73" s="311"/>
      <c r="QCO73" s="311"/>
      <c r="QCP73" s="311"/>
      <c r="QCQ73" s="311"/>
      <c r="QCR73" s="311"/>
      <c r="QCS73" s="311"/>
      <c r="QCT73" s="311"/>
      <c r="QCU73" s="311"/>
      <c r="QCV73" s="311"/>
      <c r="QCW73" s="311"/>
      <c r="QCX73" s="311"/>
      <c r="QCY73" s="311"/>
      <c r="QCZ73" s="311"/>
      <c r="QDA73" s="311"/>
      <c r="QDB73" s="311"/>
      <c r="QDC73" s="311"/>
      <c r="QDD73" s="311"/>
      <c r="QDE73" s="311"/>
      <c r="QDF73" s="311"/>
      <c r="QDG73" s="311"/>
      <c r="QDH73" s="311"/>
      <c r="QDI73" s="311"/>
      <c r="QDJ73" s="311"/>
      <c r="QDK73" s="311"/>
      <c r="QDL73" s="311"/>
      <c r="QDM73" s="311"/>
      <c r="QDN73" s="311"/>
      <c r="QDO73" s="311"/>
      <c r="QDP73" s="311"/>
      <c r="QDQ73" s="311"/>
      <c r="QDR73" s="311"/>
      <c r="QDS73" s="311"/>
      <c r="QDT73" s="311"/>
      <c r="QDU73" s="311"/>
      <c r="QDV73" s="311"/>
      <c r="QDW73" s="311"/>
      <c r="QDX73" s="311"/>
      <c r="QDY73" s="311"/>
      <c r="QDZ73" s="311"/>
      <c r="QEA73" s="311"/>
      <c r="QEB73" s="311"/>
      <c r="QEC73" s="311"/>
      <c r="QED73" s="311"/>
      <c r="QEE73" s="311"/>
      <c r="QEF73" s="311"/>
      <c r="QEG73" s="311"/>
      <c r="QEH73" s="311"/>
      <c r="QEI73" s="311"/>
      <c r="QEJ73" s="311"/>
      <c r="QEK73" s="311"/>
      <c r="QEL73" s="311"/>
      <c r="QEM73" s="311"/>
      <c r="QEN73" s="311"/>
      <c r="QEO73" s="311"/>
      <c r="QEP73" s="311"/>
      <c r="QEQ73" s="311"/>
      <c r="QER73" s="311"/>
      <c r="QES73" s="311"/>
      <c r="QET73" s="311"/>
      <c r="QEU73" s="311"/>
      <c r="QEV73" s="311"/>
      <c r="QEW73" s="311"/>
      <c r="QEX73" s="311"/>
      <c r="QEY73" s="311"/>
      <c r="QEZ73" s="311"/>
      <c r="QFA73" s="311"/>
      <c r="QFB73" s="311"/>
      <c r="QFC73" s="311"/>
      <c r="QFD73" s="311"/>
      <c r="QFE73" s="311"/>
      <c r="QFF73" s="311"/>
      <c r="QFG73" s="311"/>
      <c r="QFH73" s="311"/>
      <c r="QFI73" s="311"/>
      <c r="QFJ73" s="311"/>
      <c r="QFK73" s="311"/>
      <c r="QFL73" s="311"/>
      <c r="QFM73" s="311"/>
      <c r="QFN73" s="311"/>
      <c r="QFO73" s="311"/>
      <c r="QFP73" s="311"/>
      <c r="QFQ73" s="311"/>
      <c r="QFR73" s="311"/>
      <c r="QFS73" s="311"/>
      <c r="QFT73" s="311"/>
      <c r="QFU73" s="311"/>
      <c r="QFV73" s="311"/>
      <c r="QFW73" s="311"/>
      <c r="QFX73" s="311"/>
      <c r="QFY73" s="311"/>
      <c r="QFZ73" s="311"/>
      <c r="QGA73" s="311"/>
      <c r="QGB73" s="311"/>
      <c r="QGC73" s="311"/>
      <c r="QGD73" s="311"/>
      <c r="QGE73" s="311"/>
      <c r="QGF73" s="311"/>
      <c r="QGG73" s="311"/>
      <c r="QGH73" s="311"/>
      <c r="QGI73" s="311"/>
      <c r="QGJ73" s="311"/>
      <c r="QGK73" s="311"/>
      <c r="QGL73" s="311"/>
      <c r="QGM73" s="311"/>
      <c r="QGN73" s="311"/>
      <c r="QGO73" s="311"/>
      <c r="QGP73" s="311"/>
      <c r="QGQ73" s="311"/>
      <c r="QGR73" s="311"/>
      <c r="QGS73" s="311"/>
      <c r="QGT73" s="311"/>
      <c r="QGU73" s="311"/>
      <c r="QGV73" s="311"/>
      <c r="QGW73" s="311"/>
      <c r="QGX73" s="311"/>
      <c r="QGY73" s="311"/>
      <c r="QGZ73" s="311"/>
      <c r="QHA73" s="311"/>
      <c r="QHB73" s="311"/>
      <c r="QHC73" s="311"/>
      <c r="QHD73" s="311"/>
      <c r="QHE73" s="311"/>
      <c r="QHF73" s="311"/>
      <c r="QHG73" s="311"/>
      <c r="QHH73" s="311"/>
      <c r="QHI73" s="311"/>
      <c r="QHJ73" s="311"/>
      <c r="QHK73" s="311"/>
      <c r="QHL73" s="311"/>
      <c r="QHM73" s="311"/>
      <c r="QHN73" s="311"/>
      <c r="QHO73" s="311"/>
      <c r="QHP73" s="311"/>
      <c r="QHQ73" s="311"/>
      <c r="QHR73" s="311"/>
      <c r="QHS73" s="311"/>
      <c r="QHT73" s="311"/>
      <c r="QHU73" s="311"/>
      <c r="QHV73" s="311"/>
      <c r="QHW73" s="311"/>
      <c r="QHX73" s="311"/>
      <c r="QHY73" s="311"/>
      <c r="QHZ73" s="311"/>
      <c r="QIA73" s="311"/>
      <c r="QIB73" s="311"/>
      <c r="QIC73" s="311"/>
      <c r="QID73" s="311"/>
      <c r="QIE73" s="311"/>
      <c r="QIF73" s="311"/>
      <c r="QIG73" s="311"/>
      <c r="QIH73" s="311"/>
      <c r="QII73" s="311"/>
      <c r="QIJ73" s="311"/>
      <c r="QIK73" s="311"/>
      <c r="QIL73" s="311"/>
      <c r="QIM73" s="311"/>
      <c r="QIN73" s="311"/>
      <c r="QIO73" s="311"/>
      <c r="QIP73" s="311"/>
      <c r="QIQ73" s="311"/>
      <c r="QIR73" s="311"/>
      <c r="QIS73" s="311"/>
      <c r="QIT73" s="311"/>
      <c r="QIU73" s="311"/>
      <c r="QIV73" s="311"/>
      <c r="QIW73" s="311"/>
      <c r="QIX73" s="311"/>
      <c r="QIY73" s="311"/>
      <c r="QIZ73" s="311"/>
      <c r="QJA73" s="311"/>
      <c r="QJB73" s="311"/>
      <c r="QJC73" s="311"/>
      <c r="QJD73" s="311"/>
      <c r="QJE73" s="311"/>
      <c r="QJF73" s="311"/>
      <c r="QJG73" s="311"/>
      <c r="QJH73" s="311"/>
      <c r="QJI73" s="311"/>
      <c r="QJJ73" s="311"/>
      <c r="QJK73" s="311"/>
      <c r="QJL73" s="311"/>
      <c r="QJM73" s="311"/>
      <c r="QJN73" s="311"/>
      <c r="QJO73" s="311"/>
      <c r="QJP73" s="311"/>
      <c r="QJQ73" s="311"/>
      <c r="QJR73" s="311"/>
      <c r="QJS73" s="311"/>
      <c r="QJT73" s="311"/>
      <c r="QJU73" s="311"/>
      <c r="QJV73" s="311"/>
      <c r="QJW73" s="311"/>
      <c r="QJX73" s="311"/>
      <c r="QJY73" s="311"/>
      <c r="QJZ73" s="311"/>
      <c r="QKA73" s="311"/>
      <c r="QKB73" s="311"/>
      <c r="QKC73" s="311"/>
      <c r="QKD73" s="311"/>
      <c r="QKE73" s="311"/>
      <c r="QKF73" s="311"/>
      <c r="QKG73" s="311"/>
      <c r="QKH73" s="311"/>
      <c r="QKI73" s="311"/>
      <c r="QKJ73" s="311"/>
      <c r="QKK73" s="311"/>
      <c r="QKL73" s="311"/>
      <c r="QKM73" s="311"/>
      <c r="QKN73" s="311"/>
      <c r="QKO73" s="311"/>
      <c r="QKP73" s="311"/>
      <c r="QKQ73" s="311"/>
      <c r="QKR73" s="311"/>
      <c r="QKS73" s="311"/>
      <c r="QKT73" s="311"/>
      <c r="QKU73" s="311"/>
      <c r="QKV73" s="311"/>
      <c r="QKW73" s="311"/>
      <c r="QKX73" s="311"/>
      <c r="QKY73" s="311"/>
      <c r="QKZ73" s="311"/>
      <c r="QLA73" s="311"/>
      <c r="QLB73" s="311"/>
      <c r="QLC73" s="311"/>
      <c r="QLD73" s="311"/>
      <c r="QLE73" s="311"/>
      <c r="QLF73" s="311"/>
      <c r="QLG73" s="311"/>
      <c r="QLH73" s="311"/>
      <c r="QLI73" s="311"/>
      <c r="QLJ73" s="311"/>
      <c r="QLK73" s="311"/>
      <c r="QLL73" s="311"/>
      <c r="QLM73" s="311"/>
      <c r="QLN73" s="311"/>
      <c r="QLO73" s="311"/>
      <c r="QLP73" s="311"/>
      <c r="QLQ73" s="311"/>
      <c r="QLR73" s="311"/>
      <c r="QLS73" s="311"/>
      <c r="QLT73" s="311"/>
      <c r="QLU73" s="311"/>
      <c r="QLV73" s="311"/>
      <c r="QLW73" s="311"/>
      <c r="QLX73" s="311"/>
      <c r="QLY73" s="311"/>
      <c r="QLZ73" s="311"/>
      <c r="QMA73" s="311"/>
      <c r="QMB73" s="311"/>
      <c r="QMC73" s="311"/>
      <c r="QMD73" s="311"/>
      <c r="QME73" s="311"/>
      <c r="QMF73" s="311"/>
      <c r="QMG73" s="311"/>
      <c r="QMH73" s="311"/>
      <c r="QMI73" s="311"/>
      <c r="QMJ73" s="311"/>
      <c r="QMK73" s="311"/>
      <c r="QML73" s="311"/>
      <c r="QMM73" s="311"/>
      <c r="QMN73" s="311"/>
      <c r="QMO73" s="311"/>
      <c r="QMP73" s="311"/>
      <c r="QMQ73" s="311"/>
      <c r="QMR73" s="311"/>
      <c r="QMS73" s="311"/>
      <c r="QMT73" s="311"/>
      <c r="QMU73" s="311"/>
      <c r="QMV73" s="311"/>
      <c r="QMW73" s="311"/>
      <c r="QMX73" s="311"/>
      <c r="QMY73" s="311"/>
      <c r="QMZ73" s="311"/>
      <c r="QNA73" s="311"/>
      <c r="QNB73" s="311"/>
      <c r="QNC73" s="311"/>
      <c r="QND73" s="311"/>
      <c r="QNE73" s="311"/>
      <c r="QNF73" s="311"/>
      <c r="QNG73" s="311"/>
      <c r="QNH73" s="311"/>
      <c r="QNI73" s="311"/>
      <c r="QNJ73" s="311"/>
      <c r="QNK73" s="311"/>
      <c r="QNL73" s="311"/>
      <c r="QNM73" s="311"/>
      <c r="QNN73" s="311"/>
      <c r="QNO73" s="311"/>
      <c r="QNP73" s="311"/>
      <c r="QNQ73" s="311"/>
      <c r="QNR73" s="311"/>
      <c r="QNS73" s="311"/>
      <c r="QNT73" s="311"/>
      <c r="QNU73" s="311"/>
      <c r="QNV73" s="311"/>
      <c r="QNW73" s="311"/>
      <c r="QNX73" s="311"/>
      <c r="QNY73" s="311"/>
      <c r="QNZ73" s="311"/>
      <c r="QOA73" s="311"/>
      <c r="QOB73" s="311"/>
      <c r="QOC73" s="311"/>
      <c r="QOD73" s="311"/>
      <c r="QOE73" s="311"/>
      <c r="QOF73" s="311"/>
      <c r="QOG73" s="311"/>
      <c r="QOH73" s="311"/>
      <c r="QOI73" s="311"/>
      <c r="QOJ73" s="311"/>
      <c r="QOK73" s="311"/>
      <c r="QOL73" s="311"/>
      <c r="QOM73" s="311"/>
      <c r="QON73" s="311"/>
      <c r="QOO73" s="311"/>
      <c r="QOP73" s="311"/>
      <c r="QOQ73" s="311"/>
      <c r="QOR73" s="311"/>
      <c r="QOS73" s="311"/>
      <c r="QOT73" s="311"/>
      <c r="QOU73" s="311"/>
      <c r="QOV73" s="311"/>
      <c r="QOW73" s="311"/>
      <c r="QOX73" s="311"/>
      <c r="QOY73" s="311"/>
      <c r="QOZ73" s="311"/>
      <c r="QPA73" s="311"/>
      <c r="QPB73" s="311"/>
      <c r="QPC73" s="311"/>
      <c r="QPD73" s="311"/>
      <c r="QPE73" s="311"/>
      <c r="QPF73" s="311"/>
      <c r="QPG73" s="311"/>
      <c r="QPH73" s="311"/>
      <c r="QPI73" s="311"/>
      <c r="QPJ73" s="311"/>
      <c r="QPK73" s="311"/>
      <c r="QPL73" s="311"/>
      <c r="QPM73" s="311"/>
      <c r="QPN73" s="311"/>
      <c r="QPO73" s="311"/>
      <c r="QPP73" s="311"/>
      <c r="QPQ73" s="311"/>
      <c r="QPR73" s="311"/>
      <c r="QPS73" s="311"/>
      <c r="QPT73" s="311"/>
      <c r="QPU73" s="311"/>
      <c r="QPV73" s="311"/>
      <c r="QPW73" s="311"/>
      <c r="QPX73" s="311"/>
      <c r="QPY73" s="311"/>
      <c r="QPZ73" s="311"/>
      <c r="QQA73" s="311"/>
      <c r="QQB73" s="311"/>
      <c r="QQC73" s="311"/>
      <c r="QQD73" s="311"/>
      <c r="QQE73" s="311"/>
      <c r="QQF73" s="311"/>
      <c r="QQG73" s="311"/>
      <c r="QQH73" s="311"/>
      <c r="QQI73" s="311"/>
      <c r="QQJ73" s="311"/>
      <c r="QQK73" s="311"/>
      <c r="QQL73" s="311"/>
      <c r="QQM73" s="311"/>
      <c r="QQN73" s="311"/>
      <c r="QQO73" s="311"/>
      <c r="QQP73" s="311"/>
      <c r="QQQ73" s="311"/>
      <c r="QQR73" s="311"/>
      <c r="QQS73" s="311"/>
      <c r="QQT73" s="311"/>
      <c r="QQU73" s="311"/>
      <c r="QQV73" s="311"/>
      <c r="QQW73" s="311"/>
      <c r="QQX73" s="311"/>
      <c r="QQY73" s="311"/>
      <c r="QQZ73" s="311"/>
      <c r="QRA73" s="311"/>
      <c r="QRB73" s="311"/>
      <c r="QRC73" s="311"/>
      <c r="QRD73" s="311"/>
      <c r="QRE73" s="311"/>
      <c r="QRF73" s="311"/>
      <c r="QRG73" s="311"/>
      <c r="QRH73" s="311"/>
      <c r="QRI73" s="311"/>
      <c r="QRJ73" s="311"/>
      <c r="QRK73" s="311"/>
      <c r="QRL73" s="311"/>
      <c r="QRM73" s="311"/>
      <c r="QRN73" s="311"/>
      <c r="QRO73" s="311"/>
      <c r="QRP73" s="311"/>
      <c r="QRQ73" s="311"/>
      <c r="QRR73" s="311"/>
      <c r="QRS73" s="311"/>
      <c r="QRT73" s="311"/>
      <c r="QRU73" s="311"/>
      <c r="QRV73" s="311"/>
      <c r="QRW73" s="311"/>
      <c r="QRX73" s="311"/>
      <c r="QRY73" s="311"/>
      <c r="QRZ73" s="311"/>
      <c r="QSA73" s="311"/>
      <c r="QSB73" s="311"/>
      <c r="QSC73" s="311"/>
      <c r="QSD73" s="311"/>
      <c r="QSE73" s="311"/>
      <c r="QSF73" s="311"/>
      <c r="QSG73" s="311"/>
      <c r="QSH73" s="311"/>
      <c r="QSI73" s="311"/>
      <c r="QSJ73" s="311"/>
      <c r="QSK73" s="311"/>
      <c r="QSL73" s="311"/>
      <c r="QSM73" s="311"/>
      <c r="QSN73" s="311"/>
      <c r="QSO73" s="311"/>
      <c r="QSP73" s="311"/>
      <c r="QSQ73" s="311"/>
      <c r="QSR73" s="311"/>
      <c r="QSS73" s="311"/>
      <c r="QST73" s="311"/>
      <c r="QSU73" s="311"/>
      <c r="QSV73" s="311"/>
      <c r="QSW73" s="311"/>
      <c r="QSX73" s="311"/>
      <c r="QSY73" s="311"/>
      <c r="QSZ73" s="311"/>
      <c r="QTA73" s="311"/>
      <c r="QTB73" s="311"/>
      <c r="QTC73" s="311"/>
      <c r="QTD73" s="311"/>
      <c r="QTE73" s="311"/>
      <c r="QTF73" s="311"/>
      <c r="QTG73" s="311"/>
      <c r="QTH73" s="311"/>
      <c r="QTI73" s="311"/>
      <c r="QTJ73" s="311"/>
      <c r="QTK73" s="311"/>
      <c r="QTL73" s="311"/>
      <c r="QTM73" s="311"/>
      <c r="QTN73" s="311"/>
      <c r="QTO73" s="311"/>
      <c r="QTP73" s="311"/>
      <c r="QTQ73" s="311"/>
      <c r="QTR73" s="311"/>
      <c r="QTS73" s="311"/>
      <c r="QTT73" s="311"/>
      <c r="QTU73" s="311"/>
      <c r="QTV73" s="311"/>
      <c r="QTW73" s="311"/>
      <c r="QTX73" s="311"/>
      <c r="QTY73" s="311"/>
      <c r="QTZ73" s="311"/>
      <c r="QUA73" s="311"/>
      <c r="QUB73" s="311"/>
      <c r="QUC73" s="311"/>
      <c r="QUD73" s="311"/>
      <c r="QUE73" s="311"/>
      <c r="QUF73" s="311"/>
      <c r="QUG73" s="311"/>
      <c r="QUH73" s="311"/>
      <c r="QUI73" s="311"/>
      <c r="QUJ73" s="311"/>
      <c r="QUK73" s="311"/>
      <c r="QUL73" s="311"/>
      <c r="QUM73" s="311"/>
      <c r="QUN73" s="311"/>
      <c r="QUO73" s="311"/>
      <c r="QUP73" s="311"/>
      <c r="QUQ73" s="311"/>
      <c r="QUR73" s="311"/>
      <c r="QUS73" s="311"/>
      <c r="QUT73" s="311"/>
      <c r="QUU73" s="311"/>
      <c r="QUV73" s="311"/>
      <c r="QUW73" s="311"/>
      <c r="QUX73" s="311"/>
      <c r="QUY73" s="311"/>
      <c r="QUZ73" s="311"/>
      <c r="QVA73" s="311"/>
      <c r="QVB73" s="311"/>
      <c r="QVC73" s="311"/>
      <c r="QVD73" s="311"/>
      <c r="QVE73" s="311"/>
      <c r="QVF73" s="311"/>
      <c r="QVG73" s="311"/>
      <c r="QVH73" s="311"/>
      <c r="QVI73" s="311"/>
      <c r="QVJ73" s="311"/>
      <c r="QVK73" s="311"/>
      <c r="QVL73" s="311"/>
      <c r="QVM73" s="311"/>
      <c r="QVN73" s="311"/>
      <c r="QVO73" s="311"/>
      <c r="QVP73" s="311"/>
      <c r="QVQ73" s="311"/>
      <c r="QVR73" s="311"/>
      <c r="QVS73" s="311"/>
      <c r="QVT73" s="311"/>
      <c r="QVU73" s="311"/>
      <c r="QVV73" s="311"/>
      <c r="QVW73" s="311"/>
      <c r="QVX73" s="311"/>
      <c r="QVY73" s="311"/>
      <c r="QVZ73" s="311"/>
      <c r="QWA73" s="311"/>
      <c r="QWB73" s="311"/>
      <c r="QWC73" s="311"/>
      <c r="QWD73" s="311"/>
      <c r="QWE73" s="311"/>
      <c r="QWF73" s="311"/>
      <c r="QWG73" s="311"/>
      <c r="QWH73" s="311"/>
      <c r="QWI73" s="311"/>
      <c r="QWJ73" s="311"/>
      <c r="QWK73" s="311"/>
      <c r="QWL73" s="311"/>
      <c r="QWM73" s="311"/>
      <c r="QWN73" s="311"/>
      <c r="QWO73" s="311"/>
      <c r="QWP73" s="311"/>
      <c r="QWQ73" s="311"/>
      <c r="QWR73" s="311"/>
      <c r="QWS73" s="311"/>
      <c r="QWT73" s="311"/>
      <c r="QWU73" s="311"/>
      <c r="QWV73" s="311"/>
      <c r="QWW73" s="311"/>
      <c r="QWX73" s="311"/>
      <c r="QWY73" s="311"/>
      <c r="QWZ73" s="311"/>
      <c r="QXA73" s="311"/>
      <c r="QXB73" s="311"/>
      <c r="QXC73" s="311"/>
      <c r="QXD73" s="311"/>
      <c r="QXE73" s="311"/>
      <c r="QXF73" s="311"/>
      <c r="QXG73" s="311"/>
      <c r="QXH73" s="311"/>
      <c r="QXI73" s="311"/>
      <c r="QXJ73" s="311"/>
      <c r="QXK73" s="311"/>
      <c r="QXL73" s="311"/>
      <c r="QXM73" s="311"/>
      <c r="QXN73" s="311"/>
      <c r="QXO73" s="311"/>
      <c r="QXP73" s="311"/>
      <c r="QXQ73" s="311"/>
      <c r="QXR73" s="311"/>
      <c r="QXS73" s="311"/>
      <c r="QXT73" s="311"/>
      <c r="QXU73" s="311"/>
      <c r="QXV73" s="311"/>
      <c r="QXW73" s="311"/>
      <c r="QXX73" s="311"/>
      <c r="QXY73" s="311"/>
      <c r="QXZ73" s="311"/>
      <c r="QYA73" s="311"/>
      <c r="QYB73" s="311"/>
      <c r="QYC73" s="311"/>
      <c r="QYD73" s="311"/>
      <c r="QYE73" s="311"/>
      <c r="QYF73" s="311"/>
      <c r="QYG73" s="311"/>
      <c r="QYH73" s="311"/>
      <c r="QYI73" s="311"/>
      <c r="QYJ73" s="311"/>
      <c r="QYK73" s="311"/>
      <c r="QYL73" s="311"/>
      <c r="QYM73" s="311"/>
      <c r="QYN73" s="311"/>
      <c r="QYO73" s="311"/>
      <c r="QYP73" s="311"/>
      <c r="QYQ73" s="311"/>
      <c r="QYR73" s="311"/>
      <c r="QYS73" s="311"/>
      <c r="QYT73" s="311"/>
      <c r="QYU73" s="311"/>
      <c r="QYV73" s="311"/>
      <c r="QYW73" s="311"/>
      <c r="QYX73" s="311"/>
      <c r="QYY73" s="311"/>
      <c r="QYZ73" s="311"/>
      <c r="QZA73" s="311"/>
      <c r="QZB73" s="311"/>
      <c r="QZC73" s="311"/>
      <c r="QZD73" s="311"/>
      <c r="QZE73" s="311"/>
      <c r="QZF73" s="311"/>
      <c r="QZG73" s="311"/>
      <c r="QZH73" s="311"/>
      <c r="QZI73" s="311"/>
      <c r="QZJ73" s="311"/>
      <c r="QZK73" s="311"/>
      <c r="QZL73" s="311"/>
      <c r="QZM73" s="311"/>
      <c r="QZN73" s="311"/>
      <c r="QZO73" s="311"/>
      <c r="QZP73" s="311"/>
      <c r="QZQ73" s="311"/>
      <c r="QZR73" s="311"/>
      <c r="QZS73" s="311"/>
      <c r="QZT73" s="311"/>
      <c r="QZU73" s="311"/>
      <c r="QZV73" s="311"/>
      <c r="QZW73" s="311"/>
      <c r="QZX73" s="311"/>
      <c r="QZY73" s="311"/>
      <c r="QZZ73" s="311"/>
      <c r="RAA73" s="311"/>
      <c r="RAB73" s="311"/>
      <c r="RAC73" s="311"/>
      <c r="RAD73" s="311"/>
      <c r="RAE73" s="311"/>
      <c r="RAF73" s="311"/>
      <c r="RAG73" s="311"/>
      <c r="RAH73" s="311"/>
      <c r="RAI73" s="311"/>
      <c r="RAJ73" s="311"/>
      <c r="RAK73" s="311"/>
      <c r="RAL73" s="311"/>
      <c r="RAM73" s="311"/>
      <c r="RAN73" s="311"/>
      <c r="RAO73" s="311"/>
      <c r="RAP73" s="311"/>
      <c r="RAQ73" s="311"/>
      <c r="RAR73" s="311"/>
      <c r="RAS73" s="311"/>
      <c r="RAT73" s="311"/>
      <c r="RAU73" s="311"/>
      <c r="RAV73" s="311"/>
      <c r="RAW73" s="311"/>
      <c r="RAX73" s="311"/>
      <c r="RAY73" s="311"/>
      <c r="RAZ73" s="311"/>
      <c r="RBA73" s="311"/>
      <c r="RBB73" s="311"/>
      <c r="RBC73" s="311"/>
      <c r="RBD73" s="311"/>
      <c r="RBE73" s="311"/>
      <c r="RBF73" s="311"/>
      <c r="RBG73" s="311"/>
      <c r="RBH73" s="311"/>
      <c r="RBI73" s="311"/>
      <c r="RBJ73" s="311"/>
      <c r="RBK73" s="311"/>
      <c r="RBL73" s="311"/>
      <c r="RBM73" s="311"/>
      <c r="RBN73" s="311"/>
      <c r="RBO73" s="311"/>
      <c r="RBP73" s="311"/>
      <c r="RBQ73" s="311"/>
      <c r="RBR73" s="311"/>
      <c r="RBS73" s="311"/>
      <c r="RBT73" s="311"/>
      <c r="RBU73" s="311"/>
      <c r="RBV73" s="311"/>
      <c r="RBW73" s="311"/>
      <c r="RBX73" s="311"/>
      <c r="RBY73" s="311"/>
      <c r="RBZ73" s="311"/>
      <c r="RCA73" s="311"/>
      <c r="RCB73" s="311"/>
      <c r="RCC73" s="311"/>
      <c r="RCD73" s="311"/>
      <c r="RCE73" s="311"/>
      <c r="RCF73" s="311"/>
      <c r="RCG73" s="311"/>
      <c r="RCH73" s="311"/>
      <c r="RCI73" s="311"/>
      <c r="RCJ73" s="311"/>
      <c r="RCK73" s="311"/>
      <c r="RCL73" s="311"/>
      <c r="RCM73" s="311"/>
      <c r="RCN73" s="311"/>
      <c r="RCO73" s="311"/>
      <c r="RCP73" s="311"/>
      <c r="RCQ73" s="311"/>
      <c r="RCR73" s="311"/>
      <c r="RCS73" s="311"/>
      <c r="RCT73" s="311"/>
      <c r="RCU73" s="311"/>
      <c r="RCV73" s="311"/>
      <c r="RCW73" s="311"/>
      <c r="RCX73" s="311"/>
      <c r="RCY73" s="311"/>
      <c r="RCZ73" s="311"/>
      <c r="RDA73" s="311"/>
      <c r="RDB73" s="311"/>
      <c r="RDC73" s="311"/>
      <c r="RDD73" s="311"/>
      <c r="RDE73" s="311"/>
      <c r="RDF73" s="311"/>
      <c r="RDG73" s="311"/>
      <c r="RDH73" s="311"/>
      <c r="RDI73" s="311"/>
      <c r="RDJ73" s="311"/>
      <c r="RDK73" s="311"/>
      <c r="RDL73" s="311"/>
      <c r="RDM73" s="311"/>
      <c r="RDN73" s="311"/>
      <c r="RDO73" s="311"/>
      <c r="RDP73" s="311"/>
      <c r="RDQ73" s="311"/>
      <c r="RDR73" s="311"/>
      <c r="RDS73" s="311"/>
      <c r="RDT73" s="311"/>
      <c r="RDU73" s="311"/>
      <c r="RDV73" s="311"/>
      <c r="RDW73" s="311"/>
      <c r="RDX73" s="311"/>
      <c r="RDY73" s="311"/>
      <c r="RDZ73" s="311"/>
      <c r="REA73" s="311"/>
      <c r="REB73" s="311"/>
      <c r="REC73" s="311"/>
      <c r="RED73" s="311"/>
      <c r="REE73" s="311"/>
      <c r="REF73" s="311"/>
      <c r="REG73" s="311"/>
      <c r="REH73" s="311"/>
      <c r="REI73" s="311"/>
      <c r="REJ73" s="311"/>
      <c r="REK73" s="311"/>
      <c r="REL73" s="311"/>
      <c r="REM73" s="311"/>
      <c r="REN73" s="311"/>
      <c r="REO73" s="311"/>
      <c r="REP73" s="311"/>
      <c r="REQ73" s="311"/>
      <c r="RER73" s="311"/>
      <c r="RES73" s="311"/>
      <c r="RET73" s="311"/>
      <c r="REU73" s="311"/>
      <c r="REV73" s="311"/>
      <c r="REW73" s="311"/>
      <c r="REX73" s="311"/>
      <c r="REY73" s="311"/>
      <c r="REZ73" s="311"/>
      <c r="RFA73" s="311"/>
      <c r="RFB73" s="311"/>
      <c r="RFC73" s="311"/>
      <c r="RFD73" s="311"/>
      <c r="RFE73" s="311"/>
      <c r="RFF73" s="311"/>
      <c r="RFG73" s="311"/>
      <c r="RFH73" s="311"/>
      <c r="RFI73" s="311"/>
      <c r="RFJ73" s="311"/>
      <c r="RFK73" s="311"/>
      <c r="RFL73" s="311"/>
      <c r="RFM73" s="311"/>
      <c r="RFN73" s="311"/>
      <c r="RFO73" s="311"/>
      <c r="RFP73" s="311"/>
      <c r="RFQ73" s="311"/>
      <c r="RFR73" s="311"/>
      <c r="RFS73" s="311"/>
      <c r="RFT73" s="311"/>
      <c r="RFU73" s="311"/>
      <c r="RFV73" s="311"/>
      <c r="RFW73" s="311"/>
      <c r="RFX73" s="311"/>
      <c r="RFY73" s="311"/>
      <c r="RFZ73" s="311"/>
      <c r="RGA73" s="311"/>
      <c r="RGB73" s="311"/>
      <c r="RGC73" s="311"/>
      <c r="RGD73" s="311"/>
      <c r="RGE73" s="311"/>
      <c r="RGF73" s="311"/>
      <c r="RGG73" s="311"/>
      <c r="RGH73" s="311"/>
      <c r="RGI73" s="311"/>
      <c r="RGJ73" s="311"/>
      <c r="RGK73" s="311"/>
      <c r="RGL73" s="311"/>
      <c r="RGM73" s="311"/>
      <c r="RGN73" s="311"/>
      <c r="RGO73" s="311"/>
      <c r="RGP73" s="311"/>
      <c r="RGQ73" s="311"/>
      <c r="RGR73" s="311"/>
      <c r="RGS73" s="311"/>
      <c r="RGT73" s="311"/>
      <c r="RGU73" s="311"/>
      <c r="RGV73" s="311"/>
      <c r="RGW73" s="311"/>
      <c r="RGX73" s="311"/>
      <c r="RGY73" s="311"/>
      <c r="RGZ73" s="311"/>
      <c r="RHA73" s="311"/>
      <c r="RHB73" s="311"/>
      <c r="RHC73" s="311"/>
      <c r="RHD73" s="311"/>
      <c r="RHE73" s="311"/>
      <c r="RHF73" s="311"/>
      <c r="RHG73" s="311"/>
      <c r="RHH73" s="311"/>
      <c r="RHI73" s="311"/>
      <c r="RHJ73" s="311"/>
      <c r="RHK73" s="311"/>
      <c r="RHL73" s="311"/>
      <c r="RHM73" s="311"/>
      <c r="RHN73" s="311"/>
      <c r="RHO73" s="311"/>
      <c r="RHP73" s="311"/>
      <c r="RHQ73" s="311"/>
      <c r="RHR73" s="311"/>
      <c r="RHS73" s="311"/>
      <c r="RHT73" s="311"/>
      <c r="RHU73" s="311"/>
      <c r="RHV73" s="311"/>
      <c r="RHW73" s="311"/>
      <c r="RHX73" s="311"/>
      <c r="RHY73" s="311"/>
      <c r="RHZ73" s="311"/>
      <c r="RIA73" s="311"/>
      <c r="RIB73" s="311"/>
      <c r="RIC73" s="311"/>
      <c r="RID73" s="311"/>
      <c r="RIE73" s="311"/>
      <c r="RIF73" s="311"/>
      <c r="RIG73" s="311"/>
      <c r="RIH73" s="311"/>
      <c r="RII73" s="311"/>
      <c r="RIJ73" s="311"/>
      <c r="RIK73" s="311"/>
      <c r="RIL73" s="311"/>
      <c r="RIM73" s="311"/>
      <c r="RIN73" s="311"/>
      <c r="RIO73" s="311"/>
      <c r="RIP73" s="311"/>
      <c r="RIQ73" s="311"/>
      <c r="RIR73" s="311"/>
      <c r="RIS73" s="311"/>
      <c r="RIT73" s="311"/>
      <c r="RIU73" s="311"/>
      <c r="RIV73" s="311"/>
      <c r="RIW73" s="311"/>
      <c r="RIX73" s="311"/>
      <c r="RIY73" s="311"/>
      <c r="RIZ73" s="311"/>
      <c r="RJA73" s="311"/>
      <c r="RJB73" s="311"/>
      <c r="RJC73" s="311"/>
      <c r="RJD73" s="311"/>
      <c r="RJE73" s="311"/>
      <c r="RJF73" s="311"/>
      <c r="RJG73" s="311"/>
      <c r="RJH73" s="311"/>
      <c r="RJI73" s="311"/>
      <c r="RJJ73" s="311"/>
      <c r="RJK73" s="311"/>
      <c r="RJL73" s="311"/>
      <c r="RJM73" s="311"/>
      <c r="RJN73" s="311"/>
      <c r="RJO73" s="311"/>
      <c r="RJP73" s="311"/>
      <c r="RJQ73" s="311"/>
      <c r="RJR73" s="311"/>
      <c r="RJS73" s="311"/>
      <c r="RJT73" s="311"/>
      <c r="RJU73" s="311"/>
      <c r="RJV73" s="311"/>
      <c r="RJW73" s="311"/>
      <c r="RJX73" s="311"/>
      <c r="RJY73" s="311"/>
      <c r="RJZ73" s="311"/>
      <c r="RKA73" s="311"/>
      <c r="RKB73" s="311"/>
      <c r="RKC73" s="311"/>
      <c r="RKD73" s="311"/>
      <c r="RKE73" s="311"/>
      <c r="RKF73" s="311"/>
      <c r="RKG73" s="311"/>
      <c r="RKH73" s="311"/>
      <c r="RKI73" s="311"/>
      <c r="RKJ73" s="311"/>
      <c r="RKK73" s="311"/>
      <c r="RKL73" s="311"/>
      <c r="RKM73" s="311"/>
      <c r="RKN73" s="311"/>
      <c r="RKO73" s="311"/>
      <c r="RKP73" s="311"/>
      <c r="RKQ73" s="311"/>
      <c r="RKR73" s="311"/>
      <c r="RKS73" s="311"/>
      <c r="RKT73" s="311"/>
      <c r="RKU73" s="311"/>
      <c r="RKV73" s="311"/>
      <c r="RKW73" s="311"/>
      <c r="RKX73" s="311"/>
      <c r="RKY73" s="311"/>
      <c r="RKZ73" s="311"/>
      <c r="RLA73" s="311"/>
      <c r="RLB73" s="311"/>
      <c r="RLC73" s="311"/>
      <c r="RLD73" s="311"/>
      <c r="RLE73" s="311"/>
      <c r="RLF73" s="311"/>
      <c r="RLG73" s="311"/>
      <c r="RLH73" s="311"/>
      <c r="RLI73" s="311"/>
      <c r="RLJ73" s="311"/>
      <c r="RLK73" s="311"/>
      <c r="RLL73" s="311"/>
      <c r="RLM73" s="311"/>
      <c r="RLN73" s="311"/>
      <c r="RLO73" s="311"/>
      <c r="RLP73" s="311"/>
      <c r="RLQ73" s="311"/>
      <c r="RLR73" s="311"/>
      <c r="RLS73" s="311"/>
      <c r="RLT73" s="311"/>
      <c r="RLU73" s="311"/>
      <c r="RLV73" s="311"/>
      <c r="RLW73" s="311"/>
      <c r="RLX73" s="311"/>
      <c r="RLY73" s="311"/>
      <c r="RLZ73" s="311"/>
      <c r="RMA73" s="311"/>
      <c r="RMB73" s="311"/>
      <c r="RMC73" s="311"/>
      <c r="RMD73" s="311"/>
      <c r="RME73" s="311"/>
      <c r="RMF73" s="311"/>
      <c r="RMG73" s="311"/>
      <c r="RMH73" s="311"/>
      <c r="RMI73" s="311"/>
      <c r="RMJ73" s="311"/>
      <c r="RMK73" s="311"/>
      <c r="RML73" s="311"/>
      <c r="RMM73" s="311"/>
      <c r="RMN73" s="311"/>
      <c r="RMO73" s="311"/>
      <c r="RMP73" s="311"/>
      <c r="RMQ73" s="311"/>
      <c r="RMR73" s="311"/>
      <c r="RMS73" s="311"/>
      <c r="RMT73" s="311"/>
      <c r="RMU73" s="311"/>
      <c r="RMV73" s="311"/>
      <c r="RMW73" s="311"/>
      <c r="RMX73" s="311"/>
      <c r="RMY73" s="311"/>
      <c r="RMZ73" s="311"/>
      <c r="RNA73" s="311"/>
      <c r="RNB73" s="311"/>
      <c r="RNC73" s="311"/>
      <c r="RND73" s="311"/>
      <c r="RNE73" s="311"/>
      <c r="RNF73" s="311"/>
      <c r="RNG73" s="311"/>
      <c r="RNH73" s="311"/>
      <c r="RNI73" s="311"/>
      <c r="RNJ73" s="311"/>
      <c r="RNK73" s="311"/>
      <c r="RNL73" s="311"/>
      <c r="RNM73" s="311"/>
      <c r="RNN73" s="311"/>
      <c r="RNO73" s="311"/>
      <c r="RNP73" s="311"/>
      <c r="RNQ73" s="311"/>
      <c r="RNR73" s="311"/>
      <c r="RNS73" s="311"/>
      <c r="RNT73" s="311"/>
      <c r="RNU73" s="311"/>
      <c r="RNV73" s="311"/>
      <c r="RNW73" s="311"/>
      <c r="RNX73" s="311"/>
      <c r="RNY73" s="311"/>
      <c r="RNZ73" s="311"/>
      <c r="ROA73" s="311"/>
      <c r="ROB73" s="311"/>
      <c r="ROC73" s="311"/>
      <c r="ROD73" s="311"/>
      <c r="ROE73" s="311"/>
      <c r="ROF73" s="311"/>
      <c r="ROG73" s="311"/>
      <c r="ROH73" s="311"/>
      <c r="ROI73" s="311"/>
      <c r="ROJ73" s="311"/>
      <c r="ROK73" s="311"/>
      <c r="ROL73" s="311"/>
      <c r="ROM73" s="311"/>
      <c r="RON73" s="311"/>
      <c r="ROO73" s="311"/>
      <c r="ROP73" s="311"/>
      <c r="ROQ73" s="311"/>
      <c r="ROR73" s="311"/>
      <c r="ROS73" s="311"/>
      <c r="ROT73" s="311"/>
      <c r="ROU73" s="311"/>
      <c r="ROV73" s="311"/>
      <c r="ROW73" s="311"/>
      <c r="ROX73" s="311"/>
      <c r="ROY73" s="311"/>
      <c r="ROZ73" s="311"/>
      <c r="RPA73" s="311"/>
      <c r="RPB73" s="311"/>
      <c r="RPC73" s="311"/>
      <c r="RPD73" s="311"/>
      <c r="RPE73" s="311"/>
      <c r="RPF73" s="311"/>
      <c r="RPG73" s="311"/>
      <c r="RPH73" s="311"/>
      <c r="RPI73" s="311"/>
      <c r="RPJ73" s="311"/>
      <c r="RPK73" s="311"/>
      <c r="RPL73" s="311"/>
      <c r="RPM73" s="311"/>
      <c r="RPN73" s="311"/>
      <c r="RPO73" s="311"/>
      <c r="RPP73" s="311"/>
      <c r="RPQ73" s="311"/>
      <c r="RPR73" s="311"/>
      <c r="RPS73" s="311"/>
      <c r="RPT73" s="311"/>
      <c r="RPU73" s="311"/>
      <c r="RPV73" s="311"/>
      <c r="RPW73" s="311"/>
      <c r="RPX73" s="311"/>
      <c r="RPY73" s="311"/>
      <c r="RPZ73" s="311"/>
      <c r="RQA73" s="311"/>
      <c r="RQB73" s="311"/>
      <c r="RQC73" s="311"/>
      <c r="RQD73" s="311"/>
      <c r="RQE73" s="311"/>
      <c r="RQF73" s="311"/>
      <c r="RQG73" s="311"/>
      <c r="RQH73" s="311"/>
      <c r="RQI73" s="311"/>
      <c r="RQJ73" s="311"/>
      <c r="RQK73" s="311"/>
      <c r="RQL73" s="311"/>
      <c r="RQM73" s="311"/>
      <c r="RQN73" s="311"/>
      <c r="RQO73" s="311"/>
      <c r="RQP73" s="311"/>
      <c r="RQQ73" s="311"/>
      <c r="RQR73" s="311"/>
      <c r="RQS73" s="311"/>
      <c r="RQT73" s="311"/>
      <c r="RQU73" s="311"/>
      <c r="RQV73" s="311"/>
      <c r="RQW73" s="311"/>
      <c r="RQX73" s="311"/>
      <c r="RQY73" s="311"/>
      <c r="RQZ73" s="311"/>
      <c r="RRA73" s="311"/>
      <c r="RRB73" s="311"/>
      <c r="RRC73" s="311"/>
      <c r="RRD73" s="311"/>
      <c r="RRE73" s="311"/>
      <c r="RRF73" s="311"/>
      <c r="RRG73" s="311"/>
      <c r="RRH73" s="311"/>
      <c r="RRI73" s="311"/>
      <c r="RRJ73" s="311"/>
      <c r="RRK73" s="311"/>
      <c r="RRL73" s="311"/>
      <c r="RRM73" s="311"/>
      <c r="RRN73" s="311"/>
      <c r="RRO73" s="311"/>
      <c r="RRP73" s="311"/>
      <c r="RRQ73" s="311"/>
      <c r="RRR73" s="311"/>
      <c r="RRS73" s="311"/>
      <c r="RRT73" s="311"/>
      <c r="RRU73" s="311"/>
      <c r="RRV73" s="311"/>
      <c r="RRW73" s="311"/>
      <c r="RRX73" s="311"/>
      <c r="RRY73" s="311"/>
      <c r="RRZ73" s="311"/>
      <c r="RSA73" s="311"/>
      <c r="RSB73" s="311"/>
      <c r="RSC73" s="311"/>
      <c r="RSD73" s="311"/>
      <c r="RSE73" s="311"/>
      <c r="RSF73" s="311"/>
      <c r="RSG73" s="311"/>
      <c r="RSH73" s="311"/>
      <c r="RSI73" s="311"/>
      <c r="RSJ73" s="311"/>
      <c r="RSK73" s="311"/>
      <c r="RSL73" s="311"/>
      <c r="RSM73" s="311"/>
      <c r="RSN73" s="311"/>
      <c r="RSO73" s="311"/>
      <c r="RSP73" s="311"/>
      <c r="RSQ73" s="311"/>
      <c r="RSR73" s="311"/>
      <c r="RSS73" s="311"/>
      <c r="RST73" s="311"/>
      <c r="RSU73" s="311"/>
      <c r="RSV73" s="311"/>
      <c r="RSW73" s="311"/>
      <c r="RSX73" s="311"/>
      <c r="RSY73" s="311"/>
      <c r="RSZ73" s="311"/>
      <c r="RTA73" s="311"/>
      <c r="RTB73" s="311"/>
      <c r="RTC73" s="311"/>
      <c r="RTD73" s="311"/>
      <c r="RTE73" s="311"/>
      <c r="RTF73" s="311"/>
      <c r="RTG73" s="311"/>
      <c r="RTH73" s="311"/>
      <c r="RTI73" s="311"/>
      <c r="RTJ73" s="311"/>
      <c r="RTK73" s="311"/>
      <c r="RTL73" s="311"/>
      <c r="RTM73" s="311"/>
      <c r="RTN73" s="311"/>
      <c r="RTO73" s="311"/>
      <c r="RTP73" s="311"/>
      <c r="RTQ73" s="311"/>
      <c r="RTR73" s="311"/>
      <c r="RTS73" s="311"/>
      <c r="RTT73" s="311"/>
      <c r="RTU73" s="311"/>
      <c r="RTV73" s="311"/>
      <c r="RTW73" s="311"/>
      <c r="RTX73" s="311"/>
      <c r="RTY73" s="311"/>
      <c r="RTZ73" s="311"/>
      <c r="RUA73" s="311"/>
      <c r="RUB73" s="311"/>
      <c r="RUC73" s="311"/>
      <c r="RUD73" s="311"/>
      <c r="RUE73" s="311"/>
      <c r="RUF73" s="311"/>
      <c r="RUG73" s="311"/>
      <c r="RUH73" s="311"/>
      <c r="RUI73" s="311"/>
      <c r="RUJ73" s="311"/>
      <c r="RUK73" s="311"/>
      <c r="RUL73" s="311"/>
      <c r="RUM73" s="311"/>
      <c r="RUN73" s="311"/>
      <c r="RUO73" s="311"/>
      <c r="RUP73" s="311"/>
      <c r="RUQ73" s="311"/>
      <c r="RUR73" s="311"/>
      <c r="RUS73" s="311"/>
      <c r="RUT73" s="311"/>
      <c r="RUU73" s="311"/>
      <c r="RUV73" s="311"/>
      <c r="RUW73" s="311"/>
      <c r="RUX73" s="311"/>
      <c r="RUY73" s="311"/>
      <c r="RUZ73" s="311"/>
      <c r="RVA73" s="311"/>
      <c r="RVB73" s="311"/>
      <c r="RVC73" s="311"/>
      <c r="RVD73" s="311"/>
      <c r="RVE73" s="311"/>
      <c r="RVF73" s="311"/>
      <c r="RVG73" s="311"/>
      <c r="RVH73" s="311"/>
      <c r="RVI73" s="311"/>
      <c r="RVJ73" s="311"/>
      <c r="RVK73" s="311"/>
      <c r="RVL73" s="311"/>
      <c r="RVM73" s="311"/>
      <c r="RVN73" s="311"/>
      <c r="RVO73" s="311"/>
      <c r="RVP73" s="311"/>
      <c r="RVQ73" s="311"/>
      <c r="RVR73" s="311"/>
      <c r="RVS73" s="311"/>
      <c r="RVT73" s="311"/>
      <c r="RVU73" s="311"/>
      <c r="RVV73" s="311"/>
      <c r="RVW73" s="311"/>
      <c r="RVX73" s="311"/>
      <c r="RVY73" s="311"/>
      <c r="RVZ73" s="311"/>
      <c r="RWA73" s="311"/>
      <c r="RWB73" s="311"/>
      <c r="RWC73" s="311"/>
      <c r="RWD73" s="311"/>
      <c r="RWE73" s="311"/>
      <c r="RWF73" s="311"/>
      <c r="RWG73" s="311"/>
      <c r="RWH73" s="311"/>
      <c r="RWI73" s="311"/>
      <c r="RWJ73" s="311"/>
      <c r="RWK73" s="311"/>
      <c r="RWL73" s="311"/>
      <c r="RWM73" s="311"/>
      <c r="RWN73" s="311"/>
      <c r="RWO73" s="311"/>
      <c r="RWP73" s="311"/>
      <c r="RWQ73" s="311"/>
      <c r="RWR73" s="311"/>
      <c r="RWS73" s="311"/>
      <c r="RWT73" s="311"/>
      <c r="RWU73" s="311"/>
      <c r="RWV73" s="311"/>
      <c r="RWW73" s="311"/>
      <c r="RWX73" s="311"/>
      <c r="RWY73" s="311"/>
      <c r="RWZ73" s="311"/>
      <c r="RXA73" s="311"/>
      <c r="RXB73" s="311"/>
      <c r="RXC73" s="311"/>
      <c r="RXD73" s="311"/>
      <c r="RXE73" s="311"/>
      <c r="RXF73" s="311"/>
      <c r="RXG73" s="311"/>
      <c r="RXH73" s="311"/>
      <c r="RXI73" s="311"/>
      <c r="RXJ73" s="311"/>
      <c r="RXK73" s="311"/>
      <c r="RXL73" s="311"/>
      <c r="RXM73" s="311"/>
      <c r="RXN73" s="311"/>
      <c r="RXO73" s="311"/>
      <c r="RXP73" s="311"/>
      <c r="RXQ73" s="311"/>
      <c r="RXR73" s="311"/>
      <c r="RXS73" s="311"/>
      <c r="RXT73" s="311"/>
      <c r="RXU73" s="311"/>
      <c r="RXV73" s="311"/>
      <c r="RXW73" s="311"/>
      <c r="RXX73" s="311"/>
      <c r="RXY73" s="311"/>
      <c r="RXZ73" s="311"/>
      <c r="RYA73" s="311"/>
      <c r="RYB73" s="311"/>
      <c r="RYC73" s="311"/>
      <c r="RYD73" s="311"/>
      <c r="RYE73" s="311"/>
      <c r="RYF73" s="311"/>
      <c r="RYG73" s="311"/>
      <c r="RYH73" s="311"/>
      <c r="RYI73" s="311"/>
      <c r="RYJ73" s="311"/>
      <c r="RYK73" s="311"/>
      <c r="RYL73" s="311"/>
      <c r="RYM73" s="311"/>
      <c r="RYN73" s="311"/>
      <c r="RYO73" s="311"/>
      <c r="RYP73" s="311"/>
      <c r="RYQ73" s="311"/>
      <c r="RYR73" s="311"/>
      <c r="RYS73" s="311"/>
      <c r="RYT73" s="311"/>
      <c r="RYU73" s="311"/>
      <c r="RYV73" s="311"/>
      <c r="RYW73" s="311"/>
      <c r="RYX73" s="311"/>
      <c r="RYY73" s="311"/>
      <c r="RYZ73" s="311"/>
      <c r="RZA73" s="311"/>
      <c r="RZB73" s="311"/>
      <c r="RZC73" s="311"/>
      <c r="RZD73" s="311"/>
      <c r="RZE73" s="311"/>
      <c r="RZF73" s="311"/>
      <c r="RZG73" s="311"/>
      <c r="RZH73" s="311"/>
      <c r="RZI73" s="311"/>
      <c r="RZJ73" s="311"/>
      <c r="RZK73" s="311"/>
      <c r="RZL73" s="311"/>
      <c r="RZM73" s="311"/>
      <c r="RZN73" s="311"/>
      <c r="RZO73" s="311"/>
      <c r="RZP73" s="311"/>
      <c r="RZQ73" s="311"/>
      <c r="RZR73" s="311"/>
      <c r="RZS73" s="311"/>
      <c r="RZT73" s="311"/>
      <c r="RZU73" s="311"/>
      <c r="RZV73" s="311"/>
      <c r="RZW73" s="311"/>
      <c r="RZX73" s="311"/>
      <c r="RZY73" s="311"/>
      <c r="RZZ73" s="311"/>
      <c r="SAA73" s="311"/>
      <c r="SAB73" s="311"/>
      <c r="SAC73" s="311"/>
      <c r="SAD73" s="311"/>
      <c r="SAE73" s="311"/>
      <c r="SAF73" s="311"/>
      <c r="SAG73" s="311"/>
      <c r="SAH73" s="311"/>
      <c r="SAI73" s="311"/>
      <c r="SAJ73" s="311"/>
      <c r="SAK73" s="311"/>
      <c r="SAL73" s="311"/>
      <c r="SAM73" s="311"/>
      <c r="SAN73" s="311"/>
      <c r="SAO73" s="311"/>
      <c r="SAP73" s="311"/>
      <c r="SAQ73" s="311"/>
      <c r="SAR73" s="311"/>
      <c r="SAS73" s="311"/>
      <c r="SAT73" s="311"/>
      <c r="SAU73" s="311"/>
      <c r="SAV73" s="311"/>
      <c r="SAW73" s="311"/>
      <c r="SAX73" s="311"/>
      <c r="SAY73" s="311"/>
      <c r="SAZ73" s="311"/>
      <c r="SBA73" s="311"/>
      <c r="SBB73" s="311"/>
      <c r="SBC73" s="311"/>
      <c r="SBD73" s="311"/>
      <c r="SBE73" s="311"/>
      <c r="SBF73" s="311"/>
      <c r="SBG73" s="311"/>
      <c r="SBH73" s="311"/>
      <c r="SBI73" s="311"/>
      <c r="SBJ73" s="311"/>
      <c r="SBK73" s="311"/>
      <c r="SBL73" s="311"/>
      <c r="SBM73" s="311"/>
      <c r="SBN73" s="311"/>
      <c r="SBO73" s="311"/>
      <c r="SBP73" s="311"/>
      <c r="SBQ73" s="311"/>
      <c r="SBR73" s="311"/>
      <c r="SBS73" s="311"/>
      <c r="SBT73" s="311"/>
      <c r="SBU73" s="311"/>
      <c r="SBV73" s="311"/>
      <c r="SBW73" s="311"/>
      <c r="SBX73" s="311"/>
      <c r="SBY73" s="311"/>
      <c r="SBZ73" s="311"/>
      <c r="SCA73" s="311"/>
      <c r="SCB73" s="311"/>
      <c r="SCC73" s="311"/>
      <c r="SCD73" s="311"/>
      <c r="SCE73" s="311"/>
      <c r="SCF73" s="311"/>
      <c r="SCG73" s="311"/>
      <c r="SCH73" s="311"/>
      <c r="SCI73" s="311"/>
      <c r="SCJ73" s="311"/>
      <c r="SCK73" s="311"/>
      <c r="SCL73" s="311"/>
      <c r="SCM73" s="311"/>
      <c r="SCN73" s="311"/>
      <c r="SCO73" s="311"/>
      <c r="SCP73" s="311"/>
      <c r="SCQ73" s="311"/>
      <c r="SCR73" s="311"/>
      <c r="SCS73" s="311"/>
      <c r="SCT73" s="311"/>
      <c r="SCU73" s="311"/>
      <c r="SCV73" s="311"/>
      <c r="SCW73" s="311"/>
      <c r="SCX73" s="311"/>
      <c r="SCY73" s="311"/>
      <c r="SCZ73" s="311"/>
      <c r="SDA73" s="311"/>
      <c r="SDB73" s="311"/>
      <c r="SDC73" s="311"/>
      <c r="SDD73" s="311"/>
      <c r="SDE73" s="311"/>
      <c r="SDF73" s="311"/>
      <c r="SDG73" s="311"/>
      <c r="SDH73" s="311"/>
      <c r="SDI73" s="311"/>
      <c r="SDJ73" s="311"/>
      <c r="SDK73" s="311"/>
      <c r="SDL73" s="311"/>
      <c r="SDM73" s="311"/>
      <c r="SDN73" s="311"/>
      <c r="SDO73" s="311"/>
      <c r="SDP73" s="311"/>
      <c r="SDQ73" s="311"/>
      <c r="SDR73" s="311"/>
      <c r="SDS73" s="311"/>
      <c r="SDT73" s="311"/>
      <c r="SDU73" s="311"/>
      <c r="SDV73" s="311"/>
      <c r="SDW73" s="311"/>
      <c r="SDX73" s="311"/>
      <c r="SDY73" s="311"/>
      <c r="SDZ73" s="311"/>
      <c r="SEA73" s="311"/>
      <c r="SEB73" s="311"/>
      <c r="SEC73" s="311"/>
      <c r="SED73" s="311"/>
      <c r="SEE73" s="311"/>
      <c r="SEF73" s="311"/>
      <c r="SEG73" s="311"/>
      <c r="SEH73" s="311"/>
      <c r="SEI73" s="311"/>
      <c r="SEJ73" s="311"/>
      <c r="SEK73" s="311"/>
      <c r="SEL73" s="311"/>
      <c r="SEM73" s="311"/>
      <c r="SEN73" s="311"/>
      <c r="SEO73" s="311"/>
      <c r="SEP73" s="311"/>
      <c r="SEQ73" s="311"/>
      <c r="SER73" s="311"/>
      <c r="SES73" s="311"/>
      <c r="SET73" s="311"/>
      <c r="SEU73" s="311"/>
      <c r="SEV73" s="311"/>
      <c r="SEW73" s="311"/>
      <c r="SEX73" s="311"/>
      <c r="SEY73" s="311"/>
      <c r="SEZ73" s="311"/>
      <c r="SFA73" s="311"/>
      <c r="SFB73" s="311"/>
      <c r="SFC73" s="311"/>
      <c r="SFD73" s="311"/>
      <c r="SFE73" s="311"/>
      <c r="SFF73" s="311"/>
      <c r="SFG73" s="311"/>
      <c r="SFH73" s="311"/>
      <c r="SFI73" s="311"/>
      <c r="SFJ73" s="311"/>
      <c r="SFK73" s="311"/>
      <c r="SFL73" s="311"/>
      <c r="SFM73" s="311"/>
      <c r="SFN73" s="311"/>
      <c r="SFO73" s="311"/>
      <c r="SFP73" s="311"/>
      <c r="SFQ73" s="311"/>
      <c r="SFR73" s="311"/>
      <c r="SFS73" s="311"/>
      <c r="SFT73" s="311"/>
      <c r="SFU73" s="311"/>
      <c r="SFV73" s="311"/>
      <c r="SFW73" s="311"/>
      <c r="SFX73" s="311"/>
      <c r="SFY73" s="311"/>
      <c r="SFZ73" s="311"/>
      <c r="SGA73" s="311"/>
      <c r="SGB73" s="311"/>
      <c r="SGC73" s="311"/>
      <c r="SGD73" s="311"/>
      <c r="SGE73" s="311"/>
      <c r="SGF73" s="311"/>
      <c r="SGG73" s="311"/>
      <c r="SGH73" s="311"/>
      <c r="SGI73" s="311"/>
      <c r="SGJ73" s="311"/>
      <c r="SGK73" s="311"/>
      <c r="SGL73" s="311"/>
      <c r="SGM73" s="311"/>
      <c r="SGN73" s="311"/>
      <c r="SGO73" s="311"/>
      <c r="SGP73" s="311"/>
      <c r="SGQ73" s="311"/>
      <c r="SGR73" s="311"/>
      <c r="SGS73" s="311"/>
      <c r="SGT73" s="311"/>
      <c r="SGU73" s="311"/>
      <c r="SGV73" s="311"/>
      <c r="SGW73" s="311"/>
      <c r="SGX73" s="311"/>
      <c r="SGY73" s="311"/>
      <c r="SGZ73" s="311"/>
      <c r="SHA73" s="311"/>
      <c r="SHB73" s="311"/>
      <c r="SHC73" s="311"/>
      <c r="SHD73" s="311"/>
      <c r="SHE73" s="311"/>
      <c r="SHF73" s="311"/>
      <c r="SHG73" s="311"/>
      <c r="SHH73" s="311"/>
      <c r="SHI73" s="311"/>
      <c r="SHJ73" s="311"/>
      <c r="SHK73" s="311"/>
      <c r="SHL73" s="311"/>
      <c r="SHM73" s="311"/>
      <c r="SHN73" s="311"/>
      <c r="SHO73" s="311"/>
      <c r="SHP73" s="311"/>
      <c r="SHQ73" s="311"/>
      <c r="SHR73" s="311"/>
      <c r="SHS73" s="311"/>
      <c r="SHT73" s="311"/>
      <c r="SHU73" s="311"/>
      <c r="SHV73" s="311"/>
      <c r="SHW73" s="311"/>
      <c r="SHX73" s="311"/>
      <c r="SHY73" s="311"/>
      <c r="SHZ73" s="311"/>
      <c r="SIA73" s="311"/>
      <c r="SIB73" s="311"/>
      <c r="SIC73" s="311"/>
      <c r="SID73" s="311"/>
      <c r="SIE73" s="311"/>
      <c r="SIF73" s="311"/>
      <c r="SIG73" s="311"/>
      <c r="SIH73" s="311"/>
      <c r="SII73" s="311"/>
      <c r="SIJ73" s="311"/>
      <c r="SIK73" s="311"/>
      <c r="SIL73" s="311"/>
      <c r="SIM73" s="311"/>
      <c r="SIN73" s="311"/>
      <c r="SIO73" s="311"/>
      <c r="SIP73" s="311"/>
      <c r="SIQ73" s="311"/>
      <c r="SIR73" s="311"/>
      <c r="SIS73" s="311"/>
      <c r="SIT73" s="311"/>
      <c r="SIU73" s="311"/>
      <c r="SIV73" s="311"/>
      <c r="SIW73" s="311"/>
      <c r="SIX73" s="311"/>
      <c r="SIY73" s="311"/>
      <c r="SIZ73" s="311"/>
      <c r="SJA73" s="311"/>
      <c r="SJB73" s="311"/>
      <c r="SJC73" s="311"/>
      <c r="SJD73" s="311"/>
      <c r="SJE73" s="311"/>
      <c r="SJF73" s="311"/>
      <c r="SJG73" s="311"/>
      <c r="SJH73" s="311"/>
      <c r="SJI73" s="311"/>
      <c r="SJJ73" s="311"/>
      <c r="SJK73" s="311"/>
      <c r="SJL73" s="311"/>
      <c r="SJM73" s="311"/>
      <c r="SJN73" s="311"/>
      <c r="SJO73" s="311"/>
      <c r="SJP73" s="311"/>
      <c r="SJQ73" s="311"/>
      <c r="SJR73" s="311"/>
      <c r="SJS73" s="311"/>
      <c r="SJT73" s="311"/>
      <c r="SJU73" s="311"/>
      <c r="SJV73" s="311"/>
      <c r="SJW73" s="311"/>
      <c r="SJX73" s="311"/>
      <c r="SJY73" s="311"/>
      <c r="SJZ73" s="311"/>
      <c r="SKA73" s="311"/>
      <c r="SKB73" s="311"/>
      <c r="SKC73" s="311"/>
      <c r="SKD73" s="311"/>
      <c r="SKE73" s="311"/>
      <c r="SKF73" s="311"/>
      <c r="SKG73" s="311"/>
      <c r="SKH73" s="311"/>
      <c r="SKI73" s="311"/>
      <c r="SKJ73" s="311"/>
      <c r="SKK73" s="311"/>
      <c r="SKL73" s="311"/>
      <c r="SKM73" s="311"/>
      <c r="SKN73" s="311"/>
      <c r="SKO73" s="311"/>
      <c r="SKP73" s="311"/>
      <c r="SKQ73" s="311"/>
      <c r="SKR73" s="311"/>
      <c r="SKS73" s="311"/>
      <c r="SKT73" s="311"/>
      <c r="SKU73" s="311"/>
      <c r="SKV73" s="311"/>
      <c r="SKW73" s="311"/>
      <c r="SKX73" s="311"/>
      <c r="SKY73" s="311"/>
      <c r="SKZ73" s="311"/>
      <c r="SLA73" s="311"/>
      <c r="SLB73" s="311"/>
      <c r="SLC73" s="311"/>
      <c r="SLD73" s="311"/>
      <c r="SLE73" s="311"/>
      <c r="SLF73" s="311"/>
      <c r="SLG73" s="311"/>
      <c r="SLH73" s="311"/>
      <c r="SLI73" s="311"/>
      <c r="SLJ73" s="311"/>
      <c r="SLK73" s="311"/>
      <c r="SLL73" s="311"/>
      <c r="SLM73" s="311"/>
      <c r="SLN73" s="311"/>
      <c r="SLO73" s="311"/>
      <c r="SLP73" s="311"/>
      <c r="SLQ73" s="311"/>
      <c r="SLR73" s="311"/>
      <c r="SLS73" s="311"/>
      <c r="SLT73" s="311"/>
      <c r="SLU73" s="311"/>
      <c r="SLV73" s="311"/>
      <c r="SLW73" s="311"/>
      <c r="SLX73" s="311"/>
      <c r="SLY73" s="311"/>
      <c r="SLZ73" s="311"/>
      <c r="SMA73" s="311"/>
      <c r="SMB73" s="311"/>
      <c r="SMC73" s="311"/>
      <c r="SMD73" s="311"/>
      <c r="SME73" s="311"/>
      <c r="SMF73" s="311"/>
      <c r="SMG73" s="311"/>
      <c r="SMH73" s="311"/>
      <c r="SMI73" s="311"/>
      <c r="SMJ73" s="311"/>
      <c r="SMK73" s="311"/>
      <c r="SML73" s="311"/>
      <c r="SMM73" s="311"/>
      <c r="SMN73" s="311"/>
      <c r="SMO73" s="311"/>
      <c r="SMP73" s="311"/>
      <c r="SMQ73" s="311"/>
      <c r="SMR73" s="311"/>
      <c r="SMS73" s="311"/>
      <c r="SMT73" s="311"/>
      <c r="SMU73" s="311"/>
      <c r="SMV73" s="311"/>
      <c r="SMW73" s="311"/>
      <c r="SMX73" s="311"/>
      <c r="SMY73" s="311"/>
      <c r="SMZ73" s="311"/>
      <c r="SNA73" s="311"/>
      <c r="SNB73" s="311"/>
      <c r="SNC73" s="311"/>
      <c r="SND73" s="311"/>
      <c r="SNE73" s="311"/>
      <c r="SNF73" s="311"/>
      <c r="SNG73" s="311"/>
      <c r="SNH73" s="311"/>
      <c r="SNI73" s="311"/>
      <c r="SNJ73" s="311"/>
      <c r="SNK73" s="311"/>
      <c r="SNL73" s="311"/>
      <c r="SNM73" s="311"/>
      <c r="SNN73" s="311"/>
      <c r="SNO73" s="311"/>
      <c r="SNP73" s="311"/>
      <c r="SNQ73" s="311"/>
      <c r="SNR73" s="311"/>
      <c r="SNS73" s="311"/>
      <c r="SNT73" s="311"/>
      <c r="SNU73" s="311"/>
      <c r="SNV73" s="311"/>
      <c r="SNW73" s="311"/>
      <c r="SNX73" s="311"/>
      <c r="SNY73" s="311"/>
      <c r="SNZ73" s="311"/>
      <c r="SOA73" s="311"/>
      <c r="SOB73" s="311"/>
      <c r="SOC73" s="311"/>
      <c r="SOD73" s="311"/>
      <c r="SOE73" s="311"/>
      <c r="SOF73" s="311"/>
      <c r="SOG73" s="311"/>
      <c r="SOH73" s="311"/>
      <c r="SOI73" s="311"/>
      <c r="SOJ73" s="311"/>
      <c r="SOK73" s="311"/>
      <c r="SOL73" s="311"/>
      <c r="SOM73" s="311"/>
      <c r="SON73" s="311"/>
      <c r="SOO73" s="311"/>
      <c r="SOP73" s="311"/>
      <c r="SOQ73" s="311"/>
      <c r="SOR73" s="311"/>
      <c r="SOS73" s="311"/>
      <c r="SOT73" s="311"/>
      <c r="SOU73" s="311"/>
      <c r="SOV73" s="311"/>
      <c r="SOW73" s="311"/>
      <c r="SOX73" s="311"/>
      <c r="SOY73" s="311"/>
      <c r="SOZ73" s="311"/>
      <c r="SPA73" s="311"/>
      <c r="SPB73" s="311"/>
      <c r="SPC73" s="311"/>
      <c r="SPD73" s="311"/>
      <c r="SPE73" s="311"/>
      <c r="SPF73" s="311"/>
      <c r="SPG73" s="311"/>
      <c r="SPH73" s="311"/>
      <c r="SPI73" s="311"/>
      <c r="SPJ73" s="311"/>
      <c r="SPK73" s="311"/>
      <c r="SPL73" s="311"/>
      <c r="SPM73" s="311"/>
      <c r="SPN73" s="311"/>
      <c r="SPO73" s="311"/>
      <c r="SPP73" s="311"/>
      <c r="SPQ73" s="311"/>
      <c r="SPR73" s="311"/>
      <c r="SPS73" s="311"/>
      <c r="SPT73" s="311"/>
      <c r="SPU73" s="311"/>
      <c r="SPV73" s="311"/>
      <c r="SPW73" s="311"/>
      <c r="SPX73" s="311"/>
      <c r="SPY73" s="311"/>
      <c r="SPZ73" s="311"/>
      <c r="SQA73" s="311"/>
      <c r="SQB73" s="311"/>
      <c r="SQC73" s="311"/>
      <c r="SQD73" s="311"/>
      <c r="SQE73" s="311"/>
      <c r="SQF73" s="311"/>
      <c r="SQG73" s="311"/>
      <c r="SQH73" s="311"/>
      <c r="SQI73" s="311"/>
      <c r="SQJ73" s="311"/>
      <c r="SQK73" s="311"/>
      <c r="SQL73" s="311"/>
      <c r="SQM73" s="311"/>
      <c r="SQN73" s="311"/>
      <c r="SQO73" s="311"/>
      <c r="SQP73" s="311"/>
      <c r="SQQ73" s="311"/>
      <c r="SQR73" s="311"/>
      <c r="SQS73" s="311"/>
      <c r="SQT73" s="311"/>
      <c r="SQU73" s="311"/>
      <c r="SQV73" s="311"/>
      <c r="SQW73" s="311"/>
      <c r="SQX73" s="311"/>
      <c r="SQY73" s="311"/>
      <c r="SQZ73" s="311"/>
      <c r="SRA73" s="311"/>
      <c r="SRB73" s="311"/>
      <c r="SRC73" s="311"/>
      <c r="SRD73" s="311"/>
      <c r="SRE73" s="311"/>
      <c r="SRF73" s="311"/>
      <c r="SRG73" s="311"/>
      <c r="SRH73" s="311"/>
      <c r="SRI73" s="311"/>
      <c r="SRJ73" s="311"/>
      <c r="SRK73" s="311"/>
      <c r="SRL73" s="311"/>
      <c r="SRM73" s="311"/>
      <c r="SRN73" s="311"/>
      <c r="SRO73" s="311"/>
      <c r="SRP73" s="311"/>
      <c r="SRQ73" s="311"/>
      <c r="SRR73" s="311"/>
      <c r="SRS73" s="311"/>
      <c r="SRT73" s="311"/>
      <c r="SRU73" s="311"/>
      <c r="SRV73" s="311"/>
      <c r="SRW73" s="311"/>
      <c r="SRX73" s="311"/>
      <c r="SRY73" s="311"/>
      <c r="SRZ73" s="311"/>
      <c r="SSA73" s="311"/>
      <c r="SSB73" s="311"/>
      <c r="SSC73" s="311"/>
      <c r="SSD73" s="311"/>
      <c r="SSE73" s="311"/>
      <c r="SSF73" s="311"/>
      <c r="SSG73" s="311"/>
      <c r="SSH73" s="311"/>
      <c r="SSI73" s="311"/>
      <c r="SSJ73" s="311"/>
      <c r="SSK73" s="311"/>
      <c r="SSL73" s="311"/>
      <c r="SSM73" s="311"/>
      <c r="SSN73" s="311"/>
      <c r="SSO73" s="311"/>
      <c r="SSP73" s="311"/>
      <c r="SSQ73" s="311"/>
      <c r="SSR73" s="311"/>
      <c r="SSS73" s="311"/>
      <c r="SST73" s="311"/>
      <c r="SSU73" s="311"/>
      <c r="SSV73" s="311"/>
      <c r="SSW73" s="311"/>
      <c r="SSX73" s="311"/>
      <c r="SSY73" s="311"/>
      <c r="SSZ73" s="311"/>
      <c r="STA73" s="311"/>
      <c r="STB73" s="311"/>
      <c r="STC73" s="311"/>
      <c r="STD73" s="311"/>
      <c r="STE73" s="311"/>
      <c r="STF73" s="311"/>
      <c r="STG73" s="311"/>
      <c r="STH73" s="311"/>
      <c r="STI73" s="311"/>
      <c r="STJ73" s="311"/>
      <c r="STK73" s="311"/>
      <c r="STL73" s="311"/>
      <c r="STM73" s="311"/>
      <c r="STN73" s="311"/>
      <c r="STO73" s="311"/>
      <c r="STP73" s="311"/>
      <c r="STQ73" s="311"/>
      <c r="STR73" s="311"/>
      <c r="STS73" s="311"/>
      <c r="STT73" s="311"/>
      <c r="STU73" s="311"/>
      <c r="STV73" s="311"/>
      <c r="STW73" s="311"/>
      <c r="STX73" s="311"/>
      <c r="STY73" s="311"/>
      <c r="STZ73" s="311"/>
      <c r="SUA73" s="311"/>
      <c r="SUB73" s="311"/>
      <c r="SUC73" s="311"/>
      <c r="SUD73" s="311"/>
      <c r="SUE73" s="311"/>
      <c r="SUF73" s="311"/>
      <c r="SUG73" s="311"/>
      <c r="SUH73" s="311"/>
      <c r="SUI73" s="311"/>
      <c r="SUJ73" s="311"/>
      <c r="SUK73" s="311"/>
      <c r="SUL73" s="311"/>
      <c r="SUM73" s="311"/>
      <c r="SUN73" s="311"/>
      <c r="SUO73" s="311"/>
      <c r="SUP73" s="311"/>
      <c r="SUQ73" s="311"/>
      <c r="SUR73" s="311"/>
      <c r="SUS73" s="311"/>
      <c r="SUT73" s="311"/>
      <c r="SUU73" s="311"/>
      <c r="SUV73" s="311"/>
      <c r="SUW73" s="311"/>
      <c r="SUX73" s="311"/>
      <c r="SUY73" s="311"/>
      <c r="SUZ73" s="311"/>
      <c r="SVA73" s="311"/>
      <c r="SVB73" s="311"/>
      <c r="SVC73" s="311"/>
      <c r="SVD73" s="311"/>
      <c r="SVE73" s="311"/>
      <c r="SVF73" s="311"/>
      <c r="SVG73" s="311"/>
      <c r="SVH73" s="311"/>
      <c r="SVI73" s="311"/>
      <c r="SVJ73" s="311"/>
      <c r="SVK73" s="311"/>
      <c r="SVL73" s="311"/>
      <c r="SVM73" s="311"/>
      <c r="SVN73" s="311"/>
      <c r="SVO73" s="311"/>
      <c r="SVP73" s="311"/>
      <c r="SVQ73" s="311"/>
      <c r="SVR73" s="311"/>
      <c r="SVS73" s="311"/>
      <c r="SVT73" s="311"/>
      <c r="SVU73" s="311"/>
      <c r="SVV73" s="311"/>
      <c r="SVW73" s="311"/>
      <c r="SVX73" s="311"/>
      <c r="SVY73" s="311"/>
      <c r="SVZ73" s="311"/>
      <c r="SWA73" s="311"/>
      <c r="SWB73" s="311"/>
      <c r="SWC73" s="311"/>
      <c r="SWD73" s="311"/>
      <c r="SWE73" s="311"/>
      <c r="SWF73" s="311"/>
      <c r="SWG73" s="311"/>
      <c r="SWH73" s="311"/>
      <c r="SWI73" s="311"/>
      <c r="SWJ73" s="311"/>
      <c r="SWK73" s="311"/>
      <c r="SWL73" s="311"/>
      <c r="SWM73" s="311"/>
      <c r="SWN73" s="311"/>
      <c r="SWO73" s="311"/>
      <c r="SWP73" s="311"/>
      <c r="SWQ73" s="311"/>
      <c r="SWR73" s="311"/>
      <c r="SWS73" s="311"/>
      <c r="SWT73" s="311"/>
      <c r="SWU73" s="311"/>
      <c r="SWV73" s="311"/>
      <c r="SWW73" s="311"/>
      <c r="SWX73" s="311"/>
      <c r="SWY73" s="311"/>
      <c r="SWZ73" s="311"/>
      <c r="SXA73" s="311"/>
      <c r="SXB73" s="311"/>
      <c r="SXC73" s="311"/>
      <c r="SXD73" s="311"/>
      <c r="SXE73" s="311"/>
      <c r="SXF73" s="311"/>
      <c r="SXG73" s="311"/>
      <c r="SXH73" s="311"/>
      <c r="SXI73" s="311"/>
      <c r="SXJ73" s="311"/>
      <c r="SXK73" s="311"/>
      <c r="SXL73" s="311"/>
      <c r="SXM73" s="311"/>
      <c r="SXN73" s="311"/>
      <c r="SXO73" s="311"/>
      <c r="SXP73" s="311"/>
      <c r="SXQ73" s="311"/>
      <c r="SXR73" s="311"/>
      <c r="SXS73" s="311"/>
      <c r="SXT73" s="311"/>
      <c r="SXU73" s="311"/>
      <c r="SXV73" s="311"/>
      <c r="SXW73" s="311"/>
      <c r="SXX73" s="311"/>
      <c r="SXY73" s="311"/>
      <c r="SXZ73" s="311"/>
      <c r="SYA73" s="311"/>
      <c r="SYB73" s="311"/>
      <c r="SYC73" s="311"/>
      <c r="SYD73" s="311"/>
      <c r="SYE73" s="311"/>
      <c r="SYF73" s="311"/>
      <c r="SYG73" s="311"/>
      <c r="SYH73" s="311"/>
      <c r="SYI73" s="311"/>
      <c r="SYJ73" s="311"/>
      <c r="SYK73" s="311"/>
      <c r="SYL73" s="311"/>
      <c r="SYM73" s="311"/>
      <c r="SYN73" s="311"/>
      <c r="SYO73" s="311"/>
      <c r="SYP73" s="311"/>
      <c r="SYQ73" s="311"/>
      <c r="SYR73" s="311"/>
      <c r="SYS73" s="311"/>
      <c r="SYT73" s="311"/>
      <c r="SYU73" s="311"/>
      <c r="SYV73" s="311"/>
      <c r="SYW73" s="311"/>
      <c r="SYX73" s="311"/>
      <c r="SYY73" s="311"/>
      <c r="SYZ73" s="311"/>
      <c r="SZA73" s="311"/>
      <c r="SZB73" s="311"/>
      <c r="SZC73" s="311"/>
      <c r="SZD73" s="311"/>
      <c r="SZE73" s="311"/>
      <c r="SZF73" s="311"/>
      <c r="SZG73" s="311"/>
      <c r="SZH73" s="311"/>
      <c r="SZI73" s="311"/>
      <c r="SZJ73" s="311"/>
      <c r="SZK73" s="311"/>
      <c r="SZL73" s="311"/>
      <c r="SZM73" s="311"/>
      <c r="SZN73" s="311"/>
      <c r="SZO73" s="311"/>
      <c r="SZP73" s="311"/>
      <c r="SZQ73" s="311"/>
      <c r="SZR73" s="311"/>
      <c r="SZS73" s="311"/>
      <c r="SZT73" s="311"/>
      <c r="SZU73" s="311"/>
      <c r="SZV73" s="311"/>
      <c r="SZW73" s="311"/>
      <c r="SZX73" s="311"/>
      <c r="SZY73" s="311"/>
      <c r="SZZ73" s="311"/>
      <c r="TAA73" s="311"/>
      <c r="TAB73" s="311"/>
      <c r="TAC73" s="311"/>
      <c r="TAD73" s="311"/>
      <c r="TAE73" s="311"/>
      <c r="TAF73" s="311"/>
      <c r="TAG73" s="311"/>
      <c r="TAH73" s="311"/>
      <c r="TAI73" s="311"/>
      <c r="TAJ73" s="311"/>
      <c r="TAK73" s="311"/>
      <c r="TAL73" s="311"/>
      <c r="TAM73" s="311"/>
      <c r="TAN73" s="311"/>
      <c r="TAO73" s="311"/>
      <c r="TAP73" s="311"/>
      <c r="TAQ73" s="311"/>
      <c r="TAR73" s="311"/>
      <c r="TAS73" s="311"/>
      <c r="TAT73" s="311"/>
      <c r="TAU73" s="311"/>
      <c r="TAV73" s="311"/>
      <c r="TAW73" s="311"/>
      <c r="TAX73" s="311"/>
      <c r="TAY73" s="311"/>
      <c r="TAZ73" s="311"/>
      <c r="TBA73" s="311"/>
      <c r="TBB73" s="311"/>
      <c r="TBC73" s="311"/>
      <c r="TBD73" s="311"/>
      <c r="TBE73" s="311"/>
      <c r="TBF73" s="311"/>
      <c r="TBG73" s="311"/>
      <c r="TBH73" s="311"/>
      <c r="TBI73" s="311"/>
      <c r="TBJ73" s="311"/>
      <c r="TBK73" s="311"/>
      <c r="TBL73" s="311"/>
      <c r="TBM73" s="311"/>
      <c r="TBN73" s="311"/>
      <c r="TBO73" s="311"/>
      <c r="TBP73" s="311"/>
      <c r="TBQ73" s="311"/>
      <c r="TBR73" s="311"/>
      <c r="TBS73" s="311"/>
      <c r="TBT73" s="311"/>
      <c r="TBU73" s="311"/>
      <c r="TBV73" s="311"/>
      <c r="TBW73" s="311"/>
      <c r="TBX73" s="311"/>
      <c r="TBY73" s="311"/>
      <c r="TBZ73" s="311"/>
      <c r="TCA73" s="311"/>
      <c r="TCB73" s="311"/>
      <c r="TCC73" s="311"/>
      <c r="TCD73" s="311"/>
      <c r="TCE73" s="311"/>
      <c r="TCF73" s="311"/>
      <c r="TCG73" s="311"/>
      <c r="TCH73" s="311"/>
      <c r="TCI73" s="311"/>
      <c r="TCJ73" s="311"/>
      <c r="TCK73" s="311"/>
      <c r="TCL73" s="311"/>
      <c r="TCM73" s="311"/>
      <c r="TCN73" s="311"/>
      <c r="TCO73" s="311"/>
      <c r="TCP73" s="311"/>
      <c r="TCQ73" s="311"/>
      <c r="TCR73" s="311"/>
      <c r="TCS73" s="311"/>
      <c r="TCT73" s="311"/>
      <c r="TCU73" s="311"/>
      <c r="TCV73" s="311"/>
      <c r="TCW73" s="311"/>
      <c r="TCX73" s="311"/>
      <c r="TCY73" s="311"/>
      <c r="TCZ73" s="311"/>
      <c r="TDA73" s="311"/>
      <c r="TDB73" s="311"/>
      <c r="TDC73" s="311"/>
      <c r="TDD73" s="311"/>
      <c r="TDE73" s="311"/>
      <c r="TDF73" s="311"/>
      <c r="TDG73" s="311"/>
      <c r="TDH73" s="311"/>
      <c r="TDI73" s="311"/>
      <c r="TDJ73" s="311"/>
      <c r="TDK73" s="311"/>
      <c r="TDL73" s="311"/>
      <c r="TDM73" s="311"/>
      <c r="TDN73" s="311"/>
      <c r="TDO73" s="311"/>
      <c r="TDP73" s="311"/>
      <c r="TDQ73" s="311"/>
      <c r="TDR73" s="311"/>
      <c r="TDS73" s="311"/>
      <c r="TDT73" s="311"/>
      <c r="TDU73" s="311"/>
      <c r="TDV73" s="311"/>
      <c r="TDW73" s="311"/>
      <c r="TDX73" s="311"/>
      <c r="TDY73" s="311"/>
      <c r="TDZ73" s="311"/>
      <c r="TEA73" s="311"/>
      <c r="TEB73" s="311"/>
      <c r="TEC73" s="311"/>
      <c r="TED73" s="311"/>
      <c r="TEE73" s="311"/>
      <c r="TEF73" s="311"/>
      <c r="TEG73" s="311"/>
      <c r="TEH73" s="311"/>
      <c r="TEI73" s="311"/>
      <c r="TEJ73" s="311"/>
      <c r="TEK73" s="311"/>
      <c r="TEL73" s="311"/>
      <c r="TEM73" s="311"/>
      <c r="TEN73" s="311"/>
      <c r="TEO73" s="311"/>
      <c r="TEP73" s="311"/>
      <c r="TEQ73" s="311"/>
      <c r="TER73" s="311"/>
      <c r="TES73" s="311"/>
      <c r="TET73" s="311"/>
      <c r="TEU73" s="311"/>
      <c r="TEV73" s="311"/>
      <c r="TEW73" s="311"/>
      <c r="TEX73" s="311"/>
      <c r="TEY73" s="311"/>
      <c r="TEZ73" s="311"/>
      <c r="TFA73" s="311"/>
      <c r="TFB73" s="311"/>
      <c r="TFC73" s="311"/>
      <c r="TFD73" s="311"/>
      <c r="TFE73" s="311"/>
      <c r="TFF73" s="311"/>
      <c r="TFG73" s="311"/>
      <c r="TFH73" s="311"/>
      <c r="TFI73" s="311"/>
      <c r="TFJ73" s="311"/>
      <c r="TFK73" s="311"/>
      <c r="TFL73" s="311"/>
      <c r="TFM73" s="311"/>
      <c r="TFN73" s="311"/>
      <c r="TFO73" s="311"/>
      <c r="TFP73" s="311"/>
      <c r="TFQ73" s="311"/>
      <c r="TFR73" s="311"/>
      <c r="TFS73" s="311"/>
      <c r="TFT73" s="311"/>
      <c r="TFU73" s="311"/>
      <c r="TFV73" s="311"/>
      <c r="TFW73" s="311"/>
      <c r="TFX73" s="311"/>
      <c r="TFY73" s="311"/>
      <c r="TFZ73" s="311"/>
      <c r="TGA73" s="311"/>
      <c r="TGB73" s="311"/>
      <c r="TGC73" s="311"/>
      <c r="TGD73" s="311"/>
      <c r="TGE73" s="311"/>
      <c r="TGF73" s="311"/>
      <c r="TGG73" s="311"/>
      <c r="TGH73" s="311"/>
      <c r="TGI73" s="311"/>
      <c r="TGJ73" s="311"/>
      <c r="TGK73" s="311"/>
      <c r="TGL73" s="311"/>
      <c r="TGM73" s="311"/>
      <c r="TGN73" s="311"/>
      <c r="TGO73" s="311"/>
      <c r="TGP73" s="311"/>
      <c r="TGQ73" s="311"/>
      <c r="TGR73" s="311"/>
      <c r="TGS73" s="311"/>
      <c r="TGT73" s="311"/>
      <c r="TGU73" s="311"/>
      <c r="TGV73" s="311"/>
      <c r="TGW73" s="311"/>
      <c r="TGX73" s="311"/>
      <c r="TGY73" s="311"/>
      <c r="TGZ73" s="311"/>
      <c r="THA73" s="311"/>
      <c r="THB73" s="311"/>
      <c r="THC73" s="311"/>
      <c r="THD73" s="311"/>
      <c r="THE73" s="311"/>
      <c r="THF73" s="311"/>
      <c r="THG73" s="311"/>
      <c r="THH73" s="311"/>
      <c r="THI73" s="311"/>
      <c r="THJ73" s="311"/>
      <c r="THK73" s="311"/>
      <c r="THL73" s="311"/>
      <c r="THM73" s="311"/>
      <c r="THN73" s="311"/>
      <c r="THO73" s="311"/>
      <c r="THP73" s="311"/>
      <c r="THQ73" s="311"/>
      <c r="THR73" s="311"/>
      <c r="THS73" s="311"/>
      <c r="THT73" s="311"/>
      <c r="THU73" s="311"/>
      <c r="THV73" s="311"/>
      <c r="THW73" s="311"/>
      <c r="THX73" s="311"/>
      <c r="THY73" s="311"/>
      <c r="THZ73" s="311"/>
      <c r="TIA73" s="311"/>
      <c r="TIB73" s="311"/>
      <c r="TIC73" s="311"/>
      <c r="TID73" s="311"/>
      <c r="TIE73" s="311"/>
      <c r="TIF73" s="311"/>
      <c r="TIG73" s="311"/>
      <c r="TIH73" s="311"/>
      <c r="TII73" s="311"/>
      <c r="TIJ73" s="311"/>
      <c r="TIK73" s="311"/>
      <c r="TIL73" s="311"/>
      <c r="TIM73" s="311"/>
      <c r="TIN73" s="311"/>
      <c r="TIO73" s="311"/>
      <c r="TIP73" s="311"/>
      <c r="TIQ73" s="311"/>
      <c r="TIR73" s="311"/>
      <c r="TIS73" s="311"/>
      <c r="TIT73" s="311"/>
      <c r="TIU73" s="311"/>
      <c r="TIV73" s="311"/>
      <c r="TIW73" s="311"/>
      <c r="TIX73" s="311"/>
      <c r="TIY73" s="311"/>
      <c r="TIZ73" s="311"/>
      <c r="TJA73" s="311"/>
      <c r="TJB73" s="311"/>
      <c r="TJC73" s="311"/>
      <c r="TJD73" s="311"/>
      <c r="TJE73" s="311"/>
      <c r="TJF73" s="311"/>
      <c r="TJG73" s="311"/>
      <c r="TJH73" s="311"/>
      <c r="TJI73" s="311"/>
      <c r="TJJ73" s="311"/>
      <c r="TJK73" s="311"/>
      <c r="TJL73" s="311"/>
      <c r="TJM73" s="311"/>
      <c r="TJN73" s="311"/>
      <c r="TJO73" s="311"/>
      <c r="TJP73" s="311"/>
      <c r="TJQ73" s="311"/>
      <c r="TJR73" s="311"/>
      <c r="TJS73" s="311"/>
      <c r="TJT73" s="311"/>
      <c r="TJU73" s="311"/>
      <c r="TJV73" s="311"/>
      <c r="TJW73" s="311"/>
      <c r="TJX73" s="311"/>
      <c r="TJY73" s="311"/>
      <c r="TJZ73" s="311"/>
      <c r="TKA73" s="311"/>
      <c r="TKB73" s="311"/>
      <c r="TKC73" s="311"/>
      <c r="TKD73" s="311"/>
      <c r="TKE73" s="311"/>
      <c r="TKF73" s="311"/>
      <c r="TKG73" s="311"/>
      <c r="TKH73" s="311"/>
      <c r="TKI73" s="311"/>
      <c r="TKJ73" s="311"/>
      <c r="TKK73" s="311"/>
      <c r="TKL73" s="311"/>
      <c r="TKM73" s="311"/>
      <c r="TKN73" s="311"/>
      <c r="TKO73" s="311"/>
      <c r="TKP73" s="311"/>
      <c r="TKQ73" s="311"/>
      <c r="TKR73" s="311"/>
      <c r="TKS73" s="311"/>
      <c r="TKT73" s="311"/>
      <c r="TKU73" s="311"/>
      <c r="TKV73" s="311"/>
      <c r="TKW73" s="311"/>
      <c r="TKX73" s="311"/>
      <c r="TKY73" s="311"/>
      <c r="TKZ73" s="311"/>
      <c r="TLA73" s="311"/>
      <c r="TLB73" s="311"/>
      <c r="TLC73" s="311"/>
      <c r="TLD73" s="311"/>
      <c r="TLE73" s="311"/>
      <c r="TLF73" s="311"/>
      <c r="TLG73" s="311"/>
      <c r="TLH73" s="311"/>
      <c r="TLI73" s="311"/>
      <c r="TLJ73" s="311"/>
      <c r="TLK73" s="311"/>
      <c r="TLL73" s="311"/>
      <c r="TLM73" s="311"/>
      <c r="TLN73" s="311"/>
      <c r="TLO73" s="311"/>
      <c r="TLP73" s="311"/>
      <c r="TLQ73" s="311"/>
      <c r="TLR73" s="311"/>
      <c r="TLS73" s="311"/>
      <c r="TLT73" s="311"/>
      <c r="TLU73" s="311"/>
      <c r="TLV73" s="311"/>
      <c r="TLW73" s="311"/>
      <c r="TLX73" s="311"/>
      <c r="TLY73" s="311"/>
      <c r="TLZ73" s="311"/>
      <c r="TMA73" s="311"/>
      <c r="TMB73" s="311"/>
      <c r="TMC73" s="311"/>
      <c r="TMD73" s="311"/>
      <c r="TME73" s="311"/>
      <c r="TMF73" s="311"/>
      <c r="TMG73" s="311"/>
      <c r="TMH73" s="311"/>
      <c r="TMI73" s="311"/>
      <c r="TMJ73" s="311"/>
      <c r="TMK73" s="311"/>
      <c r="TML73" s="311"/>
      <c r="TMM73" s="311"/>
      <c r="TMN73" s="311"/>
      <c r="TMO73" s="311"/>
      <c r="TMP73" s="311"/>
      <c r="TMQ73" s="311"/>
      <c r="TMR73" s="311"/>
      <c r="TMS73" s="311"/>
      <c r="TMT73" s="311"/>
      <c r="TMU73" s="311"/>
      <c r="TMV73" s="311"/>
      <c r="TMW73" s="311"/>
      <c r="TMX73" s="311"/>
      <c r="TMY73" s="311"/>
      <c r="TMZ73" s="311"/>
      <c r="TNA73" s="311"/>
      <c r="TNB73" s="311"/>
      <c r="TNC73" s="311"/>
      <c r="TND73" s="311"/>
      <c r="TNE73" s="311"/>
      <c r="TNF73" s="311"/>
      <c r="TNG73" s="311"/>
      <c r="TNH73" s="311"/>
      <c r="TNI73" s="311"/>
      <c r="TNJ73" s="311"/>
      <c r="TNK73" s="311"/>
      <c r="TNL73" s="311"/>
      <c r="TNM73" s="311"/>
      <c r="TNN73" s="311"/>
      <c r="TNO73" s="311"/>
      <c r="TNP73" s="311"/>
      <c r="TNQ73" s="311"/>
      <c r="TNR73" s="311"/>
      <c r="TNS73" s="311"/>
      <c r="TNT73" s="311"/>
      <c r="TNU73" s="311"/>
      <c r="TNV73" s="311"/>
      <c r="TNW73" s="311"/>
      <c r="TNX73" s="311"/>
      <c r="TNY73" s="311"/>
      <c r="TNZ73" s="311"/>
      <c r="TOA73" s="311"/>
      <c r="TOB73" s="311"/>
      <c r="TOC73" s="311"/>
      <c r="TOD73" s="311"/>
      <c r="TOE73" s="311"/>
      <c r="TOF73" s="311"/>
      <c r="TOG73" s="311"/>
      <c r="TOH73" s="311"/>
      <c r="TOI73" s="311"/>
      <c r="TOJ73" s="311"/>
      <c r="TOK73" s="311"/>
      <c r="TOL73" s="311"/>
      <c r="TOM73" s="311"/>
      <c r="TON73" s="311"/>
      <c r="TOO73" s="311"/>
      <c r="TOP73" s="311"/>
      <c r="TOQ73" s="311"/>
      <c r="TOR73" s="311"/>
      <c r="TOS73" s="311"/>
      <c r="TOT73" s="311"/>
      <c r="TOU73" s="311"/>
      <c r="TOV73" s="311"/>
      <c r="TOW73" s="311"/>
      <c r="TOX73" s="311"/>
      <c r="TOY73" s="311"/>
      <c r="TOZ73" s="311"/>
      <c r="TPA73" s="311"/>
      <c r="TPB73" s="311"/>
      <c r="TPC73" s="311"/>
      <c r="TPD73" s="311"/>
      <c r="TPE73" s="311"/>
      <c r="TPF73" s="311"/>
      <c r="TPG73" s="311"/>
      <c r="TPH73" s="311"/>
      <c r="TPI73" s="311"/>
      <c r="TPJ73" s="311"/>
      <c r="TPK73" s="311"/>
      <c r="TPL73" s="311"/>
      <c r="TPM73" s="311"/>
      <c r="TPN73" s="311"/>
      <c r="TPO73" s="311"/>
      <c r="TPP73" s="311"/>
      <c r="TPQ73" s="311"/>
      <c r="TPR73" s="311"/>
      <c r="TPS73" s="311"/>
      <c r="TPT73" s="311"/>
      <c r="TPU73" s="311"/>
      <c r="TPV73" s="311"/>
      <c r="TPW73" s="311"/>
      <c r="TPX73" s="311"/>
      <c r="TPY73" s="311"/>
      <c r="TPZ73" s="311"/>
      <c r="TQA73" s="311"/>
      <c r="TQB73" s="311"/>
      <c r="TQC73" s="311"/>
      <c r="TQD73" s="311"/>
      <c r="TQE73" s="311"/>
      <c r="TQF73" s="311"/>
      <c r="TQG73" s="311"/>
      <c r="TQH73" s="311"/>
      <c r="TQI73" s="311"/>
      <c r="TQJ73" s="311"/>
      <c r="TQK73" s="311"/>
      <c r="TQL73" s="311"/>
      <c r="TQM73" s="311"/>
      <c r="TQN73" s="311"/>
      <c r="TQO73" s="311"/>
      <c r="TQP73" s="311"/>
      <c r="TQQ73" s="311"/>
      <c r="TQR73" s="311"/>
      <c r="TQS73" s="311"/>
      <c r="TQT73" s="311"/>
      <c r="TQU73" s="311"/>
      <c r="TQV73" s="311"/>
      <c r="TQW73" s="311"/>
      <c r="TQX73" s="311"/>
      <c r="TQY73" s="311"/>
      <c r="TQZ73" s="311"/>
      <c r="TRA73" s="311"/>
      <c r="TRB73" s="311"/>
      <c r="TRC73" s="311"/>
      <c r="TRD73" s="311"/>
      <c r="TRE73" s="311"/>
      <c r="TRF73" s="311"/>
      <c r="TRG73" s="311"/>
      <c r="TRH73" s="311"/>
      <c r="TRI73" s="311"/>
      <c r="TRJ73" s="311"/>
      <c r="TRK73" s="311"/>
      <c r="TRL73" s="311"/>
      <c r="TRM73" s="311"/>
      <c r="TRN73" s="311"/>
      <c r="TRO73" s="311"/>
      <c r="TRP73" s="311"/>
      <c r="TRQ73" s="311"/>
      <c r="TRR73" s="311"/>
      <c r="TRS73" s="311"/>
      <c r="TRT73" s="311"/>
      <c r="TRU73" s="311"/>
      <c r="TRV73" s="311"/>
      <c r="TRW73" s="311"/>
      <c r="TRX73" s="311"/>
      <c r="TRY73" s="311"/>
      <c r="TRZ73" s="311"/>
      <c r="TSA73" s="311"/>
      <c r="TSB73" s="311"/>
      <c r="TSC73" s="311"/>
      <c r="TSD73" s="311"/>
      <c r="TSE73" s="311"/>
      <c r="TSF73" s="311"/>
      <c r="TSG73" s="311"/>
      <c r="TSH73" s="311"/>
      <c r="TSI73" s="311"/>
      <c r="TSJ73" s="311"/>
      <c r="TSK73" s="311"/>
      <c r="TSL73" s="311"/>
      <c r="TSM73" s="311"/>
      <c r="TSN73" s="311"/>
      <c r="TSO73" s="311"/>
      <c r="TSP73" s="311"/>
      <c r="TSQ73" s="311"/>
      <c r="TSR73" s="311"/>
      <c r="TSS73" s="311"/>
      <c r="TST73" s="311"/>
      <c r="TSU73" s="311"/>
      <c r="TSV73" s="311"/>
      <c r="TSW73" s="311"/>
      <c r="TSX73" s="311"/>
      <c r="TSY73" s="311"/>
      <c r="TSZ73" s="311"/>
      <c r="TTA73" s="311"/>
      <c r="TTB73" s="311"/>
      <c r="TTC73" s="311"/>
      <c r="TTD73" s="311"/>
      <c r="TTE73" s="311"/>
      <c r="TTF73" s="311"/>
      <c r="TTG73" s="311"/>
      <c r="TTH73" s="311"/>
      <c r="TTI73" s="311"/>
      <c r="TTJ73" s="311"/>
      <c r="TTK73" s="311"/>
      <c r="TTL73" s="311"/>
      <c r="TTM73" s="311"/>
      <c r="TTN73" s="311"/>
      <c r="TTO73" s="311"/>
      <c r="TTP73" s="311"/>
      <c r="TTQ73" s="311"/>
      <c r="TTR73" s="311"/>
      <c r="TTS73" s="311"/>
      <c r="TTT73" s="311"/>
      <c r="TTU73" s="311"/>
      <c r="TTV73" s="311"/>
      <c r="TTW73" s="311"/>
      <c r="TTX73" s="311"/>
      <c r="TTY73" s="311"/>
      <c r="TTZ73" s="311"/>
      <c r="TUA73" s="311"/>
      <c r="TUB73" s="311"/>
      <c r="TUC73" s="311"/>
      <c r="TUD73" s="311"/>
      <c r="TUE73" s="311"/>
      <c r="TUF73" s="311"/>
      <c r="TUG73" s="311"/>
      <c r="TUH73" s="311"/>
      <c r="TUI73" s="311"/>
      <c r="TUJ73" s="311"/>
      <c r="TUK73" s="311"/>
      <c r="TUL73" s="311"/>
      <c r="TUM73" s="311"/>
      <c r="TUN73" s="311"/>
      <c r="TUO73" s="311"/>
      <c r="TUP73" s="311"/>
      <c r="TUQ73" s="311"/>
      <c r="TUR73" s="311"/>
      <c r="TUS73" s="311"/>
      <c r="TUT73" s="311"/>
      <c r="TUU73" s="311"/>
      <c r="TUV73" s="311"/>
      <c r="TUW73" s="311"/>
      <c r="TUX73" s="311"/>
      <c r="TUY73" s="311"/>
      <c r="TUZ73" s="311"/>
      <c r="TVA73" s="311"/>
      <c r="TVB73" s="311"/>
      <c r="TVC73" s="311"/>
      <c r="TVD73" s="311"/>
      <c r="TVE73" s="311"/>
      <c r="TVF73" s="311"/>
      <c r="TVG73" s="311"/>
      <c r="TVH73" s="311"/>
      <c r="TVI73" s="311"/>
      <c r="TVJ73" s="311"/>
      <c r="TVK73" s="311"/>
      <c r="TVL73" s="311"/>
      <c r="TVM73" s="311"/>
      <c r="TVN73" s="311"/>
      <c r="TVO73" s="311"/>
      <c r="TVP73" s="311"/>
      <c r="TVQ73" s="311"/>
      <c r="TVR73" s="311"/>
      <c r="TVS73" s="311"/>
      <c r="TVT73" s="311"/>
      <c r="TVU73" s="311"/>
      <c r="TVV73" s="311"/>
      <c r="TVW73" s="311"/>
      <c r="TVX73" s="311"/>
      <c r="TVY73" s="311"/>
      <c r="TVZ73" s="311"/>
      <c r="TWA73" s="311"/>
      <c r="TWB73" s="311"/>
      <c r="TWC73" s="311"/>
      <c r="TWD73" s="311"/>
      <c r="TWE73" s="311"/>
      <c r="TWF73" s="311"/>
      <c r="TWG73" s="311"/>
      <c r="TWH73" s="311"/>
      <c r="TWI73" s="311"/>
      <c r="TWJ73" s="311"/>
      <c r="TWK73" s="311"/>
      <c r="TWL73" s="311"/>
      <c r="TWM73" s="311"/>
      <c r="TWN73" s="311"/>
      <c r="TWO73" s="311"/>
      <c r="TWP73" s="311"/>
      <c r="TWQ73" s="311"/>
      <c r="TWR73" s="311"/>
      <c r="TWS73" s="311"/>
      <c r="TWT73" s="311"/>
      <c r="TWU73" s="311"/>
      <c r="TWV73" s="311"/>
      <c r="TWW73" s="311"/>
      <c r="TWX73" s="311"/>
      <c r="TWY73" s="311"/>
      <c r="TWZ73" s="311"/>
      <c r="TXA73" s="311"/>
      <c r="TXB73" s="311"/>
      <c r="TXC73" s="311"/>
      <c r="TXD73" s="311"/>
      <c r="TXE73" s="311"/>
      <c r="TXF73" s="311"/>
      <c r="TXG73" s="311"/>
      <c r="TXH73" s="311"/>
      <c r="TXI73" s="311"/>
      <c r="TXJ73" s="311"/>
      <c r="TXK73" s="311"/>
      <c r="TXL73" s="311"/>
      <c r="TXM73" s="311"/>
      <c r="TXN73" s="311"/>
      <c r="TXO73" s="311"/>
      <c r="TXP73" s="311"/>
      <c r="TXQ73" s="311"/>
      <c r="TXR73" s="311"/>
      <c r="TXS73" s="311"/>
      <c r="TXT73" s="311"/>
      <c r="TXU73" s="311"/>
      <c r="TXV73" s="311"/>
      <c r="TXW73" s="311"/>
      <c r="TXX73" s="311"/>
      <c r="TXY73" s="311"/>
      <c r="TXZ73" s="311"/>
      <c r="TYA73" s="311"/>
      <c r="TYB73" s="311"/>
      <c r="TYC73" s="311"/>
      <c r="TYD73" s="311"/>
      <c r="TYE73" s="311"/>
      <c r="TYF73" s="311"/>
      <c r="TYG73" s="311"/>
      <c r="TYH73" s="311"/>
      <c r="TYI73" s="311"/>
      <c r="TYJ73" s="311"/>
      <c r="TYK73" s="311"/>
      <c r="TYL73" s="311"/>
      <c r="TYM73" s="311"/>
      <c r="TYN73" s="311"/>
      <c r="TYO73" s="311"/>
      <c r="TYP73" s="311"/>
      <c r="TYQ73" s="311"/>
      <c r="TYR73" s="311"/>
      <c r="TYS73" s="311"/>
      <c r="TYT73" s="311"/>
      <c r="TYU73" s="311"/>
      <c r="TYV73" s="311"/>
      <c r="TYW73" s="311"/>
      <c r="TYX73" s="311"/>
      <c r="TYY73" s="311"/>
      <c r="TYZ73" s="311"/>
      <c r="TZA73" s="311"/>
      <c r="TZB73" s="311"/>
      <c r="TZC73" s="311"/>
      <c r="TZD73" s="311"/>
      <c r="TZE73" s="311"/>
      <c r="TZF73" s="311"/>
      <c r="TZG73" s="311"/>
      <c r="TZH73" s="311"/>
      <c r="TZI73" s="311"/>
      <c r="TZJ73" s="311"/>
      <c r="TZK73" s="311"/>
      <c r="TZL73" s="311"/>
      <c r="TZM73" s="311"/>
      <c r="TZN73" s="311"/>
      <c r="TZO73" s="311"/>
      <c r="TZP73" s="311"/>
      <c r="TZQ73" s="311"/>
      <c r="TZR73" s="311"/>
      <c r="TZS73" s="311"/>
      <c r="TZT73" s="311"/>
      <c r="TZU73" s="311"/>
      <c r="TZV73" s="311"/>
      <c r="TZW73" s="311"/>
      <c r="TZX73" s="311"/>
      <c r="TZY73" s="311"/>
      <c r="TZZ73" s="311"/>
      <c r="UAA73" s="311"/>
      <c r="UAB73" s="311"/>
      <c r="UAC73" s="311"/>
      <c r="UAD73" s="311"/>
      <c r="UAE73" s="311"/>
      <c r="UAF73" s="311"/>
      <c r="UAG73" s="311"/>
      <c r="UAH73" s="311"/>
      <c r="UAI73" s="311"/>
      <c r="UAJ73" s="311"/>
      <c r="UAK73" s="311"/>
      <c r="UAL73" s="311"/>
      <c r="UAM73" s="311"/>
      <c r="UAN73" s="311"/>
      <c r="UAO73" s="311"/>
      <c r="UAP73" s="311"/>
      <c r="UAQ73" s="311"/>
      <c r="UAR73" s="311"/>
      <c r="UAS73" s="311"/>
      <c r="UAT73" s="311"/>
      <c r="UAU73" s="311"/>
      <c r="UAV73" s="311"/>
      <c r="UAW73" s="311"/>
      <c r="UAX73" s="311"/>
      <c r="UAY73" s="311"/>
      <c r="UAZ73" s="311"/>
      <c r="UBA73" s="311"/>
      <c r="UBB73" s="311"/>
      <c r="UBC73" s="311"/>
      <c r="UBD73" s="311"/>
      <c r="UBE73" s="311"/>
      <c r="UBF73" s="311"/>
      <c r="UBG73" s="311"/>
      <c r="UBH73" s="311"/>
      <c r="UBI73" s="311"/>
      <c r="UBJ73" s="311"/>
      <c r="UBK73" s="311"/>
      <c r="UBL73" s="311"/>
      <c r="UBM73" s="311"/>
      <c r="UBN73" s="311"/>
      <c r="UBO73" s="311"/>
      <c r="UBP73" s="311"/>
      <c r="UBQ73" s="311"/>
      <c r="UBR73" s="311"/>
      <c r="UBS73" s="311"/>
      <c r="UBT73" s="311"/>
      <c r="UBU73" s="311"/>
      <c r="UBV73" s="311"/>
      <c r="UBW73" s="311"/>
      <c r="UBX73" s="311"/>
      <c r="UBY73" s="311"/>
      <c r="UBZ73" s="311"/>
      <c r="UCA73" s="311"/>
      <c r="UCB73" s="311"/>
      <c r="UCC73" s="311"/>
      <c r="UCD73" s="311"/>
      <c r="UCE73" s="311"/>
      <c r="UCF73" s="311"/>
      <c r="UCG73" s="311"/>
      <c r="UCH73" s="311"/>
      <c r="UCI73" s="311"/>
      <c r="UCJ73" s="311"/>
      <c r="UCK73" s="311"/>
      <c r="UCL73" s="311"/>
      <c r="UCM73" s="311"/>
      <c r="UCN73" s="311"/>
      <c r="UCO73" s="311"/>
      <c r="UCP73" s="311"/>
      <c r="UCQ73" s="311"/>
      <c r="UCR73" s="311"/>
      <c r="UCS73" s="311"/>
      <c r="UCT73" s="311"/>
      <c r="UCU73" s="311"/>
      <c r="UCV73" s="311"/>
      <c r="UCW73" s="311"/>
      <c r="UCX73" s="311"/>
      <c r="UCY73" s="311"/>
      <c r="UCZ73" s="311"/>
      <c r="UDA73" s="311"/>
      <c r="UDB73" s="311"/>
      <c r="UDC73" s="311"/>
      <c r="UDD73" s="311"/>
      <c r="UDE73" s="311"/>
      <c r="UDF73" s="311"/>
      <c r="UDG73" s="311"/>
      <c r="UDH73" s="311"/>
      <c r="UDI73" s="311"/>
      <c r="UDJ73" s="311"/>
      <c r="UDK73" s="311"/>
      <c r="UDL73" s="311"/>
      <c r="UDM73" s="311"/>
      <c r="UDN73" s="311"/>
      <c r="UDO73" s="311"/>
      <c r="UDP73" s="311"/>
      <c r="UDQ73" s="311"/>
      <c r="UDR73" s="311"/>
      <c r="UDS73" s="311"/>
      <c r="UDT73" s="311"/>
      <c r="UDU73" s="311"/>
      <c r="UDV73" s="311"/>
      <c r="UDW73" s="311"/>
      <c r="UDX73" s="311"/>
      <c r="UDY73" s="311"/>
      <c r="UDZ73" s="311"/>
      <c r="UEA73" s="311"/>
      <c r="UEB73" s="311"/>
      <c r="UEC73" s="311"/>
      <c r="UED73" s="311"/>
      <c r="UEE73" s="311"/>
      <c r="UEF73" s="311"/>
      <c r="UEG73" s="311"/>
      <c r="UEH73" s="311"/>
      <c r="UEI73" s="311"/>
      <c r="UEJ73" s="311"/>
      <c r="UEK73" s="311"/>
      <c r="UEL73" s="311"/>
      <c r="UEM73" s="311"/>
      <c r="UEN73" s="311"/>
      <c r="UEO73" s="311"/>
      <c r="UEP73" s="311"/>
      <c r="UEQ73" s="311"/>
      <c r="UER73" s="311"/>
      <c r="UES73" s="311"/>
      <c r="UET73" s="311"/>
      <c r="UEU73" s="311"/>
      <c r="UEV73" s="311"/>
      <c r="UEW73" s="311"/>
      <c r="UEX73" s="311"/>
      <c r="UEY73" s="311"/>
      <c r="UEZ73" s="311"/>
      <c r="UFA73" s="311"/>
      <c r="UFB73" s="311"/>
      <c r="UFC73" s="311"/>
      <c r="UFD73" s="311"/>
      <c r="UFE73" s="311"/>
      <c r="UFF73" s="311"/>
      <c r="UFG73" s="311"/>
      <c r="UFH73" s="311"/>
      <c r="UFI73" s="311"/>
      <c r="UFJ73" s="311"/>
      <c r="UFK73" s="311"/>
      <c r="UFL73" s="311"/>
      <c r="UFM73" s="311"/>
      <c r="UFN73" s="311"/>
      <c r="UFO73" s="311"/>
      <c r="UFP73" s="311"/>
      <c r="UFQ73" s="311"/>
      <c r="UFR73" s="311"/>
      <c r="UFS73" s="311"/>
      <c r="UFT73" s="311"/>
      <c r="UFU73" s="311"/>
      <c r="UFV73" s="311"/>
      <c r="UFW73" s="311"/>
      <c r="UFX73" s="311"/>
      <c r="UFY73" s="311"/>
      <c r="UFZ73" s="311"/>
      <c r="UGA73" s="311"/>
      <c r="UGB73" s="311"/>
      <c r="UGC73" s="311"/>
      <c r="UGD73" s="311"/>
      <c r="UGE73" s="311"/>
      <c r="UGF73" s="311"/>
      <c r="UGG73" s="311"/>
      <c r="UGH73" s="311"/>
      <c r="UGI73" s="311"/>
      <c r="UGJ73" s="311"/>
      <c r="UGK73" s="311"/>
      <c r="UGL73" s="311"/>
      <c r="UGM73" s="311"/>
      <c r="UGN73" s="311"/>
      <c r="UGO73" s="311"/>
      <c r="UGP73" s="311"/>
      <c r="UGQ73" s="311"/>
      <c r="UGR73" s="311"/>
      <c r="UGS73" s="311"/>
      <c r="UGT73" s="311"/>
      <c r="UGU73" s="311"/>
      <c r="UGV73" s="311"/>
      <c r="UGW73" s="311"/>
      <c r="UGX73" s="311"/>
      <c r="UGY73" s="311"/>
      <c r="UGZ73" s="311"/>
      <c r="UHA73" s="311"/>
      <c r="UHB73" s="311"/>
      <c r="UHC73" s="311"/>
      <c r="UHD73" s="311"/>
      <c r="UHE73" s="311"/>
      <c r="UHF73" s="311"/>
      <c r="UHG73" s="311"/>
      <c r="UHH73" s="311"/>
      <c r="UHI73" s="311"/>
      <c r="UHJ73" s="311"/>
      <c r="UHK73" s="311"/>
      <c r="UHL73" s="311"/>
      <c r="UHM73" s="311"/>
      <c r="UHN73" s="311"/>
      <c r="UHO73" s="311"/>
      <c r="UHP73" s="311"/>
      <c r="UHQ73" s="311"/>
      <c r="UHR73" s="311"/>
      <c r="UHS73" s="311"/>
      <c r="UHT73" s="311"/>
      <c r="UHU73" s="311"/>
      <c r="UHV73" s="311"/>
      <c r="UHW73" s="311"/>
      <c r="UHX73" s="311"/>
      <c r="UHY73" s="311"/>
      <c r="UHZ73" s="311"/>
      <c r="UIA73" s="311"/>
      <c r="UIB73" s="311"/>
      <c r="UIC73" s="311"/>
      <c r="UID73" s="311"/>
      <c r="UIE73" s="311"/>
      <c r="UIF73" s="311"/>
      <c r="UIG73" s="311"/>
      <c r="UIH73" s="311"/>
      <c r="UII73" s="311"/>
      <c r="UIJ73" s="311"/>
      <c r="UIK73" s="311"/>
      <c r="UIL73" s="311"/>
      <c r="UIM73" s="311"/>
      <c r="UIN73" s="311"/>
      <c r="UIO73" s="311"/>
      <c r="UIP73" s="311"/>
      <c r="UIQ73" s="311"/>
      <c r="UIR73" s="311"/>
      <c r="UIS73" s="311"/>
      <c r="UIT73" s="311"/>
      <c r="UIU73" s="311"/>
      <c r="UIV73" s="311"/>
      <c r="UIW73" s="311"/>
      <c r="UIX73" s="311"/>
      <c r="UIY73" s="311"/>
      <c r="UIZ73" s="311"/>
      <c r="UJA73" s="311"/>
      <c r="UJB73" s="311"/>
      <c r="UJC73" s="311"/>
      <c r="UJD73" s="311"/>
      <c r="UJE73" s="311"/>
      <c r="UJF73" s="311"/>
      <c r="UJG73" s="311"/>
      <c r="UJH73" s="311"/>
      <c r="UJI73" s="311"/>
      <c r="UJJ73" s="311"/>
      <c r="UJK73" s="311"/>
      <c r="UJL73" s="311"/>
      <c r="UJM73" s="311"/>
      <c r="UJN73" s="311"/>
      <c r="UJO73" s="311"/>
      <c r="UJP73" s="311"/>
      <c r="UJQ73" s="311"/>
      <c r="UJR73" s="311"/>
      <c r="UJS73" s="311"/>
      <c r="UJT73" s="311"/>
      <c r="UJU73" s="311"/>
      <c r="UJV73" s="311"/>
      <c r="UJW73" s="311"/>
      <c r="UJX73" s="311"/>
      <c r="UJY73" s="311"/>
      <c r="UJZ73" s="311"/>
      <c r="UKA73" s="311"/>
      <c r="UKB73" s="311"/>
      <c r="UKC73" s="311"/>
      <c r="UKD73" s="311"/>
      <c r="UKE73" s="311"/>
      <c r="UKF73" s="311"/>
      <c r="UKG73" s="311"/>
      <c r="UKH73" s="311"/>
      <c r="UKI73" s="311"/>
      <c r="UKJ73" s="311"/>
      <c r="UKK73" s="311"/>
      <c r="UKL73" s="311"/>
      <c r="UKM73" s="311"/>
      <c r="UKN73" s="311"/>
      <c r="UKO73" s="311"/>
      <c r="UKP73" s="311"/>
      <c r="UKQ73" s="311"/>
      <c r="UKR73" s="311"/>
      <c r="UKS73" s="311"/>
      <c r="UKT73" s="311"/>
      <c r="UKU73" s="311"/>
      <c r="UKV73" s="311"/>
      <c r="UKW73" s="311"/>
      <c r="UKX73" s="311"/>
      <c r="UKY73" s="311"/>
      <c r="UKZ73" s="311"/>
      <c r="ULA73" s="311"/>
      <c r="ULB73" s="311"/>
      <c r="ULC73" s="311"/>
      <c r="ULD73" s="311"/>
      <c r="ULE73" s="311"/>
      <c r="ULF73" s="311"/>
      <c r="ULG73" s="311"/>
      <c r="ULH73" s="311"/>
      <c r="ULI73" s="311"/>
      <c r="ULJ73" s="311"/>
      <c r="ULK73" s="311"/>
      <c r="ULL73" s="311"/>
      <c r="ULM73" s="311"/>
      <c r="ULN73" s="311"/>
      <c r="ULO73" s="311"/>
      <c r="ULP73" s="311"/>
      <c r="ULQ73" s="311"/>
      <c r="ULR73" s="311"/>
      <c r="ULS73" s="311"/>
      <c r="ULT73" s="311"/>
      <c r="ULU73" s="311"/>
      <c r="ULV73" s="311"/>
      <c r="ULW73" s="311"/>
      <c r="ULX73" s="311"/>
      <c r="ULY73" s="311"/>
      <c r="ULZ73" s="311"/>
      <c r="UMA73" s="311"/>
      <c r="UMB73" s="311"/>
      <c r="UMC73" s="311"/>
      <c r="UMD73" s="311"/>
      <c r="UME73" s="311"/>
      <c r="UMF73" s="311"/>
      <c r="UMG73" s="311"/>
      <c r="UMH73" s="311"/>
      <c r="UMI73" s="311"/>
      <c r="UMJ73" s="311"/>
      <c r="UMK73" s="311"/>
      <c r="UML73" s="311"/>
      <c r="UMM73" s="311"/>
      <c r="UMN73" s="311"/>
      <c r="UMO73" s="311"/>
      <c r="UMP73" s="311"/>
      <c r="UMQ73" s="311"/>
      <c r="UMR73" s="311"/>
      <c r="UMS73" s="311"/>
      <c r="UMT73" s="311"/>
      <c r="UMU73" s="311"/>
      <c r="UMV73" s="311"/>
      <c r="UMW73" s="311"/>
      <c r="UMX73" s="311"/>
      <c r="UMY73" s="311"/>
      <c r="UMZ73" s="311"/>
      <c r="UNA73" s="311"/>
      <c r="UNB73" s="311"/>
      <c r="UNC73" s="311"/>
      <c r="UND73" s="311"/>
      <c r="UNE73" s="311"/>
      <c r="UNF73" s="311"/>
      <c r="UNG73" s="311"/>
      <c r="UNH73" s="311"/>
      <c r="UNI73" s="311"/>
      <c r="UNJ73" s="311"/>
      <c r="UNK73" s="311"/>
      <c r="UNL73" s="311"/>
      <c r="UNM73" s="311"/>
      <c r="UNN73" s="311"/>
      <c r="UNO73" s="311"/>
      <c r="UNP73" s="311"/>
      <c r="UNQ73" s="311"/>
      <c r="UNR73" s="311"/>
      <c r="UNS73" s="311"/>
      <c r="UNT73" s="311"/>
      <c r="UNU73" s="311"/>
      <c r="UNV73" s="311"/>
      <c r="UNW73" s="311"/>
      <c r="UNX73" s="311"/>
      <c r="UNY73" s="311"/>
      <c r="UNZ73" s="311"/>
      <c r="UOA73" s="311"/>
      <c r="UOB73" s="311"/>
      <c r="UOC73" s="311"/>
      <c r="UOD73" s="311"/>
      <c r="UOE73" s="311"/>
      <c r="UOF73" s="311"/>
      <c r="UOG73" s="311"/>
      <c r="UOH73" s="311"/>
      <c r="UOI73" s="311"/>
      <c r="UOJ73" s="311"/>
      <c r="UOK73" s="311"/>
      <c r="UOL73" s="311"/>
      <c r="UOM73" s="311"/>
      <c r="UON73" s="311"/>
      <c r="UOO73" s="311"/>
      <c r="UOP73" s="311"/>
      <c r="UOQ73" s="311"/>
      <c r="UOR73" s="311"/>
      <c r="UOS73" s="311"/>
      <c r="UOT73" s="311"/>
      <c r="UOU73" s="311"/>
      <c r="UOV73" s="311"/>
      <c r="UOW73" s="311"/>
      <c r="UOX73" s="311"/>
      <c r="UOY73" s="311"/>
      <c r="UOZ73" s="311"/>
      <c r="UPA73" s="311"/>
      <c r="UPB73" s="311"/>
      <c r="UPC73" s="311"/>
      <c r="UPD73" s="311"/>
      <c r="UPE73" s="311"/>
      <c r="UPF73" s="311"/>
      <c r="UPG73" s="311"/>
      <c r="UPH73" s="311"/>
      <c r="UPI73" s="311"/>
      <c r="UPJ73" s="311"/>
      <c r="UPK73" s="311"/>
      <c r="UPL73" s="311"/>
      <c r="UPM73" s="311"/>
      <c r="UPN73" s="311"/>
      <c r="UPO73" s="311"/>
      <c r="UPP73" s="311"/>
      <c r="UPQ73" s="311"/>
      <c r="UPR73" s="311"/>
      <c r="UPS73" s="311"/>
      <c r="UPT73" s="311"/>
      <c r="UPU73" s="311"/>
      <c r="UPV73" s="311"/>
      <c r="UPW73" s="311"/>
      <c r="UPX73" s="311"/>
      <c r="UPY73" s="311"/>
      <c r="UPZ73" s="311"/>
      <c r="UQA73" s="311"/>
      <c r="UQB73" s="311"/>
      <c r="UQC73" s="311"/>
      <c r="UQD73" s="311"/>
      <c r="UQE73" s="311"/>
      <c r="UQF73" s="311"/>
      <c r="UQG73" s="311"/>
      <c r="UQH73" s="311"/>
      <c r="UQI73" s="311"/>
      <c r="UQJ73" s="311"/>
      <c r="UQK73" s="311"/>
      <c r="UQL73" s="311"/>
      <c r="UQM73" s="311"/>
      <c r="UQN73" s="311"/>
      <c r="UQO73" s="311"/>
      <c r="UQP73" s="311"/>
      <c r="UQQ73" s="311"/>
      <c r="UQR73" s="311"/>
      <c r="UQS73" s="311"/>
      <c r="UQT73" s="311"/>
      <c r="UQU73" s="311"/>
      <c r="UQV73" s="311"/>
      <c r="UQW73" s="311"/>
      <c r="UQX73" s="311"/>
      <c r="UQY73" s="311"/>
      <c r="UQZ73" s="311"/>
      <c r="URA73" s="311"/>
      <c r="URB73" s="311"/>
      <c r="URC73" s="311"/>
      <c r="URD73" s="311"/>
      <c r="URE73" s="311"/>
      <c r="URF73" s="311"/>
      <c r="URG73" s="311"/>
      <c r="URH73" s="311"/>
      <c r="URI73" s="311"/>
      <c r="URJ73" s="311"/>
      <c r="URK73" s="311"/>
      <c r="URL73" s="311"/>
      <c r="URM73" s="311"/>
      <c r="URN73" s="311"/>
      <c r="URO73" s="311"/>
      <c r="URP73" s="311"/>
      <c r="URQ73" s="311"/>
      <c r="URR73" s="311"/>
      <c r="URS73" s="311"/>
      <c r="URT73" s="311"/>
      <c r="URU73" s="311"/>
      <c r="URV73" s="311"/>
      <c r="URW73" s="311"/>
      <c r="URX73" s="311"/>
      <c r="URY73" s="311"/>
      <c r="URZ73" s="311"/>
      <c r="USA73" s="311"/>
      <c r="USB73" s="311"/>
      <c r="USC73" s="311"/>
      <c r="USD73" s="311"/>
      <c r="USE73" s="311"/>
      <c r="USF73" s="311"/>
      <c r="USG73" s="311"/>
      <c r="USH73" s="311"/>
      <c r="USI73" s="311"/>
      <c r="USJ73" s="311"/>
      <c r="USK73" s="311"/>
      <c r="USL73" s="311"/>
      <c r="USM73" s="311"/>
      <c r="USN73" s="311"/>
      <c r="USO73" s="311"/>
      <c r="USP73" s="311"/>
      <c r="USQ73" s="311"/>
      <c r="USR73" s="311"/>
      <c r="USS73" s="311"/>
      <c r="UST73" s="311"/>
      <c r="USU73" s="311"/>
      <c r="USV73" s="311"/>
      <c r="USW73" s="311"/>
      <c r="USX73" s="311"/>
      <c r="USY73" s="311"/>
      <c r="USZ73" s="311"/>
      <c r="UTA73" s="311"/>
      <c r="UTB73" s="311"/>
      <c r="UTC73" s="311"/>
      <c r="UTD73" s="311"/>
      <c r="UTE73" s="311"/>
      <c r="UTF73" s="311"/>
      <c r="UTG73" s="311"/>
      <c r="UTH73" s="311"/>
      <c r="UTI73" s="311"/>
      <c r="UTJ73" s="311"/>
      <c r="UTK73" s="311"/>
      <c r="UTL73" s="311"/>
      <c r="UTM73" s="311"/>
      <c r="UTN73" s="311"/>
      <c r="UTO73" s="311"/>
      <c r="UTP73" s="311"/>
      <c r="UTQ73" s="311"/>
      <c r="UTR73" s="311"/>
      <c r="UTS73" s="311"/>
      <c r="UTT73" s="311"/>
      <c r="UTU73" s="311"/>
      <c r="UTV73" s="311"/>
      <c r="UTW73" s="311"/>
      <c r="UTX73" s="311"/>
      <c r="UTY73" s="311"/>
      <c r="UTZ73" s="311"/>
      <c r="UUA73" s="311"/>
      <c r="UUB73" s="311"/>
      <c r="UUC73" s="311"/>
      <c r="UUD73" s="311"/>
      <c r="UUE73" s="311"/>
      <c r="UUF73" s="311"/>
      <c r="UUG73" s="311"/>
      <c r="UUH73" s="311"/>
      <c r="UUI73" s="311"/>
      <c r="UUJ73" s="311"/>
      <c r="UUK73" s="311"/>
      <c r="UUL73" s="311"/>
      <c r="UUM73" s="311"/>
      <c r="UUN73" s="311"/>
      <c r="UUO73" s="311"/>
      <c r="UUP73" s="311"/>
      <c r="UUQ73" s="311"/>
      <c r="UUR73" s="311"/>
      <c r="UUS73" s="311"/>
      <c r="UUT73" s="311"/>
      <c r="UUU73" s="311"/>
      <c r="UUV73" s="311"/>
      <c r="UUW73" s="311"/>
      <c r="UUX73" s="311"/>
      <c r="UUY73" s="311"/>
      <c r="UUZ73" s="311"/>
      <c r="UVA73" s="311"/>
      <c r="UVB73" s="311"/>
      <c r="UVC73" s="311"/>
      <c r="UVD73" s="311"/>
      <c r="UVE73" s="311"/>
      <c r="UVF73" s="311"/>
      <c r="UVG73" s="311"/>
      <c r="UVH73" s="311"/>
      <c r="UVI73" s="311"/>
      <c r="UVJ73" s="311"/>
      <c r="UVK73" s="311"/>
      <c r="UVL73" s="311"/>
      <c r="UVM73" s="311"/>
      <c r="UVN73" s="311"/>
      <c r="UVO73" s="311"/>
      <c r="UVP73" s="311"/>
      <c r="UVQ73" s="311"/>
      <c r="UVR73" s="311"/>
      <c r="UVS73" s="311"/>
      <c r="UVT73" s="311"/>
      <c r="UVU73" s="311"/>
      <c r="UVV73" s="311"/>
      <c r="UVW73" s="311"/>
      <c r="UVX73" s="311"/>
      <c r="UVY73" s="311"/>
      <c r="UVZ73" s="311"/>
      <c r="UWA73" s="311"/>
      <c r="UWB73" s="311"/>
      <c r="UWC73" s="311"/>
      <c r="UWD73" s="311"/>
      <c r="UWE73" s="311"/>
      <c r="UWF73" s="311"/>
      <c r="UWG73" s="311"/>
      <c r="UWH73" s="311"/>
      <c r="UWI73" s="311"/>
      <c r="UWJ73" s="311"/>
      <c r="UWK73" s="311"/>
      <c r="UWL73" s="311"/>
      <c r="UWM73" s="311"/>
      <c r="UWN73" s="311"/>
      <c r="UWO73" s="311"/>
      <c r="UWP73" s="311"/>
      <c r="UWQ73" s="311"/>
      <c r="UWR73" s="311"/>
      <c r="UWS73" s="311"/>
      <c r="UWT73" s="311"/>
      <c r="UWU73" s="311"/>
      <c r="UWV73" s="311"/>
      <c r="UWW73" s="311"/>
      <c r="UWX73" s="311"/>
      <c r="UWY73" s="311"/>
      <c r="UWZ73" s="311"/>
      <c r="UXA73" s="311"/>
      <c r="UXB73" s="311"/>
      <c r="UXC73" s="311"/>
      <c r="UXD73" s="311"/>
      <c r="UXE73" s="311"/>
      <c r="UXF73" s="311"/>
      <c r="UXG73" s="311"/>
      <c r="UXH73" s="311"/>
      <c r="UXI73" s="311"/>
      <c r="UXJ73" s="311"/>
      <c r="UXK73" s="311"/>
      <c r="UXL73" s="311"/>
      <c r="UXM73" s="311"/>
      <c r="UXN73" s="311"/>
      <c r="UXO73" s="311"/>
      <c r="UXP73" s="311"/>
      <c r="UXQ73" s="311"/>
      <c r="UXR73" s="311"/>
      <c r="UXS73" s="311"/>
      <c r="UXT73" s="311"/>
      <c r="UXU73" s="311"/>
      <c r="UXV73" s="311"/>
      <c r="UXW73" s="311"/>
      <c r="UXX73" s="311"/>
      <c r="UXY73" s="311"/>
      <c r="UXZ73" s="311"/>
      <c r="UYA73" s="311"/>
      <c r="UYB73" s="311"/>
      <c r="UYC73" s="311"/>
      <c r="UYD73" s="311"/>
      <c r="UYE73" s="311"/>
      <c r="UYF73" s="311"/>
      <c r="UYG73" s="311"/>
      <c r="UYH73" s="311"/>
      <c r="UYI73" s="311"/>
      <c r="UYJ73" s="311"/>
      <c r="UYK73" s="311"/>
      <c r="UYL73" s="311"/>
      <c r="UYM73" s="311"/>
      <c r="UYN73" s="311"/>
      <c r="UYO73" s="311"/>
      <c r="UYP73" s="311"/>
      <c r="UYQ73" s="311"/>
      <c r="UYR73" s="311"/>
      <c r="UYS73" s="311"/>
      <c r="UYT73" s="311"/>
      <c r="UYU73" s="311"/>
      <c r="UYV73" s="311"/>
      <c r="UYW73" s="311"/>
      <c r="UYX73" s="311"/>
      <c r="UYY73" s="311"/>
      <c r="UYZ73" s="311"/>
      <c r="UZA73" s="311"/>
      <c r="UZB73" s="311"/>
      <c r="UZC73" s="311"/>
      <c r="UZD73" s="311"/>
      <c r="UZE73" s="311"/>
      <c r="UZF73" s="311"/>
      <c r="UZG73" s="311"/>
      <c r="UZH73" s="311"/>
      <c r="UZI73" s="311"/>
      <c r="UZJ73" s="311"/>
      <c r="UZK73" s="311"/>
      <c r="UZL73" s="311"/>
      <c r="UZM73" s="311"/>
      <c r="UZN73" s="311"/>
      <c r="UZO73" s="311"/>
      <c r="UZP73" s="311"/>
      <c r="UZQ73" s="311"/>
      <c r="UZR73" s="311"/>
      <c r="UZS73" s="311"/>
      <c r="UZT73" s="311"/>
      <c r="UZU73" s="311"/>
      <c r="UZV73" s="311"/>
      <c r="UZW73" s="311"/>
      <c r="UZX73" s="311"/>
      <c r="UZY73" s="311"/>
      <c r="UZZ73" s="311"/>
      <c r="VAA73" s="311"/>
      <c r="VAB73" s="311"/>
      <c r="VAC73" s="311"/>
      <c r="VAD73" s="311"/>
      <c r="VAE73" s="311"/>
      <c r="VAF73" s="311"/>
      <c r="VAG73" s="311"/>
      <c r="VAH73" s="311"/>
      <c r="VAI73" s="311"/>
      <c r="VAJ73" s="311"/>
      <c r="VAK73" s="311"/>
      <c r="VAL73" s="311"/>
      <c r="VAM73" s="311"/>
      <c r="VAN73" s="311"/>
      <c r="VAO73" s="311"/>
      <c r="VAP73" s="311"/>
      <c r="VAQ73" s="311"/>
      <c r="VAR73" s="311"/>
      <c r="VAS73" s="311"/>
      <c r="VAT73" s="311"/>
      <c r="VAU73" s="311"/>
      <c r="VAV73" s="311"/>
      <c r="VAW73" s="311"/>
      <c r="VAX73" s="311"/>
      <c r="VAY73" s="311"/>
      <c r="VAZ73" s="311"/>
      <c r="VBA73" s="311"/>
      <c r="VBB73" s="311"/>
      <c r="VBC73" s="311"/>
      <c r="VBD73" s="311"/>
      <c r="VBE73" s="311"/>
      <c r="VBF73" s="311"/>
      <c r="VBG73" s="311"/>
      <c r="VBH73" s="311"/>
      <c r="VBI73" s="311"/>
      <c r="VBJ73" s="311"/>
      <c r="VBK73" s="311"/>
      <c r="VBL73" s="311"/>
      <c r="VBM73" s="311"/>
      <c r="VBN73" s="311"/>
      <c r="VBO73" s="311"/>
      <c r="VBP73" s="311"/>
      <c r="VBQ73" s="311"/>
      <c r="VBR73" s="311"/>
      <c r="VBS73" s="311"/>
      <c r="VBT73" s="311"/>
      <c r="VBU73" s="311"/>
      <c r="VBV73" s="311"/>
      <c r="VBW73" s="311"/>
      <c r="VBX73" s="311"/>
      <c r="VBY73" s="311"/>
      <c r="VBZ73" s="311"/>
      <c r="VCA73" s="311"/>
      <c r="VCB73" s="311"/>
      <c r="VCC73" s="311"/>
      <c r="VCD73" s="311"/>
      <c r="VCE73" s="311"/>
      <c r="VCF73" s="311"/>
      <c r="VCG73" s="311"/>
      <c r="VCH73" s="311"/>
      <c r="VCI73" s="311"/>
      <c r="VCJ73" s="311"/>
      <c r="VCK73" s="311"/>
      <c r="VCL73" s="311"/>
      <c r="VCM73" s="311"/>
      <c r="VCN73" s="311"/>
      <c r="VCO73" s="311"/>
      <c r="VCP73" s="311"/>
      <c r="VCQ73" s="311"/>
      <c r="VCR73" s="311"/>
      <c r="VCS73" s="311"/>
      <c r="VCT73" s="311"/>
      <c r="VCU73" s="311"/>
      <c r="VCV73" s="311"/>
      <c r="VCW73" s="311"/>
      <c r="VCX73" s="311"/>
      <c r="VCY73" s="311"/>
      <c r="VCZ73" s="311"/>
      <c r="VDA73" s="311"/>
      <c r="VDB73" s="311"/>
      <c r="VDC73" s="311"/>
      <c r="VDD73" s="311"/>
      <c r="VDE73" s="311"/>
      <c r="VDF73" s="311"/>
      <c r="VDG73" s="311"/>
      <c r="VDH73" s="311"/>
      <c r="VDI73" s="311"/>
      <c r="VDJ73" s="311"/>
      <c r="VDK73" s="311"/>
      <c r="VDL73" s="311"/>
      <c r="VDM73" s="311"/>
      <c r="VDN73" s="311"/>
      <c r="VDO73" s="311"/>
      <c r="VDP73" s="311"/>
      <c r="VDQ73" s="311"/>
      <c r="VDR73" s="311"/>
      <c r="VDS73" s="311"/>
      <c r="VDT73" s="311"/>
      <c r="VDU73" s="311"/>
      <c r="VDV73" s="311"/>
      <c r="VDW73" s="311"/>
      <c r="VDX73" s="311"/>
      <c r="VDY73" s="311"/>
      <c r="VDZ73" s="311"/>
      <c r="VEA73" s="311"/>
      <c r="VEB73" s="311"/>
      <c r="VEC73" s="311"/>
      <c r="VED73" s="311"/>
      <c r="VEE73" s="311"/>
      <c r="VEF73" s="311"/>
      <c r="VEG73" s="311"/>
      <c r="VEH73" s="311"/>
      <c r="VEI73" s="311"/>
      <c r="VEJ73" s="311"/>
      <c r="VEK73" s="311"/>
      <c r="VEL73" s="311"/>
      <c r="VEM73" s="311"/>
      <c r="VEN73" s="311"/>
      <c r="VEO73" s="311"/>
      <c r="VEP73" s="311"/>
      <c r="VEQ73" s="311"/>
      <c r="VER73" s="311"/>
      <c r="VES73" s="311"/>
      <c r="VET73" s="311"/>
      <c r="VEU73" s="311"/>
      <c r="VEV73" s="311"/>
      <c r="VEW73" s="311"/>
      <c r="VEX73" s="311"/>
      <c r="VEY73" s="311"/>
      <c r="VEZ73" s="311"/>
      <c r="VFA73" s="311"/>
      <c r="VFB73" s="311"/>
      <c r="VFC73" s="311"/>
      <c r="VFD73" s="311"/>
      <c r="VFE73" s="311"/>
      <c r="VFF73" s="311"/>
      <c r="VFG73" s="311"/>
      <c r="VFH73" s="311"/>
      <c r="VFI73" s="311"/>
      <c r="VFJ73" s="311"/>
      <c r="VFK73" s="311"/>
      <c r="VFL73" s="311"/>
      <c r="VFM73" s="311"/>
      <c r="VFN73" s="311"/>
      <c r="VFO73" s="311"/>
      <c r="VFP73" s="311"/>
      <c r="VFQ73" s="311"/>
      <c r="VFR73" s="311"/>
      <c r="VFS73" s="311"/>
      <c r="VFT73" s="311"/>
      <c r="VFU73" s="311"/>
      <c r="VFV73" s="311"/>
      <c r="VFW73" s="311"/>
      <c r="VFX73" s="311"/>
      <c r="VFY73" s="311"/>
      <c r="VFZ73" s="311"/>
      <c r="VGA73" s="311"/>
      <c r="VGB73" s="311"/>
      <c r="VGC73" s="311"/>
      <c r="VGD73" s="311"/>
      <c r="VGE73" s="311"/>
      <c r="VGF73" s="311"/>
      <c r="VGG73" s="311"/>
      <c r="VGH73" s="311"/>
      <c r="VGI73" s="311"/>
      <c r="VGJ73" s="311"/>
      <c r="VGK73" s="311"/>
      <c r="VGL73" s="311"/>
      <c r="VGM73" s="311"/>
      <c r="VGN73" s="311"/>
      <c r="VGO73" s="311"/>
      <c r="VGP73" s="311"/>
      <c r="VGQ73" s="311"/>
      <c r="VGR73" s="311"/>
      <c r="VGS73" s="311"/>
      <c r="VGT73" s="311"/>
      <c r="VGU73" s="311"/>
      <c r="VGV73" s="311"/>
      <c r="VGW73" s="311"/>
      <c r="VGX73" s="311"/>
      <c r="VGY73" s="311"/>
      <c r="VGZ73" s="311"/>
      <c r="VHA73" s="311"/>
      <c r="VHB73" s="311"/>
      <c r="VHC73" s="311"/>
      <c r="VHD73" s="311"/>
      <c r="VHE73" s="311"/>
      <c r="VHF73" s="311"/>
      <c r="VHG73" s="311"/>
      <c r="VHH73" s="311"/>
      <c r="VHI73" s="311"/>
      <c r="VHJ73" s="311"/>
      <c r="VHK73" s="311"/>
      <c r="VHL73" s="311"/>
      <c r="VHM73" s="311"/>
      <c r="VHN73" s="311"/>
      <c r="VHO73" s="311"/>
      <c r="VHP73" s="311"/>
      <c r="VHQ73" s="311"/>
      <c r="VHR73" s="311"/>
      <c r="VHS73" s="311"/>
      <c r="VHT73" s="311"/>
      <c r="VHU73" s="311"/>
      <c r="VHV73" s="311"/>
      <c r="VHW73" s="311"/>
      <c r="VHX73" s="311"/>
      <c r="VHY73" s="311"/>
      <c r="VHZ73" s="311"/>
      <c r="VIA73" s="311"/>
      <c r="VIB73" s="311"/>
      <c r="VIC73" s="311"/>
      <c r="VID73" s="311"/>
      <c r="VIE73" s="311"/>
      <c r="VIF73" s="311"/>
      <c r="VIG73" s="311"/>
      <c r="VIH73" s="311"/>
      <c r="VII73" s="311"/>
      <c r="VIJ73" s="311"/>
      <c r="VIK73" s="311"/>
      <c r="VIL73" s="311"/>
      <c r="VIM73" s="311"/>
      <c r="VIN73" s="311"/>
      <c r="VIO73" s="311"/>
      <c r="VIP73" s="311"/>
      <c r="VIQ73" s="311"/>
      <c r="VIR73" s="311"/>
      <c r="VIS73" s="311"/>
      <c r="VIT73" s="311"/>
      <c r="VIU73" s="311"/>
      <c r="VIV73" s="311"/>
      <c r="VIW73" s="311"/>
      <c r="VIX73" s="311"/>
      <c r="VIY73" s="311"/>
      <c r="VIZ73" s="311"/>
      <c r="VJA73" s="311"/>
      <c r="VJB73" s="311"/>
      <c r="VJC73" s="311"/>
      <c r="VJD73" s="311"/>
      <c r="VJE73" s="311"/>
      <c r="VJF73" s="311"/>
      <c r="VJG73" s="311"/>
      <c r="VJH73" s="311"/>
      <c r="VJI73" s="311"/>
      <c r="VJJ73" s="311"/>
      <c r="VJK73" s="311"/>
      <c r="VJL73" s="311"/>
      <c r="VJM73" s="311"/>
      <c r="VJN73" s="311"/>
      <c r="VJO73" s="311"/>
      <c r="VJP73" s="311"/>
      <c r="VJQ73" s="311"/>
      <c r="VJR73" s="311"/>
      <c r="VJS73" s="311"/>
      <c r="VJT73" s="311"/>
      <c r="VJU73" s="311"/>
      <c r="VJV73" s="311"/>
      <c r="VJW73" s="311"/>
      <c r="VJX73" s="311"/>
      <c r="VJY73" s="311"/>
      <c r="VJZ73" s="311"/>
      <c r="VKA73" s="311"/>
      <c r="VKB73" s="311"/>
      <c r="VKC73" s="311"/>
      <c r="VKD73" s="311"/>
      <c r="VKE73" s="311"/>
      <c r="VKF73" s="311"/>
      <c r="VKG73" s="311"/>
      <c r="VKH73" s="311"/>
      <c r="VKI73" s="311"/>
      <c r="VKJ73" s="311"/>
      <c r="VKK73" s="311"/>
      <c r="VKL73" s="311"/>
      <c r="VKM73" s="311"/>
      <c r="VKN73" s="311"/>
      <c r="VKO73" s="311"/>
      <c r="VKP73" s="311"/>
      <c r="VKQ73" s="311"/>
      <c r="VKR73" s="311"/>
      <c r="VKS73" s="311"/>
      <c r="VKT73" s="311"/>
      <c r="VKU73" s="311"/>
      <c r="VKV73" s="311"/>
      <c r="VKW73" s="311"/>
      <c r="VKX73" s="311"/>
      <c r="VKY73" s="311"/>
      <c r="VKZ73" s="311"/>
      <c r="VLA73" s="311"/>
      <c r="VLB73" s="311"/>
      <c r="VLC73" s="311"/>
      <c r="VLD73" s="311"/>
      <c r="VLE73" s="311"/>
      <c r="VLF73" s="311"/>
      <c r="VLG73" s="311"/>
      <c r="VLH73" s="311"/>
      <c r="VLI73" s="311"/>
      <c r="VLJ73" s="311"/>
      <c r="VLK73" s="311"/>
      <c r="VLL73" s="311"/>
      <c r="VLM73" s="311"/>
      <c r="VLN73" s="311"/>
      <c r="VLO73" s="311"/>
      <c r="VLP73" s="311"/>
      <c r="VLQ73" s="311"/>
      <c r="VLR73" s="311"/>
      <c r="VLS73" s="311"/>
      <c r="VLT73" s="311"/>
      <c r="VLU73" s="311"/>
      <c r="VLV73" s="311"/>
      <c r="VLW73" s="311"/>
      <c r="VLX73" s="311"/>
      <c r="VLY73" s="311"/>
      <c r="VLZ73" s="311"/>
      <c r="VMA73" s="311"/>
      <c r="VMB73" s="311"/>
      <c r="VMC73" s="311"/>
      <c r="VMD73" s="311"/>
      <c r="VME73" s="311"/>
      <c r="VMF73" s="311"/>
      <c r="VMG73" s="311"/>
      <c r="VMH73" s="311"/>
      <c r="VMI73" s="311"/>
      <c r="VMJ73" s="311"/>
      <c r="VMK73" s="311"/>
      <c r="VML73" s="311"/>
      <c r="VMM73" s="311"/>
      <c r="VMN73" s="311"/>
      <c r="VMO73" s="311"/>
      <c r="VMP73" s="311"/>
      <c r="VMQ73" s="311"/>
      <c r="VMR73" s="311"/>
      <c r="VMS73" s="311"/>
      <c r="VMT73" s="311"/>
      <c r="VMU73" s="311"/>
      <c r="VMV73" s="311"/>
      <c r="VMW73" s="311"/>
      <c r="VMX73" s="311"/>
      <c r="VMY73" s="311"/>
      <c r="VMZ73" s="311"/>
      <c r="VNA73" s="311"/>
      <c r="VNB73" s="311"/>
      <c r="VNC73" s="311"/>
      <c r="VND73" s="311"/>
      <c r="VNE73" s="311"/>
      <c r="VNF73" s="311"/>
      <c r="VNG73" s="311"/>
      <c r="VNH73" s="311"/>
      <c r="VNI73" s="311"/>
      <c r="VNJ73" s="311"/>
      <c r="VNK73" s="311"/>
      <c r="VNL73" s="311"/>
      <c r="VNM73" s="311"/>
      <c r="VNN73" s="311"/>
      <c r="VNO73" s="311"/>
      <c r="VNP73" s="311"/>
      <c r="VNQ73" s="311"/>
      <c r="VNR73" s="311"/>
      <c r="VNS73" s="311"/>
      <c r="VNT73" s="311"/>
      <c r="VNU73" s="311"/>
      <c r="VNV73" s="311"/>
      <c r="VNW73" s="311"/>
      <c r="VNX73" s="311"/>
      <c r="VNY73" s="311"/>
      <c r="VNZ73" s="311"/>
      <c r="VOA73" s="311"/>
      <c r="VOB73" s="311"/>
      <c r="VOC73" s="311"/>
      <c r="VOD73" s="311"/>
      <c r="VOE73" s="311"/>
      <c r="VOF73" s="311"/>
      <c r="VOG73" s="311"/>
      <c r="VOH73" s="311"/>
      <c r="VOI73" s="311"/>
      <c r="VOJ73" s="311"/>
      <c r="VOK73" s="311"/>
      <c r="VOL73" s="311"/>
      <c r="VOM73" s="311"/>
      <c r="VON73" s="311"/>
      <c r="VOO73" s="311"/>
      <c r="VOP73" s="311"/>
      <c r="VOQ73" s="311"/>
      <c r="VOR73" s="311"/>
      <c r="VOS73" s="311"/>
      <c r="VOT73" s="311"/>
      <c r="VOU73" s="311"/>
      <c r="VOV73" s="311"/>
      <c r="VOW73" s="311"/>
      <c r="VOX73" s="311"/>
      <c r="VOY73" s="311"/>
      <c r="VOZ73" s="311"/>
      <c r="VPA73" s="311"/>
      <c r="VPB73" s="311"/>
      <c r="VPC73" s="311"/>
      <c r="VPD73" s="311"/>
      <c r="VPE73" s="311"/>
      <c r="VPF73" s="311"/>
      <c r="VPG73" s="311"/>
      <c r="VPH73" s="311"/>
      <c r="VPI73" s="311"/>
      <c r="VPJ73" s="311"/>
      <c r="VPK73" s="311"/>
      <c r="VPL73" s="311"/>
      <c r="VPM73" s="311"/>
      <c r="VPN73" s="311"/>
      <c r="VPO73" s="311"/>
      <c r="VPP73" s="311"/>
      <c r="VPQ73" s="311"/>
      <c r="VPR73" s="311"/>
      <c r="VPS73" s="311"/>
      <c r="VPT73" s="311"/>
      <c r="VPU73" s="311"/>
      <c r="VPV73" s="311"/>
      <c r="VPW73" s="311"/>
      <c r="VPX73" s="311"/>
      <c r="VPY73" s="311"/>
      <c r="VPZ73" s="311"/>
      <c r="VQA73" s="311"/>
      <c r="VQB73" s="311"/>
      <c r="VQC73" s="311"/>
      <c r="VQD73" s="311"/>
      <c r="VQE73" s="311"/>
      <c r="VQF73" s="311"/>
      <c r="VQG73" s="311"/>
      <c r="VQH73" s="311"/>
      <c r="VQI73" s="311"/>
      <c r="VQJ73" s="311"/>
      <c r="VQK73" s="311"/>
      <c r="VQL73" s="311"/>
      <c r="VQM73" s="311"/>
      <c r="VQN73" s="311"/>
      <c r="VQO73" s="311"/>
      <c r="VQP73" s="311"/>
      <c r="VQQ73" s="311"/>
      <c r="VQR73" s="311"/>
      <c r="VQS73" s="311"/>
      <c r="VQT73" s="311"/>
      <c r="VQU73" s="311"/>
      <c r="VQV73" s="311"/>
      <c r="VQW73" s="311"/>
      <c r="VQX73" s="311"/>
      <c r="VQY73" s="311"/>
      <c r="VQZ73" s="311"/>
      <c r="VRA73" s="311"/>
      <c r="VRB73" s="311"/>
      <c r="VRC73" s="311"/>
      <c r="VRD73" s="311"/>
      <c r="VRE73" s="311"/>
      <c r="VRF73" s="311"/>
      <c r="VRG73" s="311"/>
      <c r="VRH73" s="311"/>
      <c r="VRI73" s="311"/>
      <c r="VRJ73" s="311"/>
      <c r="VRK73" s="311"/>
      <c r="VRL73" s="311"/>
      <c r="VRM73" s="311"/>
      <c r="VRN73" s="311"/>
      <c r="VRO73" s="311"/>
      <c r="VRP73" s="311"/>
      <c r="VRQ73" s="311"/>
      <c r="VRR73" s="311"/>
      <c r="VRS73" s="311"/>
      <c r="VRT73" s="311"/>
      <c r="VRU73" s="311"/>
      <c r="VRV73" s="311"/>
      <c r="VRW73" s="311"/>
      <c r="VRX73" s="311"/>
      <c r="VRY73" s="311"/>
      <c r="VRZ73" s="311"/>
      <c r="VSA73" s="311"/>
      <c r="VSB73" s="311"/>
      <c r="VSC73" s="311"/>
      <c r="VSD73" s="311"/>
      <c r="VSE73" s="311"/>
      <c r="VSF73" s="311"/>
      <c r="VSG73" s="311"/>
      <c r="VSH73" s="311"/>
      <c r="VSI73" s="311"/>
      <c r="VSJ73" s="311"/>
      <c r="VSK73" s="311"/>
      <c r="VSL73" s="311"/>
      <c r="VSM73" s="311"/>
      <c r="VSN73" s="311"/>
      <c r="VSO73" s="311"/>
      <c r="VSP73" s="311"/>
      <c r="VSQ73" s="311"/>
      <c r="VSR73" s="311"/>
      <c r="VSS73" s="311"/>
      <c r="VST73" s="311"/>
      <c r="VSU73" s="311"/>
      <c r="VSV73" s="311"/>
      <c r="VSW73" s="311"/>
      <c r="VSX73" s="311"/>
      <c r="VSY73" s="311"/>
      <c r="VSZ73" s="311"/>
      <c r="VTA73" s="311"/>
      <c r="VTB73" s="311"/>
      <c r="VTC73" s="311"/>
      <c r="VTD73" s="311"/>
      <c r="VTE73" s="311"/>
      <c r="VTF73" s="311"/>
      <c r="VTG73" s="311"/>
      <c r="VTH73" s="311"/>
      <c r="VTI73" s="311"/>
      <c r="VTJ73" s="311"/>
      <c r="VTK73" s="311"/>
      <c r="VTL73" s="311"/>
      <c r="VTM73" s="311"/>
      <c r="VTN73" s="311"/>
      <c r="VTO73" s="311"/>
      <c r="VTP73" s="311"/>
      <c r="VTQ73" s="311"/>
      <c r="VTR73" s="311"/>
      <c r="VTS73" s="311"/>
      <c r="VTT73" s="311"/>
      <c r="VTU73" s="311"/>
      <c r="VTV73" s="311"/>
      <c r="VTW73" s="311"/>
      <c r="VTX73" s="311"/>
      <c r="VTY73" s="311"/>
      <c r="VTZ73" s="311"/>
      <c r="VUA73" s="311"/>
      <c r="VUB73" s="311"/>
      <c r="VUC73" s="311"/>
      <c r="VUD73" s="311"/>
      <c r="VUE73" s="311"/>
      <c r="VUF73" s="311"/>
      <c r="VUG73" s="311"/>
      <c r="VUH73" s="311"/>
      <c r="VUI73" s="311"/>
      <c r="VUJ73" s="311"/>
      <c r="VUK73" s="311"/>
      <c r="VUL73" s="311"/>
      <c r="VUM73" s="311"/>
      <c r="VUN73" s="311"/>
      <c r="VUO73" s="311"/>
      <c r="VUP73" s="311"/>
      <c r="VUQ73" s="311"/>
      <c r="VUR73" s="311"/>
      <c r="VUS73" s="311"/>
      <c r="VUT73" s="311"/>
      <c r="VUU73" s="311"/>
      <c r="VUV73" s="311"/>
      <c r="VUW73" s="311"/>
      <c r="VUX73" s="311"/>
      <c r="VUY73" s="311"/>
      <c r="VUZ73" s="311"/>
      <c r="VVA73" s="311"/>
      <c r="VVB73" s="311"/>
      <c r="VVC73" s="311"/>
      <c r="VVD73" s="311"/>
      <c r="VVE73" s="311"/>
      <c r="VVF73" s="311"/>
      <c r="VVG73" s="311"/>
      <c r="VVH73" s="311"/>
      <c r="VVI73" s="311"/>
      <c r="VVJ73" s="311"/>
      <c r="VVK73" s="311"/>
      <c r="VVL73" s="311"/>
      <c r="VVM73" s="311"/>
      <c r="VVN73" s="311"/>
      <c r="VVO73" s="311"/>
      <c r="VVP73" s="311"/>
      <c r="VVQ73" s="311"/>
      <c r="VVR73" s="311"/>
      <c r="VVS73" s="311"/>
      <c r="VVT73" s="311"/>
      <c r="VVU73" s="311"/>
      <c r="VVV73" s="311"/>
      <c r="VVW73" s="311"/>
      <c r="VVX73" s="311"/>
      <c r="VVY73" s="311"/>
      <c r="VVZ73" s="311"/>
      <c r="VWA73" s="311"/>
      <c r="VWB73" s="311"/>
      <c r="VWC73" s="311"/>
      <c r="VWD73" s="311"/>
      <c r="VWE73" s="311"/>
      <c r="VWF73" s="311"/>
      <c r="VWG73" s="311"/>
      <c r="VWH73" s="311"/>
      <c r="VWI73" s="311"/>
      <c r="VWJ73" s="311"/>
      <c r="VWK73" s="311"/>
      <c r="VWL73" s="311"/>
      <c r="VWM73" s="311"/>
      <c r="VWN73" s="311"/>
      <c r="VWO73" s="311"/>
      <c r="VWP73" s="311"/>
      <c r="VWQ73" s="311"/>
      <c r="VWR73" s="311"/>
      <c r="VWS73" s="311"/>
      <c r="VWT73" s="311"/>
      <c r="VWU73" s="311"/>
      <c r="VWV73" s="311"/>
      <c r="VWW73" s="311"/>
      <c r="VWX73" s="311"/>
      <c r="VWY73" s="311"/>
      <c r="VWZ73" s="311"/>
      <c r="VXA73" s="311"/>
      <c r="VXB73" s="311"/>
      <c r="VXC73" s="311"/>
      <c r="VXD73" s="311"/>
      <c r="VXE73" s="311"/>
      <c r="VXF73" s="311"/>
      <c r="VXG73" s="311"/>
      <c r="VXH73" s="311"/>
      <c r="VXI73" s="311"/>
      <c r="VXJ73" s="311"/>
      <c r="VXK73" s="311"/>
      <c r="VXL73" s="311"/>
      <c r="VXM73" s="311"/>
      <c r="VXN73" s="311"/>
      <c r="VXO73" s="311"/>
      <c r="VXP73" s="311"/>
      <c r="VXQ73" s="311"/>
      <c r="VXR73" s="311"/>
      <c r="VXS73" s="311"/>
      <c r="VXT73" s="311"/>
      <c r="VXU73" s="311"/>
      <c r="VXV73" s="311"/>
      <c r="VXW73" s="311"/>
      <c r="VXX73" s="311"/>
      <c r="VXY73" s="311"/>
      <c r="VXZ73" s="311"/>
      <c r="VYA73" s="311"/>
      <c r="VYB73" s="311"/>
      <c r="VYC73" s="311"/>
      <c r="VYD73" s="311"/>
      <c r="VYE73" s="311"/>
      <c r="VYF73" s="311"/>
      <c r="VYG73" s="311"/>
      <c r="VYH73" s="311"/>
      <c r="VYI73" s="311"/>
      <c r="VYJ73" s="311"/>
      <c r="VYK73" s="311"/>
      <c r="VYL73" s="311"/>
      <c r="VYM73" s="311"/>
      <c r="VYN73" s="311"/>
      <c r="VYO73" s="311"/>
      <c r="VYP73" s="311"/>
      <c r="VYQ73" s="311"/>
      <c r="VYR73" s="311"/>
      <c r="VYS73" s="311"/>
      <c r="VYT73" s="311"/>
      <c r="VYU73" s="311"/>
      <c r="VYV73" s="311"/>
      <c r="VYW73" s="311"/>
      <c r="VYX73" s="311"/>
      <c r="VYY73" s="311"/>
      <c r="VYZ73" s="311"/>
      <c r="VZA73" s="311"/>
      <c r="VZB73" s="311"/>
      <c r="VZC73" s="311"/>
      <c r="VZD73" s="311"/>
      <c r="VZE73" s="311"/>
      <c r="VZF73" s="311"/>
      <c r="VZG73" s="311"/>
      <c r="VZH73" s="311"/>
      <c r="VZI73" s="311"/>
      <c r="VZJ73" s="311"/>
      <c r="VZK73" s="311"/>
      <c r="VZL73" s="311"/>
      <c r="VZM73" s="311"/>
      <c r="VZN73" s="311"/>
      <c r="VZO73" s="311"/>
      <c r="VZP73" s="311"/>
      <c r="VZQ73" s="311"/>
      <c r="VZR73" s="311"/>
      <c r="VZS73" s="311"/>
      <c r="VZT73" s="311"/>
      <c r="VZU73" s="311"/>
      <c r="VZV73" s="311"/>
      <c r="VZW73" s="311"/>
      <c r="VZX73" s="311"/>
      <c r="VZY73" s="311"/>
      <c r="VZZ73" s="311"/>
      <c r="WAA73" s="311"/>
      <c r="WAB73" s="311"/>
      <c r="WAC73" s="311"/>
      <c r="WAD73" s="311"/>
      <c r="WAE73" s="311"/>
      <c r="WAF73" s="311"/>
      <c r="WAG73" s="311"/>
      <c r="WAH73" s="311"/>
      <c r="WAI73" s="311"/>
      <c r="WAJ73" s="311"/>
      <c r="WAK73" s="311"/>
      <c r="WAL73" s="311"/>
      <c r="WAM73" s="311"/>
      <c r="WAN73" s="311"/>
      <c r="WAO73" s="311"/>
      <c r="WAP73" s="311"/>
      <c r="WAQ73" s="311"/>
      <c r="WAR73" s="311"/>
      <c r="WAS73" s="311"/>
      <c r="WAT73" s="311"/>
      <c r="WAU73" s="311"/>
      <c r="WAV73" s="311"/>
      <c r="WAW73" s="311"/>
      <c r="WAX73" s="311"/>
      <c r="WAY73" s="311"/>
      <c r="WAZ73" s="311"/>
      <c r="WBA73" s="311"/>
      <c r="WBB73" s="311"/>
      <c r="WBC73" s="311"/>
      <c r="WBD73" s="311"/>
      <c r="WBE73" s="311"/>
      <c r="WBF73" s="311"/>
      <c r="WBG73" s="311"/>
      <c r="WBH73" s="311"/>
      <c r="WBI73" s="311"/>
      <c r="WBJ73" s="311"/>
      <c r="WBK73" s="311"/>
      <c r="WBL73" s="311"/>
      <c r="WBM73" s="311"/>
      <c r="WBN73" s="311"/>
      <c r="WBO73" s="311"/>
      <c r="WBP73" s="311"/>
      <c r="WBQ73" s="311"/>
      <c r="WBR73" s="311"/>
      <c r="WBS73" s="311"/>
      <c r="WBT73" s="311"/>
      <c r="WBU73" s="311"/>
      <c r="WBV73" s="311"/>
      <c r="WBW73" s="311"/>
      <c r="WBX73" s="311"/>
      <c r="WBY73" s="311"/>
      <c r="WBZ73" s="311"/>
      <c r="WCA73" s="311"/>
      <c r="WCB73" s="311"/>
      <c r="WCC73" s="311"/>
      <c r="WCD73" s="311"/>
      <c r="WCE73" s="311"/>
      <c r="WCF73" s="311"/>
      <c r="WCG73" s="311"/>
      <c r="WCH73" s="311"/>
      <c r="WCI73" s="311"/>
      <c r="WCJ73" s="311"/>
      <c r="WCK73" s="311"/>
      <c r="WCL73" s="311"/>
      <c r="WCM73" s="311"/>
      <c r="WCN73" s="311"/>
      <c r="WCO73" s="311"/>
      <c r="WCP73" s="311"/>
      <c r="WCQ73" s="311"/>
      <c r="WCR73" s="311"/>
      <c r="WCS73" s="311"/>
      <c r="WCT73" s="311"/>
      <c r="WCU73" s="311"/>
      <c r="WCV73" s="311"/>
      <c r="WCW73" s="311"/>
      <c r="WCX73" s="311"/>
      <c r="WCY73" s="311"/>
      <c r="WCZ73" s="311"/>
      <c r="WDA73" s="311"/>
      <c r="WDB73" s="311"/>
      <c r="WDC73" s="311"/>
      <c r="WDD73" s="311"/>
      <c r="WDE73" s="311"/>
      <c r="WDF73" s="311"/>
      <c r="WDG73" s="311"/>
      <c r="WDH73" s="311"/>
      <c r="WDI73" s="311"/>
      <c r="WDJ73" s="311"/>
      <c r="WDK73" s="311"/>
      <c r="WDL73" s="311"/>
      <c r="WDM73" s="311"/>
      <c r="WDN73" s="311"/>
      <c r="WDO73" s="311"/>
      <c r="WDP73" s="311"/>
      <c r="WDQ73" s="311"/>
      <c r="WDR73" s="311"/>
      <c r="WDS73" s="311"/>
      <c r="WDT73" s="311"/>
      <c r="WDU73" s="311"/>
      <c r="WDV73" s="311"/>
      <c r="WDW73" s="311"/>
      <c r="WDX73" s="311"/>
      <c r="WDY73" s="311"/>
      <c r="WDZ73" s="311"/>
      <c r="WEA73" s="311"/>
      <c r="WEB73" s="311"/>
      <c r="WEC73" s="311"/>
      <c r="WED73" s="311"/>
      <c r="WEE73" s="311"/>
      <c r="WEF73" s="311"/>
      <c r="WEG73" s="311"/>
      <c r="WEH73" s="311"/>
      <c r="WEI73" s="311"/>
      <c r="WEJ73" s="311"/>
      <c r="WEK73" s="311"/>
      <c r="WEL73" s="311"/>
      <c r="WEM73" s="311"/>
      <c r="WEN73" s="311"/>
      <c r="WEO73" s="311"/>
      <c r="WEP73" s="311"/>
      <c r="WEQ73" s="311"/>
      <c r="WER73" s="311"/>
      <c r="WES73" s="311"/>
      <c r="WET73" s="311"/>
      <c r="WEU73" s="311"/>
      <c r="WEV73" s="311"/>
      <c r="WEW73" s="311"/>
      <c r="WEX73" s="311"/>
      <c r="WEY73" s="311"/>
      <c r="WEZ73" s="311"/>
      <c r="WFA73" s="311"/>
      <c r="WFB73" s="311"/>
      <c r="WFC73" s="311"/>
      <c r="WFD73" s="311"/>
      <c r="WFE73" s="311"/>
      <c r="WFF73" s="311"/>
      <c r="WFG73" s="311"/>
      <c r="WFH73" s="311"/>
      <c r="WFI73" s="311"/>
      <c r="WFJ73" s="311"/>
      <c r="WFK73" s="311"/>
      <c r="WFL73" s="311"/>
      <c r="WFM73" s="311"/>
      <c r="WFN73" s="311"/>
      <c r="WFO73" s="311"/>
      <c r="WFP73" s="311"/>
      <c r="WFQ73" s="311"/>
      <c r="WFR73" s="311"/>
      <c r="WFS73" s="311"/>
      <c r="WFT73" s="311"/>
      <c r="WFU73" s="311"/>
      <c r="WFV73" s="311"/>
      <c r="WFW73" s="311"/>
      <c r="WFX73" s="311"/>
      <c r="WFY73" s="311"/>
      <c r="WFZ73" s="311"/>
      <c r="WGA73" s="311"/>
      <c r="WGB73" s="311"/>
      <c r="WGC73" s="311"/>
      <c r="WGD73" s="311"/>
      <c r="WGE73" s="311"/>
      <c r="WGF73" s="311"/>
      <c r="WGG73" s="311"/>
      <c r="WGH73" s="311"/>
      <c r="WGI73" s="311"/>
      <c r="WGJ73" s="311"/>
      <c r="WGK73" s="311"/>
      <c r="WGL73" s="311"/>
      <c r="WGM73" s="311"/>
      <c r="WGN73" s="311"/>
      <c r="WGO73" s="311"/>
      <c r="WGP73" s="311"/>
      <c r="WGQ73" s="311"/>
      <c r="WGR73" s="311"/>
      <c r="WGS73" s="311"/>
      <c r="WGT73" s="311"/>
      <c r="WGU73" s="311"/>
      <c r="WGV73" s="311"/>
      <c r="WGW73" s="311"/>
      <c r="WGX73" s="311"/>
      <c r="WGY73" s="311"/>
      <c r="WGZ73" s="311"/>
      <c r="WHA73" s="311"/>
      <c r="WHB73" s="311"/>
      <c r="WHC73" s="311"/>
      <c r="WHD73" s="311"/>
      <c r="WHE73" s="311"/>
      <c r="WHF73" s="311"/>
      <c r="WHG73" s="311"/>
      <c r="WHH73" s="311"/>
      <c r="WHI73" s="311"/>
      <c r="WHJ73" s="311"/>
      <c r="WHK73" s="311"/>
      <c r="WHL73" s="311"/>
      <c r="WHM73" s="311"/>
      <c r="WHN73" s="311"/>
      <c r="WHO73" s="311"/>
      <c r="WHP73" s="311"/>
      <c r="WHQ73" s="311"/>
      <c r="WHR73" s="311"/>
      <c r="WHS73" s="311"/>
      <c r="WHT73" s="311"/>
      <c r="WHU73" s="311"/>
      <c r="WHV73" s="311"/>
      <c r="WHW73" s="311"/>
      <c r="WHX73" s="311"/>
      <c r="WHY73" s="311"/>
      <c r="WHZ73" s="311"/>
      <c r="WIA73" s="311"/>
      <c r="WIB73" s="311"/>
      <c r="WIC73" s="311"/>
      <c r="WID73" s="311"/>
      <c r="WIE73" s="311"/>
      <c r="WIF73" s="311"/>
      <c r="WIG73" s="311"/>
      <c r="WIH73" s="311"/>
      <c r="WII73" s="311"/>
      <c r="WIJ73" s="311"/>
      <c r="WIK73" s="311"/>
      <c r="WIL73" s="311"/>
      <c r="WIM73" s="311"/>
      <c r="WIN73" s="311"/>
      <c r="WIO73" s="311"/>
      <c r="WIP73" s="311"/>
      <c r="WIQ73" s="311"/>
      <c r="WIR73" s="311"/>
      <c r="WIS73" s="311"/>
      <c r="WIT73" s="311"/>
      <c r="WIU73" s="311"/>
      <c r="WIV73" s="311"/>
      <c r="WIW73" s="311"/>
      <c r="WIX73" s="311"/>
      <c r="WIY73" s="311"/>
      <c r="WIZ73" s="311"/>
      <c r="WJA73" s="311"/>
      <c r="WJB73" s="311"/>
      <c r="WJC73" s="311"/>
      <c r="WJD73" s="311"/>
      <c r="WJE73" s="311"/>
      <c r="WJF73" s="311"/>
      <c r="WJG73" s="311"/>
      <c r="WJH73" s="311"/>
      <c r="WJI73" s="311"/>
      <c r="WJJ73" s="311"/>
      <c r="WJK73" s="311"/>
      <c r="WJL73" s="311"/>
      <c r="WJM73" s="311"/>
      <c r="WJN73" s="311"/>
      <c r="WJO73" s="311"/>
      <c r="WJP73" s="311"/>
      <c r="WJQ73" s="311"/>
      <c r="WJR73" s="311"/>
      <c r="WJS73" s="311"/>
      <c r="WJT73" s="311"/>
      <c r="WJU73" s="311"/>
      <c r="WJV73" s="311"/>
      <c r="WJW73" s="311"/>
      <c r="WJX73" s="311"/>
      <c r="WJY73" s="311"/>
      <c r="WJZ73" s="311"/>
      <c r="WKA73" s="311"/>
      <c r="WKB73" s="311"/>
      <c r="WKC73" s="311"/>
      <c r="WKD73" s="311"/>
      <c r="WKE73" s="311"/>
      <c r="WKF73" s="311"/>
      <c r="WKG73" s="311"/>
      <c r="WKH73" s="311"/>
      <c r="WKI73" s="311"/>
      <c r="WKJ73" s="311"/>
      <c r="WKK73" s="311"/>
      <c r="WKL73" s="311"/>
      <c r="WKM73" s="311"/>
      <c r="WKN73" s="311"/>
      <c r="WKO73" s="311"/>
      <c r="WKP73" s="311"/>
      <c r="WKQ73" s="311"/>
      <c r="WKR73" s="311"/>
      <c r="WKS73" s="311"/>
      <c r="WKT73" s="311"/>
      <c r="WKU73" s="311"/>
      <c r="WKV73" s="311"/>
      <c r="WKW73" s="311"/>
      <c r="WKX73" s="311"/>
      <c r="WKY73" s="311"/>
      <c r="WKZ73" s="311"/>
      <c r="WLA73" s="311"/>
      <c r="WLB73" s="311"/>
      <c r="WLC73" s="311"/>
      <c r="WLD73" s="311"/>
      <c r="WLE73" s="311"/>
      <c r="WLF73" s="311"/>
      <c r="WLG73" s="311"/>
      <c r="WLH73" s="311"/>
      <c r="WLI73" s="311"/>
      <c r="WLJ73" s="311"/>
      <c r="WLK73" s="311"/>
      <c r="WLL73" s="311"/>
      <c r="WLM73" s="311"/>
      <c r="WLN73" s="311"/>
      <c r="WLO73" s="311"/>
      <c r="WLP73" s="311"/>
      <c r="WLQ73" s="311"/>
      <c r="WLR73" s="311"/>
      <c r="WLS73" s="311"/>
      <c r="WLT73" s="311"/>
      <c r="WLU73" s="311"/>
      <c r="WLV73" s="311"/>
      <c r="WLW73" s="311"/>
      <c r="WLX73" s="311"/>
      <c r="WLY73" s="311"/>
      <c r="WLZ73" s="311"/>
      <c r="WMA73" s="311"/>
      <c r="WMB73" s="311"/>
      <c r="WMC73" s="311"/>
      <c r="WMD73" s="311"/>
      <c r="WME73" s="311"/>
      <c r="WMF73" s="311"/>
      <c r="WMG73" s="311"/>
      <c r="WMH73" s="311"/>
      <c r="WMI73" s="311"/>
      <c r="WMJ73" s="311"/>
      <c r="WMK73" s="311"/>
      <c r="WML73" s="311"/>
      <c r="WMM73" s="311"/>
      <c r="WMN73" s="311"/>
      <c r="WMO73" s="311"/>
      <c r="WMP73" s="311"/>
      <c r="WMQ73" s="311"/>
      <c r="WMR73" s="311"/>
      <c r="WMS73" s="311"/>
      <c r="WMT73" s="311"/>
      <c r="WMU73" s="311"/>
      <c r="WMV73" s="311"/>
      <c r="WMW73" s="311"/>
      <c r="WMX73" s="311"/>
      <c r="WMY73" s="311"/>
      <c r="WMZ73" s="311"/>
      <c r="WNA73" s="311"/>
      <c r="WNB73" s="311"/>
      <c r="WNC73" s="311"/>
      <c r="WND73" s="311"/>
      <c r="WNE73" s="311"/>
      <c r="WNF73" s="311"/>
      <c r="WNG73" s="311"/>
      <c r="WNH73" s="311"/>
      <c r="WNI73" s="311"/>
      <c r="WNJ73" s="311"/>
      <c r="WNK73" s="311"/>
      <c r="WNL73" s="311"/>
      <c r="WNM73" s="311"/>
      <c r="WNN73" s="311"/>
      <c r="WNO73" s="311"/>
      <c r="WNP73" s="311"/>
      <c r="WNQ73" s="311"/>
      <c r="WNR73" s="311"/>
      <c r="WNS73" s="311"/>
      <c r="WNT73" s="311"/>
      <c r="WNU73" s="311"/>
      <c r="WNV73" s="311"/>
      <c r="WNW73" s="311"/>
      <c r="WNX73" s="311"/>
      <c r="WNY73" s="311"/>
      <c r="WNZ73" s="311"/>
      <c r="WOA73" s="311"/>
      <c r="WOB73" s="311"/>
      <c r="WOC73" s="311"/>
      <c r="WOD73" s="311"/>
      <c r="WOE73" s="311"/>
      <c r="WOF73" s="311"/>
      <c r="WOG73" s="311"/>
      <c r="WOH73" s="311"/>
      <c r="WOI73" s="311"/>
      <c r="WOJ73" s="311"/>
      <c r="WOK73" s="311"/>
      <c r="WOL73" s="311"/>
      <c r="WOM73" s="311"/>
      <c r="WON73" s="311"/>
      <c r="WOO73" s="311"/>
      <c r="WOP73" s="311"/>
      <c r="WOQ73" s="311"/>
      <c r="WOR73" s="311"/>
      <c r="WOS73" s="311"/>
      <c r="WOT73" s="311"/>
      <c r="WOU73" s="311"/>
      <c r="WOV73" s="311"/>
      <c r="WOW73" s="311"/>
      <c r="WOX73" s="311"/>
      <c r="WOY73" s="311"/>
      <c r="WOZ73" s="311"/>
      <c r="WPA73" s="311"/>
      <c r="WPB73" s="311"/>
      <c r="WPC73" s="311"/>
      <c r="WPD73" s="311"/>
      <c r="WPE73" s="311"/>
      <c r="WPF73" s="311"/>
      <c r="WPG73" s="311"/>
      <c r="WPH73" s="311"/>
      <c r="WPI73" s="311"/>
      <c r="WPJ73" s="311"/>
      <c r="WPK73" s="311"/>
      <c r="WPL73" s="311"/>
      <c r="WPM73" s="311"/>
      <c r="WPN73" s="311"/>
      <c r="WPO73" s="311"/>
      <c r="WPP73" s="311"/>
      <c r="WPQ73" s="311"/>
      <c r="WPR73" s="311"/>
      <c r="WPS73" s="311"/>
      <c r="WPT73" s="311"/>
      <c r="WPU73" s="311"/>
      <c r="WPV73" s="311"/>
      <c r="WPW73" s="311"/>
      <c r="WPX73" s="311"/>
      <c r="WPY73" s="311"/>
      <c r="WPZ73" s="311"/>
      <c r="WQA73" s="311"/>
      <c r="WQB73" s="311"/>
      <c r="WQC73" s="311"/>
      <c r="WQD73" s="311"/>
      <c r="WQE73" s="311"/>
      <c r="WQF73" s="311"/>
      <c r="WQG73" s="311"/>
      <c r="WQH73" s="311"/>
      <c r="WQI73" s="311"/>
      <c r="WQJ73" s="311"/>
      <c r="WQK73" s="311"/>
      <c r="WQL73" s="311"/>
      <c r="WQM73" s="311"/>
      <c r="WQN73" s="311"/>
      <c r="WQO73" s="311"/>
      <c r="WQP73" s="311"/>
      <c r="WQQ73" s="311"/>
      <c r="WQR73" s="311"/>
      <c r="WQS73" s="311"/>
      <c r="WQT73" s="311"/>
      <c r="WQU73" s="311"/>
      <c r="WQV73" s="311"/>
      <c r="WQW73" s="311"/>
      <c r="WQX73" s="311"/>
      <c r="WQY73" s="311"/>
      <c r="WQZ73" s="311"/>
      <c r="WRA73" s="311"/>
      <c r="WRB73" s="311"/>
      <c r="WRC73" s="311"/>
      <c r="WRD73" s="311"/>
      <c r="WRE73" s="311"/>
      <c r="WRF73" s="311"/>
      <c r="WRG73" s="311"/>
      <c r="WRH73" s="311"/>
      <c r="WRI73" s="311"/>
      <c r="WRJ73" s="311"/>
      <c r="WRK73" s="311"/>
      <c r="WRL73" s="311"/>
      <c r="WRM73" s="311"/>
      <c r="WRN73" s="311"/>
      <c r="WRO73" s="311"/>
      <c r="WRP73" s="311"/>
      <c r="WRQ73" s="311"/>
      <c r="WRR73" s="311"/>
      <c r="WRS73" s="311"/>
      <c r="WRT73" s="311"/>
      <c r="WRU73" s="311"/>
      <c r="WRV73" s="311"/>
      <c r="WRW73" s="311"/>
      <c r="WRX73" s="311"/>
      <c r="WRY73" s="311"/>
      <c r="WRZ73" s="311"/>
      <c r="WSA73" s="311"/>
      <c r="WSB73" s="311"/>
      <c r="WSC73" s="311"/>
      <c r="WSD73" s="311"/>
      <c r="WSE73" s="311"/>
      <c r="WSF73" s="311"/>
      <c r="WSG73" s="311"/>
      <c r="WSH73" s="311"/>
      <c r="WSI73" s="311"/>
      <c r="WSJ73" s="311"/>
      <c r="WSK73" s="311"/>
      <c r="WSL73" s="311"/>
      <c r="WSM73" s="311"/>
      <c r="WSN73" s="311"/>
      <c r="WSO73" s="311"/>
      <c r="WSP73" s="311"/>
      <c r="WSQ73" s="311"/>
      <c r="WSR73" s="311"/>
      <c r="WSS73" s="311"/>
      <c r="WST73" s="311"/>
      <c r="WSU73" s="311"/>
      <c r="WSV73" s="311"/>
      <c r="WSW73" s="311"/>
      <c r="WSX73" s="311"/>
      <c r="WSY73" s="311"/>
      <c r="WSZ73" s="311"/>
      <c r="WTA73" s="311"/>
      <c r="WTB73" s="311"/>
      <c r="WTC73" s="311"/>
      <c r="WTD73" s="311"/>
      <c r="WTE73" s="311"/>
      <c r="WTF73" s="311"/>
      <c r="WTG73" s="311"/>
      <c r="WTH73" s="311"/>
      <c r="WTI73" s="311"/>
      <c r="WTJ73" s="311"/>
      <c r="WTK73" s="311"/>
      <c r="WTL73" s="311"/>
      <c r="WTM73" s="311"/>
      <c r="WTN73" s="311"/>
      <c r="WTO73" s="311"/>
      <c r="WTP73" s="311"/>
      <c r="WTQ73" s="311"/>
      <c r="WTR73" s="311"/>
      <c r="WTS73" s="311"/>
      <c r="WTT73" s="311"/>
      <c r="WTU73" s="311"/>
      <c r="WTV73" s="311"/>
      <c r="WTW73" s="311"/>
      <c r="WTX73" s="311"/>
      <c r="WTY73" s="311"/>
      <c r="WTZ73" s="311"/>
      <c r="WUA73" s="311"/>
      <c r="WUB73" s="311"/>
      <c r="WUC73" s="311"/>
      <c r="WUD73" s="311"/>
      <c r="WUE73" s="311"/>
      <c r="WUF73" s="311"/>
      <c r="WUG73" s="311"/>
      <c r="WUH73" s="311"/>
      <c r="WUI73" s="311"/>
      <c r="WUJ73" s="311"/>
      <c r="WUK73" s="311"/>
      <c r="WUL73" s="311"/>
      <c r="WUM73" s="311"/>
      <c r="WUN73" s="311"/>
      <c r="WUO73" s="311"/>
      <c r="WUP73" s="311"/>
      <c r="WUQ73" s="311"/>
      <c r="WUR73" s="311"/>
      <c r="WUS73" s="311"/>
      <c r="WUT73" s="311"/>
      <c r="WUU73" s="311"/>
      <c r="WUV73" s="311"/>
      <c r="WUW73" s="311"/>
      <c r="WUX73" s="311"/>
      <c r="WUY73" s="311"/>
      <c r="WUZ73" s="311"/>
      <c r="WVA73" s="311"/>
      <c r="WVB73" s="311"/>
      <c r="WVC73" s="311"/>
      <c r="WVD73" s="311"/>
      <c r="WVE73" s="311"/>
      <c r="WVF73" s="311"/>
      <c r="WVG73" s="311"/>
      <c r="WVH73" s="311"/>
      <c r="WVI73" s="311"/>
      <c r="WVJ73" s="311"/>
      <c r="WVK73" s="311"/>
      <c r="WVL73" s="311"/>
      <c r="WVM73" s="311"/>
      <c r="WVN73" s="311"/>
      <c r="WVO73" s="311"/>
      <c r="WVP73" s="311"/>
      <c r="WVQ73" s="311"/>
      <c r="WVR73" s="311"/>
      <c r="WVS73" s="311"/>
      <c r="WVT73" s="311"/>
      <c r="WVU73" s="311"/>
      <c r="WVV73" s="311"/>
      <c r="WVW73" s="311"/>
      <c r="WVX73" s="311"/>
      <c r="WVY73" s="311"/>
      <c r="WVZ73" s="311"/>
      <c r="WWA73" s="311"/>
      <c r="WWB73" s="311"/>
      <c r="WWC73" s="311"/>
      <c r="WWD73" s="311"/>
      <c r="WWE73" s="311"/>
      <c r="WWF73" s="311"/>
      <c r="WWG73" s="311"/>
      <c r="WWH73" s="311"/>
      <c r="WWI73" s="311"/>
      <c r="WWJ73" s="311"/>
      <c r="WWK73" s="311"/>
      <c r="WWL73" s="311"/>
      <c r="WWM73" s="311"/>
      <c r="WWN73" s="311"/>
      <c r="WWO73" s="311"/>
      <c r="WWP73" s="311"/>
      <c r="WWQ73" s="311"/>
      <c r="WWR73" s="311"/>
      <c r="WWS73" s="311"/>
      <c r="WWT73" s="311"/>
      <c r="WWU73" s="311"/>
      <c r="WWV73" s="311"/>
      <c r="WWW73" s="311"/>
      <c r="WWX73" s="311"/>
      <c r="WWY73" s="311"/>
      <c r="WWZ73" s="311"/>
      <c r="WXA73" s="311"/>
      <c r="WXB73" s="311"/>
      <c r="WXC73" s="311"/>
      <c r="WXD73" s="311"/>
      <c r="WXE73" s="311"/>
      <c r="WXF73" s="311"/>
      <c r="WXG73" s="311"/>
      <c r="WXH73" s="311"/>
      <c r="WXI73" s="311"/>
      <c r="WXJ73" s="311"/>
      <c r="WXK73" s="311"/>
      <c r="WXL73" s="311"/>
      <c r="WXM73" s="311"/>
      <c r="WXN73" s="311"/>
      <c r="WXO73" s="311"/>
      <c r="WXP73" s="311"/>
      <c r="WXQ73" s="311"/>
      <c r="WXR73" s="311"/>
      <c r="WXS73" s="311"/>
      <c r="WXT73" s="311"/>
      <c r="WXU73" s="311"/>
      <c r="WXV73" s="311"/>
      <c r="WXW73" s="311"/>
      <c r="WXX73" s="311"/>
      <c r="WXY73" s="311"/>
      <c r="WXZ73" s="311"/>
      <c r="WYA73" s="311"/>
      <c r="WYB73" s="311"/>
      <c r="WYC73" s="311"/>
      <c r="WYD73" s="311"/>
      <c r="WYE73" s="311"/>
      <c r="WYF73" s="311"/>
      <c r="WYG73" s="311"/>
      <c r="WYH73" s="311"/>
      <c r="WYI73" s="311"/>
      <c r="WYJ73" s="311"/>
      <c r="WYK73" s="311"/>
      <c r="WYL73" s="311"/>
      <c r="WYM73" s="311"/>
      <c r="WYN73" s="311"/>
      <c r="WYO73" s="311"/>
      <c r="WYP73" s="311"/>
      <c r="WYQ73" s="311"/>
      <c r="WYR73" s="311"/>
      <c r="WYS73" s="311"/>
      <c r="WYT73" s="311"/>
      <c r="WYU73" s="311"/>
      <c r="WYV73" s="311"/>
      <c r="WYW73" s="311"/>
      <c r="WYX73" s="311"/>
      <c r="WYY73" s="311"/>
      <c r="WYZ73" s="311"/>
      <c r="WZA73" s="311"/>
      <c r="WZB73" s="311"/>
      <c r="WZC73" s="311"/>
      <c r="WZD73" s="311"/>
      <c r="WZE73" s="311"/>
      <c r="WZF73" s="311"/>
      <c r="WZG73" s="311"/>
      <c r="WZH73" s="311"/>
      <c r="WZI73" s="311"/>
      <c r="WZJ73" s="311"/>
      <c r="WZK73" s="311"/>
      <c r="WZL73" s="311"/>
      <c r="WZM73" s="311"/>
      <c r="WZN73" s="311"/>
      <c r="WZO73" s="311"/>
      <c r="WZP73" s="311"/>
      <c r="WZQ73" s="311"/>
      <c r="WZR73" s="311"/>
      <c r="WZS73" s="311"/>
      <c r="WZT73" s="311"/>
      <c r="WZU73" s="311"/>
      <c r="WZV73" s="311"/>
      <c r="WZW73" s="311"/>
      <c r="WZX73" s="311"/>
      <c r="WZY73" s="311"/>
      <c r="WZZ73" s="311"/>
      <c r="XAA73" s="311"/>
      <c r="XAB73" s="311"/>
      <c r="XAC73" s="311"/>
      <c r="XAD73" s="311"/>
      <c r="XAE73" s="311"/>
      <c r="XAF73" s="311"/>
      <c r="XAG73" s="311"/>
      <c r="XAH73" s="311"/>
      <c r="XAI73" s="311"/>
      <c r="XAJ73" s="311"/>
      <c r="XAK73" s="311"/>
      <c r="XAL73" s="311"/>
      <c r="XAM73" s="311"/>
      <c r="XAN73" s="311"/>
      <c r="XAO73" s="311"/>
      <c r="XAP73" s="311"/>
      <c r="XAQ73" s="311"/>
      <c r="XAR73" s="311"/>
      <c r="XAS73" s="311"/>
      <c r="XAT73" s="311"/>
      <c r="XAU73" s="311"/>
      <c r="XAV73" s="311"/>
      <c r="XAW73" s="311"/>
      <c r="XAX73" s="311"/>
      <c r="XAY73" s="311"/>
      <c r="XAZ73" s="311"/>
      <c r="XBA73" s="311"/>
      <c r="XBB73" s="311"/>
      <c r="XBC73" s="311"/>
      <c r="XBD73" s="311"/>
      <c r="XBE73" s="311"/>
      <c r="XBF73" s="311"/>
      <c r="XBG73" s="311"/>
      <c r="XBH73" s="311"/>
      <c r="XBI73" s="311"/>
      <c r="XBJ73" s="311"/>
      <c r="XBK73" s="311"/>
      <c r="XBL73" s="311"/>
      <c r="XBM73" s="311"/>
      <c r="XBN73" s="311"/>
      <c r="XBO73" s="311"/>
      <c r="XBP73" s="311"/>
      <c r="XBQ73" s="311"/>
      <c r="XBR73" s="311"/>
      <c r="XBS73" s="311"/>
      <c r="XBT73" s="311"/>
      <c r="XBU73" s="311"/>
      <c r="XBV73" s="311"/>
      <c r="XBW73" s="311"/>
      <c r="XBX73" s="311"/>
      <c r="XBY73" s="311"/>
      <c r="XBZ73" s="311"/>
      <c r="XCA73" s="311"/>
      <c r="XCB73" s="311"/>
      <c r="XCC73" s="311"/>
      <c r="XCD73" s="311"/>
      <c r="XCE73" s="311"/>
      <c r="XCF73" s="311"/>
      <c r="XCG73" s="311"/>
      <c r="XCH73" s="311"/>
      <c r="XCI73" s="311"/>
      <c r="XCJ73" s="311"/>
      <c r="XCK73" s="311"/>
      <c r="XCL73" s="311"/>
      <c r="XCM73" s="311"/>
      <c r="XCN73" s="311"/>
      <c r="XCO73" s="311"/>
      <c r="XCP73" s="311"/>
      <c r="XCQ73" s="311"/>
      <c r="XCR73" s="311"/>
      <c r="XCS73" s="311"/>
      <c r="XCT73" s="311"/>
      <c r="XCU73" s="311"/>
      <c r="XCV73" s="311"/>
      <c r="XCW73" s="311"/>
      <c r="XCX73" s="311"/>
      <c r="XCY73" s="311"/>
      <c r="XCZ73" s="311"/>
      <c r="XDA73" s="311"/>
      <c r="XDB73" s="311"/>
      <c r="XDC73" s="311"/>
      <c r="XDD73" s="311"/>
      <c r="XDE73" s="311"/>
      <c r="XDF73" s="311"/>
      <c r="XDG73" s="311"/>
      <c r="XDH73" s="311"/>
      <c r="XDI73" s="311"/>
      <c r="XDJ73" s="311"/>
      <c r="XDK73" s="311"/>
      <c r="XDL73" s="311"/>
      <c r="XDM73" s="311"/>
      <c r="XDN73" s="311"/>
      <c r="XDO73" s="311"/>
      <c r="XDP73" s="311"/>
      <c r="XDQ73" s="311"/>
      <c r="XDR73" s="311"/>
      <c r="XDS73" s="311"/>
      <c r="XDT73" s="311"/>
      <c r="XDU73" s="311"/>
      <c r="XDV73" s="311"/>
      <c r="XDW73" s="311"/>
      <c r="XDX73" s="311"/>
      <c r="XDY73" s="311"/>
      <c r="XDZ73" s="311"/>
      <c r="XEA73" s="311"/>
      <c r="XEB73" s="311"/>
      <c r="XEC73" s="311"/>
      <c r="XED73" s="311"/>
      <c r="XEE73" s="311"/>
      <c r="XEF73" s="311"/>
      <c r="XEG73" s="311"/>
      <c r="XEH73" s="312"/>
    </row>
    <row r="74" spans="1:16362" ht="18" customHeight="1">
      <c r="A74" s="402"/>
      <c r="B74" s="402"/>
      <c r="C74" s="408" t="s">
        <v>972</v>
      </c>
      <c r="D74" s="408"/>
      <c r="E74" s="408"/>
      <c r="F74" s="330" t="s">
        <v>960</v>
      </c>
      <c r="G74" s="319">
        <v>1</v>
      </c>
      <c r="H74" s="326">
        <f>I74</f>
        <v>30000</v>
      </c>
      <c r="I74" s="336">
        <v>30000</v>
      </c>
      <c r="J74" s="434"/>
    </row>
    <row r="75" spans="1:16362" ht="18" customHeight="1">
      <c r="A75" s="402"/>
      <c r="B75" s="402"/>
      <c r="C75" s="403" t="s">
        <v>973</v>
      </c>
      <c r="D75" s="403"/>
      <c r="E75" s="403"/>
      <c r="F75" s="330"/>
      <c r="G75" s="315"/>
      <c r="H75" s="315"/>
      <c r="I75" s="333">
        <f>SUM(I70:I74)</f>
        <v>115161</v>
      </c>
      <c r="J75" s="434"/>
    </row>
    <row r="76" spans="1:16362" ht="18" customHeight="1">
      <c r="A76" s="317"/>
      <c r="B76" s="317"/>
      <c r="C76" s="403" t="s">
        <v>974</v>
      </c>
      <c r="D76" s="403"/>
      <c r="E76" s="403"/>
      <c r="F76" s="330"/>
      <c r="G76" s="315"/>
      <c r="H76" s="315"/>
      <c r="I76" s="333">
        <f>I69+I75</f>
        <v>966771</v>
      </c>
      <c r="J76" s="434"/>
    </row>
    <row r="77" spans="1:16362" ht="18" customHeight="1">
      <c r="A77" s="402">
        <v>7</v>
      </c>
      <c r="B77" s="402" t="s">
        <v>1020</v>
      </c>
      <c r="C77" s="402" t="s">
        <v>975</v>
      </c>
      <c r="D77" s="402" t="s">
        <v>1021</v>
      </c>
      <c r="E77" s="402"/>
      <c r="F77" s="317" t="s">
        <v>959</v>
      </c>
      <c r="G77" s="318">
        <v>422</v>
      </c>
      <c r="H77" s="318">
        <v>45</v>
      </c>
      <c r="I77" s="331">
        <f t="shared" ref="I77:I81" si="5">G77*H77</f>
        <v>18990</v>
      </c>
      <c r="J77" s="401">
        <f>ROUND(I88*0.8,0)</f>
        <v>729264</v>
      </c>
    </row>
    <row r="78" spans="1:16362" ht="18" customHeight="1">
      <c r="A78" s="402"/>
      <c r="B78" s="402"/>
      <c r="C78" s="402"/>
      <c r="D78" s="402" t="s">
        <v>1022</v>
      </c>
      <c r="E78" s="402"/>
      <c r="F78" s="317" t="s">
        <v>962</v>
      </c>
      <c r="G78" s="318">
        <v>30</v>
      </c>
      <c r="H78" s="318">
        <v>230</v>
      </c>
      <c r="I78" s="331">
        <f t="shared" si="5"/>
        <v>6900</v>
      </c>
      <c r="J78" s="434"/>
    </row>
    <row r="79" spans="1:16362" ht="18" customHeight="1">
      <c r="A79" s="402"/>
      <c r="B79" s="402"/>
      <c r="C79" s="402"/>
      <c r="D79" s="402" t="s">
        <v>1023</v>
      </c>
      <c r="E79" s="402"/>
      <c r="F79" s="317" t="s">
        <v>960</v>
      </c>
      <c r="G79" s="318">
        <v>1</v>
      </c>
      <c r="H79" s="318">
        <v>6755.82</v>
      </c>
      <c r="I79" s="331">
        <f t="shared" si="5"/>
        <v>6755.82</v>
      </c>
      <c r="J79" s="434"/>
    </row>
    <row r="80" spans="1:16362" ht="18" customHeight="1">
      <c r="A80" s="402"/>
      <c r="B80" s="402"/>
      <c r="C80" s="426" t="s">
        <v>969</v>
      </c>
      <c r="D80" s="402" t="s">
        <v>1024</v>
      </c>
      <c r="E80" s="402"/>
      <c r="F80" s="330" t="s">
        <v>959</v>
      </c>
      <c r="G80" s="318">
        <v>2209</v>
      </c>
      <c r="H80" s="318">
        <v>310</v>
      </c>
      <c r="I80" s="335">
        <f t="shared" si="5"/>
        <v>684790</v>
      </c>
      <c r="J80" s="434"/>
    </row>
    <row r="81" spans="1:16361" ht="18" customHeight="1">
      <c r="A81" s="402"/>
      <c r="B81" s="402"/>
      <c r="C81" s="428"/>
      <c r="D81" s="435" t="s">
        <v>970</v>
      </c>
      <c r="E81" s="436"/>
      <c r="F81" s="317" t="s">
        <v>962</v>
      </c>
      <c r="G81" s="318">
        <v>240</v>
      </c>
      <c r="H81" s="318">
        <v>350</v>
      </c>
      <c r="I81" s="335">
        <f t="shared" si="5"/>
        <v>84000</v>
      </c>
      <c r="J81" s="434"/>
    </row>
    <row r="82" spans="1:16361" s="321" customFormat="1" ht="18" customHeight="1">
      <c r="A82" s="403"/>
      <c r="B82" s="403"/>
      <c r="C82" s="403" t="s">
        <v>971</v>
      </c>
      <c r="D82" s="403"/>
      <c r="E82" s="403"/>
      <c r="F82" s="332"/>
      <c r="G82" s="315"/>
      <c r="H82" s="315"/>
      <c r="I82" s="333">
        <f>SUM(I77:I81)</f>
        <v>801435.82</v>
      </c>
      <c r="J82" s="434"/>
      <c r="K82" s="316"/>
      <c r="L82" s="316"/>
      <c r="M82" s="316"/>
      <c r="N82" s="316"/>
      <c r="O82" s="316"/>
      <c r="P82" s="316"/>
      <c r="Q82" s="316"/>
      <c r="R82" s="316"/>
      <c r="S82" s="316"/>
      <c r="T82" s="316"/>
      <c r="U82" s="316"/>
      <c r="V82" s="316"/>
      <c r="W82" s="316"/>
      <c r="X82" s="316"/>
      <c r="Y82" s="316"/>
      <c r="Z82" s="316"/>
      <c r="AA82" s="316"/>
      <c r="AB82" s="316"/>
      <c r="AC82" s="316"/>
      <c r="AD82" s="316"/>
      <c r="AE82" s="316"/>
      <c r="AF82" s="316"/>
      <c r="AG82" s="316"/>
      <c r="AH82" s="316"/>
      <c r="AI82" s="316"/>
      <c r="AJ82" s="316"/>
      <c r="AK82" s="316"/>
      <c r="AL82" s="316"/>
      <c r="AM82" s="316"/>
      <c r="AN82" s="316"/>
      <c r="AO82" s="316"/>
      <c r="AP82" s="316"/>
      <c r="AQ82" s="316"/>
      <c r="AR82" s="316"/>
      <c r="AS82" s="316"/>
      <c r="AT82" s="316"/>
      <c r="AU82" s="316"/>
      <c r="AV82" s="316"/>
      <c r="AW82" s="316"/>
      <c r="AX82" s="316"/>
      <c r="AY82" s="316"/>
      <c r="AZ82" s="316"/>
      <c r="BA82" s="316"/>
      <c r="BB82" s="316"/>
      <c r="BC82" s="316"/>
      <c r="BD82" s="316"/>
      <c r="BE82" s="316"/>
      <c r="BF82" s="316"/>
      <c r="BG82" s="316"/>
      <c r="BH82" s="316"/>
      <c r="BI82" s="316"/>
      <c r="BJ82" s="316"/>
      <c r="BK82" s="316"/>
      <c r="BL82" s="316"/>
      <c r="BM82" s="316"/>
      <c r="BN82" s="316"/>
      <c r="BO82" s="316"/>
      <c r="BP82" s="316"/>
      <c r="BQ82" s="316"/>
      <c r="BR82" s="316"/>
      <c r="BS82" s="316"/>
      <c r="BT82" s="316"/>
      <c r="BU82" s="316"/>
      <c r="BV82" s="316"/>
      <c r="BW82" s="316"/>
      <c r="BX82" s="316"/>
      <c r="BY82" s="316"/>
      <c r="BZ82" s="316"/>
      <c r="CA82" s="316"/>
      <c r="CB82" s="316"/>
      <c r="CC82" s="316"/>
      <c r="CD82" s="316"/>
      <c r="CE82" s="316"/>
      <c r="CF82" s="316"/>
      <c r="CG82" s="316"/>
      <c r="CH82" s="316"/>
      <c r="CI82" s="316"/>
      <c r="CJ82" s="316"/>
      <c r="CK82" s="316"/>
      <c r="CL82" s="316"/>
      <c r="CM82" s="316"/>
      <c r="CN82" s="316"/>
      <c r="CO82" s="316"/>
      <c r="CP82" s="316"/>
      <c r="CQ82" s="316"/>
      <c r="CR82" s="316"/>
      <c r="CS82" s="316"/>
      <c r="CT82" s="316"/>
      <c r="CU82" s="316"/>
      <c r="CV82" s="316"/>
      <c r="CW82" s="316"/>
      <c r="CX82" s="316"/>
      <c r="CY82" s="316"/>
      <c r="CZ82" s="316"/>
      <c r="DA82" s="316"/>
      <c r="DB82" s="316"/>
      <c r="DC82" s="316"/>
      <c r="DD82" s="316"/>
      <c r="DE82" s="316"/>
      <c r="DF82" s="316"/>
      <c r="DG82" s="316"/>
      <c r="DH82" s="316"/>
      <c r="DI82" s="316"/>
      <c r="DJ82" s="316"/>
      <c r="DK82" s="316"/>
      <c r="DL82" s="316"/>
      <c r="DM82" s="316"/>
      <c r="DN82" s="316"/>
      <c r="DO82" s="316"/>
      <c r="DP82" s="316"/>
      <c r="DQ82" s="316"/>
      <c r="DR82" s="316"/>
      <c r="DS82" s="316"/>
      <c r="DT82" s="316"/>
      <c r="DU82" s="316"/>
      <c r="DV82" s="316"/>
      <c r="DW82" s="316"/>
      <c r="DX82" s="316"/>
      <c r="DY82" s="316"/>
      <c r="DZ82" s="316"/>
      <c r="EA82" s="316"/>
      <c r="EB82" s="316"/>
      <c r="EC82" s="316"/>
      <c r="ED82" s="316"/>
      <c r="EE82" s="316"/>
      <c r="EF82" s="316"/>
      <c r="EG82" s="316"/>
      <c r="EH82" s="316"/>
      <c r="EI82" s="316"/>
      <c r="EJ82" s="316"/>
      <c r="EK82" s="316"/>
      <c r="EL82" s="316"/>
      <c r="EM82" s="316"/>
      <c r="EN82" s="316"/>
      <c r="EO82" s="316"/>
      <c r="EP82" s="316"/>
      <c r="EQ82" s="316"/>
      <c r="ER82" s="316"/>
      <c r="ES82" s="316"/>
      <c r="ET82" s="316"/>
      <c r="EU82" s="316"/>
      <c r="EV82" s="316"/>
      <c r="EW82" s="316"/>
      <c r="EX82" s="316"/>
      <c r="EY82" s="316"/>
      <c r="EZ82" s="316"/>
      <c r="FA82" s="316"/>
      <c r="FB82" s="316"/>
      <c r="FC82" s="316"/>
      <c r="FD82" s="316"/>
      <c r="FE82" s="316"/>
      <c r="FF82" s="316"/>
      <c r="FG82" s="316"/>
      <c r="FH82" s="316"/>
      <c r="FI82" s="316"/>
      <c r="FJ82" s="316"/>
      <c r="FK82" s="316"/>
      <c r="FL82" s="316"/>
      <c r="FM82" s="316"/>
      <c r="FN82" s="316"/>
      <c r="FO82" s="316"/>
      <c r="FP82" s="316"/>
      <c r="FQ82" s="316"/>
      <c r="FR82" s="316"/>
      <c r="FS82" s="316"/>
      <c r="FT82" s="316"/>
      <c r="FU82" s="316"/>
      <c r="FV82" s="316"/>
      <c r="FW82" s="316"/>
      <c r="FX82" s="316"/>
      <c r="FY82" s="316"/>
      <c r="FZ82" s="316"/>
      <c r="GA82" s="316"/>
      <c r="GB82" s="316"/>
      <c r="GC82" s="316"/>
      <c r="GD82" s="316"/>
      <c r="GE82" s="316"/>
      <c r="GF82" s="316"/>
      <c r="GG82" s="316"/>
      <c r="GH82" s="316"/>
      <c r="GI82" s="316"/>
      <c r="GJ82" s="316"/>
      <c r="GK82" s="316"/>
      <c r="GL82" s="316"/>
      <c r="GM82" s="316"/>
      <c r="GN82" s="316"/>
      <c r="GO82" s="316"/>
      <c r="GP82" s="316"/>
      <c r="GQ82" s="316"/>
      <c r="GR82" s="316"/>
      <c r="GS82" s="316"/>
      <c r="GT82" s="316"/>
      <c r="GU82" s="316"/>
      <c r="GV82" s="316"/>
      <c r="GW82" s="316"/>
      <c r="GX82" s="316"/>
      <c r="GY82" s="316"/>
      <c r="GZ82" s="316"/>
      <c r="HA82" s="316"/>
      <c r="HB82" s="316"/>
      <c r="HC82" s="316"/>
      <c r="HD82" s="316"/>
      <c r="HE82" s="316"/>
      <c r="HF82" s="316"/>
      <c r="HG82" s="316"/>
      <c r="HH82" s="316"/>
      <c r="HI82" s="316"/>
      <c r="HJ82" s="316"/>
      <c r="HK82" s="316"/>
      <c r="HL82" s="316"/>
      <c r="HM82" s="316"/>
      <c r="HN82" s="316"/>
      <c r="HO82" s="316"/>
      <c r="HP82" s="316"/>
      <c r="HQ82" s="316"/>
      <c r="HR82" s="316"/>
      <c r="HS82" s="316"/>
      <c r="HT82" s="316"/>
      <c r="HU82" s="316"/>
      <c r="HV82" s="316"/>
      <c r="HW82" s="316"/>
      <c r="HX82" s="316"/>
      <c r="HY82" s="316"/>
      <c r="HZ82" s="316"/>
      <c r="IA82" s="316"/>
      <c r="IB82" s="316"/>
      <c r="IC82" s="316"/>
      <c r="ID82" s="316"/>
      <c r="IE82" s="316"/>
      <c r="IF82" s="316"/>
      <c r="IG82" s="316"/>
      <c r="IH82" s="316"/>
      <c r="II82" s="316"/>
      <c r="IJ82" s="316"/>
      <c r="IK82" s="316"/>
      <c r="IL82" s="316"/>
      <c r="IM82" s="316"/>
      <c r="IN82" s="316"/>
      <c r="IO82" s="316"/>
      <c r="IP82" s="316"/>
      <c r="IQ82" s="316"/>
      <c r="IR82" s="316"/>
      <c r="IS82" s="316"/>
      <c r="IT82" s="316"/>
      <c r="IU82" s="316"/>
      <c r="IV82" s="316"/>
      <c r="IW82" s="316"/>
      <c r="IX82" s="316"/>
      <c r="IY82" s="316"/>
      <c r="IZ82" s="316"/>
      <c r="JA82" s="316"/>
      <c r="JB82" s="316"/>
      <c r="JC82" s="316"/>
      <c r="JD82" s="316"/>
      <c r="JE82" s="316"/>
      <c r="JF82" s="316"/>
      <c r="JG82" s="316"/>
      <c r="JH82" s="316"/>
      <c r="JI82" s="316"/>
      <c r="JJ82" s="316"/>
      <c r="JK82" s="316"/>
      <c r="JL82" s="316"/>
      <c r="JM82" s="316"/>
      <c r="JN82" s="316"/>
      <c r="JO82" s="316"/>
      <c r="JP82" s="316"/>
      <c r="JQ82" s="316"/>
      <c r="JR82" s="316"/>
      <c r="JS82" s="316"/>
      <c r="JT82" s="316"/>
      <c r="JU82" s="316"/>
      <c r="JV82" s="316"/>
      <c r="JW82" s="316"/>
      <c r="JX82" s="316"/>
      <c r="JY82" s="316"/>
      <c r="JZ82" s="316"/>
      <c r="KA82" s="316"/>
      <c r="KB82" s="316"/>
      <c r="KC82" s="316"/>
      <c r="KD82" s="316"/>
      <c r="KE82" s="316"/>
      <c r="KF82" s="316"/>
      <c r="KG82" s="316"/>
      <c r="KH82" s="316"/>
      <c r="KI82" s="316"/>
      <c r="KJ82" s="316"/>
      <c r="KK82" s="316"/>
      <c r="KL82" s="316"/>
      <c r="KM82" s="316"/>
      <c r="KN82" s="316"/>
      <c r="KO82" s="316"/>
      <c r="KP82" s="316"/>
      <c r="KQ82" s="316"/>
      <c r="KR82" s="316"/>
      <c r="KS82" s="316"/>
      <c r="KT82" s="316"/>
      <c r="KU82" s="316"/>
      <c r="KV82" s="316"/>
      <c r="KW82" s="316"/>
      <c r="KX82" s="316"/>
      <c r="KY82" s="316"/>
      <c r="KZ82" s="316"/>
      <c r="LA82" s="316"/>
      <c r="LB82" s="316"/>
      <c r="LC82" s="316"/>
      <c r="LD82" s="316"/>
      <c r="LE82" s="316"/>
      <c r="LF82" s="316"/>
      <c r="LG82" s="316"/>
      <c r="LH82" s="316"/>
      <c r="LI82" s="316"/>
      <c r="LJ82" s="316"/>
      <c r="LK82" s="316"/>
      <c r="LL82" s="316"/>
      <c r="LM82" s="316"/>
      <c r="LN82" s="316"/>
      <c r="LO82" s="316"/>
      <c r="LP82" s="316"/>
      <c r="LQ82" s="316"/>
      <c r="LR82" s="316"/>
      <c r="LS82" s="316"/>
      <c r="LT82" s="316"/>
      <c r="LU82" s="316"/>
      <c r="LV82" s="316"/>
      <c r="LW82" s="316"/>
      <c r="LX82" s="316"/>
      <c r="LY82" s="316"/>
      <c r="LZ82" s="316"/>
      <c r="MA82" s="316"/>
      <c r="MB82" s="316"/>
      <c r="MC82" s="316"/>
      <c r="MD82" s="316"/>
      <c r="ME82" s="316"/>
      <c r="MF82" s="316"/>
      <c r="MG82" s="316"/>
      <c r="MH82" s="316"/>
      <c r="MI82" s="316"/>
      <c r="MJ82" s="316"/>
      <c r="MK82" s="316"/>
      <c r="ML82" s="316"/>
      <c r="MM82" s="316"/>
      <c r="MN82" s="316"/>
      <c r="MO82" s="316"/>
      <c r="MP82" s="316"/>
      <c r="MQ82" s="316"/>
      <c r="MR82" s="316"/>
      <c r="MS82" s="316"/>
      <c r="MT82" s="316"/>
      <c r="MU82" s="316"/>
      <c r="MV82" s="316"/>
      <c r="MW82" s="316"/>
      <c r="MX82" s="316"/>
      <c r="MY82" s="316"/>
      <c r="MZ82" s="316"/>
      <c r="NA82" s="316"/>
      <c r="NB82" s="316"/>
      <c r="NC82" s="316"/>
      <c r="ND82" s="316"/>
      <c r="NE82" s="316"/>
      <c r="NF82" s="316"/>
      <c r="NG82" s="316"/>
      <c r="NH82" s="316"/>
      <c r="NI82" s="316"/>
      <c r="NJ82" s="316"/>
      <c r="NK82" s="316"/>
      <c r="NL82" s="316"/>
      <c r="NM82" s="316"/>
      <c r="NN82" s="316"/>
      <c r="NO82" s="316"/>
      <c r="NP82" s="316"/>
      <c r="NQ82" s="316"/>
      <c r="NR82" s="316"/>
      <c r="NS82" s="316"/>
      <c r="NT82" s="316"/>
      <c r="NU82" s="316"/>
      <c r="NV82" s="316"/>
      <c r="NW82" s="316"/>
      <c r="NX82" s="316"/>
      <c r="NY82" s="316"/>
      <c r="NZ82" s="316"/>
      <c r="OA82" s="316"/>
      <c r="OB82" s="316"/>
      <c r="OC82" s="316"/>
      <c r="OD82" s="316"/>
      <c r="OE82" s="316"/>
      <c r="OF82" s="316"/>
      <c r="OG82" s="316"/>
      <c r="OH82" s="316"/>
      <c r="OI82" s="316"/>
      <c r="OJ82" s="316"/>
      <c r="OK82" s="316"/>
      <c r="OL82" s="316"/>
      <c r="OM82" s="316"/>
      <c r="ON82" s="316"/>
      <c r="OO82" s="316"/>
      <c r="OP82" s="316"/>
      <c r="OQ82" s="316"/>
      <c r="OR82" s="316"/>
      <c r="OS82" s="316"/>
      <c r="OT82" s="316"/>
      <c r="OU82" s="316"/>
      <c r="OV82" s="316"/>
      <c r="OW82" s="316"/>
      <c r="OX82" s="316"/>
      <c r="OY82" s="316"/>
      <c r="OZ82" s="316"/>
      <c r="PA82" s="316"/>
      <c r="PB82" s="316"/>
      <c r="PC82" s="316"/>
      <c r="PD82" s="316"/>
      <c r="PE82" s="316"/>
      <c r="PF82" s="316"/>
      <c r="PG82" s="316"/>
      <c r="PH82" s="316"/>
      <c r="PI82" s="316"/>
      <c r="PJ82" s="316"/>
      <c r="PK82" s="316"/>
      <c r="PL82" s="316"/>
      <c r="PM82" s="316"/>
      <c r="PN82" s="316"/>
      <c r="PO82" s="316"/>
      <c r="PP82" s="316"/>
      <c r="PQ82" s="316"/>
      <c r="PR82" s="316"/>
      <c r="PS82" s="316"/>
      <c r="PT82" s="316"/>
      <c r="PU82" s="316"/>
      <c r="PV82" s="316"/>
      <c r="PW82" s="316"/>
      <c r="PX82" s="316"/>
      <c r="PY82" s="316"/>
      <c r="PZ82" s="316"/>
      <c r="QA82" s="316"/>
      <c r="QB82" s="316"/>
      <c r="QC82" s="316"/>
      <c r="QD82" s="316"/>
      <c r="QE82" s="316"/>
      <c r="QF82" s="316"/>
      <c r="QG82" s="316"/>
      <c r="QH82" s="316"/>
      <c r="QI82" s="316"/>
      <c r="QJ82" s="316"/>
      <c r="QK82" s="316"/>
      <c r="QL82" s="316"/>
      <c r="QM82" s="316"/>
      <c r="QN82" s="316"/>
      <c r="QO82" s="316"/>
      <c r="QP82" s="316"/>
      <c r="QQ82" s="316"/>
      <c r="QR82" s="316"/>
      <c r="QS82" s="316"/>
      <c r="QT82" s="316"/>
      <c r="QU82" s="316"/>
      <c r="QV82" s="316"/>
      <c r="QW82" s="316"/>
      <c r="QX82" s="316"/>
      <c r="QY82" s="316"/>
      <c r="QZ82" s="316"/>
      <c r="RA82" s="316"/>
      <c r="RB82" s="316"/>
      <c r="RC82" s="316"/>
      <c r="RD82" s="316"/>
      <c r="RE82" s="316"/>
      <c r="RF82" s="316"/>
      <c r="RG82" s="316"/>
      <c r="RH82" s="316"/>
      <c r="RI82" s="316"/>
      <c r="RJ82" s="316"/>
      <c r="RK82" s="316"/>
      <c r="RL82" s="316"/>
      <c r="RM82" s="316"/>
      <c r="RN82" s="316"/>
      <c r="RO82" s="316"/>
      <c r="RP82" s="316"/>
      <c r="RQ82" s="316"/>
      <c r="RR82" s="316"/>
      <c r="RS82" s="316"/>
      <c r="RT82" s="316"/>
      <c r="RU82" s="316"/>
      <c r="RV82" s="316"/>
      <c r="RW82" s="316"/>
      <c r="RX82" s="316"/>
      <c r="RY82" s="316"/>
      <c r="RZ82" s="316"/>
      <c r="SA82" s="316"/>
      <c r="SB82" s="316"/>
      <c r="SC82" s="316"/>
      <c r="SD82" s="316"/>
      <c r="SE82" s="316"/>
      <c r="SF82" s="316"/>
      <c r="SG82" s="316"/>
      <c r="SH82" s="316"/>
      <c r="SI82" s="316"/>
      <c r="SJ82" s="316"/>
      <c r="SK82" s="316"/>
      <c r="SL82" s="316"/>
      <c r="SM82" s="316"/>
      <c r="SN82" s="316"/>
      <c r="SO82" s="316"/>
      <c r="SP82" s="316"/>
      <c r="SQ82" s="316"/>
      <c r="SR82" s="316"/>
      <c r="SS82" s="316"/>
      <c r="ST82" s="316"/>
      <c r="SU82" s="316"/>
      <c r="SV82" s="316"/>
      <c r="SW82" s="316"/>
      <c r="SX82" s="316"/>
      <c r="SY82" s="316"/>
      <c r="SZ82" s="316"/>
      <c r="TA82" s="316"/>
      <c r="TB82" s="316"/>
      <c r="TC82" s="316"/>
      <c r="TD82" s="316"/>
      <c r="TE82" s="316"/>
      <c r="TF82" s="316"/>
      <c r="TG82" s="316"/>
      <c r="TH82" s="316"/>
      <c r="TI82" s="316"/>
      <c r="TJ82" s="316"/>
      <c r="TK82" s="316"/>
      <c r="TL82" s="316"/>
      <c r="TM82" s="316"/>
      <c r="TN82" s="316"/>
      <c r="TO82" s="316"/>
      <c r="TP82" s="316"/>
      <c r="TQ82" s="316"/>
      <c r="TR82" s="316"/>
      <c r="TS82" s="316"/>
      <c r="TT82" s="316"/>
      <c r="TU82" s="316"/>
      <c r="TV82" s="316"/>
      <c r="TW82" s="316"/>
      <c r="TX82" s="316"/>
      <c r="TY82" s="316"/>
      <c r="TZ82" s="316"/>
      <c r="UA82" s="316"/>
      <c r="UB82" s="316"/>
      <c r="UC82" s="316"/>
      <c r="UD82" s="316"/>
      <c r="UE82" s="316"/>
      <c r="UF82" s="316"/>
      <c r="UG82" s="316"/>
      <c r="UH82" s="316"/>
      <c r="UI82" s="316"/>
      <c r="UJ82" s="316"/>
      <c r="UK82" s="316"/>
      <c r="UL82" s="316"/>
      <c r="UM82" s="316"/>
      <c r="UN82" s="316"/>
      <c r="UO82" s="316"/>
      <c r="UP82" s="316"/>
      <c r="UQ82" s="316"/>
      <c r="UR82" s="316"/>
      <c r="US82" s="316"/>
      <c r="UT82" s="316"/>
      <c r="UU82" s="316"/>
      <c r="UV82" s="316"/>
      <c r="UW82" s="316"/>
      <c r="UX82" s="316"/>
      <c r="UY82" s="316"/>
      <c r="UZ82" s="316"/>
      <c r="VA82" s="316"/>
      <c r="VB82" s="316"/>
      <c r="VC82" s="316"/>
      <c r="VD82" s="316"/>
      <c r="VE82" s="316"/>
      <c r="VF82" s="316"/>
      <c r="VG82" s="316"/>
      <c r="VH82" s="316"/>
      <c r="VI82" s="316"/>
      <c r="VJ82" s="316"/>
      <c r="VK82" s="316"/>
      <c r="VL82" s="316"/>
      <c r="VM82" s="316"/>
      <c r="VN82" s="316"/>
      <c r="VO82" s="316"/>
      <c r="VP82" s="316"/>
      <c r="VQ82" s="316"/>
      <c r="VR82" s="316"/>
      <c r="VS82" s="316"/>
      <c r="VT82" s="316"/>
      <c r="VU82" s="316"/>
      <c r="VV82" s="316"/>
      <c r="VW82" s="316"/>
      <c r="VX82" s="316"/>
      <c r="VY82" s="316"/>
      <c r="VZ82" s="316"/>
      <c r="WA82" s="316"/>
      <c r="WB82" s="316"/>
      <c r="WC82" s="316"/>
      <c r="WD82" s="316"/>
      <c r="WE82" s="316"/>
      <c r="WF82" s="316"/>
      <c r="WG82" s="316"/>
      <c r="WH82" s="316"/>
      <c r="WI82" s="316"/>
      <c r="WJ82" s="316"/>
      <c r="WK82" s="316"/>
      <c r="WL82" s="316"/>
      <c r="WM82" s="316"/>
      <c r="WN82" s="316"/>
      <c r="WO82" s="316"/>
      <c r="WP82" s="316"/>
      <c r="WQ82" s="316"/>
      <c r="WR82" s="316"/>
      <c r="WS82" s="316"/>
      <c r="WT82" s="316"/>
      <c r="WU82" s="316"/>
      <c r="WV82" s="316"/>
      <c r="WW82" s="316"/>
      <c r="WX82" s="316"/>
      <c r="WY82" s="316"/>
      <c r="WZ82" s="316"/>
      <c r="XA82" s="316"/>
      <c r="XB82" s="316"/>
      <c r="XC82" s="316"/>
      <c r="XD82" s="316"/>
      <c r="XE82" s="316"/>
      <c r="XF82" s="316"/>
      <c r="XG82" s="316"/>
      <c r="XH82" s="316"/>
      <c r="XI82" s="316"/>
      <c r="XJ82" s="316"/>
      <c r="XK82" s="316"/>
      <c r="XL82" s="316"/>
      <c r="XM82" s="316"/>
      <c r="XN82" s="316"/>
      <c r="XO82" s="316"/>
      <c r="XP82" s="316"/>
      <c r="XQ82" s="316"/>
      <c r="XR82" s="316"/>
      <c r="XS82" s="316"/>
      <c r="XT82" s="316"/>
      <c r="XU82" s="316"/>
      <c r="XV82" s="316"/>
      <c r="XW82" s="316"/>
      <c r="XX82" s="316"/>
      <c r="XY82" s="316"/>
      <c r="XZ82" s="316"/>
      <c r="YA82" s="316"/>
      <c r="YB82" s="316"/>
      <c r="YC82" s="316"/>
      <c r="YD82" s="316"/>
      <c r="YE82" s="316"/>
      <c r="YF82" s="316"/>
      <c r="YG82" s="316"/>
      <c r="YH82" s="316"/>
      <c r="YI82" s="316"/>
      <c r="YJ82" s="316"/>
      <c r="YK82" s="316"/>
      <c r="YL82" s="316"/>
      <c r="YM82" s="316"/>
      <c r="YN82" s="316"/>
      <c r="YO82" s="316"/>
      <c r="YP82" s="316"/>
      <c r="YQ82" s="316"/>
      <c r="YR82" s="316"/>
      <c r="YS82" s="316"/>
      <c r="YT82" s="316"/>
      <c r="YU82" s="316"/>
      <c r="YV82" s="316"/>
      <c r="YW82" s="316"/>
      <c r="YX82" s="316"/>
      <c r="YY82" s="316"/>
      <c r="YZ82" s="316"/>
      <c r="ZA82" s="316"/>
      <c r="ZB82" s="316"/>
      <c r="ZC82" s="316"/>
      <c r="ZD82" s="316"/>
      <c r="ZE82" s="316"/>
      <c r="ZF82" s="316"/>
      <c r="ZG82" s="316"/>
      <c r="ZH82" s="316"/>
      <c r="ZI82" s="316"/>
      <c r="ZJ82" s="316"/>
      <c r="ZK82" s="316"/>
      <c r="ZL82" s="316"/>
      <c r="ZM82" s="316"/>
      <c r="ZN82" s="316"/>
      <c r="ZO82" s="316"/>
      <c r="ZP82" s="316"/>
      <c r="ZQ82" s="316"/>
      <c r="ZR82" s="316"/>
      <c r="ZS82" s="316"/>
      <c r="ZT82" s="316"/>
      <c r="ZU82" s="316"/>
      <c r="ZV82" s="316"/>
      <c r="ZW82" s="316"/>
      <c r="ZX82" s="316"/>
      <c r="ZY82" s="316"/>
      <c r="ZZ82" s="316"/>
      <c r="AAA82" s="316"/>
      <c r="AAB82" s="316"/>
      <c r="AAC82" s="316"/>
      <c r="AAD82" s="316"/>
      <c r="AAE82" s="316"/>
      <c r="AAF82" s="316"/>
      <c r="AAG82" s="316"/>
      <c r="AAH82" s="316"/>
      <c r="AAI82" s="316"/>
      <c r="AAJ82" s="316"/>
      <c r="AAK82" s="316"/>
      <c r="AAL82" s="316"/>
      <c r="AAM82" s="316"/>
      <c r="AAN82" s="316"/>
      <c r="AAO82" s="316"/>
      <c r="AAP82" s="316"/>
      <c r="AAQ82" s="316"/>
      <c r="AAR82" s="316"/>
      <c r="AAS82" s="316"/>
      <c r="AAT82" s="316"/>
      <c r="AAU82" s="316"/>
      <c r="AAV82" s="316"/>
      <c r="AAW82" s="316"/>
      <c r="AAX82" s="316"/>
      <c r="AAY82" s="316"/>
      <c r="AAZ82" s="316"/>
      <c r="ABA82" s="316"/>
      <c r="ABB82" s="316"/>
      <c r="ABC82" s="316"/>
      <c r="ABD82" s="316"/>
      <c r="ABE82" s="316"/>
      <c r="ABF82" s="316"/>
      <c r="ABG82" s="316"/>
      <c r="ABH82" s="316"/>
      <c r="ABI82" s="316"/>
      <c r="ABJ82" s="316"/>
      <c r="ABK82" s="316"/>
      <c r="ABL82" s="316"/>
      <c r="ABM82" s="316"/>
      <c r="ABN82" s="316"/>
      <c r="ABO82" s="316"/>
      <c r="ABP82" s="316"/>
      <c r="ABQ82" s="316"/>
      <c r="ABR82" s="316"/>
      <c r="ABS82" s="316"/>
      <c r="ABT82" s="316"/>
      <c r="ABU82" s="316"/>
      <c r="ABV82" s="316"/>
      <c r="ABW82" s="316"/>
      <c r="ABX82" s="316"/>
      <c r="ABY82" s="316"/>
      <c r="ABZ82" s="316"/>
      <c r="ACA82" s="316"/>
      <c r="ACB82" s="316"/>
      <c r="ACC82" s="316"/>
      <c r="ACD82" s="316"/>
      <c r="ACE82" s="316"/>
      <c r="ACF82" s="316"/>
      <c r="ACG82" s="316"/>
      <c r="ACH82" s="316"/>
      <c r="ACI82" s="316"/>
      <c r="ACJ82" s="316"/>
      <c r="ACK82" s="316"/>
      <c r="ACL82" s="316"/>
      <c r="ACM82" s="316"/>
      <c r="ACN82" s="316"/>
      <c r="ACO82" s="316"/>
      <c r="ACP82" s="316"/>
      <c r="ACQ82" s="316"/>
      <c r="ACR82" s="316"/>
      <c r="ACS82" s="316"/>
      <c r="ACT82" s="316"/>
      <c r="ACU82" s="316"/>
      <c r="ACV82" s="316"/>
      <c r="ACW82" s="316"/>
      <c r="ACX82" s="316"/>
      <c r="ACY82" s="316"/>
      <c r="ACZ82" s="316"/>
      <c r="ADA82" s="316"/>
      <c r="ADB82" s="316"/>
      <c r="ADC82" s="316"/>
      <c r="ADD82" s="316"/>
      <c r="ADE82" s="316"/>
      <c r="ADF82" s="316"/>
      <c r="ADG82" s="316"/>
      <c r="ADH82" s="316"/>
      <c r="ADI82" s="316"/>
      <c r="ADJ82" s="316"/>
      <c r="ADK82" s="316"/>
      <c r="ADL82" s="316"/>
      <c r="ADM82" s="316"/>
      <c r="ADN82" s="316"/>
      <c r="ADO82" s="316"/>
      <c r="ADP82" s="316"/>
      <c r="ADQ82" s="316"/>
      <c r="ADR82" s="316"/>
      <c r="ADS82" s="316"/>
      <c r="ADT82" s="316"/>
      <c r="ADU82" s="316"/>
      <c r="ADV82" s="316"/>
      <c r="ADW82" s="316"/>
      <c r="ADX82" s="316"/>
      <c r="ADY82" s="316"/>
      <c r="ADZ82" s="316"/>
      <c r="AEA82" s="316"/>
      <c r="AEB82" s="316"/>
      <c r="AEC82" s="316"/>
      <c r="AED82" s="316"/>
      <c r="AEE82" s="316"/>
      <c r="AEF82" s="316"/>
      <c r="AEG82" s="316"/>
      <c r="AEH82" s="316"/>
      <c r="AEI82" s="316"/>
      <c r="AEJ82" s="316"/>
      <c r="AEK82" s="316"/>
      <c r="AEL82" s="316"/>
      <c r="AEM82" s="316"/>
      <c r="AEN82" s="316"/>
      <c r="AEO82" s="316"/>
      <c r="AEP82" s="316"/>
      <c r="AEQ82" s="316"/>
      <c r="AER82" s="316"/>
      <c r="AES82" s="316"/>
      <c r="AET82" s="316"/>
      <c r="AEU82" s="316"/>
      <c r="AEV82" s="316"/>
      <c r="AEW82" s="316"/>
      <c r="AEX82" s="316"/>
      <c r="AEY82" s="316"/>
      <c r="AEZ82" s="316"/>
      <c r="AFA82" s="316"/>
      <c r="AFB82" s="316"/>
      <c r="AFC82" s="316"/>
      <c r="AFD82" s="316"/>
      <c r="AFE82" s="316"/>
      <c r="AFF82" s="316"/>
      <c r="AFG82" s="316"/>
      <c r="AFH82" s="316"/>
      <c r="AFI82" s="316"/>
      <c r="AFJ82" s="316"/>
      <c r="AFK82" s="316"/>
      <c r="AFL82" s="316"/>
      <c r="AFM82" s="316"/>
      <c r="AFN82" s="316"/>
      <c r="AFO82" s="316"/>
      <c r="AFP82" s="316"/>
      <c r="AFQ82" s="316"/>
      <c r="AFR82" s="316"/>
      <c r="AFS82" s="316"/>
      <c r="AFT82" s="316"/>
      <c r="AFU82" s="316"/>
      <c r="AFV82" s="316"/>
      <c r="AFW82" s="316"/>
      <c r="AFX82" s="316"/>
      <c r="AFY82" s="316"/>
      <c r="AFZ82" s="316"/>
      <c r="AGA82" s="316"/>
      <c r="AGB82" s="316"/>
      <c r="AGC82" s="316"/>
      <c r="AGD82" s="316"/>
      <c r="AGE82" s="316"/>
      <c r="AGF82" s="316"/>
      <c r="AGG82" s="316"/>
      <c r="AGH82" s="316"/>
      <c r="AGI82" s="316"/>
      <c r="AGJ82" s="316"/>
      <c r="AGK82" s="316"/>
      <c r="AGL82" s="316"/>
      <c r="AGM82" s="316"/>
      <c r="AGN82" s="316"/>
      <c r="AGO82" s="316"/>
      <c r="AGP82" s="316"/>
      <c r="AGQ82" s="316"/>
      <c r="AGR82" s="316"/>
      <c r="AGS82" s="316"/>
      <c r="AGT82" s="316"/>
      <c r="AGU82" s="316"/>
      <c r="AGV82" s="316"/>
      <c r="AGW82" s="316"/>
      <c r="AGX82" s="316"/>
      <c r="AGY82" s="316"/>
      <c r="AGZ82" s="316"/>
      <c r="AHA82" s="316"/>
      <c r="AHB82" s="316"/>
      <c r="AHC82" s="316"/>
      <c r="AHD82" s="316"/>
      <c r="AHE82" s="316"/>
      <c r="AHF82" s="316"/>
      <c r="AHG82" s="316"/>
      <c r="AHH82" s="316"/>
      <c r="AHI82" s="316"/>
      <c r="AHJ82" s="316"/>
      <c r="AHK82" s="316"/>
      <c r="AHL82" s="316"/>
      <c r="AHM82" s="316"/>
      <c r="AHN82" s="316"/>
      <c r="AHO82" s="316"/>
      <c r="AHP82" s="316"/>
      <c r="AHQ82" s="316"/>
      <c r="AHR82" s="316"/>
      <c r="AHS82" s="316"/>
      <c r="AHT82" s="316"/>
      <c r="AHU82" s="316"/>
      <c r="AHV82" s="316"/>
      <c r="AHW82" s="316"/>
      <c r="AHX82" s="316"/>
      <c r="AHY82" s="316"/>
      <c r="AHZ82" s="316"/>
      <c r="AIA82" s="316"/>
      <c r="AIB82" s="316"/>
      <c r="AIC82" s="316"/>
      <c r="AID82" s="316"/>
      <c r="AIE82" s="316"/>
      <c r="AIF82" s="316"/>
      <c r="AIG82" s="316"/>
      <c r="AIH82" s="316"/>
      <c r="AII82" s="316"/>
      <c r="AIJ82" s="316"/>
      <c r="AIK82" s="316"/>
      <c r="AIL82" s="316"/>
      <c r="AIM82" s="316"/>
      <c r="AIN82" s="316"/>
      <c r="AIO82" s="316"/>
      <c r="AIP82" s="316"/>
      <c r="AIQ82" s="316"/>
      <c r="AIR82" s="316"/>
      <c r="AIS82" s="316"/>
      <c r="AIT82" s="316"/>
      <c r="AIU82" s="316"/>
      <c r="AIV82" s="316"/>
      <c r="AIW82" s="316"/>
      <c r="AIX82" s="316"/>
      <c r="AIY82" s="316"/>
      <c r="AIZ82" s="316"/>
      <c r="AJA82" s="316"/>
      <c r="AJB82" s="316"/>
      <c r="AJC82" s="316"/>
      <c r="AJD82" s="316"/>
      <c r="AJE82" s="316"/>
      <c r="AJF82" s="316"/>
      <c r="AJG82" s="316"/>
      <c r="AJH82" s="316"/>
      <c r="AJI82" s="316"/>
      <c r="AJJ82" s="316"/>
      <c r="AJK82" s="316"/>
      <c r="AJL82" s="316"/>
      <c r="AJM82" s="316"/>
      <c r="AJN82" s="316"/>
      <c r="AJO82" s="316"/>
      <c r="AJP82" s="316"/>
      <c r="AJQ82" s="316"/>
      <c r="AJR82" s="316"/>
      <c r="AJS82" s="316"/>
      <c r="AJT82" s="316"/>
      <c r="AJU82" s="316"/>
      <c r="AJV82" s="316"/>
      <c r="AJW82" s="316"/>
      <c r="AJX82" s="316"/>
      <c r="AJY82" s="316"/>
      <c r="AJZ82" s="316"/>
      <c r="AKA82" s="316"/>
      <c r="AKB82" s="316"/>
      <c r="AKC82" s="316"/>
      <c r="AKD82" s="316"/>
      <c r="AKE82" s="316"/>
      <c r="AKF82" s="316"/>
      <c r="AKG82" s="316"/>
      <c r="AKH82" s="316"/>
      <c r="AKI82" s="316"/>
      <c r="AKJ82" s="316"/>
      <c r="AKK82" s="316"/>
      <c r="AKL82" s="316"/>
      <c r="AKM82" s="316"/>
      <c r="AKN82" s="316"/>
      <c r="AKO82" s="316"/>
      <c r="AKP82" s="316"/>
      <c r="AKQ82" s="316"/>
      <c r="AKR82" s="316"/>
      <c r="AKS82" s="316"/>
      <c r="AKT82" s="316"/>
      <c r="AKU82" s="316"/>
      <c r="AKV82" s="316"/>
      <c r="AKW82" s="316"/>
      <c r="AKX82" s="316"/>
      <c r="AKY82" s="316"/>
      <c r="AKZ82" s="316"/>
      <c r="ALA82" s="316"/>
      <c r="ALB82" s="316"/>
      <c r="ALC82" s="316"/>
      <c r="ALD82" s="316"/>
      <c r="ALE82" s="316"/>
      <c r="ALF82" s="316"/>
      <c r="ALG82" s="316"/>
      <c r="ALH82" s="316"/>
      <c r="ALI82" s="316"/>
      <c r="ALJ82" s="316"/>
      <c r="ALK82" s="316"/>
      <c r="ALL82" s="316"/>
      <c r="ALM82" s="316"/>
      <c r="ALN82" s="316"/>
      <c r="ALO82" s="316"/>
      <c r="ALP82" s="316"/>
      <c r="ALQ82" s="316"/>
      <c r="ALR82" s="316"/>
      <c r="ALS82" s="316"/>
      <c r="ALT82" s="316"/>
      <c r="ALU82" s="316"/>
      <c r="ALV82" s="316"/>
      <c r="ALW82" s="316"/>
      <c r="ALX82" s="316"/>
      <c r="ALY82" s="316"/>
      <c r="ALZ82" s="316"/>
      <c r="AMA82" s="316"/>
      <c r="AMB82" s="316"/>
      <c r="AMC82" s="316"/>
      <c r="AMD82" s="316"/>
      <c r="AME82" s="316"/>
      <c r="AMF82" s="316"/>
      <c r="AMG82" s="316"/>
      <c r="AMH82" s="316"/>
      <c r="AMI82" s="316"/>
      <c r="AMJ82" s="316"/>
      <c r="AMK82" s="316"/>
      <c r="AML82" s="316"/>
      <c r="AMM82" s="316"/>
      <c r="AMN82" s="316"/>
      <c r="AMO82" s="316"/>
      <c r="AMP82" s="316"/>
      <c r="AMQ82" s="316"/>
      <c r="AMR82" s="316"/>
      <c r="AMS82" s="316"/>
      <c r="AMT82" s="316"/>
      <c r="AMU82" s="316"/>
      <c r="AMV82" s="316"/>
      <c r="AMW82" s="316"/>
      <c r="AMX82" s="316"/>
      <c r="AMY82" s="316"/>
      <c r="AMZ82" s="316"/>
      <c r="ANA82" s="316"/>
      <c r="ANB82" s="316"/>
      <c r="ANC82" s="316"/>
      <c r="AND82" s="316"/>
      <c r="ANE82" s="316"/>
      <c r="ANF82" s="316"/>
      <c r="ANG82" s="316"/>
      <c r="ANH82" s="316"/>
      <c r="ANI82" s="316"/>
      <c r="ANJ82" s="316"/>
      <c r="ANK82" s="316"/>
      <c r="ANL82" s="316"/>
      <c r="ANM82" s="316"/>
      <c r="ANN82" s="316"/>
      <c r="ANO82" s="316"/>
      <c r="ANP82" s="316"/>
      <c r="ANQ82" s="316"/>
      <c r="ANR82" s="316"/>
      <c r="ANS82" s="316"/>
      <c r="ANT82" s="316"/>
      <c r="ANU82" s="316"/>
      <c r="ANV82" s="316"/>
      <c r="ANW82" s="316"/>
      <c r="ANX82" s="316"/>
      <c r="ANY82" s="316"/>
      <c r="ANZ82" s="316"/>
      <c r="AOA82" s="316"/>
      <c r="AOB82" s="316"/>
      <c r="AOC82" s="316"/>
      <c r="AOD82" s="316"/>
      <c r="AOE82" s="316"/>
      <c r="AOF82" s="316"/>
      <c r="AOG82" s="316"/>
      <c r="AOH82" s="316"/>
      <c r="AOI82" s="316"/>
      <c r="AOJ82" s="316"/>
      <c r="AOK82" s="316"/>
      <c r="AOL82" s="316"/>
      <c r="AOM82" s="316"/>
      <c r="AON82" s="316"/>
      <c r="AOO82" s="316"/>
      <c r="AOP82" s="316"/>
      <c r="AOQ82" s="316"/>
      <c r="AOR82" s="316"/>
      <c r="AOS82" s="316"/>
      <c r="AOT82" s="316"/>
      <c r="AOU82" s="316"/>
      <c r="AOV82" s="316"/>
      <c r="AOW82" s="316"/>
      <c r="AOX82" s="316"/>
      <c r="AOY82" s="316"/>
      <c r="AOZ82" s="316"/>
      <c r="APA82" s="316"/>
      <c r="APB82" s="316"/>
      <c r="APC82" s="316"/>
      <c r="APD82" s="316"/>
      <c r="APE82" s="316"/>
      <c r="APF82" s="316"/>
      <c r="APG82" s="316"/>
      <c r="APH82" s="316"/>
      <c r="API82" s="316"/>
      <c r="APJ82" s="316"/>
      <c r="APK82" s="316"/>
      <c r="APL82" s="316"/>
      <c r="APM82" s="316"/>
      <c r="APN82" s="316"/>
      <c r="APO82" s="316"/>
      <c r="APP82" s="316"/>
      <c r="APQ82" s="316"/>
      <c r="APR82" s="316"/>
      <c r="APS82" s="316"/>
      <c r="APT82" s="316"/>
      <c r="APU82" s="316"/>
      <c r="APV82" s="316"/>
      <c r="APW82" s="316"/>
      <c r="APX82" s="316"/>
      <c r="APY82" s="316"/>
      <c r="APZ82" s="316"/>
      <c r="AQA82" s="316"/>
      <c r="AQB82" s="316"/>
      <c r="AQC82" s="316"/>
      <c r="AQD82" s="316"/>
      <c r="AQE82" s="316"/>
      <c r="AQF82" s="316"/>
      <c r="AQG82" s="316"/>
      <c r="AQH82" s="316"/>
      <c r="AQI82" s="316"/>
      <c r="AQJ82" s="316"/>
      <c r="AQK82" s="316"/>
      <c r="AQL82" s="316"/>
      <c r="AQM82" s="316"/>
      <c r="AQN82" s="316"/>
      <c r="AQO82" s="316"/>
      <c r="AQP82" s="316"/>
      <c r="AQQ82" s="316"/>
      <c r="AQR82" s="316"/>
      <c r="AQS82" s="316"/>
      <c r="AQT82" s="316"/>
      <c r="AQU82" s="316"/>
      <c r="AQV82" s="316"/>
      <c r="AQW82" s="316"/>
      <c r="AQX82" s="316"/>
      <c r="AQY82" s="316"/>
      <c r="AQZ82" s="316"/>
      <c r="ARA82" s="316"/>
      <c r="ARB82" s="316"/>
      <c r="ARC82" s="316"/>
      <c r="ARD82" s="316"/>
      <c r="ARE82" s="316"/>
      <c r="ARF82" s="316"/>
      <c r="ARG82" s="316"/>
      <c r="ARH82" s="316"/>
      <c r="ARI82" s="316"/>
      <c r="ARJ82" s="316"/>
      <c r="ARK82" s="316"/>
      <c r="ARL82" s="316"/>
      <c r="ARM82" s="316"/>
      <c r="ARN82" s="316"/>
      <c r="ARO82" s="316"/>
      <c r="ARP82" s="316"/>
      <c r="ARQ82" s="316"/>
      <c r="ARR82" s="316"/>
      <c r="ARS82" s="316"/>
      <c r="ART82" s="316"/>
      <c r="ARU82" s="316"/>
      <c r="ARV82" s="316"/>
      <c r="ARW82" s="316"/>
      <c r="ARX82" s="316"/>
      <c r="ARY82" s="316"/>
      <c r="ARZ82" s="316"/>
      <c r="ASA82" s="316"/>
      <c r="ASB82" s="316"/>
      <c r="ASC82" s="316"/>
      <c r="ASD82" s="316"/>
      <c r="ASE82" s="316"/>
      <c r="ASF82" s="316"/>
      <c r="ASG82" s="316"/>
      <c r="ASH82" s="316"/>
      <c r="ASI82" s="316"/>
      <c r="ASJ82" s="316"/>
      <c r="ASK82" s="316"/>
      <c r="ASL82" s="316"/>
      <c r="ASM82" s="316"/>
      <c r="ASN82" s="316"/>
      <c r="ASO82" s="316"/>
      <c r="ASP82" s="316"/>
      <c r="ASQ82" s="316"/>
      <c r="ASR82" s="316"/>
      <c r="ASS82" s="316"/>
      <c r="AST82" s="316"/>
      <c r="ASU82" s="316"/>
      <c r="ASV82" s="316"/>
      <c r="ASW82" s="316"/>
      <c r="ASX82" s="316"/>
      <c r="ASY82" s="316"/>
      <c r="ASZ82" s="316"/>
      <c r="ATA82" s="316"/>
      <c r="ATB82" s="316"/>
      <c r="ATC82" s="316"/>
      <c r="ATD82" s="316"/>
      <c r="ATE82" s="316"/>
      <c r="ATF82" s="316"/>
      <c r="ATG82" s="316"/>
      <c r="ATH82" s="316"/>
      <c r="ATI82" s="316"/>
      <c r="ATJ82" s="316"/>
      <c r="ATK82" s="316"/>
      <c r="ATL82" s="316"/>
      <c r="ATM82" s="316"/>
      <c r="ATN82" s="316"/>
      <c r="ATO82" s="316"/>
      <c r="ATP82" s="316"/>
      <c r="ATQ82" s="316"/>
      <c r="ATR82" s="316"/>
      <c r="ATS82" s="316"/>
      <c r="ATT82" s="316"/>
      <c r="ATU82" s="316"/>
      <c r="ATV82" s="316"/>
      <c r="ATW82" s="316"/>
      <c r="ATX82" s="316"/>
      <c r="ATY82" s="316"/>
      <c r="ATZ82" s="316"/>
      <c r="AUA82" s="316"/>
      <c r="AUB82" s="316"/>
      <c r="AUC82" s="316"/>
      <c r="AUD82" s="316"/>
      <c r="AUE82" s="316"/>
      <c r="AUF82" s="316"/>
      <c r="AUG82" s="316"/>
      <c r="AUH82" s="316"/>
      <c r="AUI82" s="316"/>
      <c r="AUJ82" s="316"/>
      <c r="AUK82" s="316"/>
      <c r="AUL82" s="316"/>
      <c r="AUM82" s="316"/>
      <c r="AUN82" s="316"/>
      <c r="AUO82" s="316"/>
      <c r="AUP82" s="316"/>
      <c r="AUQ82" s="316"/>
      <c r="AUR82" s="316"/>
      <c r="AUS82" s="316"/>
      <c r="AUT82" s="316"/>
      <c r="AUU82" s="316"/>
      <c r="AUV82" s="316"/>
      <c r="AUW82" s="316"/>
      <c r="AUX82" s="316"/>
      <c r="AUY82" s="316"/>
      <c r="AUZ82" s="316"/>
      <c r="AVA82" s="316"/>
      <c r="AVB82" s="316"/>
      <c r="AVC82" s="316"/>
      <c r="AVD82" s="316"/>
      <c r="AVE82" s="316"/>
      <c r="AVF82" s="316"/>
      <c r="AVG82" s="316"/>
      <c r="AVH82" s="316"/>
      <c r="AVI82" s="316"/>
      <c r="AVJ82" s="316"/>
      <c r="AVK82" s="316"/>
      <c r="AVL82" s="316"/>
      <c r="AVM82" s="316"/>
      <c r="AVN82" s="316"/>
      <c r="AVO82" s="316"/>
      <c r="AVP82" s="316"/>
      <c r="AVQ82" s="316"/>
      <c r="AVR82" s="316"/>
      <c r="AVS82" s="316"/>
      <c r="AVT82" s="316"/>
      <c r="AVU82" s="316"/>
      <c r="AVV82" s="316"/>
      <c r="AVW82" s="316"/>
      <c r="AVX82" s="316"/>
      <c r="AVY82" s="316"/>
      <c r="AVZ82" s="316"/>
      <c r="AWA82" s="316"/>
      <c r="AWB82" s="316"/>
      <c r="AWC82" s="316"/>
      <c r="AWD82" s="316"/>
      <c r="AWE82" s="316"/>
      <c r="AWF82" s="316"/>
      <c r="AWG82" s="316"/>
      <c r="AWH82" s="316"/>
      <c r="AWI82" s="316"/>
      <c r="AWJ82" s="316"/>
      <c r="AWK82" s="316"/>
      <c r="AWL82" s="316"/>
      <c r="AWM82" s="316"/>
      <c r="AWN82" s="316"/>
      <c r="AWO82" s="316"/>
      <c r="AWP82" s="316"/>
      <c r="AWQ82" s="316"/>
      <c r="AWR82" s="316"/>
      <c r="AWS82" s="316"/>
      <c r="AWT82" s="316"/>
      <c r="AWU82" s="316"/>
      <c r="AWV82" s="316"/>
      <c r="AWW82" s="316"/>
      <c r="AWX82" s="316"/>
      <c r="AWY82" s="316"/>
      <c r="AWZ82" s="316"/>
      <c r="AXA82" s="316"/>
      <c r="AXB82" s="316"/>
      <c r="AXC82" s="316"/>
      <c r="AXD82" s="316"/>
      <c r="AXE82" s="316"/>
      <c r="AXF82" s="316"/>
      <c r="AXG82" s="316"/>
      <c r="AXH82" s="316"/>
      <c r="AXI82" s="316"/>
      <c r="AXJ82" s="316"/>
      <c r="AXK82" s="316"/>
      <c r="AXL82" s="316"/>
      <c r="AXM82" s="316"/>
      <c r="AXN82" s="316"/>
      <c r="AXO82" s="316"/>
      <c r="AXP82" s="316"/>
      <c r="AXQ82" s="316"/>
      <c r="AXR82" s="316"/>
      <c r="AXS82" s="316"/>
      <c r="AXT82" s="316"/>
      <c r="AXU82" s="316"/>
      <c r="AXV82" s="316"/>
      <c r="AXW82" s="316"/>
      <c r="AXX82" s="316"/>
      <c r="AXY82" s="316"/>
      <c r="AXZ82" s="316"/>
      <c r="AYA82" s="316"/>
      <c r="AYB82" s="316"/>
      <c r="AYC82" s="316"/>
      <c r="AYD82" s="316"/>
      <c r="AYE82" s="316"/>
      <c r="AYF82" s="316"/>
      <c r="AYG82" s="316"/>
      <c r="AYH82" s="316"/>
      <c r="AYI82" s="316"/>
      <c r="AYJ82" s="316"/>
      <c r="AYK82" s="316"/>
      <c r="AYL82" s="316"/>
      <c r="AYM82" s="316"/>
      <c r="AYN82" s="316"/>
      <c r="AYO82" s="316"/>
      <c r="AYP82" s="316"/>
      <c r="AYQ82" s="316"/>
      <c r="AYR82" s="316"/>
      <c r="AYS82" s="316"/>
      <c r="AYT82" s="316"/>
      <c r="AYU82" s="316"/>
      <c r="AYV82" s="316"/>
      <c r="AYW82" s="316"/>
      <c r="AYX82" s="316"/>
      <c r="AYY82" s="316"/>
      <c r="AYZ82" s="316"/>
      <c r="AZA82" s="316"/>
      <c r="AZB82" s="316"/>
      <c r="AZC82" s="316"/>
      <c r="AZD82" s="316"/>
      <c r="AZE82" s="316"/>
      <c r="AZF82" s="316"/>
      <c r="AZG82" s="316"/>
      <c r="AZH82" s="316"/>
      <c r="AZI82" s="316"/>
      <c r="AZJ82" s="316"/>
      <c r="AZK82" s="316"/>
      <c r="AZL82" s="316"/>
      <c r="AZM82" s="316"/>
      <c r="AZN82" s="316"/>
      <c r="AZO82" s="316"/>
      <c r="AZP82" s="316"/>
      <c r="AZQ82" s="316"/>
      <c r="AZR82" s="316"/>
      <c r="AZS82" s="316"/>
      <c r="AZT82" s="316"/>
      <c r="AZU82" s="316"/>
      <c r="AZV82" s="316"/>
      <c r="AZW82" s="316"/>
      <c r="AZX82" s="316"/>
      <c r="AZY82" s="316"/>
      <c r="AZZ82" s="316"/>
      <c r="BAA82" s="316"/>
      <c r="BAB82" s="316"/>
      <c r="BAC82" s="316"/>
      <c r="BAD82" s="316"/>
      <c r="BAE82" s="316"/>
      <c r="BAF82" s="316"/>
      <c r="BAG82" s="316"/>
      <c r="BAH82" s="316"/>
      <c r="BAI82" s="316"/>
      <c r="BAJ82" s="316"/>
      <c r="BAK82" s="316"/>
      <c r="BAL82" s="316"/>
      <c r="BAM82" s="316"/>
      <c r="BAN82" s="316"/>
      <c r="BAO82" s="316"/>
      <c r="BAP82" s="316"/>
      <c r="BAQ82" s="316"/>
      <c r="BAR82" s="316"/>
      <c r="BAS82" s="316"/>
      <c r="BAT82" s="316"/>
      <c r="BAU82" s="316"/>
      <c r="BAV82" s="316"/>
      <c r="BAW82" s="316"/>
      <c r="BAX82" s="316"/>
      <c r="BAY82" s="316"/>
      <c r="BAZ82" s="316"/>
      <c r="BBA82" s="316"/>
      <c r="BBB82" s="316"/>
      <c r="BBC82" s="316"/>
      <c r="BBD82" s="316"/>
      <c r="BBE82" s="316"/>
      <c r="BBF82" s="316"/>
      <c r="BBG82" s="316"/>
      <c r="BBH82" s="316"/>
      <c r="BBI82" s="316"/>
      <c r="BBJ82" s="316"/>
      <c r="BBK82" s="316"/>
      <c r="BBL82" s="316"/>
      <c r="BBM82" s="316"/>
      <c r="BBN82" s="316"/>
      <c r="BBO82" s="316"/>
      <c r="BBP82" s="316"/>
      <c r="BBQ82" s="316"/>
      <c r="BBR82" s="316"/>
      <c r="BBS82" s="316"/>
      <c r="BBT82" s="316"/>
      <c r="BBU82" s="316"/>
      <c r="BBV82" s="316"/>
      <c r="BBW82" s="316"/>
      <c r="BBX82" s="316"/>
      <c r="BBY82" s="316"/>
      <c r="BBZ82" s="316"/>
      <c r="BCA82" s="316"/>
      <c r="BCB82" s="316"/>
      <c r="BCC82" s="316"/>
      <c r="BCD82" s="316"/>
      <c r="BCE82" s="316"/>
      <c r="BCF82" s="316"/>
      <c r="BCG82" s="316"/>
      <c r="BCH82" s="316"/>
      <c r="BCI82" s="316"/>
      <c r="BCJ82" s="316"/>
      <c r="BCK82" s="316"/>
      <c r="BCL82" s="316"/>
      <c r="BCM82" s="316"/>
      <c r="BCN82" s="316"/>
      <c r="BCO82" s="316"/>
      <c r="BCP82" s="316"/>
      <c r="BCQ82" s="316"/>
      <c r="BCR82" s="316"/>
      <c r="BCS82" s="316"/>
      <c r="BCT82" s="316"/>
      <c r="BCU82" s="316"/>
      <c r="BCV82" s="316"/>
      <c r="BCW82" s="316"/>
      <c r="BCX82" s="316"/>
      <c r="BCY82" s="316"/>
      <c r="BCZ82" s="316"/>
      <c r="BDA82" s="316"/>
      <c r="BDB82" s="316"/>
      <c r="BDC82" s="316"/>
      <c r="BDD82" s="316"/>
      <c r="BDE82" s="316"/>
      <c r="BDF82" s="316"/>
      <c r="BDG82" s="316"/>
      <c r="BDH82" s="316"/>
      <c r="BDI82" s="316"/>
      <c r="BDJ82" s="316"/>
      <c r="BDK82" s="316"/>
      <c r="BDL82" s="316"/>
      <c r="BDM82" s="316"/>
      <c r="BDN82" s="316"/>
      <c r="BDO82" s="316"/>
      <c r="BDP82" s="316"/>
      <c r="BDQ82" s="316"/>
      <c r="BDR82" s="316"/>
      <c r="BDS82" s="316"/>
      <c r="BDT82" s="316"/>
      <c r="BDU82" s="316"/>
      <c r="BDV82" s="316"/>
      <c r="BDW82" s="316"/>
      <c r="BDX82" s="316"/>
      <c r="BDY82" s="316"/>
      <c r="BDZ82" s="316"/>
      <c r="BEA82" s="316"/>
      <c r="BEB82" s="316"/>
      <c r="BEC82" s="316"/>
      <c r="BED82" s="316"/>
      <c r="BEE82" s="316"/>
      <c r="BEF82" s="316"/>
      <c r="BEG82" s="316"/>
      <c r="BEH82" s="316"/>
      <c r="BEI82" s="316"/>
      <c r="BEJ82" s="316"/>
      <c r="BEK82" s="316"/>
      <c r="BEL82" s="316"/>
      <c r="BEM82" s="316"/>
      <c r="BEN82" s="316"/>
      <c r="BEO82" s="316"/>
      <c r="BEP82" s="316"/>
      <c r="BEQ82" s="316"/>
      <c r="BER82" s="316"/>
      <c r="BES82" s="316"/>
      <c r="BET82" s="316"/>
      <c r="BEU82" s="316"/>
      <c r="BEV82" s="316"/>
      <c r="BEW82" s="316"/>
      <c r="BEX82" s="316"/>
      <c r="BEY82" s="316"/>
      <c r="BEZ82" s="316"/>
      <c r="BFA82" s="316"/>
      <c r="BFB82" s="316"/>
      <c r="BFC82" s="316"/>
      <c r="BFD82" s="316"/>
      <c r="BFE82" s="316"/>
      <c r="BFF82" s="316"/>
      <c r="BFG82" s="316"/>
      <c r="BFH82" s="316"/>
      <c r="BFI82" s="316"/>
      <c r="BFJ82" s="316"/>
      <c r="BFK82" s="316"/>
      <c r="BFL82" s="316"/>
      <c r="BFM82" s="316"/>
      <c r="BFN82" s="316"/>
      <c r="BFO82" s="316"/>
      <c r="BFP82" s="316"/>
      <c r="BFQ82" s="316"/>
      <c r="BFR82" s="316"/>
      <c r="BFS82" s="316"/>
      <c r="BFT82" s="316"/>
      <c r="BFU82" s="316"/>
      <c r="BFV82" s="316"/>
      <c r="BFW82" s="316"/>
      <c r="BFX82" s="316"/>
      <c r="BFY82" s="316"/>
      <c r="BFZ82" s="316"/>
      <c r="BGA82" s="316"/>
      <c r="BGB82" s="316"/>
      <c r="BGC82" s="316"/>
      <c r="BGD82" s="316"/>
      <c r="BGE82" s="316"/>
      <c r="BGF82" s="316"/>
      <c r="BGG82" s="316"/>
      <c r="BGH82" s="316"/>
      <c r="BGI82" s="316"/>
      <c r="BGJ82" s="316"/>
      <c r="BGK82" s="316"/>
      <c r="BGL82" s="316"/>
      <c r="BGM82" s="316"/>
      <c r="BGN82" s="316"/>
      <c r="BGO82" s="316"/>
      <c r="BGP82" s="316"/>
      <c r="BGQ82" s="316"/>
      <c r="BGR82" s="316"/>
      <c r="BGS82" s="316"/>
      <c r="BGT82" s="316"/>
      <c r="BGU82" s="316"/>
      <c r="BGV82" s="316"/>
      <c r="BGW82" s="316"/>
      <c r="BGX82" s="316"/>
      <c r="BGY82" s="316"/>
      <c r="BGZ82" s="316"/>
      <c r="BHA82" s="316"/>
      <c r="BHB82" s="316"/>
      <c r="BHC82" s="316"/>
      <c r="BHD82" s="316"/>
      <c r="BHE82" s="316"/>
      <c r="BHF82" s="316"/>
      <c r="BHG82" s="316"/>
      <c r="BHH82" s="316"/>
      <c r="BHI82" s="316"/>
      <c r="BHJ82" s="316"/>
      <c r="BHK82" s="316"/>
      <c r="BHL82" s="316"/>
      <c r="BHM82" s="316"/>
      <c r="BHN82" s="316"/>
      <c r="BHO82" s="316"/>
      <c r="BHP82" s="316"/>
      <c r="BHQ82" s="316"/>
      <c r="BHR82" s="316"/>
      <c r="BHS82" s="316"/>
      <c r="BHT82" s="316"/>
      <c r="BHU82" s="316"/>
      <c r="BHV82" s="316"/>
      <c r="BHW82" s="316"/>
      <c r="BHX82" s="316"/>
      <c r="BHY82" s="316"/>
      <c r="BHZ82" s="316"/>
      <c r="BIA82" s="316"/>
      <c r="BIB82" s="316"/>
      <c r="BIC82" s="316"/>
      <c r="BID82" s="316"/>
      <c r="BIE82" s="316"/>
      <c r="BIF82" s="316"/>
      <c r="BIG82" s="316"/>
      <c r="BIH82" s="316"/>
      <c r="BII82" s="316"/>
      <c r="BIJ82" s="316"/>
      <c r="BIK82" s="316"/>
      <c r="BIL82" s="316"/>
      <c r="BIM82" s="316"/>
      <c r="BIN82" s="316"/>
      <c r="BIO82" s="316"/>
      <c r="BIP82" s="316"/>
      <c r="BIQ82" s="316"/>
      <c r="BIR82" s="316"/>
      <c r="BIS82" s="316"/>
      <c r="BIT82" s="316"/>
      <c r="BIU82" s="316"/>
      <c r="BIV82" s="316"/>
      <c r="BIW82" s="316"/>
      <c r="BIX82" s="316"/>
      <c r="BIY82" s="316"/>
      <c r="BIZ82" s="316"/>
      <c r="BJA82" s="316"/>
      <c r="BJB82" s="316"/>
      <c r="BJC82" s="316"/>
      <c r="BJD82" s="316"/>
      <c r="BJE82" s="316"/>
      <c r="BJF82" s="316"/>
      <c r="BJG82" s="316"/>
      <c r="BJH82" s="316"/>
      <c r="BJI82" s="316"/>
      <c r="BJJ82" s="316"/>
      <c r="BJK82" s="316"/>
      <c r="BJL82" s="316"/>
      <c r="BJM82" s="316"/>
      <c r="BJN82" s="316"/>
      <c r="BJO82" s="316"/>
      <c r="BJP82" s="316"/>
      <c r="BJQ82" s="316"/>
      <c r="BJR82" s="316"/>
      <c r="BJS82" s="316"/>
      <c r="BJT82" s="316"/>
      <c r="BJU82" s="316"/>
      <c r="BJV82" s="316"/>
      <c r="BJW82" s="316"/>
      <c r="BJX82" s="316"/>
      <c r="BJY82" s="316"/>
      <c r="BJZ82" s="316"/>
      <c r="BKA82" s="316"/>
      <c r="BKB82" s="316"/>
      <c r="BKC82" s="316"/>
      <c r="BKD82" s="316"/>
      <c r="BKE82" s="316"/>
      <c r="BKF82" s="316"/>
      <c r="BKG82" s="316"/>
      <c r="BKH82" s="316"/>
      <c r="BKI82" s="316"/>
      <c r="BKJ82" s="316"/>
      <c r="BKK82" s="316"/>
      <c r="BKL82" s="316"/>
      <c r="BKM82" s="316"/>
      <c r="BKN82" s="316"/>
      <c r="BKO82" s="316"/>
      <c r="BKP82" s="316"/>
      <c r="BKQ82" s="316"/>
      <c r="BKR82" s="316"/>
      <c r="BKS82" s="316"/>
      <c r="BKT82" s="316"/>
      <c r="BKU82" s="316"/>
      <c r="BKV82" s="316"/>
      <c r="BKW82" s="316"/>
      <c r="BKX82" s="316"/>
      <c r="BKY82" s="316"/>
      <c r="BKZ82" s="316"/>
      <c r="BLA82" s="316"/>
      <c r="BLB82" s="316"/>
      <c r="BLC82" s="316"/>
      <c r="BLD82" s="316"/>
      <c r="BLE82" s="316"/>
      <c r="BLF82" s="316"/>
      <c r="BLG82" s="316"/>
      <c r="BLH82" s="316"/>
      <c r="BLI82" s="316"/>
      <c r="BLJ82" s="316"/>
      <c r="BLK82" s="316"/>
      <c r="BLL82" s="316"/>
      <c r="BLM82" s="316"/>
      <c r="BLN82" s="316"/>
      <c r="BLO82" s="316"/>
      <c r="BLP82" s="316"/>
      <c r="BLQ82" s="316"/>
      <c r="BLR82" s="316"/>
      <c r="BLS82" s="316"/>
      <c r="BLT82" s="316"/>
      <c r="BLU82" s="316"/>
      <c r="BLV82" s="316"/>
      <c r="BLW82" s="316"/>
      <c r="BLX82" s="316"/>
      <c r="BLY82" s="316"/>
      <c r="BLZ82" s="316"/>
      <c r="BMA82" s="316"/>
      <c r="BMB82" s="316"/>
      <c r="BMC82" s="316"/>
      <c r="BMD82" s="316"/>
      <c r="BME82" s="316"/>
      <c r="BMF82" s="316"/>
      <c r="BMG82" s="316"/>
      <c r="BMH82" s="316"/>
      <c r="BMI82" s="316"/>
      <c r="BMJ82" s="316"/>
      <c r="BMK82" s="316"/>
      <c r="BML82" s="316"/>
      <c r="BMM82" s="316"/>
      <c r="BMN82" s="316"/>
      <c r="BMO82" s="316"/>
      <c r="BMP82" s="316"/>
      <c r="BMQ82" s="316"/>
      <c r="BMR82" s="316"/>
      <c r="BMS82" s="316"/>
      <c r="BMT82" s="316"/>
      <c r="BMU82" s="316"/>
      <c r="BMV82" s="316"/>
      <c r="BMW82" s="316"/>
      <c r="BMX82" s="316"/>
      <c r="BMY82" s="316"/>
      <c r="BMZ82" s="316"/>
      <c r="BNA82" s="316"/>
      <c r="BNB82" s="316"/>
      <c r="BNC82" s="316"/>
      <c r="BND82" s="316"/>
      <c r="BNE82" s="316"/>
      <c r="BNF82" s="316"/>
      <c r="BNG82" s="316"/>
      <c r="BNH82" s="316"/>
      <c r="BNI82" s="316"/>
      <c r="BNJ82" s="316"/>
      <c r="BNK82" s="316"/>
      <c r="BNL82" s="316"/>
      <c r="BNM82" s="316"/>
      <c r="BNN82" s="316"/>
      <c r="BNO82" s="316"/>
      <c r="BNP82" s="316"/>
      <c r="BNQ82" s="316"/>
      <c r="BNR82" s="316"/>
      <c r="BNS82" s="316"/>
      <c r="BNT82" s="316"/>
      <c r="BNU82" s="316"/>
      <c r="BNV82" s="316"/>
      <c r="BNW82" s="316"/>
      <c r="BNX82" s="316"/>
      <c r="BNY82" s="316"/>
      <c r="BNZ82" s="316"/>
      <c r="BOA82" s="316"/>
      <c r="BOB82" s="316"/>
      <c r="BOC82" s="316"/>
      <c r="BOD82" s="316"/>
      <c r="BOE82" s="316"/>
      <c r="BOF82" s="316"/>
      <c r="BOG82" s="316"/>
      <c r="BOH82" s="316"/>
      <c r="BOI82" s="316"/>
      <c r="BOJ82" s="316"/>
      <c r="BOK82" s="316"/>
      <c r="BOL82" s="316"/>
      <c r="BOM82" s="316"/>
      <c r="BON82" s="316"/>
      <c r="BOO82" s="316"/>
      <c r="BOP82" s="316"/>
      <c r="BOQ82" s="316"/>
      <c r="BOR82" s="316"/>
      <c r="BOS82" s="316"/>
      <c r="BOT82" s="316"/>
      <c r="BOU82" s="316"/>
      <c r="BOV82" s="316"/>
      <c r="BOW82" s="316"/>
      <c r="BOX82" s="316"/>
      <c r="BOY82" s="316"/>
      <c r="BOZ82" s="316"/>
      <c r="BPA82" s="316"/>
      <c r="BPB82" s="316"/>
      <c r="BPC82" s="316"/>
      <c r="BPD82" s="316"/>
      <c r="BPE82" s="316"/>
      <c r="BPF82" s="316"/>
      <c r="BPG82" s="316"/>
      <c r="BPH82" s="316"/>
      <c r="BPI82" s="316"/>
      <c r="BPJ82" s="316"/>
      <c r="BPK82" s="316"/>
      <c r="BPL82" s="316"/>
      <c r="BPM82" s="316"/>
      <c r="BPN82" s="316"/>
      <c r="BPO82" s="316"/>
      <c r="BPP82" s="316"/>
      <c r="BPQ82" s="316"/>
      <c r="BPR82" s="316"/>
      <c r="BPS82" s="316"/>
      <c r="BPT82" s="316"/>
      <c r="BPU82" s="316"/>
      <c r="BPV82" s="316"/>
      <c r="BPW82" s="316"/>
      <c r="BPX82" s="316"/>
      <c r="BPY82" s="316"/>
      <c r="BPZ82" s="316"/>
      <c r="BQA82" s="316"/>
      <c r="BQB82" s="316"/>
      <c r="BQC82" s="316"/>
      <c r="BQD82" s="316"/>
      <c r="BQE82" s="316"/>
      <c r="BQF82" s="316"/>
      <c r="BQG82" s="316"/>
      <c r="BQH82" s="316"/>
      <c r="BQI82" s="316"/>
      <c r="BQJ82" s="316"/>
      <c r="BQK82" s="316"/>
      <c r="BQL82" s="316"/>
      <c r="BQM82" s="316"/>
      <c r="BQN82" s="316"/>
      <c r="BQO82" s="316"/>
      <c r="BQP82" s="316"/>
      <c r="BQQ82" s="316"/>
      <c r="BQR82" s="316"/>
      <c r="BQS82" s="316"/>
      <c r="BQT82" s="316"/>
      <c r="BQU82" s="316"/>
      <c r="BQV82" s="316"/>
      <c r="BQW82" s="316"/>
      <c r="BQX82" s="316"/>
      <c r="BQY82" s="316"/>
      <c r="BQZ82" s="316"/>
      <c r="BRA82" s="316"/>
      <c r="BRB82" s="316"/>
      <c r="BRC82" s="316"/>
      <c r="BRD82" s="316"/>
      <c r="BRE82" s="316"/>
      <c r="BRF82" s="316"/>
      <c r="BRG82" s="316"/>
      <c r="BRH82" s="316"/>
      <c r="BRI82" s="316"/>
      <c r="BRJ82" s="316"/>
      <c r="BRK82" s="316"/>
      <c r="BRL82" s="316"/>
      <c r="BRM82" s="316"/>
      <c r="BRN82" s="316"/>
      <c r="BRO82" s="316"/>
      <c r="BRP82" s="316"/>
      <c r="BRQ82" s="316"/>
      <c r="BRR82" s="316"/>
      <c r="BRS82" s="316"/>
      <c r="BRT82" s="316"/>
      <c r="BRU82" s="316"/>
      <c r="BRV82" s="316"/>
      <c r="BRW82" s="316"/>
      <c r="BRX82" s="316"/>
      <c r="BRY82" s="316"/>
      <c r="BRZ82" s="316"/>
      <c r="BSA82" s="316"/>
      <c r="BSB82" s="316"/>
      <c r="BSC82" s="316"/>
      <c r="BSD82" s="316"/>
      <c r="BSE82" s="316"/>
      <c r="BSF82" s="316"/>
      <c r="BSG82" s="316"/>
      <c r="BSH82" s="316"/>
      <c r="BSI82" s="316"/>
      <c r="BSJ82" s="316"/>
      <c r="BSK82" s="316"/>
      <c r="BSL82" s="316"/>
      <c r="BSM82" s="316"/>
      <c r="BSN82" s="316"/>
      <c r="BSO82" s="316"/>
      <c r="BSP82" s="316"/>
      <c r="BSQ82" s="316"/>
      <c r="BSR82" s="316"/>
      <c r="BSS82" s="316"/>
      <c r="BST82" s="316"/>
      <c r="BSU82" s="316"/>
      <c r="BSV82" s="316"/>
      <c r="BSW82" s="316"/>
      <c r="BSX82" s="316"/>
      <c r="BSY82" s="316"/>
      <c r="BSZ82" s="316"/>
      <c r="BTA82" s="316"/>
      <c r="BTB82" s="316"/>
      <c r="BTC82" s="316"/>
      <c r="BTD82" s="316"/>
      <c r="BTE82" s="316"/>
      <c r="BTF82" s="316"/>
      <c r="BTG82" s="316"/>
      <c r="BTH82" s="316"/>
      <c r="BTI82" s="316"/>
      <c r="BTJ82" s="316"/>
      <c r="BTK82" s="316"/>
      <c r="BTL82" s="316"/>
      <c r="BTM82" s="316"/>
      <c r="BTN82" s="316"/>
      <c r="BTO82" s="316"/>
      <c r="BTP82" s="316"/>
      <c r="BTQ82" s="316"/>
      <c r="BTR82" s="316"/>
      <c r="BTS82" s="316"/>
      <c r="BTT82" s="316"/>
      <c r="BTU82" s="316"/>
      <c r="BTV82" s="316"/>
      <c r="BTW82" s="316"/>
      <c r="BTX82" s="316"/>
      <c r="BTY82" s="316"/>
      <c r="BTZ82" s="316"/>
      <c r="BUA82" s="316"/>
      <c r="BUB82" s="316"/>
      <c r="BUC82" s="316"/>
      <c r="BUD82" s="316"/>
      <c r="BUE82" s="316"/>
      <c r="BUF82" s="316"/>
      <c r="BUG82" s="316"/>
      <c r="BUH82" s="316"/>
      <c r="BUI82" s="316"/>
      <c r="BUJ82" s="316"/>
      <c r="BUK82" s="316"/>
      <c r="BUL82" s="316"/>
      <c r="BUM82" s="316"/>
      <c r="BUN82" s="316"/>
      <c r="BUO82" s="316"/>
      <c r="BUP82" s="316"/>
      <c r="BUQ82" s="316"/>
      <c r="BUR82" s="316"/>
      <c r="BUS82" s="316"/>
      <c r="BUT82" s="316"/>
      <c r="BUU82" s="316"/>
      <c r="BUV82" s="316"/>
      <c r="BUW82" s="316"/>
      <c r="BUX82" s="316"/>
      <c r="BUY82" s="316"/>
      <c r="BUZ82" s="316"/>
      <c r="BVA82" s="316"/>
      <c r="BVB82" s="316"/>
      <c r="BVC82" s="316"/>
      <c r="BVD82" s="316"/>
      <c r="BVE82" s="316"/>
      <c r="BVF82" s="316"/>
      <c r="BVG82" s="316"/>
      <c r="BVH82" s="316"/>
      <c r="BVI82" s="316"/>
      <c r="BVJ82" s="316"/>
      <c r="BVK82" s="316"/>
      <c r="BVL82" s="316"/>
      <c r="BVM82" s="316"/>
      <c r="BVN82" s="316"/>
      <c r="BVO82" s="316"/>
      <c r="BVP82" s="316"/>
      <c r="BVQ82" s="316"/>
      <c r="BVR82" s="316"/>
      <c r="BVS82" s="316"/>
      <c r="BVT82" s="316"/>
      <c r="BVU82" s="316"/>
      <c r="BVV82" s="316"/>
      <c r="BVW82" s="316"/>
      <c r="BVX82" s="316"/>
      <c r="BVY82" s="316"/>
      <c r="BVZ82" s="316"/>
      <c r="BWA82" s="316"/>
      <c r="BWB82" s="316"/>
      <c r="BWC82" s="316"/>
      <c r="BWD82" s="316"/>
      <c r="BWE82" s="316"/>
      <c r="BWF82" s="316"/>
      <c r="BWG82" s="316"/>
      <c r="BWH82" s="316"/>
      <c r="BWI82" s="316"/>
      <c r="BWJ82" s="316"/>
      <c r="BWK82" s="316"/>
      <c r="BWL82" s="316"/>
      <c r="BWM82" s="316"/>
      <c r="BWN82" s="316"/>
      <c r="BWO82" s="316"/>
      <c r="BWP82" s="316"/>
      <c r="BWQ82" s="316"/>
      <c r="BWR82" s="316"/>
      <c r="BWS82" s="316"/>
      <c r="BWT82" s="316"/>
      <c r="BWU82" s="316"/>
      <c r="BWV82" s="316"/>
      <c r="BWW82" s="316"/>
      <c r="BWX82" s="316"/>
      <c r="BWY82" s="316"/>
      <c r="BWZ82" s="316"/>
      <c r="BXA82" s="316"/>
      <c r="BXB82" s="316"/>
      <c r="BXC82" s="316"/>
      <c r="BXD82" s="316"/>
      <c r="BXE82" s="316"/>
      <c r="BXF82" s="316"/>
      <c r="BXG82" s="316"/>
      <c r="BXH82" s="316"/>
      <c r="BXI82" s="316"/>
      <c r="BXJ82" s="316"/>
      <c r="BXK82" s="316"/>
      <c r="BXL82" s="316"/>
      <c r="BXM82" s="316"/>
      <c r="BXN82" s="316"/>
      <c r="BXO82" s="316"/>
      <c r="BXP82" s="316"/>
      <c r="BXQ82" s="316"/>
      <c r="BXR82" s="316"/>
      <c r="BXS82" s="316"/>
      <c r="BXT82" s="316"/>
      <c r="BXU82" s="316"/>
      <c r="BXV82" s="316"/>
      <c r="BXW82" s="316"/>
      <c r="BXX82" s="316"/>
      <c r="BXY82" s="316"/>
      <c r="BXZ82" s="316"/>
      <c r="BYA82" s="316"/>
      <c r="BYB82" s="316"/>
      <c r="BYC82" s="316"/>
      <c r="BYD82" s="316"/>
      <c r="BYE82" s="316"/>
      <c r="BYF82" s="316"/>
      <c r="BYG82" s="316"/>
      <c r="BYH82" s="316"/>
      <c r="BYI82" s="316"/>
      <c r="BYJ82" s="316"/>
      <c r="BYK82" s="316"/>
      <c r="BYL82" s="316"/>
      <c r="BYM82" s="316"/>
      <c r="BYN82" s="316"/>
      <c r="BYO82" s="316"/>
      <c r="BYP82" s="316"/>
      <c r="BYQ82" s="316"/>
      <c r="BYR82" s="316"/>
      <c r="BYS82" s="316"/>
      <c r="BYT82" s="316"/>
      <c r="BYU82" s="316"/>
      <c r="BYV82" s="316"/>
      <c r="BYW82" s="316"/>
      <c r="BYX82" s="316"/>
      <c r="BYY82" s="316"/>
      <c r="BYZ82" s="316"/>
      <c r="BZA82" s="316"/>
      <c r="BZB82" s="316"/>
      <c r="BZC82" s="316"/>
      <c r="BZD82" s="316"/>
      <c r="BZE82" s="316"/>
      <c r="BZF82" s="316"/>
      <c r="BZG82" s="316"/>
      <c r="BZH82" s="316"/>
      <c r="BZI82" s="316"/>
      <c r="BZJ82" s="316"/>
      <c r="BZK82" s="316"/>
      <c r="BZL82" s="316"/>
      <c r="BZM82" s="316"/>
      <c r="BZN82" s="316"/>
      <c r="BZO82" s="316"/>
      <c r="BZP82" s="316"/>
      <c r="BZQ82" s="316"/>
      <c r="BZR82" s="316"/>
      <c r="BZS82" s="316"/>
      <c r="BZT82" s="316"/>
      <c r="BZU82" s="316"/>
      <c r="BZV82" s="316"/>
      <c r="BZW82" s="316"/>
      <c r="BZX82" s="316"/>
      <c r="BZY82" s="316"/>
      <c r="BZZ82" s="316"/>
      <c r="CAA82" s="316"/>
      <c r="CAB82" s="316"/>
      <c r="CAC82" s="316"/>
      <c r="CAD82" s="316"/>
      <c r="CAE82" s="316"/>
      <c r="CAF82" s="316"/>
      <c r="CAG82" s="316"/>
      <c r="CAH82" s="316"/>
      <c r="CAI82" s="316"/>
      <c r="CAJ82" s="316"/>
      <c r="CAK82" s="316"/>
      <c r="CAL82" s="316"/>
      <c r="CAM82" s="316"/>
      <c r="CAN82" s="316"/>
      <c r="CAO82" s="316"/>
      <c r="CAP82" s="316"/>
      <c r="CAQ82" s="316"/>
      <c r="CAR82" s="316"/>
      <c r="CAS82" s="316"/>
      <c r="CAT82" s="316"/>
      <c r="CAU82" s="316"/>
      <c r="CAV82" s="316"/>
      <c r="CAW82" s="316"/>
      <c r="CAX82" s="316"/>
      <c r="CAY82" s="316"/>
      <c r="CAZ82" s="316"/>
      <c r="CBA82" s="316"/>
      <c r="CBB82" s="316"/>
      <c r="CBC82" s="316"/>
      <c r="CBD82" s="316"/>
      <c r="CBE82" s="316"/>
      <c r="CBF82" s="316"/>
      <c r="CBG82" s="316"/>
      <c r="CBH82" s="316"/>
      <c r="CBI82" s="316"/>
      <c r="CBJ82" s="316"/>
      <c r="CBK82" s="316"/>
      <c r="CBL82" s="316"/>
      <c r="CBM82" s="316"/>
      <c r="CBN82" s="316"/>
      <c r="CBO82" s="316"/>
      <c r="CBP82" s="316"/>
      <c r="CBQ82" s="316"/>
      <c r="CBR82" s="316"/>
      <c r="CBS82" s="316"/>
      <c r="CBT82" s="316"/>
      <c r="CBU82" s="316"/>
      <c r="CBV82" s="316"/>
      <c r="CBW82" s="316"/>
      <c r="CBX82" s="316"/>
      <c r="CBY82" s="316"/>
      <c r="CBZ82" s="316"/>
      <c r="CCA82" s="316"/>
      <c r="CCB82" s="316"/>
      <c r="CCC82" s="316"/>
      <c r="CCD82" s="316"/>
      <c r="CCE82" s="316"/>
      <c r="CCF82" s="316"/>
      <c r="CCG82" s="316"/>
      <c r="CCH82" s="316"/>
      <c r="CCI82" s="316"/>
      <c r="CCJ82" s="316"/>
      <c r="CCK82" s="316"/>
      <c r="CCL82" s="316"/>
      <c r="CCM82" s="316"/>
      <c r="CCN82" s="316"/>
      <c r="CCO82" s="316"/>
      <c r="CCP82" s="316"/>
      <c r="CCQ82" s="316"/>
      <c r="CCR82" s="316"/>
      <c r="CCS82" s="316"/>
      <c r="CCT82" s="316"/>
      <c r="CCU82" s="316"/>
      <c r="CCV82" s="316"/>
      <c r="CCW82" s="316"/>
      <c r="CCX82" s="316"/>
      <c r="CCY82" s="316"/>
      <c r="CCZ82" s="316"/>
      <c r="CDA82" s="316"/>
      <c r="CDB82" s="316"/>
      <c r="CDC82" s="316"/>
      <c r="CDD82" s="316"/>
      <c r="CDE82" s="316"/>
      <c r="CDF82" s="316"/>
      <c r="CDG82" s="316"/>
      <c r="CDH82" s="316"/>
      <c r="CDI82" s="316"/>
      <c r="CDJ82" s="316"/>
      <c r="CDK82" s="316"/>
      <c r="CDL82" s="316"/>
      <c r="CDM82" s="316"/>
      <c r="CDN82" s="316"/>
      <c r="CDO82" s="316"/>
      <c r="CDP82" s="316"/>
      <c r="CDQ82" s="316"/>
      <c r="CDR82" s="316"/>
      <c r="CDS82" s="316"/>
      <c r="CDT82" s="316"/>
      <c r="CDU82" s="316"/>
      <c r="CDV82" s="316"/>
      <c r="CDW82" s="316"/>
      <c r="CDX82" s="316"/>
      <c r="CDY82" s="316"/>
      <c r="CDZ82" s="316"/>
      <c r="CEA82" s="316"/>
      <c r="CEB82" s="316"/>
      <c r="CEC82" s="316"/>
      <c r="CED82" s="316"/>
      <c r="CEE82" s="316"/>
      <c r="CEF82" s="316"/>
      <c r="CEG82" s="316"/>
      <c r="CEH82" s="316"/>
      <c r="CEI82" s="316"/>
      <c r="CEJ82" s="316"/>
      <c r="CEK82" s="316"/>
      <c r="CEL82" s="316"/>
      <c r="CEM82" s="316"/>
      <c r="CEN82" s="316"/>
      <c r="CEO82" s="316"/>
      <c r="CEP82" s="316"/>
      <c r="CEQ82" s="316"/>
      <c r="CER82" s="316"/>
      <c r="CES82" s="316"/>
      <c r="CET82" s="316"/>
      <c r="CEU82" s="316"/>
      <c r="CEV82" s="316"/>
      <c r="CEW82" s="316"/>
      <c r="CEX82" s="316"/>
      <c r="CEY82" s="316"/>
      <c r="CEZ82" s="316"/>
      <c r="CFA82" s="316"/>
      <c r="CFB82" s="316"/>
      <c r="CFC82" s="316"/>
      <c r="CFD82" s="316"/>
      <c r="CFE82" s="316"/>
      <c r="CFF82" s="316"/>
      <c r="CFG82" s="316"/>
      <c r="CFH82" s="316"/>
      <c r="CFI82" s="316"/>
      <c r="CFJ82" s="316"/>
      <c r="CFK82" s="316"/>
      <c r="CFL82" s="316"/>
      <c r="CFM82" s="316"/>
      <c r="CFN82" s="316"/>
      <c r="CFO82" s="316"/>
      <c r="CFP82" s="316"/>
      <c r="CFQ82" s="316"/>
      <c r="CFR82" s="316"/>
      <c r="CFS82" s="316"/>
      <c r="CFT82" s="316"/>
      <c r="CFU82" s="316"/>
      <c r="CFV82" s="316"/>
      <c r="CFW82" s="316"/>
      <c r="CFX82" s="316"/>
      <c r="CFY82" s="316"/>
      <c r="CFZ82" s="316"/>
      <c r="CGA82" s="316"/>
      <c r="CGB82" s="316"/>
      <c r="CGC82" s="316"/>
      <c r="CGD82" s="316"/>
      <c r="CGE82" s="316"/>
      <c r="CGF82" s="316"/>
      <c r="CGG82" s="316"/>
      <c r="CGH82" s="316"/>
      <c r="CGI82" s="316"/>
      <c r="CGJ82" s="316"/>
      <c r="CGK82" s="316"/>
      <c r="CGL82" s="316"/>
      <c r="CGM82" s="316"/>
      <c r="CGN82" s="316"/>
      <c r="CGO82" s="316"/>
      <c r="CGP82" s="316"/>
      <c r="CGQ82" s="316"/>
      <c r="CGR82" s="316"/>
      <c r="CGS82" s="316"/>
      <c r="CGT82" s="316"/>
      <c r="CGU82" s="316"/>
      <c r="CGV82" s="316"/>
      <c r="CGW82" s="316"/>
      <c r="CGX82" s="316"/>
      <c r="CGY82" s="316"/>
      <c r="CGZ82" s="316"/>
      <c r="CHA82" s="316"/>
      <c r="CHB82" s="316"/>
      <c r="CHC82" s="316"/>
      <c r="CHD82" s="316"/>
      <c r="CHE82" s="316"/>
      <c r="CHF82" s="316"/>
      <c r="CHG82" s="316"/>
      <c r="CHH82" s="316"/>
      <c r="CHI82" s="316"/>
      <c r="CHJ82" s="316"/>
      <c r="CHK82" s="316"/>
      <c r="CHL82" s="316"/>
      <c r="CHM82" s="316"/>
      <c r="CHN82" s="316"/>
      <c r="CHO82" s="316"/>
      <c r="CHP82" s="316"/>
      <c r="CHQ82" s="316"/>
      <c r="CHR82" s="316"/>
      <c r="CHS82" s="316"/>
      <c r="CHT82" s="316"/>
      <c r="CHU82" s="316"/>
      <c r="CHV82" s="316"/>
      <c r="CHW82" s="316"/>
      <c r="CHX82" s="316"/>
      <c r="CHY82" s="316"/>
      <c r="CHZ82" s="316"/>
      <c r="CIA82" s="316"/>
      <c r="CIB82" s="316"/>
      <c r="CIC82" s="316"/>
      <c r="CID82" s="316"/>
      <c r="CIE82" s="316"/>
      <c r="CIF82" s="316"/>
      <c r="CIG82" s="316"/>
      <c r="CIH82" s="316"/>
      <c r="CII82" s="316"/>
      <c r="CIJ82" s="316"/>
      <c r="CIK82" s="316"/>
      <c r="CIL82" s="316"/>
      <c r="CIM82" s="316"/>
      <c r="CIN82" s="316"/>
      <c r="CIO82" s="316"/>
      <c r="CIP82" s="316"/>
      <c r="CIQ82" s="316"/>
      <c r="CIR82" s="316"/>
      <c r="CIS82" s="316"/>
      <c r="CIT82" s="316"/>
      <c r="CIU82" s="316"/>
      <c r="CIV82" s="316"/>
      <c r="CIW82" s="316"/>
      <c r="CIX82" s="316"/>
      <c r="CIY82" s="316"/>
      <c r="CIZ82" s="316"/>
      <c r="CJA82" s="316"/>
      <c r="CJB82" s="316"/>
      <c r="CJC82" s="316"/>
      <c r="CJD82" s="316"/>
      <c r="CJE82" s="316"/>
      <c r="CJF82" s="316"/>
      <c r="CJG82" s="316"/>
      <c r="CJH82" s="316"/>
      <c r="CJI82" s="316"/>
      <c r="CJJ82" s="316"/>
      <c r="CJK82" s="316"/>
      <c r="CJL82" s="316"/>
      <c r="CJM82" s="316"/>
      <c r="CJN82" s="316"/>
      <c r="CJO82" s="316"/>
      <c r="CJP82" s="316"/>
      <c r="CJQ82" s="316"/>
      <c r="CJR82" s="316"/>
      <c r="CJS82" s="316"/>
      <c r="CJT82" s="316"/>
      <c r="CJU82" s="316"/>
      <c r="CJV82" s="316"/>
      <c r="CJW82" s="316"/>
      <c r="CJX82" s="316"/>
      <c r="CJY82" s="316"/>
      <c r="CJZ82" s="316"/>
      <c r="CKA82" s="316"/>
      <c r="CKB82" s="316"/>
      <c r="CKC82" s="316"/>
      <c r="CKD82" s="316"/>
      <c r="CKE82" s="316"/>
      <c r="CKF82" s="316"/>
      <c r="CKG82" s="316"/>
      <c r="CKH82" s="316"/>
      <c r="CKI82" s="316"/>
      <c r="CKJ82" s="316"/>
      <c r="CKK82" s="316"/>
      <c r="CKL82" s="316"/>
      <c r="CKM82" s="316"/>
      <c r="CKN82" s="316"/>
      <c r="CKO82" s="316"/>
      <c r="CKP82" s="316"/>
      <c r="CKQ82" s="316"/>
      <c r="CKR82" s="316"/>
      <c r="CKS82" s="316"/>
      <c r="CKT82" s="316"/>
      <c r="CKU82" s="316"/>
      <c r="CKV82" s="316"/>
      <c r="CKW82" s="316"/>
      <c r="CKX82" s="316"/>
      <c r="CKY82" s="316"/>
      <c r="CKZ82" s="316"/>
      <c r="CLA82" s="316"/>
      <c r="CLB82" s="316"/>
      <c r="CLC82" s="316"/>
      <c r="CLD82" s="316"/>
      <c r="CLE82" s="316"/>
      <c r="CLF82" s="316"/>
      <c r="CLG82" s="316"/>
      <c r="CLH82" s="316"/>
      <c r="CLI82" s="316"/>
      <c r="CLJ82" s="316"/>
      <c r="CLK82" s="316"/>
      <c r="CLL82" s="316"/>
      <c r="CLM82" s="316"/>
      <c r="CLN82" s="316"/>
      <c r="CLO82" s="316"/>
      <c r="CLP82" s="316"/>
      <c r="CLQ82" s="316"/>
      <c r="CLR82" s="316"/>
      <c r="CLS82" s="316"/>
      <c r="CLT82" s="316"/>
      <c r="CLU82" s="316"/>
      <c r="CLV82" s="316"/>
      <c r="CLW82" s="316"/>
      <c r="CLX82" s="316"/>
      <c r="CLY82" s="316"/>
      <c r="CLZ82" s="316"/>
      <c r="CMA82" s="316"/>
      <c r="CMB82" s="316"/>
      <c r="CMC82" s="316"/>
      <c r="CMD82" s="316"/>
      <c r="CME82" s="316"/>
      <c r="CMF82" s="316"/>
      <c r="CMG82" s="316"/>
      <c r="CMH82" s="316"/>
      <c r="CMI82" s="316"/>
      <c r="CMJ82" s="316"/>
      <c r="CMK82" s="316"/>
      <c r="CML82" s="316"/>
      <c r="CMM82" s="316"/>
      <c r="CMN82" s="316"/>
      <c r="CMO82" s="316"/>
      <c r="CMP82" s="316"/>
      <c r="CMQ82" s="316"/>
      <c r="CMR82" s="316"/>
      <c r="CMS82" s="316"/>
      <c r="CMT82" s="316"/>
      <c r="CMU82" s="316"/>
      <c r="CMV82" s="316"/>
      <c r="CMW82" s="316"/>
      <c r="CMX82" s="316"/>
      <c r="CMY82" s="316"/>
      <c r="CMZ82" s="316"/>
      <c r="CNA82" s="316"/>
      <c r="CNB82" s="316"/>
      <c r="CNC82" s="316"/>
      <c r="CND82" s="316"/>
      <c r="CNE82" s="316"/>
      <c r="CNF82" s="316"/>
      <c r="CNG82" s="316"/>
      <c r="CNH82" s="316"/>
      <c r="CNI82" s="316"/>
      <c r="CNJ82" s="316"/>
      <c r="CNK82" s="316"/>
      <c r="CNL82" s="316"/>
      <c r="CNM82" s="316"/>
      <c r="CNN82" s="316"/>
      <c r="CNO82" s="316"/>
      <c r="CNP82" s="316"/>
      <c r="CNQ82" s="316"/>
      <c r="CNR82" s="316"/>
      <c r="CNS82" s="316"/>
      <c r="CNT82" s="316"/>
      <c r="CNU82" s="316"/>
      <c r="CNV82" s="316"/>
      <c r="CNW82" s="316"/>
      <c r="CNX82" s="316"/>
      <c r="CNY82" s="316"/>
      <c r="CNZ82" s="316"/>
      <c r="COA82" s="316"/>
      <c r="COB82" s="316"/>
      <c r="COC82" s="316"/>
      <c r="COD82" s="316"/>
      <c r="COE82" s="316"/>
      <c r="COF82" s="316"/>
      <c r="COG82" s="316"/>
      <c r="COH82" s="316"/>
      <c r="COI82" s="316"/>
      <c r="COJ82" s="316"/>
      <c r="COK82" s="316"/>
      <c r="COL82" s="316"/>
      <c r="COM82" s="316"/>
      <c r="CON82" s="316"/>
      <c r="COO82" s="316"/>
      <c r="COP82" s="316"/>
      <c r="COQ82" s="316"/>
      <c r="COR82" s="316"/>
      <c r="COS82" s="316"/>
      <c r="COT82" s="316"/>
      <c r="COU82" s="316"/>
      <c r="COV82" s="316"/>
      <c r="COW82" s="316"/>
      <c r="COX82" s="316"/>
      <c r="COY82" s="316"/>
      <c r="COZ82" s="316"/>
      <c r="CPA82" s="316"/>
      <c r="CPB82" s="316"/>
      <c r="CPC82" s="316"/>
      <c r="CPD82" s="316"/>
      <c r="CPE82" s="316"/>
      <c r="CPF82" s="316"/>
      <c r="CPG82" s="316"/>
      <c r="CPH82" s="316"/>
      <c r="CPI82" s="316"/>
      <c r="CPJ82" s="316"/>
      <c r="CPK82" s="316"/>
      <c r="CPL82" s="316"/>
      <c r="CPM82" s="316"/>
      <c r="CPN82" s="316"/>
      <c r="CPO82" s="316"/>
      <c r="CPP82" s="316"/>
      <c r="CPQ82" s="316"/>
      <c r="CPR82" s="316"/>
      <c r="CPS82" s="316"/>
      <c r="CPT82" s="316"/>
      <c r="CPU82" s="316"/>
      <c r="CPV82" s="316"/>
      <c r="CPW82" s="316"/>
      <c r="CPX82" s="316"/>
      <c r="CPY82" s="316"/>
      <c r="CPZ82" s="316"/>
      <c r="CQA82" s="316"/>
      <c r="CQB82" s="316"/>
      <c r="CQC82" s="316"/>
      <c r="CQD82" s="316"/>
      <c r="CQE82" s="316"/>
      <c r="CQF82" s="316"/>
      <c r="CQG82" s="316"/>
      <c r="CQH82" s="316"/>
      <c r="CQI82" s="316"/>
      <c r="CQJ82" s="316"/>
      <c r="CQK82" s="316"/>
      <c r="CQL82" s="316"/>
      <c r="CQM82" s="316"/>
      <c r="CQN82" s="316"/>
      <c r="CQO82" s="316"/>
      <c r="CQP82" s="316"/>
      <c r="CQQ82" s="316"/>
      <c r="CQR82" s="316"/>
      <c r="CQS82" s="316"/>
      <c r="CQT82" s="316"/>
      <c r="CQU82" s="316"/>
      <c r="CQV82" s="316"/>
      <c r="CQW82" s="316"/>
      <c r="CQX82" s="316"/>
      <c r="CQY82" s="316"/>
      <c r="CQZ82" s="316"/>
      <c r="CRA82" s="316"/>
      <c r="CRB82" s="316"/>
      <c r="CRC82" s="316"/>
      <c r="CRD82" s="316"/>
      <c r="CRE82" s="316"/>
      <c r="CRF82" s="316"/>
      <c r="CRG82" s="316"/>
      <c r="CRH82" s="316"/>
      <c r="CRI82" s="316"/>
      <c r="CRJ82" s="316"/>
      <c r="CRK82" s="316"/>
      <c r="CRL82" s="316"/>
      <c r="CRM82" s="316"/>
      <c r="CRN82" s="316"/>
      <c r="CRO82" s="316"/>
      <c r="CRP82" s="316"/>
      <c r="CRQ82" s="316"/>
      <c r="CRR82" s="316"/>
      <c r="CRS82" s="316"/>
      <c r="CRT82" s="316"/>
      <c r="CRU82" s="316"/>
      <c r="CRV82" s="316"/>
      <c r="CRW82" s="316"/>
      <c r="CRX82" s="316"/>
      <c r="CRY82" s="316"/>
      <c r="CRZ82" s="316"/>
      <c r="CSA82" s="316"/>
      <c r="CSB82" s="316"/>
      <c r="CSC82" s="316"/>
      <c r="CSD82" s="316"/>
      <c r="CSE82" s="316"/>
      <c r="CSF82" s="316"/>
      <c r="CSG82" s="316"/>
      <c r="CSH82" s="316"/>
      <c r="CSI82" s="316"/>
      <c r="CSJ82" s="316"/>
      <c r="CSK82" s="316"/>
      <c r="CSL82" s="316"/>
      <c r="CSM82" s="316"/>
      <c r="CSN82" s="316"/>
      <c r="CSO82" s="316"/>
      <c r="CSP82" s="316"/>
      <c r="CSQ82" s="316"/>
      <c r="CSR82" s="316"/>
      <c r="CSS82" s="316"/>
      <c r="CST82" s="316"/>
      <c r="CSU82" s="316"/>
      <c r="CSV82" s="316"/>
      <c r="CSW82" s="316"/>
      <c r="CSX82" s="316"/>
      <c r="CSY82" s="316"/>
      <c r="CSZ82" s="316"/>
      <c r="CTA82" s="316"/>
      <c r="CTB82" s="316"/>
      <c r="CTC82" s="316"/>
      <c r="CTD82" s="316"/>
      <c r="CTE82" s="316"/>
      <c r="CTF82" s="316"/>
      <c r="CTG82" s="316"/>
      <c r="CTH82" s="316"/>
      <c r="CTI82" s="316"/>
      <c r="CTJ82" s="316"/>
      <c r="CTK82" s="316"/>
      <c r="CTL82" s="316"/>
      <c r="CTM82" s="316"/>
      <c r="CTN82" s="316"/>
      <c r="CTO82" s="316"/>
      <c r="CTP82" s="316"/>
      <c r="CTQ82" s="316"/>
      <c r="CTR82" s="316"/>
      <c r="CTS82" s="316"/>
      <c r="CTT82" s="316"/>
      <c r="CTU82" s="316"/>
      <c r="CTV82" s="316"/>
      <c r="CTW82" s="316"/>
      <c r="CTX82" s="316"/>
      <c r="CTY82" s="316"/>
      <c r="CTZ82" s="316"/>
      <c r="CUA82" s="316"/>
      <c r="CUB82" s="316"/>
      <c r="CUC82" s="316"/>
      <c r="CUD82" s="316"/>
      <c r="CUE82" s="316"/>
      <c r="CUF82" s="316"/>
      <c r="CUG82" s="316"/>
      <c r="CUH82" s="316"/>
      <c r="CUI82" s="316"/>
      <c r="CUJ82" s="316"/>
      <c r="CUK82" s="316"/>
      <c r="CUL82" s="316"/>
      <c r="CUM82" s="316"/>
      <c r="CUN82" s="316"/>
      <c r="CUO82" s="316"/>
      <c r="CUP82" s="316"/>
      <c r="CUQ82" s="316"/>
      <c r="CUR82" s="316"/>
      <c r="CUS82" s="316"/>
      <c r="CUT82" s="316"/>
      <c r="CUU82" s="316"/>
      <c r="CUV82" s="316"/>
      <c r="CUW82" s="316"/>
      <c r="CUX82" s="316"/>
      <c r="CUY82" s="316"/>
      <c r="CUZ82" s="316"/>
      <c r="CVA82" s="316"/>
      <c r="CVB82" s="316"/>
      <c r="CVC82" s="316"/>
      <c r="CVD82" s="316"/>
      <c r="CVE82" s="316"/>
      <c r="CVF82" s="316"/>
      <c r="CVG82" s="316"/>
      <c r="CVH82" s="316"/>
      <c r="CVI82" s="316"/>
      <c r="CVJ82" s="316"/>
      <c r="CVK82" s="316"/>
      <c r="CVL82" s="316"/>
      <c r="CVM82" s="316"/>
      <c r="CVN82" s="316"/>
      <c r="CVO82" s="316"/>
      <c r="CVP82" s="316"/>
      <c r="CVQ82" s="316"/>
      <c r="CVR82" s="316"/>
      <c r="CVS82" s="316"/>
      <c r="CVT82" s="316"/>
      <c r="CVU82" s="316"/>
      <c r="CVV82" s="316"/>
      <c r="CVW82" s="316"/>
      <c r="CVX82" s="316"/>
      <c r="CVY82" s="316"/>
      <c r="CVZ82" s="316"/>
      <c r="CWA82" s="316"/>
      <c r="CWB82" s="316"/>
      <c r="CWC82" s="316"/>
      <c r="CWD82" s="316"/>
      <c r="CWE82" s="316"/>
      <c r="CWF82" s="316"/>
      <c r="CWG82" s="316"/>
      <c r="CWH82" s="316"/>
      <c r="CWI82" s="316"/>
      <c r="CWJ82" s="316"/>
      <c r="CWK82" s="316"/>
      <c r="CWL82" s="316"/>
      <c r="CWM82" s="316"/>
      <c r="CWN82" s="316"/>
      <c r="CWO82" s="316"/>
      <c r="CWP82" s="316"/>
      <c r="CWQ82" s="316"/>
      <c r="CWR82" s="316"/>
      <c r="CWS82" s="316"/>
      <c r="CWT82" s="316"/>
      <c r="CWU82" s="316"/>
      <c r="CWV82" s="316"/>
      <c r="CWW82" s="316"/>
      <c r="CWX82" s="316"/>
      <c r="CWY82" s="316"/>
      <c r="CWZ82" s="316"/>
      <c r="CXA82" s="316"/>
      <c r="CXB82" s="316"/>
      <c r="CXC82" s="316"/>
      <c r="CXD82" s="316"/>
      <c r="CXE82" s="316"/>
      <c r="CXF82" s="316"/>
      <c r="CXG82" s="316"/>
      <c r="CXH82" s="316"/>
      <c r="CXI82" s="316"/>
      <c r="CXJ82" s="316"/>
      <c r="CXK82" s="316"/>
      <c r="CXL82" s="316"/>
      <c r="CXM82" s="316"/>
      <c r="CXN82" s="316"/>
      <c r="CXO82" s="316"/>
      <c r="CXP82" s="316"/>
      <c r="CXQ82" s="316"/>
      <c r="CXR82" s="316"/>
      <c r="CXS82" s="316"/>
      <c r="CXT82" s="316"/>
      <c r="CXU82" s="316"/>
      <c r="CXV82" s="316"/>
      <c r="CXW82" s="316"/>
      <c r="CXX82" s="316"/>
      <c r="CXY82" s="316"/>
      <c r="CXZ82" s="316"/>
      <c r="CYA82" s="316"/>
      <c r="CYB82" s="316"/>
      <c r="CYC82" s="316"/>
      <c r="CYD82" s="316"/>
      <c r="CYE82" s="316"/>
      <c r="CYF82" s="316"/>
      <c r="CYG82" s="316"/>
      <c r="CYH82" s="316"/>
      <c r="CYI82" s="316"/>
      <c r="CYJ82" s="316"/>
      <c r="CYK82" s="316"/>
      <c r="CYL82" s="316"/>
      <c r="CYM82" s="316"/>
      <c r="CYN82" s="316"/>
      <c r="CYO82" s="316"/>
      <c r="CYP82" s="316"/>
      <c r="CYQ82" s="316"/>
      <c r="CYR82" s="316"/>
      <c r="CYS82" s="316"/>
      <c r="CYT82" s="316"/>
      <c r="CYU82" s="316"/>
      <c r="CYV82" s="316"/>
      <c r="CYW82" s="316"/>
      <c r="CYX82" s="316"/>
      <c r="CYY82" s="316"/>
      <c r="CYZ82" s="316"/>
      <c r="CZA82" s="316"/>
      <c r="CZB82" s="316"/>
      <c r="CZC82" s="316"/>
      <c r="CZD82" s="316"/>
      <c r="CZE82" s="316"/>
      <c r="CZF82" s="316"/>
      <c r="CZG82" s="316"/>
      <c r="CZH82" s="316"/>
      <c r="CZI82" s="316"/>
      <c r="CZJ82" s="316"/>
      <c r="CZK82" s="316"/>
      <c r="CZL82" s="316"/>
      <c r="CZM82" s="316"/>
      <c r="CZN82" s="316"/>
      <c r="CZO82" s="316"/>
      <c r="CZP82" s="316"/>
      <c r="CZQ82" s="316"/>
      <c r="CZR82" s="316"/>
      <c r="CZS82" s="316"/>
      <c r="CZT82" s="316"/>
      <c r="CZU82" s="316"/>
      <c r="CZV82" s="316"/>
      <c r="CZW82" s="316"/>
      <c r="CZX82" s="316"/>
      <c r="CZY82" s="316"/>
      <c r="CZZ82" s="316"/>
      <c r="DAA82" s="316"/>
      <c r="DAB82" s="316"/>
      <c r="DAC82" s="316"/>
      <c r="DAD82" s="316"/>
      <c r="DAE82" s="316"/>
      <c r="DAF82" s="316"/>
      <c r="DAG82" s="316"/>
      <c r="DAH82" s="316"/>
      <c r="DAI82" s="316"/>
      <c r="DAJ82" s="316"/>
      <c r="DAK82" s="316"/>
      <c r="DAL82" s="316"/>
      <c r="DAM82" s="316"/>
      <c r="DAN82" s="316"/>
      <c r="DAO82" s="316"/>
      <c r="DAP82" s="316"/>
      <c r="DAQ82" s="316"/>
      <c r="DAR82" s="316"/>
      <c r="DAS82" s="316"/>
      <c r="DAT82" s="316"/>
      <c r="DAU82" s="316"/>
      <c r="DAV82" s="316"/>
      <c r="DAW82" s="316"/>
      <c r="DAX82" s="316"/>
      <c r="DAY82" s="316"/>
      <c r="DAZ82" s="316"/>
      <c r="DBA82" s="316"/>
      <c r="DBB82" s="316"/>
      <c r="DBC82" s="316"/>
      <c r="DBD82" s="316"/>
      <c r="DBE82" s="316"/>
      <c r="DBF82" s="316"/>
      <c r="DBG82" s="316"/>
      <c r="DBH82" s="316"/>
      <c r="DBI82" s="316"/>
      <c r="DBJ82" s="316"/>
      <c r="DBK82" s="316"/>
      <c r="DBL82" s="316"/>
      <c r="DBM82" s="316"/>
      <c r="DBN82" s="316"/>
      <c r="DBO82" s="316"/>
      <c r="DBP82" s="316"/>
      <c r="DBQ82" s="316"/>
      <c r="DBR82" s="316"/>
      <c r="DBS82" s="316"/>
      <c r="DBT82" s="316"/>
      <c r="DBU82" s="316"/>
      <c r="DBV82" s="316"/>
      <c r="DBW82" s="316"/>
      <c r="DBX82" s="316"/>
      <c r="DBY82" s="316"/>
      <c r="DBZ82" s="316"/>
      <c r="DCA82" s="316"/>
      <c r="DCB82" s="316"/>
      <c r="DCC82" s="316"/>
      <c r="DCD82" s="316"/>
      <c r="DCE82" s="316"/>
      <c r="DCF82" s="316"/>
      <c r="DCG82" s="316"/>
      <c r="DCH82" s="316"/>
      <c r="DCI82" s="316"/>
      <c r="DCJ82" s="316"/>
      <c r="DCK82" s="316"/>
      <c r="DCL82" s="316"/>
      <c r="DCM82" s="316"/>
      <c r="DCN82" s="316"/>
      <c r="DCO82" s="316"/>
      <c r="DCP82" s="316"/>
      <c r="DCQ82" s="316"/>
      <c r="DCR82" s="316"/>
      <c r="DCS82" s="316"/>
      <c r="DCT82" s="316"/>
      <c r="DCU82" s="316"/>
      <c r="DCV82" s="316"/>
      <c r="DCW82" s="316"/>
      <c r="DCX82" s="316"/>
      <c r="DCY82" s="316"/>
      <c r="DCZ82" s="316"/>
      <c r="DDA82" s="316"/>
      <c r="DDB82" s="316"/>
      <c r="DDC82" s="316"/>
      <c r="DDD82" s="316"/>
      <c r="DDE82" s="316"/>
      <c r="DDF82" s="316"/>
      <c r="DDG82" s="316"/>
      <c r="DDH82" s="316"/>
      <c r="DDI82" s="316"/>
      <c r="DDJ82" s="316"/>
      <c r="DDK82" s="316"/>
      <c r="DDL82" s="316"/>
      <c r="DDM82" s="316"/>
      <c r="DDN82" s="316"/>
      <c r="DDO82" s="316"/>
      <c r="DDP82" s="316"/>
      <c r="DDQ82" s="316"/>
      <c r="DDR82" s="316"/>
      <c r="DDS82" s="316"/>
      <c r="DDT82" s="316"/>
      <c r="DDU82" s="316"/>
      <c r="DDV82" s="316"/>
      <c r="DDW82" s="316"/>
      <c r="DDX82" s="316"/>
      <c r="DDY82" s="316"/>
      <c r="DDZ82" s="316"/>
      <c r="DEA82" s="316"/>
      <c r="DEB82" s="316"/>
      <c r="DEC82" s="316"/>
      <c r="DED82" s="316"/>
      <c r="DEE82" s="316"/>
      <c r="DEF82" s="316"/>
      <c r="DEG82" s="316"/>
      <c r="DEH82" s="316"/>
      <c r="DEI82" s="316"/>
      <c r="DEJ82" s="316"/>
      <c r="DEK82" s="316"/>
      <c r="DEL82" s="316"/>
      <c r="DEM82" s="316"/>
      <c r="DEN82" s="316"/>
      <c r="DEO82" s="316"/>
      <c r="DEP82" s="316"/>
      <c r="DEQ82" s="316"/>
      <c r="DER82" s="316"/>
      <c r="DES82" s="316"/>
      <c r="DET82" s="316"/>
      <c r="DEU82" s="316"/>
      <c r="DEV82" s="316"/>
      <c r="DEW82" s="316"/>
      <c r="DEX82" s="316"/>
      <c r="DEY82" s="316"/>
      <c r="DEZ82" s="316"/>
      <c r="DFA82" s="316"/>
      <c r="DFB82" s="316"/>
      <c r="DFC82" s="316"/>
      <c r="DFD82" s="316"/>
      <c r="DFE82" s="316"/>
      <c r="DFF82" s="316"/>
      <c r="DFG82" s="316"/>
      <c r="DFH82" s="316"/>
      <c r="DFI82" s="316"/>
      <c r="DFJ82" s="316"/>
      <c r="DFK82" s="316"/>
      <c r="DFL82" s="316"/>
      <c r="DFM82" s="316"/>
      <c r="DFN82" s="316"/>
      <c r="DFO82" s="316"/>
      <c r="DFP82" s="316"/>
      <c r="DFQ82" s="316"/>
      <c r="DFR82" s="316"/>
      <c r="DFS82" s="316"/>
      <c r="DFT82" s="316"/>
      <c r="DFU82" s="316"/>
      <c r="DFV82" s="316"/>
      <c r="DFW82" s="316"/>
      <c r="DFX82" s="316"/>
      <c r="DFY82" s="316"/>
      <c r="DFZ82" s="316"/>
      <c r="DGA82" s="316"/>
      <c r="DGB82" s="316"/>
      <c r="DGC82" s="316"/>
      <c r="DGD82" s="316"/>
      <c r="DGE82" s="316"/>
      <c r="DGF82" s="316"/>
      <c r="DGG82" s="316"/>
      <c r="DGH82" s="316"/>
      <c r="DGI82" s="316"/>
      <c r="DGJ82" s="316"/>
      <c r="DGK82" s="316"/>
      <c r="DGL82" s="316"/>
      <c r="DGM82" s="316"/>
      <c r="DGN82" s="316"/>
      <c r="DGO82" s="316"/>
      <c r="DGP82" s="316"/>
      <c r="DGQ82" s="316"/>
      <c r="DGR82" s="316"/>
      <c r="DGS82" s="316"/>
      <c r="DGT82" s="316"/>
      <c r="DGU82" s="316"/>
      <c r="DGV82" s="316"/>
      <c r="DGW82" s="316"/>
      <c r="DGX82" s="316"/>
      <c r="DGY82" s="316"/>
      <c r="DGZ82" s="316"/>
      <c r="DHA82" s="316"/>
      <c r="DHB82" s="316"/>
      <c r="DHC82" s="316"/>
      <c r="DHD82" s="316"/>
      <c r="DHE82" s="316"/>
      <c r="DHF82" s="316"/>
      <c r="DHG82" s="316"/>
      <c r="DHH82" s="316"/>
      <c r="DHI82" s="316"/>
      <c r="DHJ82" s="316"/>
      <c r="DHK82" s="316"/>
      <c r="DHL82" s="316"/>
      <c r="DHM82" s="316"/>
      <c r="DHN82" s="316"/>
      <c r="DHO82" s="316"/>
      <c r="DHP82" s="316"/>
      <c r="DHQ82" s="316"/>
      <c r="DHR82" s="316"/>
      <c r="DHS82" s="316"/>
      <c r="DHT82" s="316"/>
      <c r="DHU82" s="316"/>
      <c r="DHV82" s="316"/>
      <c r="DHW82" s="316"/>
      <c r="DHX82" s="316"/>
      <c r="DHY82" s="316"/>
      <c r="DHZ82" s="316"/>
      <c r="DIA82" s="316"/>
      <c r="DIB82" s="316"/>
      <c r="DIC82" s="316"/>
      <c r="DID82" s="316"/>
      <c r="DIE82" s="316"/>
      <c r="DIF82" s="316"/>
      <c r="DIG82" s="316"/>
      <c r="DIH82" s="316"/>
      <c r="DII82" s="316"/>
      <c r="DIJ82" s="316"/>
      <c r="DIK82" s="316"/>
      <c r="DIL82" s="316"/>
      <c r="DIM82" s="316"/>
      <c r="DIN82" s="316"/>
      <c r="DIO82" s="316"/>
      <c r="DIP82" s="316"/>
      <c r="DIQ82" s="316"/>
      <c r="DIR82" s="316"/>
      <c r="DIS82" s="316"/>
      <c r="DIT82" s="316"/>
      <c r="DIU82" s="316"/>
      <c r="DIV82" s="316"/>
      <c r="DIW82" s="316"/>
      <c r="DIX82" s="316"/>
      <c r="DIY82" s="316"/>
      <c r="DIZ82" s="316"/>
      <c r="DJA82" s="316"/>
      <c r="DJB82" s="316"/>
      <c r="DJC82" s="316"/>
      <c r="DJD82" s="316"/>
      <c r="DJE82" s="316"/>
      <c r="DJF82" s="316"/>
      <c r="DJG82" s="316"/>
      <c r="DJH82" s="316"/>
      <c r="DJI82" s="316"/>
      <c r="DJJ82" s="316"/>
      <c r="DJK82" s="316"/>
      <c r="DJL82" s="316"/>
      <c r="DJM82" s="316"/>
      <c r="DJN82" s="316"/>
      <c r="DJO82" s="316"/>
      <c r="DJP82" s="316"/>
      <c r="DJQ82" s="316"/>
      <c r="DJR82" s="316"/>
      <c r="DJS82" s="316"/>
      <c r="DJT82" s="316"/>
      <c r="DJU82" s="316"/>
      <c r="DJV82" s="316"/>
      <c r="DJW82" s="316"/>
      <c r="DJX82" s="316"/>
      <c r="DJY82" s="316"/>
      <c r="DJZ82" s="316"/>
      <c r="DKA82" s="316"/>
      <c r="DKB82" s="316"/>
      <c r="DKC82" s="316"/>
      <c r="DKD82" s="316"/>
      <c r="DKE82" s="316"/>
      <c r="DKF82" s="316"/>
      <c r="DKG82" s="316"/>
      <c r="DKH82" s="316"/>
      <c r="DKI82" s="316"/>
      <c r="DKJ82" s="316"/>
      <c r="DKK82" s="316"/>
      <c r="DKL82" s="316"/>
      <c r="DKM82" s="316"/>
      <c r="DKN82" s="316"/>
      <c r="DKO82" s="316"/>
      <c r="DKP82" s="316"/>
      <c r="DKQ82" s="316"/>
      <c r="DKR82" s="316"/>
      <c r="DKS82" s="316"/>
      <c r="DKT82" s="316"/>
      <c r="DKU82" s="316"/>
      <c r="DKV82" s="316"/>
      <c r="DKW82" s="316"/>
      <c r="DKX82" s="316"/>
      <c r="DKY82" s="316"/>
      <c r="DKZ82" s="316"/>
      <c r="DLA82" s="316"/>
      <c r="DLB82" s="316"/>
      <c r="DLC82" s="316"/>
      <c r="DLD82" s="316"/>
      <c r="DLE82" s="316"/>
      <c r="DLF82" s="316"/>
      <c r="DLG82" s="316"/>
      <c r="DLH82" s="316"/>
      <c r="DLI82" s="316"/>
      <c r="DLJ82" s="316"/>
      <c r="DLK82" s="316"/>
      <c r="DLL82" s="316"/>
      <c r="DLM82" s="316"/>
      <c r="DLN82" s="316"/>
      <c r="DLO82" s="316"/>
      <c r="DLP82" s="316"/>
      <c r="DLQ82" s="316"/>
      <c r="DLR82" s="316"/>
      <c r="DLS82" s="316"/>
      <c r="DLT82" s="316"/>
      <c r="DLU82" s="316"/>
      <c r="DLV82" s="316"/>
      <c r="DLW82" s="316"/>
      <c r="DLX82" s="316"/>
      <c r="DLY82" s="316"/>
      <c r="DLZ82" s="316"/>
      <c r="DMA82" s="316"/>
      <c r="DMB82" s="316"/>
      <c r="DMC82" s="316"/>
      <c r="DMD82" s="316"/>
      <c r="DME82" s="316"/>
      <c r="DMF82" s="316"/>
      <c r="DMG82" s="316"/>
      <c r="DMH82" s="316"/>
      <c r="DMI82" s="316"/>
      <c r="DMJ82" s="316"/>
      <c r="DMK82" s="316"/>
      <c r="DML82" s="316"/>
      <c r="DMM82" s="316"/>
      <c r="DMN82" s="316"/>
      <c r="DMO82" s="316"/>
      <c r="DMP82" s="316"/>
      <c r="DMQ82" s="316"/>
      <c r="DMR82" s="316"/>
      <c r="DMS82" s="316"/>
      <c r="DMT82" s="316"/>
      <c r="DMU82" s="316"/>
      <c r="DMV82" s="316"/>
      <c r="DMW82" s="316"/>
      <c r="DMX82" s="316"/>
      <c r="DMY82" s="316"/>
      <c r="DMZ82" s="316"/>
      <c r="DNA82" s="316"/>
      <c r="DNB82" s="316"/>
      <c r="DNC82" s="316"/>
      <c r="DND82" s="316"/>
      <c r="DNE82" s="316"/>
      <c r="DNF82" s="316"/>
      <c r="DNG82" s="316"/>
      <c r="DNH82" s="316"/>
      <c r="DNI82" s="316"/>
      <c r="DNJ82" s="316"/>
      <c r="DNK82" s="316"/>
      <c r="DNL82" s="316"/>
      <c r="DNM82" s="316"/>
      <c r="DNN82" s="316"/>
      <c r="DNO82" s="316"/>
      <c r="DNP82" s="316"/>
      <c r="DNQ82" s="316"/>
      <c r="DNR82" s="316"/>
      <c r="DNS82" s="316"/>
      <c r="DNT82" s="316"/>
      <c r="DNU82" s="316"/>
      <c r="DNV82" s="316"/>
      <c r="DNW82" s="316"/>
      <c r="DNX82" s="316"/>
      <c r="DNY82" s="316"/>
      <c r="DNZ82" s="316"/>
      <c r="DOA82" s="316"/>
      <c r="DOB82" s="316"/>
      <c r="DOC82" s="316"/>
      <c r="DOD82" s="316"/>
      <c r="DOE82" s="316"/>
      <c r="DOF82" s="316"/>
      <c r="DOG82" s="316"/>
      <c r="DOH82" s="316"/>
      <c r="DOI82" s="316"/>
      <c r="DOJ82" s="316"/>
      <c r="DOK82" s="316"/>
      <c r="DOL82" s="316"/>
      <c r="DOM82" s="316"/>
      <c r="DON82" s="316"/>
      <c r="DOO82" s="316"/>
      <c r="DOP82" s="316"/>
      <c r="DOQ82" s="316"/>
      <c r="DOR82" s="316"/>
      <c r="DOS82" s="316"/>
      <c r="DOT82" s="316"/>
      <c r="DOU82" s="316"/>
      <c r="DOV82" s="316"/>
      <c r="DOW82" s="316"/>
      <c r="DOX82" s="316"/>
      <c r="DOY82" s="316"/>
      <c r="DOZ82" s="316"/>
      <c r="DPA82" s="316"/>
      <c r="DPB82" s="316"/>
      <c r="DPC82" s="316"/>
      <c r="DPD82" s="316"/>
      <c r="DPE82" s="316"/>
      <c r="DPF82" s="316"/>
      <c r="DPG82" s="316"/>
      <c r="DPH82" s="316"/>
      <c r="DPI82" s="316"/>
      <c r="DPJ82" s="316"/>
      <c r="DPK82" s="316"/>
      <c r="DPL82" s="316"/>
      <c r="DPM82" s="316"/>
      <c r="DPN82" s="316"/>
      <c r="DPO82" s="316"/>
      <c r="DPP82" s="316"/>
      <c r="DPQ82" s="316"/>
      <c r="DPR82" s="316"/>
      <c r="DPS82" s="316"/>
      <c r="DPT82" s="316"/>
      <c r="DPU82" s="316"/>
      <c r="DPV82" s="316"/>
      <c r="DPW82" s="316"/>
      <c r="DPX82" s="316"/>
      <c r="DPY82" s="316"/>
      <c r="DPZ82" s="316"/>
      <c r="DQA82" s="316"/>
      <c r="DQB82" s="316"/>
      <c r="DQC82" s="316"/>
      <c r="DQD82" s="316"/>
      <c r="DQE82" s="316"/>
      <c r="DQF82" s="316"/>
      <c r="DQG82" s="316"/>
      <c r="DQH82" s="316"/>
      <c r="DQI82" s="316"/>
      <c r="DQJ82" s="316"/>
      <c r="DQK82" s="316"/>
      <c r="DQL82" s="316"/>
      <c r="DQM82" s="316"/>
      <c r="DQN82" s="316"/>
      <c r="DQO82" s="316"/>
      <c r="DQP82" s="316"/>
      <c r="DQQ82" s="316"/>
      <c r="DQR82" s="316"/>
      <c r="DQS82" s="316"/>
      <c r="DQT82" s="316"/>
      <c r="DQU82" s="316"/>
      <c r="DQV82" s="316"/>
      <c r="DQW82" s="316"/>
      <c r="DQX82" s="316"/>
      <c r="DQY82" s="316"/>
      <c r="DQZ82" s="316"/>
      <c r="DRA82" s="316"/>
      <c r="DRB82" s="316"/>
      <c r="DRC82" s="316"/>
      <c r="DRD82" s="316"/>
      <c r="DRE82" s="316"/>
      <c r="DRF82" s="316"/>
      <c r="DRG82" s="316"/>
      <c r="DRH82" s="316"/>
      <c r="DRI82" s="316"/>
      <c r="DRJ82" s="316"/>
      <c r="DRK82" s="316"/>
      <c r="DRL82" s="316"/>
      <c r="DRM82" s="316"/>
      <c r="DRN82" s="316"/>
      <c r="DRO82" s="316"/>
      <c r="DRP82" s="316"/>
      <c r="DRQ82" s="316"/>
      <c r="DRR82" s="316"/>
      <c r="DRS82" s="316"/>
      <c r="DRT82" s="316"/>
      <c r="DRU82" s="316"/>
      <c r="DRV82" s="316"/>
      <c r="DRW82" s="316"/>
      <c r="DRX82" s="316"/>
      <c r="DRY82" s="316"/>
      <c r="DRZ82" s="316"/>
      <c r="DSA82" s="316"/>
      <c r="DSB82" s="316"/>
      <c r="DSC82" s="316"/>
      <c r="DSD82" s="316"/>
      <c r="DSE82" s="316"/>
      <c r="DSF82" s="316"/>
      <c r="DSG82" s="316"/>
      <c r="DSH82" s="316"/>
      <c r="DSI82" s="316"/>
      <c r="DSJ82" s="316"/>
      <c r="DSK82" s="316"/>
      <c r="DSL82" s="316"/>
      <c r="DSM82" s="316"/>
      <c r="DSN82" s="316"/>
      <c r="DSO82" s="316"/>
      <c r="DSP82" s="316"/>
      <c r="DSQ82" s="316"/>
      <c r="DSR82" s="316"/>
      <c r="DSS82" s="316"/>
      <c r="DST82" s="316"/>
      <c r="DSU82" s="316"/>
      <c r="DSV82" s="316"/>
      <c r="DSW82" s="316"/>
      <c r="DSX82" s="316"/>
      <c r="DSY82" s="316"/>
      <c r="DSZ82" s="316"/>
      <c r="DTA82" s="316"/>
      <c r="DTB82" s="316"/>
      <c r="DTC82" s="316"/>
      <c r="DTD82" s="316"/>
      <c r="DTE82" s="316"/>
      <c r="DTF82" s="316"/>
      <c r="DTG82" s="316"/>
      <c r="DTH82" s="316"/>
      <c r="DTI82" s="316"/>
      <c r="DTJ82" s="316"/>
      <c r="DTK82" s="316"/>
      <c r="DTL82" s="316"/>
      <c r="DTM82" s="316"/>
      <c r="DTN82" s="316"/>
      <c r="DTO82" s="316"/>
      <c r="DTP82" s="316"/>
      <c r="DTQ82" s="316"/>
      <c r="DTR82" s="316"/>
      <c r="DTS82" s="316"/>
      <c r="DTT82" s="316"/>
      <c r="DTU82" s="316"/>
      <c r="DTV82" s="316"/>
      <c r="DTW82" s="316"/>
      <c r="DTX82" s="316"/>
      <c r="DTY82" s="316"/>
      <c r="DTZ82" s="316"/>
      <c r="DUA82" s="316"/>
      <c r="DUB82" s="316"/>
      <c r="DUC82" s="316"/>
      <c r="DUD82" s="316"/>
      <c r="DUE82" s="316"/>
      <c r="DUF82" s="316"/>
      <c r="DUG82" s="316"/>
      <c r="DUH82" s="316"/>
      <c r="DUI82" s="316"/>
      <c r="DUJ82" s="316"/>
      <c r="DUK82" s="316"/>
      <c r="DUL82" s="316"/>
      <c r="DUM82" s="316"/>
      <c r="DUN82" s="316"/>
      <c r="DUO82" s="316"/>
      <c r="DUP82" s="316"/>
      <c r="DUQ82" s="316"/>
      <c r="DUR82" s="316"/>
      <c r="DUS82" s="316"/>
      <c r="DUT82" s="316"/>
      <c r="DUU82" s="316"/>
      <c r="DUV82" s="316"/>
      <c r="DUW82" s="316"/>
      <c r="DUX82" s="316"/>
      <c r="DUY82" s="316"/>
      <c r="DUZ82" s="316"/>
      <c r="DVA82" s="316"/>
      <c r="DVB82" s="316"/>
      <c r="DVC82" s="316"/>
      <c r="DVD82" s="316"/>
      <c r="DVE82" s="316"/>
      <c r="DVF82" s="316"/>
      <c r="DVG82" s="316"/>
      <c r="DVH82" s="316"/>
      <c r="DVI82" s="316"/>
      <c r="DVJ82" s="316"/>
      <c r="DVK82" s="316"/>
      <c r="DVL82" s="316"/>
      <c r="DVM82" s="316"/>
      <c r="DVN82" s="316"/>
      <c r="DVO82" s="316"/>
      <c r="DVP82" s="316"/>
      <c r="DVQ82" s="316"/>
      <c r="DVR82" s="316"/>
      <c r="DVS82" s="316"/>
      <c r="DVT82" s="316"/>
      <c r="DVU82" s="316"/>
      <c r="DVV82" s="316"/>
      <c r="DVW82" s="316"/>
      <c r="DVX82" s="316"/>
      <c r="DVY82" s="316"/>
      <c r="DVZ82" s="316"/>
      <c r="DWA82" s="316"/>
      <c r="DWB82" s="316"/>
      <c r="DWC82" s="316"/>
      <c r="DWD82" s="316"/>
      <c r="DWE82" s="316"/>
      <c r="DWF82" s="316"/>
      <c r="DWG82" s="316"/>
      <c r="DWH82" s="316"/>
      <c r="DWI82" s="316"/>
      <c r="DWJ82" s="316"/>
      <c r="DWK82" s="316"/>
      <c r="DWL82" s="316"/>
      <c r="DWM82" s="316"/>
      <c r="DWN82" s="316"/>
      <c r="DWO82" s="316"/>
      <c r="DWP82" s="316"/>
      <c r="DWQ82" s="316"/>
      <c r="DWR82" s="316"/>
      <c r="DWS82" s="316"/>
      <c r="DWT82" s="316"/>
      <c r="DWU82" s="316"/>
      <c r="DWV82" s="316"/>
      <c r="DWW82" s="316"/>
      <c r="DWX82" s="316"/>
      <c r="DWY82" s="316"/>
      <c r="DWZ82" s="316"/>
      <c r="DXA82" s="316"/>
      <c r="DXB82" s="316"/>
      <c r="DXC82" s="316"/>
      <c r="DXD82" s="316"/>
      <c r="DXE82" s="316"/>
      <c r="DXF82" s="316"/>
      <c r="DXG82" s="316"/>
      <c r="DXH82" s="316"/>
      <c r="DXI82" s="316"/>
      <c r="DXJ82" s="316"/>
      <c r="DXK82" s="316"/>
      <c r="DXL82" s="316"/>
      <c r="DXM82" s="316"/>
      <c r="DXN82" s="316"/>
      <c r="DXO82" s="316"/>
      <c r="DXP82" s="316"/>
      <c r="DXQ82" s="316"/>
      <c r="DXR82" s="316"/>
      <c r="DXS82" s="316"/>
      <c r="DXT82" s="316"/>
      <c r="DXU82" s="316"/>
      <c r="DXV82" s="316"/>
      <c r="DXW82" s="316"/>
      <c r="DXX82" s="316"/>
      <c r="DXY82" s="316"/>
      <c r="DXZ82" s="316"/>
      <c r="DYA82" s="316"/>
      <c r="DYB82" s="316"/>
      <c r="DYC82" s="316"/>
      <c r="DYD82" s="316"/>
      <c r="DYE82" s="316"/>
      <c r="DYF82" s="316"/>
      <c r="DYG82" s="316"/>
      <c r="DYH82" s="316"/>
      <c r="DYI82" s="316"/>
      <c r="DYJ82" s="316"/>
      <c r="DYK82" s="316"/>
      <c r="DYL82" s="316"/>
      <c r="DYM82" s="316"/>
      <c r="DYN82" s="316"/>
      <c r="DYO82" s="316"/>
      <c r="DYP82" s="316"/>
      <c r="DYQ82" s="316"/>
      <c r="DYR82" s="316"/>
      <c r="DYS82" s="316"/>
      <c r="DYT82" s="316"/>
      <c r="DYU82" s="316"/>
      <c r="DYV82" s="316"/>
      <c r="DYW82" s="316"/>
      <c r="DYX82" s="316"/>
      <c r="DYY82" s="316"/>
      <c r="DYZ82" s="316"/>
      <c r="DZA82" s="316"/>
      <c r="DZB82" s="316"/>
      <c r="DZC82" s="316"/>
      <c r="DZD82" s="316"/>
      <c r="DZE82" s="316"/>
      <c r="DZF82" s="316"/>
      <c r="DZG82" s="316"/>
      <c r="DZH82" s="316"/>
      <c r="DZI82" s="316"/>
      <c r="DZJ82" s="316"/>
      <c r="DZK82" s="316"/>
      <c r="DZL82" s="316"/>
      <c r="DZM82" s="316"/>
      <c r="DZN82" s="316"/>
      <c r="DZO82" s="316"/>
      <c r="DZP82" s="316"/>
      <c r="DZQ82" s="316"/>
      <c r="DZR82" s="316"/>
      <c r="DZS82" s="316"/>
      <c r="DZT82" s="316"/>
      <c r="DZU82" s="316"/>
      <c r="DZV82" s="316"/>
      <c r="DZW82" s="316"/>
      <c r="DZX82" s="316"/>
      <c r="DZY82" s="316"/>
      <c r="DZZ82" s="316"/>
      <c r="EAA82" s="316"/>
      <c r="EAB82" s="316"/>
      <c r="EAC82" s="316"/>
      <c r="EAD82" s="316"/>
      <c r="EAE82" s="316"/>
      <c r="EAF82" s="316"/>
      <c r="EAG82" s="316"/>
      <c r="EAH82" s="316"/>
      <c r="EAI82" s="316"/>
      <c r="EAJ82" s="316"/>
      <c r="EAK82" s="316"/>
      <c r="EAL82" s="316"/>
      <c r="EAM82" s="316"/>
      <c r="EAN82" s="316"/>
      <c r="EAO82" s="316"/>
      <c r="EAP82" s="316"/>
      <c r="EAQ82" s="316"/>
      <c r="EAR82" s="316"/>
      <c r="EAS82" s="316"/>
      <c r="EAT82" s="316"/>
      <c r="EAU82" s="316"/>
      <c r="EAV82" s="316"/>
      <c r="EAW82" s="316"/>
      <c r="EAX82" s="316"/>
      <c r="EAY82" s="316"/>
      <c r="EAZ82" s="316"/>
      <c r="EBA82" s="316"/>
      <c r="EBB82" s="316"/>
      <c r="EBC82" s="316"/>
      <c r="EBD82" s="316"/>
      <c r="EBE82" s="316"/>
      <c r="EBF82" s="316"/>
      <c r="EBG82" s="316"/>
      <c r="EBH82" s="316"/>
      <c r="EBI82" s="316"/>
      <c r="EBJ82" s="316"/>
      <c r="EBK82" s="316"/>
      <c r="EBL82" s="316"/>
      <c r="EBM82" s="316"/>
      <c r="EBN82" s="316"/>
      <c r="EBO82" s="316"/>
      <c r="EBP82" s="316"/>
      <c r="EBQ82" s="316"/>
      <c r="EBR82" s="316"/>
      <c r="EBS82" s="316"/>
      <c r="EBT82" s="316"/>
      <c r="EBU82" s="316"/>
      <c r="EBV82" s="316"/>
      <c r="EBW82" s="316"/>
      <c r="EBX82" s="316"/>
      <c r="EBY82" s="316"/>
      <c r="EBZ82" s="316"/>
      <c r="ECA82" s="316"/>
      <c r="ECB82" s="316"/>
      <c r="ECC82" s="316"/>
      <c r="ECD82" s="316"/>
      <c r="ECE82" s="316"/>
      <c r="ECF82" s="316"/>
      <c r="ECG82" s="316"/>
      <c r="ECH82" s="316"/>
      <c r="ECI82" s="316"/>
      <c r="ECJ82" s="316"/>
      <c r="ECK82" s="316"/>
      <c r="ECL82" s="316"/>
      <c r="ECM82" s="316"/>
      <c r="ECN82" s="316"/>
      <c r="ECO82" s="316"/>
      <c r="ECP82" s="316"/>
      <c r="ECQ82" s="316"/>
      <c r="ECR82" s="316"/>
      <c r="ECS82" s="316"/>
      <c r="ECT82" s="316"/>
      <c r="ECU82" s="316"/>
      <c r="ECV82" s="316"/>
      <c r="ECW82" s="316"/>
      <c r="ECX82" s="316"/>
      <c r="ECY82" s="316"/>
      <c r="ECZ82" s="316"/>
      <c r="EDA82" s="316"/>
      <c r="EDB82" s="316"/>
      <c r="EDC82" s="316"/>
      <c r="EDD82" s="316"/>
      <c r="EDE82" s="316"/>
      <c r="EDF82" s="316"/>
      <c r="EDG82" s="316"/>
      <c r="EDH82" s="316"/>
      <c r="EDI82" s="316"/>
      <c r="EDJ82" s="316"/>
      <c r="EDK82" s="316"/>
      <c r="EDL82" s="316"/>
      <c r="EDM82" s="316"/>
      <c r="EDN82" s="316"/>
      <c r="EDO82" s="316"/>
      <c r="EDP82" s="316"/>
      <c r="EDQ82" s="316"/>
      <c r="EDR82" s="316"/>
      <c r="EDS82" s="316"/>
      <c r="EDT82" s="316"/>
      <c r="EDU82" s="316"/>
      <c r="EDV82" s="316"/>
      <c r="EDW82" s="316"/>
      <c r="EDX82" s="316"/>
      <c r="EDY82" s="316"/>
      <c r="EDZ82" s="316"/>
      <c r="EEA82" s="316"/>
      <c r="EEB82" s="316"/>
      <c r="EEC82" s="316"/>
      <c r="EED82" s="316"/>
      <c r="EEE82" s="316"/>
      <c r="EEF82" s="316"/>
      <c r="EEG82" s="316"/>
      <c r="EEH82" s="316"/>
      <c r="EEI82" s="316"/>
      <c r="EEJ82" s="316"/>
      <c r="EEK82" s="316"/>
      <c r="EEL82" s="316"/>
      <c r="EEM82" s="316"/>
      <c r="EEN82" s="316"/>
      <c r="EEO82" s="316"/>
      <c r="EEP82" s="316"/>
      <c r="EEQ82" s="316"/>
      <c r="EER82" s="316"/>
      <c r="EES82" s="316"/>
      <c r="EET82" s="316"/>
      <c r="EEU82" s="316"/>
      <c r="EEV82" s="316"/>
      <c r="EEW82" s="316"/>
      <c r="EEX82" s="316"/>
      <c r="EEY82" s="316"/>
      <c r="EEZ82" s="316"/>
      <c r="EFA82" s="316"/>
      <c r="EFB82" s="316"/>
      <c r="EFC82" s="316"/>
      <c r="EFD82" s="316"/>
      <c r="EFE82" s="316"/>
      <c r="EFF82" s="316"/>
      <c r="EFG82" s="316"/>
      <c r="EFH82" s="316"/>
      <c r="EFI82" s="316"/>
      <c r="EFJ82" s="316"/>
      <c r="EFK82" s="316"/>
      <c r="EFL82" s="316"/>
      <c r="EFM82" s="316"/>
      <c r="EFN82" s="316"/>
      <c r="EFO82" s="316"/>
      <c r="EFP82" s="316"/>
      <c r="EFQ82" s="316"/>
      <c r="EFR82" s="316"/>
      <c r="EFS82" s="316"/>
      <c r="EFT82" s="316"/>
      <c r="EFU82" s="316"/>
      <c r="EFV82" s="316"/>
      <c r="EFW82" s="316"/>
      <c r="EFX82" s="316"/>
      <c r="EFY82" s="316"/>
      <c r="EFZ82" s="316"/>
      <c r="EGA82" s="316"/>
      <c r="EGB82" s="316"/>
      <c r="EGC82" s="316"/>
      <c r="EGD82" s="316"/>
      <c r="EGE82" s="316"/>
      <c r="EGF82" s="316"/>
      <c r="EGG82" s="316"/>
      <c r="EGH82" s="316"/>
      <c r="EGI82" s="316"/>
      <c r="EGJ82" s="316"/>
      <c r="EGK82" s="316"/>
      <c r="EGL82" s="316"/>
      <c r="EGM82" s="316"/>
      <c r="EGN82" s="316"/>
      <c r="EGO82" s="316"/>
      <c r="EGP82" s="316"/>
      <c r="EGQ82" s="316"/>
      <c r="EGR82" s="316"/>
      <c r="EGS82" s="316"/>
      <c r="EGT82" s="316"/>
      <c r="EGU82" s="316"/>
      <c r="EGV82" s="316"/>
      <c r="EGW82" s="316"/>
      <c r="EGX82" s="316"/>
      <c r="EGY82" s="316"/>
      <c r="EGZ82" s="316"/>
      <c r="EHA82" s="316"/>
      <c r="EHB82" s="316"/>
      <c r="EHC82" s="316"/>
      <c r="EHD82" s="316"/>
      <c r="EHE82" s="316"/>
      <c r="EHF82" s="316"/>
      <c r="EHG82" s="316"/>
      <c r="EHH82" s="316"/>
      <c r="EHI82" s="316"/>
      <c r="EHJ82" s="316"/>
      <c r="EHK82" s="316"/>
      <c r="EHL82" s="316"/>
      <c r="EHM82" s="316"/>
      <c r="EHN82" s="316"/>
      <c r="EHO82" s="316"/>
      <c r="EHP82" s="316"/>
      <c r="EHQ82" s="316"/>
      <c r="EHR82" s="316"/>
      <c r="EHS82" s="316"/>
      <c r="EHT82" s="316"/>
      <c r="EHU82" s="316"/>
      <c r="EHV82" s="316"/>
      <c r="EHW82" s="316"/>
      <c r="EHX82" s="316"/>
      <c r="EHY82" s="316"/>
      <c r="EHZ82" s="316"/>
      <c r="EIA82" s="316"/>
      <c r="EIB82" s="316"/>
      <c r="EIC82" s="316"/>
      <c r="EID82" s="316"/>
      <c r="EIE82" s="316"/>
      <c r="EIF82" s="316"/>
      <c r="EIG82" s="316"/>
      <c r="EIH82" s="316"/>
      <c r="EII82" s="316"/>
      <c r="EIJ82" s="316"/>
      <c r="EIK82" s="316"/>
      <c r="EIL82" s="316"/>
      <c r="EIM82" s="316"/>
      <c r="EIN82" s="316"/>
      <c r="EIO82" s="316"/>
      <c r="EIP82" s="316"/>
      <c r="EIQ82" s="316"/>
      <c r="EIR82" s="316"/>
      <c r="EIS82" s="316"/>
      <c r="EIT82" s="316"/>
      <c r="EIU82" s="316"/>
      <c r="EIV82" s="316"/>
      <c r="EIW82" s="316"/>
      <c r="EIX82" s="316"/>
      <c r="EIY82" s="316"/>
      <c r="EIZ82" s="316"/>
      <c r="EJA82" s="316"/>
      <c r="EJB82" s="316"/>
      <c r="EJC82" s="316"/>
      <c r="EJD82" s="316"/>
      <c r="EJE82" s="316"/>
      <c r="EJF82" s="316"/>
      <c r="EJG82" s="316"/>
      <c r="EJH82" s="316"/>
      <c r="EJI82" s="316"/>
      <c r="EJJ82" s="316"/>
      <c r="EJK82" s="316"/>
      <c r="EJL82" s="316"/>
      <c r="EJM82" s="316"/>
      <c r="EJN82" s="316"/>
      <c r="EJO82" s="316"/>
      <c r="EJP82" s="316"/>
      <c r="EJQ82" s="316"/>
      <c r="EJR82" s="316"/>
      <c r="EJS82" s="316"/>
      <c r="EJT82" s="316"/>
      <c r="EJU82" s="316"/>
      <c r="EJV82" s="316"/>
      <c r="EJW82" s="316"/>
      <c r="EJX82" s="316"/>
      <c r="EJY82" s="316"/>
      <c r="EJZ82" s="316"/>
      <c r="EKA82" s="316"/>
      <c r="EKB82" s="316"/>
      <c r="EKC82" s="316"/>
      <c r="EKD82" s="316"/>
      <c r="EKE82" s="316"/>
      <c r="EKF82" s="316"/>
      <c r="EKG82" s="316"/>
      <c r="EKH82" s="316"/>
      <c r="EKI82" s="316"/>
      <c r="EKJ82" s="316"/>
      <c r="EKK82" s="316"/>
      <c r="EKL82" s="316"/>
      <c r="EKM82" s="316"/>
      <c r="EKN82" s="316"/>
      <c r="EKO82" s="316"/>
      <c r="EKP82" s="316"/>
      <c r="EKQ82" s="316"/>
      <c r="EKR82" s="316"/>
      <c r="EKS82" s="316"/>
      <c r="EKT82" s="316"/>
      <c r="EKU82" s="316"/>
      <c r="EKV82" s="316"/>
      <c r="EKW82" s="316"/>
      <c r="EKX82" s="316"/>
      <c r="EKY82" s="316"/>
      <c r="EKZ82" s="316"/>
      <c r="ELA82" s="316"/>
      <c r="ELB82" s="316"/>
      <c r="ELC82" s="316"/>
      <c r="ELD82" s="316"/>
      <c r="ELE82" s="316"/>
      <c r="ELF82" s="316"/>
      <c r="ELG82" s="316"/>
      <c r="ELH82" s="316"/>
      <c r="ELI82" s="316"/>
      <c r="ELJ82" s="316"/>
      <c r="ELK82" s="316"/>
      <c r="ELL82" s="316"/>
      <c r="ELM82" s="316"/>
      <c r="ELN82" s="316"/>
      <c r="ELO82" s="316"/>
      <c r="ELP82" s="316"/>
      <c r="ELQ82" s="316"/>
      <c r="ELR82" s="316"/>
      <c r="ELS82" s="316"/>
      <c r="ELT82" s="316"/>
      <c r="ELU82" s="316"/>
      <c r="ELV82" s="316"/>
      <c r="ELW82" s="316"/>
      <c r="ELX82" s="316"/>
      <c r="ELY82" s="316"/>
      <c r="ELZ82" s="316"/>
      <c r="EMA82" s="316"/>
      <c r="EMB82" s="316"/>
      <c r="EMC82" s="316"/>
      <c r="EMD82" s="316"/>
      <c r="EME82" s="316"/>
      <c r="EMF82" s="316"/>
      <c r="EMG82" s="316"/>
      <c r="EMH82" s="316"/>
      <c r="EMI82" s="316"/>
      <c r="EMJ82" s="316"/>
      <c r="EMK82" s="316"/>
      <c r="EML82" s="316"/>
      <c r="EMM82" s="316"/>
      <c r="EMN82" s="316"/>
      <c r="EMO82" s="316"/>
      <c r="EMP82" s="316"/>
      <c r="EMQ82" s="316"/>
      <c r="EMR82" s="316"/>
      <c r="EMS82" s="316"/>
      <c r="EMT82" s="316"/>
      <c r="EMU82" s="316"/>
      <c r="EMV82" s="316"/>
      <c r="EMW82" s="316"/>
      <c r="EMX82" s="316"/>
      <c r="EMY82" s="316"/>
      <c r="EMZ82" s="316"/>
      <c r="ENA82" s="316"/>
      <c r="ENB82" s="316"/>
      <c r="ENC82" s="316"/>
      <c r="END82" s="316"/>
      <c r="ENE82" s="316"/>
      <c r="ENF82" s="316"/>
      <c r="ENG82" s="316"/>
      <c r="ENH82" s="316"/>
      <c r="ENI82" s="316"/>
      <c r="ENJ82" s="316"/>
      <c r="ENK82" s="316"/>
      <c r="ENL82" s="316"/>
      <c r="ENM82" s="316"/>
      <c r="ENN82" s="316"/>
      <c r="ENO82" s="316"/>
      <c r="ENP82" s="316"/>
      <c r="ENQ82" s="316"/>
      <c r="ENR82" s="316"/>
      <c r="ENS82" s="316"/>
      <c r="ENT82" s="316"/>
      <c r="ENU82" s="316"/>
      <c r="ENV82" s="316"/>
      <c r="ENW82" s="316"/>
      <c r="ENX82" s="316"/>
      <c r="ENY82" s="316"/>
      <c r="ENZ82" s="316"/>
      <c r="EOA82" s="316"/>
      <c r="EOB82" s="316"/>
      <c r="EOC82" s="316"/>
      <c r="EOD82" s="316"/>
      <c r="EOE82" s="316"/>
      <c r="EOF82" s="316"/>
      <c r="EOG82" s="316"/>
      <c r="EOH82" s="316"/>
      <c r="EOI82" s="316"/>
      <c r="EOJ82" s="316"/>
      <c r="EOK82" s="316"/>
      <c r="EOL82" s="316"/>
      <c r="EOM82" s="316"/>
      <c r="EON82" s="316"/>
      <c r="EOO82" s="316"/>
      <c r="EOP82" s="316"/>
      <c r="EOQ82" s="316"/>
      <c r="EOR82" s="316"/>
      <c r="EOS82" s="316"/>
      <c r="EOT82" s="316"/>
      <c r="EOU82" s="316"/>
      <c r="EOV82" s="316"/>
      <c r="EOW82" s="316"/>
      <c r="EOX82" s="316"/>
      <c r="EOY82" s="316"/>
      <c r="EOZ82" s="316"/>
      <c r="EPA82" s="316"/>
      <c r="EPB82" s="316"/>
      <c r="EPC82" s="316"/>
      <c r="EPD82" s="316"/>
      <c r="EPE82" s="316"/>
      <c r="EPF82" s="316"/>
      <c r="EPG82" s="316"/>
      <c r="EPH82" s="316"/>
      <c r="EPI82" s="316"/>
      <c r="EPJ82" s="316"/>
      <c r="EPK82" s="316"/>
      <c r="EPL82" s="316"/>
      <c r="EPM82" s="316"/>
      <c r="EPN82" s="316"/>
      <c r="EPO82" s="316"/>
      <c r="EPP82" s="316"/>
      <c r="EPQ82" s="316"/>
      <c r="EPR82" s="316"/>
      <c r="EPS82" s="316"/>
      <c r="EPT82" s="316"/>
      <c r="EPU82" s="316"/>
      <c r="EPV82" s="316"/>
      <c r="EPW82" s="316"/>
      <c r="EPX82" s="316"/>
      <c r="EPY82" s="316"/>
      <c r="EPZ82" s="316"/>
      <c r="EQA82" s="316"/>
      <c r="EQB82" s="316"/>
      <c r="EQC82" s="316"/>
      <c r="EQD82" s="316"/>
      <c r="EQE82" s="316"/>
      <c r="EQF82" s="316"/>
      <c r="EQG82" s="316"/>
      <c r="EQH82" s="316"/>
      <c r="EQI82" s="316"/>
      <c r="EQJ82" s="316"/>
      <c r="EQK82" s="316"/>
      <c r="EQL82" s="316"/>
      <c r="EQM82" s="316"/>
      <c r="EQN82" s="316"/>
      <c r="EQO82" s="316"/>
      <c r="EQP82" s="316"/>
      <c r="EQQ82" s="316"/>
      <c r="EQR82" s="316"/>
      <c r="EQS82" s="316"/>
      <c r="EQT82" s="316"/>
      <c r="EQU82" s="316"/>
      <c r="EQV82" s="316"/>
      <c r="EQW82" s="316"/>
      <c r="EQX82" s="316"/>
      <c r="EQY82" s="316"/>
      <c r="EQZ82" s="316"/>
      <c r="ERA82" s="316"/>
      <c r="ERB82" s="316"/>
      <c r="ERC82" s="316"/>
      <c r="ERD82" s="316"/>
      <c r="ERE82" s="316"/>
      <c r="ERF82" s="316"/>
      <c r="ERG82" s="316"/>
      <c r="ERH82" s="316"/>
      <c r="ERI82" s="316"/>
      <c r="ERJ82" s="316"/>
      <c r="ERK82" s="316"/>
      <c r="ERL82" s="316"/>
      <c r="ERM82" s="316"/>
      <c r="ERN82" s="316"/>
      <c r="ERO82" s="316"/>
      <c r="ERP82" s="316"/>
      <c r="ERQ82" s="316"/>
      <c r="ERR82" s="316"/>
      <c r="ERS82" s="316"/>
      <c r="ERT82" s="316"/>
      <c r="ERU82" s="316"/>
      <c r="ERV82" s="316"/>
      <c r="ERW82" s="316"/>
      <c r="ERX82" s="316"/>
      <c r="ERY82" s="316"/>
      <c r="ERZ82" s="316"/>
      <c r="ESA82" s="316"/>
      <c r="ESB82" s="316"/>
      <c r="ESC82" s="316"/>
      <c r="ESD82" s="316"/>
      <c r="ESE82" s="316"/>
      <c r="ESF82" s="316"/>
      <c r="ESG82" s="316"/>
      <c r="ESH82" s="316"/>
      <c r="ESI82" s="316"/>
      <c r="ESJ82" s="316"/>
      <c r="ESK82" s="316"/>
      <c r="ESL82" s="316"/>
      <c r="ESM82" s="316"/>
      <c r="ESN82" s="316"/>
      <c r="ESO82" s="316"/>
      <c r="ESP82" s="316"/>
      <c r="ESQ82" s="316"/>
      <c r="ESR82" s="316"/>
      <c r="ESS82" s="316"/>
      <c r="EST82" s="316"/>
      <c r="ESU82" s="316"/>
      <c r="ESV82" s="316"/>
      <c r="ESW82" s="316"/>
      <c r="ESX82" s="316"/>
      <c r="ESY82" s="316"/>
      <c r="ESZ82" s="316"/>
      <c r="ETA82" s="316"/>
      <c r="ETB82" s="316"/>
      <c r="ETC82" s="316"/>
      <c r="ETD82" s="316"/>
      <c r="ETE82" s="316"/>
      <c r="ETF82" s="316"/>
      <c r="ETG82" s="316"/>
      <c r="ETH82" s="316"/>
      <c r="ETI82" s="316"/>
      <c r="ETJ82" s="316"/>
      <c r="ETK82" s="316"/>
      <c r="ETL82" s="316"/>
      <c r="ETM82" s="316"/>
      <c r="ETN82" s="316"/>
      <c r="ETO82" s="316"/>
      <c r="ETP82" s="316"/>
      <c r="ETQ82" s="316"/>
      <c r="ETR82" s="316"/>
      <c r="ETS82" s="316"/>
      <c r="ETT82" s="316"/>
      <c r="ETU82" s="316"/>
      <c r="ETV82" s="316"/>
      <c r="ETW82" s="316"/>
      <c r="ETX82" s="316"/>
      <c r="ETY82" s="316"/>
      <c r="ETZ82" s="316"/>
      <c r="EUA82" s="316"/>
      <c r="EUB82" s="316"/>
      <c r="EUC82" s="316"/>
      <c r="EUD82" s="316"/>
      <c r="EUE82" s="316"/>
      <c r="EUF82" s="316"/>
      <c r="EUG82" s="316"/>
      <c r="EUH82" s="316"/>
      <c r="EUI82" s="316"/>
      <c r="EUJ82" s="316"/>
      <c r="EUK82" s="316"/>
      <c r="EUL82" s="316"/>
      <c r="EUM82" s="316"/>
      <c r="EUN82" s="316"/>
      <c r="EUO82" s="316"/>
      <c r="EUP82" s="316"/>
      <c r="EUQ82" s="316"/>
      <c r="EUR82" s="316"/>
      <c r="EUS82" s="316"/>
      <c r="EUT82" s="316"/>
      <c r="EUU82" s="316"/>
      <c r="EUV82" s="316"/>
      <c r="EUW82" s="316"/>
      <c r="EUX82" s="316"/>
      <c r="EUY82" s="316"/>
      <c r="EUZ82" s="316"/>
      <c r="EVA82" s="316"/>
      <c r="EVB82" s="316"/>
      <c r="EVC82" s="316"/>
      <c r="EVD82" s="316"/>
      <c r="EVE82" s="316"/>
      <c r="EVF82" s="316"/>
      <c r="EVG82" s="316"/>
      <c r="EVH82" s="316"/>
      <c r="EVI82" s="316"/>
      <c r="EVJ82" s="316"/>
      <c r="EVK82" s="316"/>
      <c r="EVL82" s="316"/>
      <c r="EVM82" s="316"/>
      <c r="EVN82" s="316"/>
      <c r="EVO82" s="316"/>
      <c r="EVP82" s="316"/>
      <c r="EVQ82" s="316"/>
      <c r="EVR82" s="316"/>
      <c r="EVS82" s="316"/>
      <c r="EVT82" s="316"/>
      <c r="EVU82" s="316"/>
      <c r="EVV82" s="316"/>
      <c r="EVW82" s="316"/>
      <c r="EVX82" s="316"/>
      <c r="EVY82" s="316"/>
      <c r="EVZ82" s="316"/>
      <c r="EWA82" s="316"/>
      <c r="EWB82" s="316"/>
      <c r="EWC82" s="316"/>
      <c r="EWD82" s="316"/>
      <c r="EWE82" s="316"/>
      <c r="EWF82" s="316"/>
      <c r="EWG82" s="316"/>
      <c r="EWH82" s="316"/>
      <c r="EWI82" s="316"/>
      <c r="EWJ82" s="316"/>
      <c r="EWK82" s="316"/>
      <c r="EWL82" s="316"/>
      <c r="EWM82" s="316"/>
      <c r="EWN82" s="316"/>
      <c r="EWO82" s="316"/>
      <c r="EWP82" s="316"/>
      <c r="EWQ82" s="316"/>
      <c r="EWR82" s="316"/>
      <c r="EWS82" s="316"/>
      <c r="EWT82" s="316"/>
      <c r="EWU82" s="316"/>
      <c r="EWV82" s="316"/>
      <c r="EWW82" s="316"/>
      <c r="EWX82" s="316"/>
      <c r="EWY82" s="316"/>
      <c r="EWZ82" s="316"/>
      <c r="EXA82" s="316"/>
      <c r="EXB82" s="316"/>
      <c r="EXC82" s="316"/>
      <c r="EXD82" s="316"/>
      <c r="EXE82" s="316"/>
      <c r="EXF82" s="316"/>
      <c r="EXG82" s="316"/>
      <c r="EXH82" s="316"/>
      <c r="EXI82" s="316"/>
      <c r="EXJ82" s="316"/>
      <c r="EXK82" s="316"/>
      <c r="EXL82" s="316"/>
      <c r="EXM82" s="316"/>
      <c r="EXN82" s="316"/>
      <c r="EXO82" s="316"/>
      <c r="EXP82" s="316"/>
      <c r="EXQ82" s="316"/>
      <c r="EXR82" s="316"/>
      <c r="EXS82" s="316"/>
      <c r="EXT82" s="316"/>
      <c r="EXU82" s="316"/>
      <c r="EXV82" s="316"/>
      <c r="EXW82" s="316"/>
      <c r="EXX82" s="316"/>
      <c r="EXY82" s="316"/>
      <c r="EXZ82" s="316"/>
      <c r="EYA82" s="316"/>
      <c r="EYB82" s="316"/>
      <c r="EYC82" s="316"/>
      <c r="EYD82" s="316"/>
      <c r="EYE82" s="316"/>
      <c r="EYF82" s="316"/>
      <c r="EYG82" s="316"/>
      <c r="EYH82" s="316"/>
      <c r="EYI82" s="316"/>
      <c r="EYJ82" s="316"/>
      <c r="EYK82" s="316"/>
      <c r="EYL82" s="316"/>
      <c r="EYM82" s="316"/>
      <c r="EYN82" s="316"/>
      <c r="EYO82" s="316"/>
      <c r="EYP82" s="316"/>
      <c r="EYQ82" s="316"/>
      <c r="EYR82" s="316"/>
      <c r="EYS82" s="316"/>
      <c r="EYT82" s="316"/>
      <c r="EYU82" s="316"/>
      <c r="EYV82" s="316"/>
      <c r="EYW82" s="316"/>
      <c r="EYX82" s="316"/>
      <c r="EYY82" s="316"/>
      <c r="EYZ82" s="316"/>
      <c r="EZA82" s="316"/>
      <c r="EZB82" s="316"/>
      <c r="EZC82" s="316"/>
      <c r="EZD82" s="316"/>
      <c r="EZE82" s="316"/>
      <c r="EZF82" s="316"/>
      <c r="EZG82" s="316"/>
      <c r="EZH82" s="316"/>
      <c r="EZI82" s="316"/>
      <c r="EZJ82" s="316"/>
      <c r="EZK82" s="316"/>
      <c r="EZL82" s="316"/>
      <c r="EZM82" s="316"/>
      <c r="EZN82" s="316"/>
      <c r="EZO82" s="316"/>
      <c r="EZP82" s="316"/>
      <c r="EZQ82" s="316"/>
      <c r="EZR82" s="316"/>
      <c r="EZS82" s="316"/>
      <c r="EZT82" s="316"/>
      <c r="EZU82" s="316"/>
      <c r="EZV82" s="316"/>
      <c r="EZW82" s="316"/>
      <c r="EZX82" s="316"/>
      <c r="EZY82" s="316"/>
      <c r="EZZ82" s="316"/>
      <c r="FAA82" s="316"/>
      <c r="FAB82" s="316"/>
      <c r="FAC82" s="316"/>
      <c r="FAD82" s="316"/>
      <c r="FAE82" s="316"/>
      <c r="FAF82" s="316"/>
      <c r="FAG82" s="316"/>
      <c r="FAH82" s="316"/>
      <c r="FAI82" s="316"/>
      <c r="FAJ82" s="316"/>
      <c r="FAK82" s="316"/>
      <c r="FAL82" s="316"/>
      <c r="FAM82" s="316"/>
      <c r="FAN82" s="316"/>
      <c r="FAO82" s="316"/>
      <c r="FAP82" s="316"/>
      <c r="FAQ82" s="316"/>
      <c r="FAR82" s="316"/>
      <c r="FAS82" s="316"/>
      <c r="FAT82" s="316"/>
      <c r="FAU82" s="316"/>
      <c r="FAV82" s="316"/>
      <c r="FAW82" s="316"/>
      <c r="FAX82" s="316"/>
      <c r="FAY82" s="316"/>
      <c r="FAZ82" s="316"/>
      <c r="FBA82" s="316"/>
      <c r="FBB82" s="316"/>
      <c r="FBC82" s="316"/>
      <c r="FBD82" s="316"/>
      <c r="FBE82" s="316"/>
      <c r="FBF82" s="316"/>
      <c r="FBG82" s="316"/>
      <c r="FBH82" s="316"/>
      <c r="FBI82" s="316"/>
      <c r="FBJ82" s="316"/>
      <c r="FBK82" s="316"/>
      <c r="FBL82" s="316"/>
      <c r="FBM82" s="316"/>
      <c r="FBN82" s="316"/>
      <c r="FBO82" s="316"/>
      <c r="FBP82" s="316"/>
      <c r="FBQ82" s="316"/>
      <c r="FBR82" s="316"/>
      <c r="FBS82" s="316"/>
      <c r="FBT82" s="316"/>
      <c r="FBU82" s="316"/>
      <c r="FBV82" s="316"/>
      <c r="FBW82" s="316"/>
      <c r="FBX82" s="316"/>
      <c r="FBY82" s="316"/>
      <c r="FBZ82" s="316"/>
      <c r="FCA82" s="316"/>
      <c r="FCB82" s="316"/>
      <c r="FCC82" s="316"/>
      <c r="FCD82" s="316"/>
      <c r="FCE82" s="316"/>
      <c r="FCF82" s="316"/>
      <c r="FCG82" s="316"/>
      <c r="FCH82" s="316"/>
      <c r="FCI82" s="316"/>
      <c r="FCJ82" s="316"/>
      <c r="FCK82" s="316"/>
      <c r="FCL82" s="316"/>
      <c r="FCM82" s="316"/>
      <c r="FCN82" s="316"/>
      <c r="FCO82" s="316"/>
      <c r="FCP82" s="316"/>
      <c r="FCQ82" s="316"/>
      <c r="FCR82" s="316"/>
      <c r="FCS82" s="316"/>
      <c r="FCT82" s="316"/>
      <c r="FCU82" s="316"/>
      <c r="FCV82" s="316"/>
      <c r="FCW82" s="316"/>
      <c r="FCX82" s="316"/>
      <c r="FCY82" s="316"/>
      <c r="FCZ82" s="316"/>
      <c r="FDA82" s="316"/>
      <c r="FDB82" s="316"/>
      <c r="FDC82" s="316"/>
      <c r="FDD82" s="316"/>
      <c r="FDE82" s="316"/>
      <c r="FDF82" s="316"/>
      <c r="FDG82" s="316"/>
      <c r="FDH82" s="316"/>
      <c r="FDI82" s="316"/>
      <c r="FDJ82" s="316"/>
      <c r="FDK82" s="316"/>
      <c r="FDL82" s="316"/>
      <c r="FDM82" s="316"/>
      <c r="FDN82" s="316"/>
      <c r="FDO82" s="316"/>
      <c r="FDP82" s="316"/>
      <c r="FDQ82" s="316"/>
      <c r="FDR82" s="316"/>
      <c r="FDS82" s="316"/>
      <c r="FDT82" s="316"/>
      <c r="FDU82" s="316"/>
      <c r="FDV82" s="316"/>
      <c r="FDW82" s="316"/>
      <c r="FDX82" s="316"/>
      <c r="FDY82" s="316"/>
      <c r="FDZ82" s="316"/>
      <c r="FEA82" s="316"/>
      <c r="FEB82" s="316"/>
      <c r="FEC82" s="316"/>
      <c r="FED82" s="316"/>
      <c r="FEE82" s="316"/>
      <c r="FEF82" s="316"/>
      <c r="FEG82" s="316"/>
      <c r="FEH82" s="316"/>
      <c r="FEI82" s="316"/>
      <c r="FEJ82" s="316"/>
      <c r="FEK82" s="316"/>
      <c r="FEL82" s="316"/>
      <c r="FEM82" s="316"/>
      <c r="FEN82" s="316"/>
      <c r="FEO82" s="316"/>
      <c r="FEP82" s="316"/>
      <c r="FEQ82" s="316"/>
      <c r="FER82" s="316"/>
      <c r="FES82" s="316"/>
      <c r="FET82" s="316"/>
      <c r="FEU82" s="316"/>
      <c r="FEV82" s="316"/>
      <c r="FEW82" s="316"/>
      <c r="FEX82" s="316"/>
      <c r="FEY82" s="316"/>
      <c r="FEZ82" s="316"/>
      <c r="FFA82" s="316"/>
      <c r="FFB82" s="316"/>
      <c r="FFC82" s="316"/>
      <c r="FFD82" s="316"/>
      <c r="FFE82" s="316"/>
      <c r="FFF82" s="316"/>
      <c r="FFG82" s="316"/>
      <c r="FFH82" s="316"/>
      <c r="FFI82" s="316"/>
      <c r="FFJ82" s="316"/>
      <c r="FFK82" s="316"/>
      <c r="FFL82" s="316"/>
      <c r="FFM82" s="316"/>
      <c r="FFN82" s="316"/>
      <c r="FFO82" s="316"/>
      <c r="FFP82" s="316"/>
      <c r="FFQ82" s="316"/>
      <c r="FFR82" s="316"/>
      <c r="FFS82" s="316"/>
      <c r="FFT82" s="316"/>
      <c r="FFU82" s="316"/>
      <c r="FFV82" s="316"/>
      <c r="FFW82" s="316"/>
      <c r="FFX82" s="316"/>
      <c r="FFY82" s="316"/>
      <c r="FFZ82" s="316"/>
      <c r="FGA82" s="316"/>
      <c r="FGB82" s="316"/>
      <c r="FGC82" s="316"/>
      <c r="FGD82" s="316"/>
      <c r="FGE82" s="316"/>
      <c r="FGF82" s="316"/>
      <c r="FGG82" s="316"/>
      <c r="FGH82" s="316"/>
      <c r="FGI82" s="316"/>
      <c r="FGJ82" s="316"/>
      <c r="FGK82" s="316"/>
      <c r="FGL82" s="316"/>
      <c r="FGM82" s="316"/>
      <c r="FGN82" s="316"/>
      <c r="FGO82" s="316"/>
      <c r="FGP82" s="316"/>
      <c r="FGQ82" s="316"/>
      <c r="FGR82" s="316"/>
      <c r="FGS82" s="316"/>
      <c r="FGT82" s="316"/>
      <c r="FGU82" s="316"/>
      <c r="FGV82" s="316"/>
      <c r="FGW82" s="316"/>
      <c r="FGX82" s="316"/>
      <c r="FGY82" s="316"/>
      <c r="FGZ82" s="316"/>
      <c r="FHA82" s="316"/>
      <c r="FHB82" s="316"/>
      <c r="FHC82" s="316"/>
      <c r="FHD82" s="316"/>
      <c r="FHE82" s="316"/>
      <c r="FHF82" s="316"/>
      <c r="FHG82" s="316"/>
      <c r="FHH82" s="316"/>
      <c r="FHI82" s="316"/>
      <c r="FHJ82" s="316"/>
      <c r="FHK82" s="316"/>
      <c r="FHL82" s="316"/>
      <c r="FHM82" s="316"/>
      <c r="FHN82" s="316"/>
      <c r="FHO82" s="316"/>
      <c r="FHP82" s="316"/>
      <c r="FHQ82" s="316"/>
      <c r="FHR82" s="316"/>
      <c r="FHS82" s="316"/>
      <c r="FHT82" s="316"/>
      <c r="FHU82" s="316"/>
      <c r="FHV82" s="316"/>
      <c r="FHW82" s="316"/>
      <c r="FHX82" s="316"/>
      <c r="FHY82" s="316"/>
      <c r="FHZ82" s="316"/>
      <c r="FIA82" s="316"/>
      <c r="FIB82" s="316"/>
      <c r="FIC82" s="316"/>
      <c r="FID82" s="316"/>
      <c r="FIE82" s="316"/>
      <c r="FIF82" s="316"/>
      <c r="FIG82" s="316"/>
      <c r="FIH82" s="316"/>
      <c r="FII82" s="316"/>
      <c r="FIJ82" s="316"/>
      <c r="FIK82" s="316"/>
      <c r="FIL82" s="316"/>
      <c r="FIM82" s="316"/>
      <c r="FIN82" s="316"/>
      <c r="FIO82" s="316"/>
      <c r="FIP82" s="316"/>
      <c r="FIQ82" s="316"/>
      <c r="FIR82" s="316"/>
      <c r="FIS82" s="316"/>
      <c r="FIT82" s="316"/>
      <c r="FIU82" s="316"/>
      <c r="FIV82" s="316"/>
      <c r="FIW82" s="316"/>
      <c r="FIX82" s="316"/>
      <c r="FIY82" s="316"/>
      <c r="FIZ82" s="316"/>
      <c r="FJA82" s="316"/>
      <c r="FJB82" s="316"/>
      <c r="FJC82" s="316"/>
      <c r="FJD82" s="316"/>
      <c r="FJE82" s="316"/>
      <c r="FJF82" s="316"/>
      <c r="FJG82" s="316"/>
      <c r="FJH82" s="316"/>
      <c r="FJI82" s="316"/>
      <c r="FJJ82" s="316"/>
      <c r="FJK82" s="316"/>
      <c r="FJL82" s="316"/>
      <c r="FJM82" s="316"/>
      <c r="FJN82" s="316"/>
      <c r="FJO82" s="316"/>
      <c r="FJP82" s="316"/>
      <c r="FJQ82" s="316"/>
      <c r="FJR82" s="316"/>
      <c r="FJS82" s="316"/>
      <c r="FJT82" s="316"/>
      <c r="FJU82" s="316"/>
      <c r="FJV82" s="316"/>
      <c r="FJW82" s="316"/>
      <c r="FJX82" s="316"/>
      <c r="FJY82" s="316"/>
      <c r="FJZ82" s="316"/>
      <c r="FKA82" s="316"/>
      <c r="FKB82" s="316"/>
      <c r="FKC82" s="316"/>
      <c r="FKD82" s="316"/>
      <c r="FKE82" s="316"/>
      <c r="FKF82" s="316"/>
      <c r="FKG82" s="316"/>
      <c r="FKH82" s="316"/>
      <c r="FKI82" s="316"/>
      <c r="FKJ82" s="316"/>
      <c r="FKK82" s="316"/>
      <c r="FKL82" s="316"/>
      <c r="FKM82" s="316"/>
      <c r="FKN82" s="316"/>
      <c r="FKO82" s="316"/>
      <c r="FKP82" s="316"/>
      <c r="FKQ82" s="316"/>
      <c r="FKR82" s="316"/>
      <c r="FKS82" s="316"/>
      <c r="FKT82" s="316"/>
      <c r="FKU82" s="316"/>
      <c r="FKV82" s="316"/>
      <c r="FKW82" s="316"/>
      <c r="FKX82" s="316"/>
      <c r="FKY82" s="316"/>
      <c r="FKZ82" s="316"/>
      <c r="FLA82" s="316"/>
      <c r="FLB82" s="316"/>
      <c r="FLC82" s="316"/>
      <c r="FLD82" s="316"/>
      <c r="FLE82" s="316"/>
      <c r="FLF82" s="316"/>
      <c r="FLG82" s="316"/>
      <c r="FLH82" s="316"/>
      <c r="FLI82" s="316"/>
      <c r="FLJ82" s="316"/>
      <c r="FLK82" s="316"/>
      <c r="FLL82" s="316"/>
      <c r="FLM82" s="316"/>
      <c r="FLN82" s="316"/>
      <c r="FLO82" s="316"/>
      <c r="FLP82" s="316"/>
      <c r="FLQ82" s="316"/>
      <c r="FLR82" s="316"/>
      <c r="FLS82" s="316"/>
      <c r="FLT82" s="316"/>
      <c r="FLU82" s="316"/>
      <c r="FLV82" s="316"/>
      <c r="FLW82" s="316"/>
      <c r="FLX82" s="316"/>
      <c r="FLY82" s="316"/>
      <c r="FLZ82" s="316"/>
      <c r="FMA82" s="316"/>
      <c r="FMB82" s="316"/>
      <c r="FMC82" s="316"/>
      <c r="FMD82" s="316"/>
      <c r="FME82" s="316"/>
      <c r="FMF82" s="316"/>
      <c r="FMG82" s="316"/>
      <c r="FMH82" s="316"/>
      <c r="FMI82" s="316"/>
      <c r="FMJ82" s="316"/>
      <c r="FMK82" s="316"/>
      <c r="FML82" s="316"/>
      <c r="FMM82" s="316"/>
      <c r="FMN82" s="316"/>
      <c r="FMO82" s="316"/>
      <c r="FMP82" s="316"/>
      <c r="FMQ82" s="316"/>
      <c r="FMR82" s="316"/>
      <c r="FMS82" s="316"/>
      <c r="FMT82" s="316"/>
      <c r="FMU82" s="316"/>
      <c r="FMV82" s="316"/>
      <c r="FMW82" s="316"/>
      <c r="FMX82" s="316"/>
      <c r="FMY82" s="316"/>
      <c r="FMZ82" s="316"/>
      <c r="FNA82" s="316"/>
      <c r="FNB82" s="316"/>
      <c r="FNC82" s="316"/>
      <c r="FND82" s="316"/>
      <c r="FNE82" s="316"/>
      <c r="FNF82" s="316"/>
      <c r="FNG82" s="316"/>
      <c r="FNH82" s="316"/>
      <c r="FNI82" s="316"/>
      <c r="FNJ82" s="316"/>
      <c r="FNK82" s="316"/>
      <c r="FNL82" s="316"/>
      <c r="FNM82" s="316"/>
      <c r="FNN82" s="316"/>
      <c r="FNO82" s="316"/>
      <c r="FNP82" s="316"/>
      <c r="FNQ82" s="316"/>
      <c r="FNR82" s="316"/>
      <c r="FNS82" s="316"/>
      <c r="FNT82" s="316"/>
      <c r="FNU82" s="316"/>
      <c r="FNV82" s="316"/>
      <c r="FNW82" s="316"/>
      <c r="FNX82" s="316"/>
      <c r="FNY82" s="316"/>
      <c r="FNZ82" s="316"/>
      <c r="FOA82" s="316"/>
      <c r="FOB82" s="316"/>
      <c r="FOC82" s="316"/>
      <c r="FOD82" s="316"/>
      <c r="FOE82" s="316"/>
      <c r="FOF82" s="316"/>
      <c r="FOG82" s="316"/>
      <c r="FOH82" s="316"/>
      <c r="FOI82" s="316"/>
      <c r="FOJ82" s="316"/>
      <c r="FOK82" s="316"/>
      <c r="FOL82" s="316"/>
      <c r="FOM82" s="316"/>
      <c r="FON82" s="316"/>
      <c r="FOO82" s="316"/>
      <c r="FOP82" s="316"/>
      <c r="FOQ82" s="316"/>
      <c r="FOR82" s="316"/>
      <c r="FOS82" s="316"/>
      <c r="FOT82" s="316"/>
      <c r="FOU82" s="316"/>
      <c r="FOV82" s="316"/>
      <c r="FOW82" s="316"/>
      <c r="FOX82" s="316"/>
      <c r="FOY82" s="316"/>
      <c r="FOZ82" s="316"/>
      <c r="FPA82" s="316"/>
      <c r="FPB82" s="316"/>
      <c r="FPC82" s="316"/>
      <c r="FPD82" s="316"/>
      <c r="FPE82" s="316"/>
      <c r="FPF82" s="316"/>
      <c r="FPG82" s="316"/>
      <c r="FPH82" s="316"/>
      <c r="FPI82" s="316"/>
      <c r="FPJ82" s="316"/>
      <c r="FPK82" s="316"/>
      <c r="FPL82" s="316"/>
      <c r="FPM82" s="316"/>
      <c r="FPN82" s="316"/>
      <c r="FPO82" s="316"/>
      <c r="FPP82" s="316"/>
      <c r="FPQ82" s="316"/>
      <c r="FPR82" s="316"/>
      <c r="FPS82" s="316"/>
      <c r="FPT82" s="316"/>
      <c r="FPU82" s="316"/>
      <c r="FPV82" s="316"/>
      <c r="FPW82" s="316"/>
      <c r="FPX82" s="316"/>
      <c r="FPY82" s="316"/>
      <c r="FPZ82" s="316"/>
      <c r="FQA82" s="316"/>
      <c r="FQB82" s="316"/>
      <c r="FQC82" s="316"/>
      <c r="FQD82" s="316"/>
      <c r="FQE82" s="316"/>
      <c r="FQF82" s="316"/>
      <c r="FQG82" s="316"/>
      <c r="FQH82" s="316"/>
      <c r="FQI82" s="316"/>
      <c r="FQJ82" s="316"/>
      <c r="FQK82" s="316"/>
      <c r="FQL82" s="316"/>
      <c r="FQM82" s="316"/>
      <c r="FQN82" s="316"/>
      <c r="FQO82" s="316"/>
      <c r="FQP82" s="316"/>
      <c r="FQQ82" s="316"/>
      <c r="FQR82" s="316"/>
      <c r="FQS82" s="316"/>
      <c r="FQT82" s="316"/>
      <c r="FQU82" s="316"/>
      <c r="FQV82" s="316"/>
      <c r="FQW82" s="316"/>
      <c r="FQX82" s="316"/>
      <c r="FQY82" s="316"/>
      <c r="FQZ82" s="316"/>
      <c r="FRA82" s="316"/>
      <c r="FRB82" s="316"/>
      <c r="FRC82" s="316"/>
      <c r="FRD82" s="316"/>
      <c r="FRE82" s="316"/>
      <c r="FRF82" s="316"/>
      <c r="FRG82" s="316"/>
      <c r="FRH82" s="316"/>
      <c r="FRI82" s="316"/>
      <c r="FRJ82" s="316"/>
      <c r="FRK82" s="316"/>
      <c r="FRL82" s="316"/>
      <c r="FRM82" s="316"/>
      <c r="FRN82" s="316"/>
      <c r="FRO82" s="316"/>
      <c r="FRP82" s="316"/>
      <c r="FRQ82" s="316"/>
      <c r="FRR82" s="316"/>
      <c r="FRS82" s="316"/>
      <c r="FRT82" s="316"/>
      <c r="FRU82" s="316"/>
      <c r="FRV82" s="316"/>
      <c r="FRW82" s="316"/>
      <c r="FRX82" s="316"/>
      <c r="FRY82" s="316"/>
      <c r="FRZ82" s="316"/>
      <c r="FSA82" s="316"/>
      <c r="FSB82" s="316"/>
      <c r="FSC82" s="316"/>
      <c r="FSD82" s="316"/>
      <c r="FSE82" s="316"/>
      <c r="FSF82" s="316"/>
      <c r="FSG82" s="316"/>
      <c r="FSH82" s="316"/>
      <c r="FSI82" s="316"/>
      <c r="FSJ82" s="316"/>
      <c r="FSK82" s="316"/>
      <c r="FSL82" s="316"/>
      <c r="FSM82" s="316"/>
      <c r="FSN82" s="316"/>
      <c r="FSO82" s="316"/>
      <c r="FSP82" s="316"/>
      <c r="FSQ82" s="316"/>
      <c r="FSR82" s="316"/>
      <c r="FSS82" s="316"/>
      <c r="FST82" s="316"/>
      <c r="FSU82" s="316"/>
      <c r="FSV82" s="316"/>
      <c r="FSW82" s="316"/>
      <c r="FSX82" s="316"/>
      <c r="FSY82" s="316"/>
      <c r="FSZ82" s="316"/>
      <c r="FTA82" s="316"/>
      <c r="FTB82" s="316"/>
      <c r="FTC82" s="316"/>
      <c r="FTD82" s="316"/>
      <c r="FTE82" s="316"/>
      <c r="FTF82" s="316"/>
      <c r="FTG82" s="316"/>
      <c r="FTH82" s="316"/>
      <c r="FTI82" s="316"/>
      <c r="FTJ82" s="316"/>
      <c r="FTK82" s="316"/>
      <c r="FTL82" s="316"/>
      <c r="FTM82" s="316"/>
      <c r="FTN82" s="316"/>
      <c r="FTO82" s="316"/>
      <c r="FTP82" s="316"/>
      <c r="FTQ82" s="316"/>
      <c r="FTR82" s="316"/>
      <c r="FTS82" s="316"/>
      <c r="FTT82" s="316"/>
      <c r="FTU82" s="316"/>
      <c r="FTV82" s="316"/>
      <c r="FTW82" s="316"/>
      <c r="FTX82" s="316"/>
      <c r="FTY82" s="316"/>
      <c r="FTZ82" s="316"/>
      <c r="FUA82" s="316"/>
      <c r="FUB82" s="316"/>
      <c r="FUC82" s="316"/>
      <c r="FUD82" s="316"/>
      <c r="FUE82" s="316"/>
      <c r="FUF82" s="316"/>
      <c r="FUG82" s="316"/>
      <c r="FUH82" s="316"/>
      <c r="FUI82" s="316"/>
      <c r="FUJ82" s="316"/>
      <c r="FUK82" s="316"/>
      <c r="FUL82" s="316"/>
      <c r="FUM82" s="316"/>
      <c r="FUN82" s="316"/>
      <c r="FUO82" s="316"/>
      <c r="FUP82" s="316"/>
      <c r="FUQ82" s="316"/>
      <c r="FUR82" s="316"/>
      <c r="FUS82" s="316"/>
      <c r="FUT82" s="316"/>
      <c r="FUU82" s="316"/>
      <c r="FUV82" s="316"/>
      <c r="FUW82" s="316"/>
      <c r="FUX82" s="316"/>
      <c r="FUY82" s="316"/>
      <c r="FUZ82" s="316"/>
      <c r="FVA82" s="316"/>
      <c r="FVB82" s="316"/>
      <c r="FVC82" s="316"/>
      <c r="FVD82" s="316"/>
      <c r="FVE82" s="316"/>
      <c r="FVF82" s="316"/>
      <c r="FVG82" s="316"/>
      <c r="FVH82" s="316"/>
      <c r="FVI82" s="316"/>
      <c r="FVJ82" s="316"/>
      <c r="FVK82" s="316"/>
      <c r="FVL82" s="316"/>
      <c r="FVM82" s="316"/>
      <c r="FVN82" s="316"/>
      <c r="FVO82" s="316"/>
      <c r="FVP82" s="316"/>
      <c r="FVQ82" s="316"/>
      <c r="FVR82" s="316"/>
      <c r="FVS82" s="316"/>
      <c r="FVT82" s="316"/>
      <c r="FVU82" s="316"/>
      <c r="FVV82" s="316"/>
      <c r="FVW82" s="316"/>
      <c r="FVX82" s="316"/>
      <c r="FVY82" s="316"/>
      <c r="FVZ82" s="316"/>
      <c r="FWA82" s="316"/>
      <c r="FWB82" s="316"/>
      <c r="FWC82" s="316"/>
      <c r="FWD82" s="316"/>
      <c r="FWE82" s="316"/>
      <c r="FWF82" s="316"/>
      <c r="FWG82" s="316"/>
      <c r="FWH82" s="316"/>
      <c r="FWI82" s="316"/>
      <c r="FWJ82" s="316"/>
      <c r="FWK82" s="316"/>
      <c r="FWL82" s="316"/>
      <c r="FWM82" s="316"/>
      <c r="FWN82" s="316"/>
      <c r="FWO82" s="316"/>
      <c r="FWP82" s="316"/>
      <c r="FWQ82" s="316"/>
      <c r="FWR82" s="316"/>
      <c r="FWS82" s="316"/>
      <c r="FWT82" s="316"/>
      <c r="FWU82" s="316"/>
      <c r="FWV82" s="316"/>
      <c r="FWW82" s="316"/>
      <c r="FWX82" s="316"/>
      <c r="FWY82" s="316"/>
      <c r="FWZ82" s="316"/>
      <c r="FXA82" s="316"/>
      <c r="FXB82" s="316"/>
      <c r="FXC82" s="316"/>
      <c r="FXD82" s="316"/>
      <c r="FXE82" s="316"/>
      <c r="FXF82" s="316"/>
      <c r="FXG82" s="316"/>
      <c r="FXH82" s="316"/>
      <c r="FXI82" s="316"/>
      <c r="FXJ82" s="316"/>
      <c r="FXK82" s="316"/>
      <c r="FXL82" s="316"/>
      <c r="FXM82" s="316"/>
      <c r="FXN82" s="316"/>
      <c r="FXO82" s="316"/>
      <c r="FXP82" s="316"/>
      <c r="FXQ82" s="316"/>
      <c r="FXR82" s="316"/>
      <c r="FXS82" s="316"/>
      <c r="FXT82" s="316"/>
      <c r="FXU82" s="316"/>
      <c r="FXV82" s="316"/>
      <c r="FXW82" s="316"/>
      <c r="FXX82" s="316"/>
      <c r="FXY82" s="316"/>
      <c r="FXZ82" s="316"/>
      <c r="FYA82" s="316"/>
      <c r="FYB82" s="316"/>
      <c r="FYC82" s="316"/>
      <c r="FYD82" s="316"/>
      <c r="FYE82" s="316"/>
      <c r="FYF82" s="316"/>
      <c r="FYG82" s="316"/>
      <c r="FYH82" s="316"/>
      <c r="FYI82" s="316"/>
      <c r="FYJ82" s="316"/>
      <c r="FYK82" s="316"/>
      <c r="FYL82" s="316"/>
      <c r="FYM82" s="316"/>
      <c r="FYN82" s="316"/>
      <c r="FYO82" s="316"/>
      <c r="FYP82" s="316"/>
      <c r="FYQ82" s="316"/>
      <c r="FYR82" s="316"/>
      <c r="FYS82" s="316"/>
      <c r="FYT82" s="316"/>
      <c r="FYU82" s="316"/>
      <c r="FYV82" s="316"/>
      <c r="FYW82" s="316"/>
      <c r="FYX82" s="316"/>
      <c r="FYY82" s="316"/>
      <c r="FYZ82" s="316"/>
      <c r="FZA82" s="316"/>
      <c r="FZB82" s="316"/>
      <c r="FZC82" s="316"/>
      <c r="FZD82" s="316"/>
      <c r="FZE82" s="316"/>
      <c r="FZF82" s="316"/>
      <c r="FZG82" s="316"/>
      <c r="FZH82" s="316"/>
      <c r="FZI82" s="316"/>
      <c r="FZJ82" s="316"/>
      <c r="FZK82" s="316"/>
      <c r="FZL82" s="316"/>
      <c r="FZM82" s="316"/>
      <c r="FZN82" s="316"/>
      <c r="FZO82" s="316"/>
      <c r="FZP82" s="316"/>
      <c r="FZQ82" s="316"/>
      <c r="FZR82" s="316"/>
      <c r="FZS82" s="316"/>
      <c r="FZT82" s="316"/>
      <c r="FZU82" s="316"/>
      <c r="FZV82" s="316"/>
      <c r="FZW82" s="316"/>
      <c r="FZX82" s="316"/>
      <c r="FZY82" s="316"/>
      <c r="FZZ82" s="316"/>
      <c r="GAA82" s="316"/>
      <c r="GAB82" s="316"/>
      <c r="GAC82" s="316"/>
      <c r="GAD82" s="316"/>
      <c r="GAE82" s="316"/>
      <c r="GAF82" s="316"/>
      <c r="GAG82" s="316"/>
      <c r="GAH82" s="316"/>
      <c r="GAI82" s="316"/>
      <c r="GAJ82" s="316"/>
      <c r="GAK82" s="316"/>
      <c r="GAL82" s="316"/>
      <c r="GAM82" s="316"/>
      <c r="GAN82" s="316"/>
      <c r="GAO82" s="316"/>
      <c r="GAP82" s="316"/>
      <c r="GAQ82" s="316"/>
      <c r="GAR82" s="316"/>
      <c r="GAS82" s="316"/>
      <c r="GAT82" s="316"/>
      <c r="GAU82" s="316"/>
      <c r="GAV82" s="316"/>
      <c r="GAW82" s="316"/>
      <c r="GAX82" s="316"/>
      <c r="GAY82" s="316"/>
      <c r="GAZ82" s="316"/>
      <c r="GBA82" s="316"/>
      <c r="GBB82" s="316"/>
      <c r="GBC82" s="316"/>
      <c r="GBD82" s="316"/>
      <c r="GBE82" s="316"/>
      <c r="GBF82" s="316"/>
      <c r="GBG82" s="316"/>
      <c r="GBH82" s="316"/>
      <c r="GBI82" s="316"/>
      <c r="GBJ82" s="316"/>
      <c r="GBK82" s="316"/>
      <c r="GBL82" s="316"/>
      <c r="GBM82" s="316"/>
      <c r="GBN82" s="316"/>
      <c r="GBO82" s="316"/>
      <c r="GBP82" s="316"/>
      <c r="GBQ82" s="316"/>
      <c r="GBR82" s="316"/>
      <c r="GBS82" s="316"/>
      <c r="GBT82" s="316"/>
      <c r="GBU82" s="316"/>
      <c r="GBV82" s="316"/>
      <c r="GBW82" s="316"/>
      <c r="GBX82" s="316"/>
      <c r="GBY82" s="316"/>
      <c r="GBZ82" s="316"/>
      <c r="GCA82" s="316"/>
      <c r="GCB82" s="316"/>
      <c r="GCC82" s="316"/>
      <c r="GCD82" s="316"/>
      <c r="GCE82" s="316"/>
      <c r="GCF82" s="316"/>
      <c r="GCG82" s="316"/>
      <c r="GCH82" s="316"/>
      <c r="GCI82" s="316"/>
      <c r="GCJ82" s="316"/>
      <c r="GCK82" s="316"/>
      <c r="GCL82" s="316"/>
      <c r="GCM82" s="316"/>
      <c r="GCN82" s="316"/>
      <c r="GCO82" s="316"/>
      <c r="GCP82" s="316"/>
      <c r="GCQ82" s="316"/>
      <c r="GCR82" s="316"/>
      <c r="GCS82" s="316"/>
      <c r="GCT82" s="316"/>
      <c r="GCU82" s="316"/>
      <c r="GCV82" s="316"/>
      <c r="GCW82" s="316"/>
      <c r="GCX82" s="316"/>
      <c r="GCY82" s="316"/>
      <c r="GCZ82" s="316"/>
      <c r="GDA82" s="316"/>
      <c r="GDB82" s="316"/>
      <c r="GDC82" s="316"/>
      <c r="GDD82" s="316"/>
      <c r="GDE82" s="316"/>
      <c r="GDF82" s="316"/>
      <c r="GDG82" s="316"/>
      <c r="GDH82" s="316"/>
      <c r="GDI82" s="316"/>
      <c r="GDJ82" s="316"/>
      <c r="GDK82" s="316"/>
      <c r="GDL82" s="316"/>
      <c r="GDM82" s="316"/>
      <c r="GDN82" s="316"/>
      <c r="GDO82" s="316"/>
      <c r="GDP82" s="316"/>
      <c r="GDQ82" s="316"/>
      <c r="GDR82" s="316"/>
      <c r="GDS82" s="316"/>
      <c r="GDT82" s="316"/>
      <c r="GDU82" s="316"/>
      <c r="GDV82" s="316"/>
      <c r="GDW82" s="316"/>
      <c r="GDX82" s="316"/>
      <c r="GDY82" s="316"/>
      <c r="GDZ82" s="316"/>
      <c r="GEA82" s="316"/>
      <c r="GEB82" s="316"/>
      <c r="GEC82" s="316"/>
      <c r="GED82" s="316"/>
      <c r="GEE82" s="316"/>
      <c r="GEF82" s="316"/>
      <c r="GEG82" s="316"/>
      <c r="GEH82" s="316"/>
      <c r="GEI82" s="316"/>
      <c r="GEJ82" s="316"/>
      <c r="GEK82" s="316"/>
      <c r="GEL82" s="316"/>
      <c r="GEM82" s="316"/>
      <c r="GEN82" s="316"/>
      <c r="GEO82" s="316"/>
      <c r="GEP82" s="316"/>
      <c r="GEQ82" s="316"/>
      <c r="GER82" s="316"/>
      <c r="GES82" s="316"/>
      <c r="GET82" s="316"/>
      <c r="GEU82" s="316"/>
      <c r="GEV82" s="316"/>
      <c r="GEW82" s="316"/>
      <c r="GEX82" s="316"/>
      <c r="GEY82" s="316"/>
      <c r="GEZ82" s="316"/>
      <c r="GFA82" s="316"/>
      <c r="GFB82" s="316"/>
      <c r="GFC82" s="316"/>
      <c r="GFD82" s="316"/>
      <c r="GFE82" s="316"/>
      <c r="GFF82" s="316"/>
      <c r="GFG82" s="316"/>
      <c r="GFH82" s="316"/>
      <c r="GFI82" s="316"/>
      <c r="GFJ82" s="316"/>
      <c r="GFK82" s="316"/>
      <c r="GFL82" s="316"/>
      <c r="GFM82" s="316"/>
      <c r="GFN82" s="316"/>
      <c r="GFO82" s="316"/>
      <c r="GFP82" s="316"/>
      <c r="GFQ82" s="316"/>
      <c r="GFR82" s="316"/>
      <c r="GFS82" s="316"/>
      <c r="GFT82" s="316"/>
      <c r="GFU82" s="316"/>
      <c r="GFV82" s="316"/>
      <c r="GFW82" s="316"/>
      <c r="GFX82" s="316"/>
      <c r="GFY82" s="316"/>
      <c r="GFZ82" s="316"/>
      <c r="GGA82" s="316"/>
      <c r="GGB82" s="316"/>
      <c r="GGC82" s="316"/>
      <c r="GGD82" s="316"/>
      <c r="GGE82" s="316"/>
      <c r="GGF82" s="316"/>
      <c r="GGG82" s="316"/>
      <c r="GGH82" s="316"/>
      <c r="GGI82" s="316"/>
      <c r="GGJ82" s="316"/>
      <c r="GGK82" s="316"/>
      <c r="GGL82" s="316"/>
      <c r="GGM82" s="316"/>
      <c r="GGN82" s="316"/>
      <c r="GGO82" s="316"/>
      <c r="GGP82" s="316"/>
      <c r="GGQ82" s="316"/>
      <c r="GGR82" s="316"/>
      <c r="GGS82" s="316"/>
      <c r="GGT82" s="316"/>
      <c r="GGU82" s="316"/>
      <c r="GGV82" s="316"/>
      <c r="GGW82" s="316"/>
      <c r="GGX82" s="316"/>
      <c r="GGY82" s="316"/>
      <c r="GGZ82" s="316"/>
      <c r="GHA82" s="316"/>
      <c r="GHB82" s="316"/>
      <c r="GHC82" s="316"/>
      <c r="GHD82" s="316"/>
      <c r="GHE82" s="316"/>
      <c r="GHF82" s="316"/>
      <c r="GHG82" s="316"/>
      <c r="GHH82" s="316"/>
      <c r="GHI82" s="316"/>
      <c r="GHJ82" s="316"/>
      <c r="GHK82" s="316"/>
      <c r="GHL82" s="316"/>
      <c r="GHM82" s="316"/>
      <c r="GHN82" s="316"/>
      <c r="GHO82" s="316"/>
      <c r="GHP82" s="316"/>
      <c r="GHQ82" s="316"/>
      <c r="GHR82" s="316"/>
      <c r="GHS82" s="316"/>
      <c r="GHT82" s="316"/>
      <c r="GHU82" s="316"/>
      <c r="GHV82" s="316"/>
      <c r="GHW82" s="316"/>
      <c r="GHX82" s="316"/>
      <c r="GHY82" s="316"/>
      <c r="GHZ82" s="316"/>
      <c r="GIA82" s="316"/>
      <c r="GIB82" s="316"/>
      <c r="GIC82" s="316"/>
      <c r="GID82" s="316"/>
      <c r="GIE82" s="316"/>
      <c r="GIF82" s="316"/>
      <c r="GIG82" s="316"/>
      <c r="GIH82" s="316"/>
      <c r="GII82" s="316"/>
      <c r="GIJ82" s="316"/>
      <c r="GIK82" s="316"/>
      <c r="GIL82" s="316"/>
      <c r="GIM82" s="316"/>
      <c r="GIN82" s="316"/>
      <c r="GIO82" s="316"/>
      <c r="GIP82" s="316"/>
      <c r="GIQ82" s="316"/>
      <c r="GIR82" s="316"/>
      <c r="GIS82" s="316"/>
      <c r="GIT82" s="316"/>
      <c r="GIU82" s="316"/>
      <c r="GIV82" s="316"/>
      <c r="GIW82" s="316"/>
      <c r="GIX82" s="316"/>
      <c r="GIY82" s="316"/>
      <c r="GIZ82" s="316"/>
      <c r="GJA82" s="316"/>
      <c r="GJB82" s="316"/>
      <c r="GJC82" s="316"/>
      <c r="GJD82" s="316"/>
      <c r="GJE82" s="316"/>
      <c r="GJF82" s="316"/>
      <c r="GJG82" s="316"/>
      <c r="GJH82" s="316"/>
      <c r="GJI82" s="316"/>
      <c r="GJJ82" s="316"/>
      <c r="GJK82" s="316"/>
      <c r="GJL82" s="316"/>
      <c r="GJM82" s="316"/>
      <c r="GJN82" s="316"/>
      <c r="GJO82" s="316"/>
      <c r="GJP82" s="316"/>
      <c r="GJQ82" s="316"/>
      <c r="GJR82" s="316"/>
      <c r="GJS82" s="316"/>
      <c r="GJT82" s="316"/>
      <c r="GJU82" s="316"/>
      <c r="GJV82" s="316"/>
      <c r="GJW82" s="316"/>
      <c r="GJX82" s="316"/>
      <c r="GJY82" s="316"/>
      <c r="GJZ82" s="316"/>
      <c r="GKA82" s="316"/>
      <c r="GKB82" s="316"/>
      <c r="GKC82" s="316"/>
      <c r="GKD82" s="316"/>
      <c r="GKE82" s="316"/>
      <c r="GKF82" s="316"/>
      <c r="GKG82" s="316"/>
      <c r="GKH82" s="316"/>
      <c r="GKI82" s="316"/>
      <c r="GKJ82" s="316"/>
      <c r="GKK82" s="316"/>
      <c r="GKL82" s="316"/>
      <c r="GKM82" s="316"/>
      <c r="GKN82" s="316"/>
      <c r="GKO82" s="316"/>
      <c r="GKP82" s="316"/>
      <c r="GKQ82" s="316"/>
      <c r="GKR82" s="316"/>
      <c r="GKS82" s="316"/>
      <c r="GKT82" s="316"/>
      <c r="GKU82" s="316"/>
      <c r="GKV82" s="316"/>
      <c r="GKW82" s="316"/>
      <c r="GKX82" s="316"/>
      <c r="GKY82" s="316"/>
      <c r="GKZ82" s="316"/>
      <c r="GLA82" s="316"/>
      <c r="GLB82" s="316"/>
      <c r="GLC82" s="316"/>
      <c r="GLD82" s="316"/>
      <c r="GLE82" s="316"/>
      <c r="GLF82" s="316"/>
      <c r="GLG82" s="316"/>
      <c r="GLH82" s="316"/>
      <c r="GLI82" s="316"/>
      <c r="GLJ82" s="316"/>
      <c r="GLK82" s="316"/>
      <c r="GLL82" s="316"/>
      <c r="GLM82" s="316"/>
      <c r="GLN82" s="316"/>
      <c r="GLO82" s="316"/>
      <c r="GLP82" s="316"/>
      <c r="GLQ82" s="316"/>
      <c r="GLR82" s="316"/>
      <c r="GLS82" s="316"/>
      <c r="GLT82" s="316"/>
      <c r="GLU82" s="316"/>
      <c r="GLV82" s="316"/>
      <c r="GLW82" s="316"/>
      <c r="GLX82" s="316"/>
      <c r="GLY82" s="316"/>
      <c r="GLZ82" s="316"/>
      <c r="GMA82" s="316"/>
      <c r="GMB82" s="316"/>
      <c r="GMC82" s="316"/>
      <c r="GMD82" s="316"/>
      <c r="GME82" s="316"/>
      <c r="GMF82" s="316"/>
      <c r="GMG82" s="316"/>
      <c r="GMH82" s="316"/>
      <c r="GMI82" s="316"/>
      <c r="GMJ82" s="316"/>
      <c r="GMK82" s="316"/>
      <c r="GML82" s="316"/>
      <c r="GMM82" s="316"/>
      <c r="GMN82" s="316"/>
      <c r="GMO82" s="316"/>
      <c r="GMP82" s="316"/>
      <c r="GMQ82" s="316"/>
      <c r="GMR82" s="316"/>
      <c r="GMS82" s="316"/>
      <c r="GMT82" s="316"/>
      <c r="GMU82" s="316"/>
      <c r="GMV82" s="316"/>
      <c r="GMW82" s="316"/>
      <c r="GMX82" s="316"/>
      <c r="GMY82" s="316"/>
      <c r="GMZ82" s="316"/>
      <c r="GNA82" s="316"/>
      <c r="GNB82" s="316"/>
      <c r="GNC82" s="316"/>
      <c r="GND82" s="316"/>
      <c r="GNE82" s="316"/>
      <c r="GNF82" s="316"/>
      <c r="GNG82" s="316"/>
      <c r="GNH82" s="316"/>
      <c r="GNI82" s="316"/>
      <c r="GNJ82" s="316"/>
      <c r="GNK82" s="316"/>
      <c r="GNL82" s="316"/>
      <c r="GNM82" s="316"/>
      <c r="GNN82" s="316"/>
      <c r="GNO82" s="316"/>
      <c r="GNP82" s="316"/>
      <c r="GNQ82" s="316"/>
      <c r="GNR82" s="316"/>
      <c r="GNS82" s="316"/>
      <c r="GNT82" s="316"/>
      <c r="GNU82" s="316"/>
      <c r="GNV82" s="316"/>
      <c r="GNW82" s="316"/>
      <c r="GNX82" s="316"/>
      <c r="GNY82" s="316"/>
      <c r="GNZ82" s="316"/>
      <c r="GOA82" s="316"/>
      <c r="GOB82" s="316"/>
      <c r="GOC82" s="316"/>
      <c r="GOD82" s="316"/>
      <c r="GOE82" s="316"/>
      <c r="GOF82" s="316"/>
      <c r="GOG82" s="316"/>
      <c r="GOH82" s="316"/>
      <c r="GOI82" s="316"/>
      <c r="GOJ82" s="316"/>
      <c r="GOK82" s="316"/>
      <c r="GOL82" s="316"/>
      <c r="GOM82" s="316"/>
      <c r="GON82" s="316"/>
      <c r="GOO82" s="316"/>
      <c r="GOP82" s="316"/>
      <c r="GOQ82" s="316"/>
      <c r="GOR82" s="316"/>
      <c r="GOS82" s="316"/>
      <c r="GOT82" s="316"/>
      <c r="GOU82" s="316"/>
      <c r="GOV82" s="316"/>
      <c r="GOW82" s="316"/>
      <c r="GOX82" s="316"/>
      <c r="GOY82" s="316"/>
      <c r="GOZ82" s="316"/>
      <c r="GPA82" s="316"/>
      <c r="GPB82" s="316"/>
      <c r="GPC82" s="316"/>
      <c r="GPD82" s="316"/>
      <c r="GPE82" s="316"/>
      <c r="GPF82" s="316"/>
      <c r="GPG82" s="316"/>
      <c r="GPH82" s="316"/>
      <c r="GPI82" s="316"/>
      <c r="GPJ82" s="316"/>
      <c r="GPK82" s="316"/>
      <c r="GPL82" s="316"/>
      <c r="GPM82" s="316"/>
      <c r="GPN82" s="316"/>
      <c r="GPO82" s="316"/>
      <c r="GPP82" s="316"/>
      <c r="GPQ82" s="316"/>
      <c r="GPR82" s="316"/>
      <c r="GPS82" s="316"/>
      <c r="GPT82" s="316"/>
      <c r="GPU82" s="316"/>
      <c r="GPV82" s="316"/>
      <c r="GPW82" s="316"/>
      <c r="GPX82" s="316"/>
      <c r="GPY82" s="316"/>
      <c r="GPZ82" s="316"/>
      <c r="GQA82" s="316"/>
      <c r="GQB82" s="316"/>
      <c r="GQC82" s="316"/>
      <c r="GQD82" s="316"/>
      <c r="GQE82" s="316"/>
      <c r="GQF82" s="316"/>
      <c r="GQG82" s="316"/>
      <c r="GQH82" s="316"/>
      <c r="GQI82" s="316"/>
      <c r="GQJ82" s="316"/>
      <c r="GQK82" s="316"/>
      <c r="GQL82" s="316"/>
      <c r="GQM82" s="316"/>
      <c r="GQN82" s="316"/>
      <c r="GQO82" s="316"/>
      <c r="GQP82" s="316"/>
      <c r="GQQ82" s="316"/>
      <c r="GQR82" s="316"/>
      <c r="GQS82" s="316"/>
      <c r="GQT82" s="316"/>
      <c r="GQU82" s="316"/>
      <c r="GQV82" s="316"/>
      <c r="GQW82" s="316"/>
      <c r="GQX82" s="316"/>
      <c r="GQY82" s="316"/>
      <c r="GQZ82" s="316"/>
      <c r="GRA82" s="316"/>
      <c r="GRB82" s="316"/>
      <c r="GRC82" s="316"/>
      <c r="GRD82" s="316"/>
      <c r="GRE82" s="316"/>
      <c r="GRF82" s="316"/>
      <c r="GRG82" s="316"/>
      <c r="GRH82" s="316"/>
      <c r="GRI82" s="316"/>
      <c r="GRJ82" s="316"/>
      <c r="GRK82" s="316"/>
      <c r="GRL82" s="316"/>
      <c r="GRM82" s="316"/>
      <c r="GRN82" s="316"/>
      <c r="GRO82" s="316"/>
      <c r="GRP82" s="316"/>
      <c r="GRQ82" s="316"/>
      <c r="GRR82" s="316"/>
      <c r="GRS82" s="316"/>
      <c r="GRT82" s="316"/>
      <c r="GRU82" s="316"/>
      <c r="GRV82" s="316"/>
      <c r="GRW82" s="316"/>
      <c r="GRX82" s="316"/>
      <c r="GRY82" s="316"/>
      <c r="GRZ82" s="316"/>
      <c r="GSA82" s="316"/>
      <c r="GSB82" s="316"/>
      <c r="GSC82" s="316"/>
      <c r="GSD82" s="316"/>
      <c r="GSE82" s="316"/>
      <c r="GSF82" s="316"/>
      <c r="GSG82" s="316"/>
      <c r="GSH82" s="316"/>
      <c r="GSI82" s="316"/>
      <c r="GSJ82" s="316"/>
      <c r="GSK82" s="316"/>
      <c r="GSL82" s="316"/>
      <c r="GSM82" s="316"/>
      <c r="GSN82" s="316"/>
      <c r="GSO82" s="316"/>
      <c r="GSP82" s="316"/>
      <c r="GSQ82" s="316"/>
      <c r="GSR82" s="316"/>
      <c r="GSS82" s="316"/>
      <c r="GST82" s="316"/>
      <c r="GSU82" s="316"/>
      <c r="GSV82" s="316"/>
      <c r="GSW82" s="316"/>
      <c r="GSX82" s="316"/>
      <c r="GSY82" s="316"/>
      <c r="GSZ82" s="316"/>
      <c r="GTA82" s="316"/>
      <c r="GTB82" s="316"/>
      <c r="GTC82" s="316"/>
      <c r="GTD82" s="316"/>
      <c r="GTE82" s="316"/>
      <c r="GTF82" s="316"/>
      <c r="GTG82" s="316"/>
      <c r="GTH82" s="316"/>
      <c r="GTI82" s="316"/>
      <c r="GTJ82" s="316"/>
      <c r="GTK82" s="316"/>
      <c r="GTL82" s="316"/>
      <c r="GTM82" s="316"/>
      <c r="GTN82" s="316"/>
      <c r="GTO82" s="316"/>
      <c r="GTP82" s="316"/>
      <c r="GTQ82" s="316"/>
      <c r="GTR82" s="316"/>
      <c r="GTS82" s="316"/>
      <c r="GTT82" s="316"/>
      <c r="GTU82" s="316"/>
      <c r="GTV82" s="316"/>
      <c r="GTW82" s="316"/>
      <c r="GTX82" s="316"/>
      <c r="GTY82" s="316"/>
      <c r="GTZ82" s="316"/>
      <c r="GUA82" s="316"/>
      <c r="GUB82" s="316"/>
      <c r="GUC82" s="316"/>
      <c r="GUD82" s="316"/>
      <c r="GUE82" s="316"/>
      <c r="GUF82" s="316"/>
      <c r="GUG82" s="316"/>
      <c r="GUH82" s="316"/>
      <c r="GUI82" s="316"/>
      <c r="GUJ82" s="316"/>
      <c r="GUK82" s="316"/>
      <c r="GUL82" s="316"/>
      <c r="GUM82" s="316"/>
      <c r="GUN82" s="316"/>
      <c r="GUO82" s="316"/>
      <c r="GUP82" s="316"/>
      <c r="GUQ82" s="316"/>
      <c r="GUR82" s="316"/>
      <c r="GUS82" s="316"/>
      <c r="GUT82" s="316"/>
      <c r="GUU82" s="316"/>
      <c r="GUV82" s="316"/>
      <c r="GUW82" s="316"/>
      <c r="GUX82" s="316"/>
      <c r="GUY82" s="316"/>
      <c r="GUZ82" s="316"/>
      <c r="GVA82" s="316"/>
      <c r="GVB82" s="316"/>
      <c r="GVC82" s="316"/>
      <c r="GVD82" s="316"/>
      <c r="GVE82" s="316"/>
      <c r="GVF82" s="316"/>
      <c r="GVG82" s="316"/>
      <c r="GVH82" s="316"/>
      <c r="GVI82" s="316"/>
      <c r="GVJ82" s="316"/>
      <c r="GVK82" s="316"/>
      <c r="GVL82" s="316"/>
      <c r="GVM82" s="316"/>
      <c r="GVN82" s="316"/>
      <c r="GVO82" s="316"/>
      <c r="GVP82" s="316"/>
      <c r="GVQ82" s="316"/>
      <c r="GVR82" s="316"/>
      <c r="GVS82" s="316"/>
      <c r="GVT82" s="316"/>
      <c r="GVU82" s="316"/>
      <c r="GVV82" s="316"/>
      <c r="GVW82" s="316"/>
      <c r="GVX82" s="316"/>
      <c r="GVY82" s="316"/>
      <c r="GVZ82" s="316"/>
      <c r="GWA82" s="316"/>
      <c r="GWB82" s="316"/>
      <c r="GWC82" s="316"/>
      <c r="GWD82" s="316"/>
      <c r="GWE82" s="316"/>
      <c r="GWF82" s="316"/>
      <c r="GWG82" s="316"/>
      <c r="GWH82" s="316"/>
      <c r="GWI82" s="316"/>
      <c r="GWJ82" s="316"/>
      <c r="GWK82" s="316"/>
      <c r="GWL82" s="316"/>
      <c r="GWM82" s="316"/>
      <c r="GWN82" s="316"/>
      <c r="GWO82" s="316"/>
      <c r="GWP82" s="316"/>
      <c r="GWQ82" s="316"/>
      <c r="GWR82" s="316"/>
      <c r="GWS82" s="316"/>
      <c r="GWT82" s="316"/>
      <c r="GWU82" s="316"/>
      <c r="GWV82" s="316"/>
      <c r="GWW82" s="316"/>
      <c r="GWX82" s="316"/>
      <c r="GWY82" s="316"/>
      <c r="GWZ82" s="316"/>
      <c r="GXA82" s="316"/>
      <c r="GXB82" s="316"/>
      <c r="GXC82" s="316"/>
      <c r="GXD82" s="316"/>
      <c r="GXE82" s="316"/>
      <c r="GXF82" s="316"/>
      <c r="GXG82" s="316"/>
      <c r="GXH82" s="316"/>
      <c r="GXI82" s="316"/>
      <c r="GXJ82" s="316"/>
      <c r="GXK82" s="316"/>
      <c r="GXL82" s="316"/>
      <c r="GXM82" s="316"/>
      <c r="GXN82" s="316"/>
      <c r="GXO82" s="316"/>
      <c r="GXP82" s="316"/>
      <c r="GXQ82" s="316"/>
      <c r="GXR82" s="316"/>
      <c r="GXS82" s="316"/>
      <c r="GXT82" s="316"/>
      <c r="GXU82" s="316"/>
      <c r="GXV82" s="316"/>
      <c r="GXW82" s="316"/>
      <c r="GXX82" s="316"/>
      <c r="GXY82" s="316"/>
      <c r="GXZ82" s="316"/>
      <c r="GYA82" s="316"/>
      <c r="GYB82" s="316"/>
      <c r="GYC82" s="316"/>
      <c r="GYD82" s="316"/>
      <c r="GYE82" s="316"/>
      <c r="GYF82" s="316"/>
      <c r="GYG82" s="316"/>
      <c r="GYH82" s="316"/>
      <c r="GYI82" s="316"/>
      <c r="GYJ82" s="316"/>
      <c r="GYK82" s="316"/>
      <c r="GYL82" s="316"/>
      <c r="GYM82" s="316"/>
      <c r="GYN82" s="316"/>
      <c r="GYO82" s="316"/>
      <c r="GYP82" s="316"/>
      <c r="GYQ82" s="316"/>
      <c r="GYR82" s="316"/>
      <c r="GYS82" s="316"/>
      <c r="GYT82" s="316"/>
      <c r="GYU82" s="316"/>
      <c r="GYV82" s="316"/>
      <c r="GYW82" s="316"/>
      <c r="GYX82" s="316"/>
      <c r="GYY82" s="316"/>
      <c r="GYZ82" s="316"/>
      <c r="GZA82" s="316"/>
      <c r="GZB82" s="316"/>
      <c r="GZC82" s="316"/>
      <c r="GZD82" s="316"/>
      <c r="GZE82" s="316"/>
      <c r="GZF82" s="316"/>
      <c r="GZG82" s="316"/>
      <c r="GZH82" s="316"/>
      <c r="GZI82" s="316"/>
      <c r="GZJ82" s="316"/>
      <c r="GZK82" s="316"/>
      <c r="GZL82" s="316"/>
      <c r="GZM82" s="316"/>
      <c r="GZN82" s="316"/>
      <c r="GZO82" s="316"/>
      <c r="GZP82" s="316"/>
      <c r="GZQ82" s="316"/>
      <c r="GZR82" s="316"/>
      <c r="GZS82" s="316"/>
      <c r="GZT82" s="316"/>
      <c r="GZU82" s="316"/>
      <c r="GZV82" s="316"/>
      <c r="GZW82" s="316"/>
      <c r="GZX82" s="316"/>
      <c r="GZY82" s="316"/>
      <c r="GZZ82" s="316"/>
      <c r="HAA82" s="316"/>
      <c r="HAB82" s="316"/>
      <c r="HAC82" s="316"/>
      <c r="HAD82" s="316"/>
      <c r="HAE82" s="316"/>
      <c r="HAF82" s="316"/>
      <c r="HAG82" s="316"/>
      <c r="HAH82" s="316"/>
      <c r="HAI82" s="316"/>
      <c r="HAJ82" s="316"/>
      <c r="HAK82" s="316"/>
      <c r="HAL82" s="316"/>
      <c r="HAM82" s="316"/>
      <c r="HAN82" s="316"/>
      <c r="HAO82" s="316"/>
      <c r="HAP82" s="316"/>
      <c r="HAQ82" s="316"/>
      <c r="HAR82" s="316"/>
      <c r="HAS82" s="316"/>
      <c r="HAT82" s="316"/>
      <c r="HAU82" s="316"/>
      <c r="HAV82" s="316"/>
      <c r="HAW82" s="316"/>
      <c r="HAX82" s="316"/>
      <c r="HAY82" s="316"/>
      <c r="HAZ82" s="316"/>
      <c r="HBA82" s="316"/>
      <c r="HBB82" s="316"/>
      <c r="HBC82" s="316"/>
      <c r="HBD82" s="316"/>
      <c r="HBE82" s="316"/>
      <c r="HBF82" s="316"/>
      <c r="HBG82" s="316"/>
      <c r="HBH82" s="316"/>
      <c r="HBI82" s="316"/>
      <c r="HBJ82" s="316"/>
      <c r="HBK82" s="316"/>
      <c r="HBL82" s="316"/>
      <c r="HBM82" s="316"/>
      <c r="HBN82" s="316"/>
      <c r="HBO82" s="316"/>
      <c r="HBP82" s="316"/>
      <c r="HBQ82" s="316"/>
      <c r="HBR82" s="316"/>
      <c r="HBS82" s="316"/>
      <c r="HBT82" s="316"/>
      <c r="HBU82" s="316"/>
      <c r="HBV82" s="316"/>
      <c r="HBW82" s="316"/>
      <c r="HBX82" s="316"/>
      <c r="HBY82" s="316"/>
      <c r="HBZ82" s="316"/>
      <c r="HCA82" s="316"/>
      <c r="HCB82" s="316"/>
      <c r="HCC82" s="316"/>
      <c r="HCD82" s="316"/>
      <c r="HCE82" s="316"/>
      <c r="HCF82" s="316"/>
      <c r="HCG82" s="316"/>
      <c r="HCH82" s="316"/>
      <c r="HCI82" s="316"/>
      <c r="HCJ82" s="316"/>
      <c r="HCK82" s="316"/>
      <c r="HCL82" s="316"/>
      <c r="HCM82" s="316"/>
      <c r="HCN82" s="316"/>
      <c r="HCO82" s="316"/>
      <c r="HCP82" s="316"/>
      <c r="HCQ82" s="316"/>
      <c r="HCR82" s="316"/>
      <c r="HCS82" s="316"/>
      <c r="HCT82" s="316"/>
      <c r="HCU82" s="316"/>
      <c r="HCV82" s="316"/>
      <c r="HCW82" s="316"/>
      <c r="HCX82" s="316"/>
      <c r="HCY82" s="316"/>
      <c r="HCZ82" s="316"/>
      <c r="HDA82" s="316"/>
      <c r="HDB82" s="316"/>
      <c r="HDC82" s="316"/>
      <c r="HDD82" s="316"/>
      <c r="HDE82" s="316"/>
      <c r="HDF82" s="316"/>
      <c r="HDG82" s="316"/>
      <c r="HDH82" s="316"/>
      <c r="HDI82" s="316"/>
      <c r="HDJ82" s="316"/>
      <c r="HDK82" s="316"/>
      <c r="HDL82" s="316"/>
      <c r="HDM82" s="316"/>
      <c r="HDN82" s="316"/>
      <c r="HDO82" s="316"/>
      <c r="HDP82" s="316"/>
      <c r="HDQ82" s="316"/>
      <c r="HDR82" s="316"/>
      <c r="HDS82" s="316"/>
      <c r="HDT82" s="316"/>
      <c r="HDU82" s="316"/>
      <c r="HDV82" s="316"/>
      <c r="HDW82" s="316"/>
      <c r="HDX82" s="316"/>
      <c r="HDY82" s="316"/>
      <c r="HDZ82" s="316"/>
      <c r="HEA82" s="316"/>
      <c r="HEB82" s="316"/>
      <c r="HEC82" s="316"/>
      <c r="HED82" s="316"/>
      <c r="HEE82" s="316"/>
      <c r="HEF82" s="316"/>
      <c r="HEG82" s="316"/>
      <c r="HEH82" s="316"/>
      <c r="HEI82" s="316"/>
      <c r="HEJ82" s="316"/>
      <c r="HEK82" s="316"/>
      <c r="HEL82" s="316"/>
      <c r="HEM82" s="316"/>
      <c r="HEN82" s="316"/>
      <c r="HEO82" s="316"/>
      <c r="HEP82" s="316"/>
      <c r="HEQ82" s="316"/>
      <c r="HER82" s="316"/>
      <c r="HES82" s="316"/>
      <c r="HET82" s="316"/>
      <c r="HEU82" s="316"/>
      <c r="HEV82" s="316"/>
      <c r="HEW82" s="316"/>
      <c r="HEX82" s="316"/>
      <c r="HEY82" s="316"/>
      <c r="HEZ82" s="316"/>
      <c r="HFA82" s="316"/>
      <c r="HFB82" s="316"/>
      <c r="HFC82" s="316"/>
      <c r="HFD82" s="316"/>
      <c r="HFE82" s="316"/>
      <c r="HFF82" s="316"/>
      <c r="HFG82" s="316"/>
      <c r="HFH82" s="316"/>
      <c r="HFI82" s="316"/>
      <c r="HFJ82" s="316"/>
      <c r="HFK82" s="316"/>
      <c r="HFL82" s="316"/>
      <c r="HFM82" s="316"/>
      <c r="HFN82" s="316"/>
      <c r="HFO82" s="316"/>
      <c r="HFP82" s="316"/>
      <c r="HFQ82" s="316"/>
      <c r="HFR82" s="316"/>
      <c r="HFS82" s="316"/>
      <c r="HFT82" s="316"/>
      <c r="HFU82" s="316"/>
      <c r="HFV82" s="316"/>
      <c r="HFW82" s="316"/>
      <c r="HFX82" s="316"/>
      <c r="HFY82" s="316"/>
      <c r="HFZ82" s="316"/>
      <c r="HGA82" s="316"/>
      <c r="HGB82" s="316"/>
      <c r="HGC82" s="316"/>
      <c r="HGD82" s="316"/>
      <c r="HGE82" s="316"/>
      <c r="HGF82" s="316"/>
      <c r="HGG82" s="316"/>
      <c r="HGH82" s="316"/>
      <c r="HGI82" s="316"/>
      <c r="HGJ82" s="316"/>
      <c r="HGK82" s="316"/>
      <c r="HGL82" s="316"/>
      <c r="HGM82" s="316"/>
      <c r="HGN82" s="316"/>
      <c r="HGO82" s="316"/>
      <c r="HGP82" s="316"/>
      <c r="HGQ82" s="316"/>
      <c r="HGR82" s="316"/>
      <c r="HGS82" s="316"/>
      <c r="HGT82" s="316"/>
      <c r="HGU82" s="316"/>
      <c r="HGV82" s="316"/>
      <c r="HGW82" s="316"/>
      <c r="HGX82" s="316"/>
      <c r="HGY82" s="316"/>
      <c r="HGZ82" s="316"/>
      <c r="HHA82" s="316"/>
      <c r="HHB82" s="316"/>
      <c r="HHC82" s="316"/>
      <c r="HHD82" s="316"/>
      <c r="HHE82" s="316"/>
      <c r="HHF82" s="316"/>
      <c r="HHG82" s="316"/>
      <c r="HHH82" s="316"/>
      <c r="HHI82" s="316"/>
      <c r="HHJ82" s="316"/>
      <c r="HHK82" s="316"/>
      <c r="HHL82" s="316"/>
      <c r="HHM82" s="316"/>
      <c r="HHN82" s="316"/>
      <c r="HHO82" s="316"/>
      <c r="HHP82" s="316"/>
      <c r="HHQ82" s="316"/>
      <c r="HHR82" s="316"/>
      <c r="HHS82" s="316"/>
      <c r="HHT82" s="316"/>
      <c r="HHU82" s="316"/>
      <c r="HHV82" s="316"/>
      <c r="HHW82" s="316"/>
      <c r="HHX82" s="316"/>
      <c r="HHY82" s="316"/>
      <c r="HHZ82" s="316"/>
      <c r="HIA82" s="316"/>
      <c r="HIB82" s="316"/>
      <c r="HIC82" s="316"/>
      <c r="HID82" s="316"/>
      <c r="HIE82" s="316"/>
      <c r="HIF82" s="316"/>
      <c r="HIG82" s="316"/>
      <c r="HIH82" s="316"/>
      <c r="HII82" s="316"/>
      <c r="HIJ82" s="316"/>
      <c r="HIK82" s="316"/>
      <c r="HIL82" s="316"/>
      <c r="HIM82" s="316"/>
      <c r="HIN82" s="316"/>
      <c r="HIO82" s="316"/>
      <c r="HIP82" s="316"/>
      <c r="HIQ82" s="316"/>
      <c r="HIR82" s="316"/>
      <c r="HIS82" s="316"/>
      <c r="HIT82" s="316"/>
      <c r="HIU82" s="316"/>
      <c r="HIV82" s="316"/>
      <c r="HIW82" s="316"/>
      <c r="HIX82" s="316"/>
      <c r="HIY82" s="316"/>
      <c r="HIZ82" s="316"/>
      <c r="HJA82" s="316"/>
      <c r="HJB82" s="316"/>
      <c r="HJC82" s="316"/>
      <c r="HJD82" s="316"/>
      <c r="HJE82" s="316"/>
      <c r="HJF82" s="316"/>
      <c r="HJG82" s="316"/>
      <c r="HJH82" s="316"/>
      <c r="HJI82" s="316"/>
      <c r="HJJ82" s="316"/>
      <c r="HJK82" s="316"/>
      <c r="HJL82" s="316"/>
      <c r="HJM82" s="316"/>
      <c r="HJN82" s="316"/>
      <c r="HJO82" s="316"/>
      <c r="HJP82" s="316"/>
      <c r="HJQ82" s="316"/>
      <c r="HJR82" s="316"/>
      <c r="HJS82" s="316"/>
      <c r="HJT82" s="316"/>
      <c r="HJU82" s="316"/>
      <c r="HJV82" s="316"/>
      <c r="HJW82" s="316"/>
      <c r="HJX82" s="316"/>
      <c r="HJY82" s="316"/>
      <c r="HJZ82" s="316"/>
      <c r="HKA82" s="316"/>
      <c r="HKB82" s="316"/>
      <c r="HKC82" s="316"/>
      <c r="HKD82" s="316"/>
      <c r="HKE82" s="316"/>
      <c r="HKF82" s="316"/>
      <c r="HKG82" s="316"/>
      <c r="HKH82" s="316"/>
      <c r="HKI82" s="316"/>
      <c r="HKJ82" s="316"/>
      <c r="HKK82" s="316"/>
      <c r="HKL82" s="316"/>
      <c r="HKM82" s="316"/>
      <c r="HKN82" s="316"/>
      <c r="HKO82" s="316"/>
      <c r="HKP82" s="316"/>
      <c r="HKQ82" s="316"/>
      <c r="HKR82" s="316"/>
      <c r="HKS82" s="316"/>
      <c r="HKT82" s="316"/>
      <c r="HKU82" s="316"/>
      <c r="HKV82" s="316"/>
      <c r="HKW82" s="316"/>
      <c r="HKX82" s="316"/>
      <c r="HKY82" s="316"/>
      <c r="HKZ82" s="316"/>
      <c r="HLA82" s="316"/>
      <c r="HLB82" s="316"/>
      <c r="HLC82" s="316"/>
      <c r="HLD82" s="316"/>
      <c r="HLE82" s="316"/>
      <c r="HLF82" s="316"/>
      <c r="HLG82" s="316"/>
      <c r="HLH82" s="316"/>
      <c r="HLI82" s="316"/>
      <c r="HLJ82" s="316"/>
      <c r="HLK82" s="316"/>
      <c r="HLL82" s="316"/>
      <c r="HLM82" s="316"/>
      <c r="HLN82" s="316"/>
      <c r="HLO82" s="316"/>
      <c r="HLP82" s="316"/>
      <c r="HLQ82" s="316"/>
      <c r="HLR82" s="316"/>
      <c r="HLS82" s="316"/>
      <c r="HLT82" s="316"/>
      <c r="HLU82" s="316"/>
      <c r="HLV82" s="316"/>
      <c r="HLW82" s="316"/>
      <c r="HLX82" s="316"/>
      <c r="HLY82" s="316"/>
      <c r="HLZ82" s="316"/>
      <c r="HMA82" s="316"/>
      <c r="HMB82" s="316"/>
      <c r="HMC82" s="316"/>
      <c r="HMD82" s="316"/>
      <c r="HME82" s="316"/>
      <c r="HMF82" s="316"/>
      <c r="HMG82" s="316"/>
      <c r="HMH82" s="316"/>
      <c r="HMI82" s="316"/>
      <c r="HMJ82" s="316"/>
      <c r="HMK82" s="316"/>
      <c r="HML82" s="316"/>
      <c r="HMM82" s="316"/>
      <c r="HMN82" s="316"/>
      <c r="HMO82" s="316"/>
      <c r="HMP82" s="316"/>
      <c r="HMQ82" s="316"/>
      <c r="HMR82" s="316"/>
      <c r="HMS82" s="316"/>
      <c r="HMT82" s="316"/>
      <c r="HMU82" s="316"/>
      <c r="HMV82" s="316"/>
      <c r="HMW82" s="316"/>
      <c r="HMX82" s="316"/>
      <c r="HMY82" s="316"/>
      <c r="HMZ82" s="316"/>
      <c r="HNA82" s="316"/>
      <c r="HNB82" s="316"/>
      <c r="HNC82" s="316"/>
      <c r="HND82" s="316"/>
      <c r="HNE82" s="316"/>
      <c r="HNF82" s="316"/>
      <c r="HNG82" s="316"/>
      <c r="HNH82" s="316"/>
      <c r="HNI82" s="316"/>
      <c r="HNJ82" s="316"/>
      <c r="HNK82" s="316"/>
      <c r="HNL82" s="316"/>
      <c r="HNM82" s="316"/>
      <c r="HNN82" s="316"/>
      <c r="HNO82" s="316"/>
      <c r="HNP82" s="316"/>
      <c r="HNQ82" s="316"/>
      <c r="HNR82" s="316"/>
      <c r="HNS82" s="316"/>
      <c r="HNT82" s="316"/>
      <c r="HNU82" s="316"/>
      <c r="HNV82" s="316"/>
      <c r="HNW82" s="316"/>
      <c r="HNX82" s="316"/>
      <c r="HNY82" s="316"/>
      <c r="HNZ82" s="316"/>
      <c r="HOA82" s="316"/>
      <c r="HOB82" s="316"/>
      <c r="HOC82" s="316"/>
      <c r="HOD82" s="316"/>
      <c r="HOE82" s="316"/>
      <c r="HOF82" s="316"/>
      <c r="HOG82" s="316"/>
      <c r="HOH82" s="316"/>
      <c r="HOI82" s="316"/>
      <c r="HOJ82" s="316"/>
      <c r="HOK82" s="316"/>
      <c r="HOL82" s="316"/>
      <c r="HOM82" s="316"/>
      <c r="HON82" s="316"/>
      <c r="HOO82" s="316"/>
      <c r="HOP82" s="316"/>
      <c r="HOQ82" s="316"/>
      <c r="HOR82" s="316"/>
      <c r="HOS82" s="316"/>
      <c r="HOT82" s="316"/>
      <c r="HOU82" s="316"/>
      <c r="HOV82" s="316"/>
      <c r="HOW82" s="316"/>
      <c r="HOX82" s="316"/>
      <c r="HOY82" s="316"/>
      <c r="HOZ82" s="316"/>
      <c r="HPA82" s="316"/>
      <c r="HPB82" s="316"/>
      <c r="HPC82" s="316"/>
      <c r="HPD82" s="316"/>
      <c r="HPE82" s="316"/>
      <c r="HPF82" s="316"/>
      <c r="HPG82" s="316"/>
      <c r="HPH82" s="316"/>
      <c r="HPI82" s="316"/>
      <c r="HPJ82" s="316"/>
      <c r="HPK82" s="316"/>
      <c r="HPL82" s="316"/>
      <c r="HPM82" s="316"/>
      <c r="HPN82" s="316"/>
      <c r="HPO82" s="316"/>
      <c r="HPP82" s="316"/>
      <c r="HPQ82" s="316"/>
      <c r="HPR82" s="316"/>
      <c r="HPS82" s="316"/>
      <c r="HPT82" s="316"/>
      <c r="HPU82" s="316"/>
      <c r="HPV82" s="316"/>
      <c r="HPW82" s="316"/>
      <c r="HPX82" s="316"/>
      <c r="HPY82" s="316"/>
      <c r="HPZ82" s="316"/>
      <c r="HQA82" s="316"/>
      <c r="HQB82" s="316"/>
      <c r="HQC82" s="316"/>
      <c r="HQD82" s="316"/>
      <c r="HQE82" s="316"/>
      <c r="HQF82" s="316"/>
      <c r="HQG82" s="316"/>
      <c r="HQH82" s="316"/>
      <c r="HQI82" s="316"/>
      <c r="HQJ82" s="316"/>
      <c r="HQK82" s="316"/>
      <c r="HQL82" s="316"/>
      <c r="HQM82" s="316"/>
      <c r="HQN82" s="316"/>
      <c r="HQO82" s="316"/>
      <c r="HQP82" s="316"/>
      <c r="HQQ82" s="316"/>
      <c r="HQR82" s="316"/>
      <c r="HQS82" s="316"/>
      <c r="HQT82" s="316"/>
      <c r="HQU82" s="316"/>
      <c r="HQV82" s="316"/>
      <c r="HQW82" s="316"/>
      <c r="HQX82" s="316"/>
      <c r="HQY82" s="316"/>
      <c r="HQZ82" s="316"/>
      <c r="HRA82" s="316"/>
      <c r="HRB82" s="316"/>
      <c r="HRC82" s="316"/>
      <c r="HRD82" s="316"/>
      <c r="HRE82" s="316"/>
      <c r="HRF82" s="316"/>
      <c r="HRG82" s="316"/>
      <c r="HRH82" s="316"/>
      <c r="HRI82" s="316"/>
      <c r="HRJ82" s="316"/>
      <c r="HRK82" s="316"/>
      <c r="HRL82" s="316"/>
      <c r="HRM82" s="316"/>
      <c r="HRN82" s="316"/>
      <c r="HRO82" s="316"/>
      <c r="HRP82" s="316"/>
      <c r="HRQ82" s="316"/>
      <c r="HRR82" s="316"/>
      <c r="HRS82" s="316"/>
      <c r="HRT82" s="316"/>
      <c r="HRU82" s="316"/>
      <c r="HRV82" s="316"/>
      <c r="HRW82" s="316"/>
      <c r="HRX82" s="316"/>
      <c r="HRY82" s="316"/>
      <c r="HRZ82" s="316"/>
      <c r="HSA82" s="316"/>
      <c r="HSB82" s="316"/>
      <c r="HSC82" s="316"/>
      <c r="HSD82" s="316"/>
      <c r="HSE82" s="316"/>
      <c r="HSF82" s="316"/>
      <c r="HSG82" s="316"/>
      <c r="HSH82" s="316"/>
      <c r="HSI82" s="316"/>
      <c r="HSJ82" s="316"/>
      <c r="HSK82" s="316"/>
      <c r="HSL82" s="316"/>
      <c r="HSM82" s="316"/>
      <c r="HSN82" s="316"/>
      <c r="HSO82" s="316"/>
      <c r="HSP82" s="316"/>
      <c r="HSQ82" s="316"/>
      <c r="HSR82" s="316"/>
      <c r="HSS82" s="316"/>
      <c r="HST82" s="316"/>
      <c r="HSU82" s="316"/>
      <c r="HSV82" s="316"/>
      <c r="HSW82" s="316"/>
      <c r="HSX82" s="316"/>
      <c r="HSY82" s="316"/>
      <c r="HSZ82" s="316"/>
      <c r="HTA82" s="316"/>
      <c r="HTB82" s="316"/>
      <c r="HTC82" s="316"/>
      <c r="HTD82" s="316"/>
      <c r="HTE82" s="316"/>
      <c r="HTF82" s="316"/>
      <c r="HTG82" s="316"/>
      <c r="HTH82" s="316"/>
      <c r="HTI82" s="316"/>
      <c r="HTJ82" s="316"/>
      <c r="HTK82" s="316"/>
      <c r="HTL82" s="316"/>
      <c r="HTM82" s="316"/>
      <c r="HTN82" s="316"/>
      <c r="HTO82" s="316"/>
      <c r="HTP82" s="316"/>
      <c r="HTQ82" s="316"/>
      <c r="HTR82" s="316"/>
      <c r="HTS82" s="316"/>
      <c r="HTT82" s="316"/>
      <c r="HTU82" s="316"/>
      <c r="HTV82" s="316"/>
      <c r="HTW82" s="316"/>
      <c r="HTX82" s="316"/>
      <c r="HTY82" s="316"/>
      <c r="HTZ82" s="316"/>
      <c r="HUA82" s="316"/>
      <c r="HUB82" s="316"/>
      <c r="HUC82" s="316"/>
      <c r="HUD82" s="316"/>
      <c r="HUE82" s="316"/>
      <c r="HUF82" s="316"/>
      <c r="HUG82" s="316"/>
      <c r="HUH82" s="316"/>
      <c r="HUI82" s="316"/>
      <c r="HUJ82" s="316"/>
      <c r="HUK82" s="316"/>
      <c r="HUL82" s="316"/>
      <c r="HUM82" s="316"/>
      <c r="HUN82" s="316"/>
      <c r="HUO82" s="316"/>
      <c r="HUP82" s="316"/>
      <c r="HUQ82" s="316"/>
      <c r="HUR82" s="316"/>
      <c r="HUS82" s="316"/>
      <c r="HUT82" s="316"/>
      <c r="HUU82" s="316"/>
      <c r="HUV82" s="316"/>
      <c r="HUW82" s="316"/>
      <c r="HUX82" s="316"/>
      <c r="HUY82" s="316"/>
      <c r="HUZ82" s="316"/>
      <c r="HVA82" s="316"/>
      <c r="HVB82" s="316"/>
      <c r="HVC82" s="316"/>
      <c r="HVD82" s="316"/>
      <c r="HVE82" s="316"/>
      <c r="HVF82" s="316"/>
      <c r="HVG82" s="316"/>
      <c r="HVH82" s="316"/>
      <c r="HVI82" s="316"/>
      <c r="HVJ82" s="316"/>
      <c r="HVK82" s="316"/>
      <c r="HVL82" s="316"/>
      <c r="HVM82" s="316"/>
      <c r="HVN82" s="316"/>
      <c r="HVO82" s="316"/>
      <c r="HVP82" s="316"/>
      <c r="HVQ82" s="316"/>
      <c r="HVR82" s="316"/>
      <c r="HVS82" s="316"/>
      <c r="HVT82" s="316"/>
      <c r="HVU82" s="316"/>
      <c r="HVV82" s="316"/>
      <c r="HVW82" s="316"/>
      <c r="HVX82" s="316"/>
      <c r="HVY82" s="316"/>
      <c r="HVZ82" s="316"/>
      <c r="HWA82" s="316"/>
      <c r="HWB82" s="316"/>
      <c r="HWC82" s="316"/>
      <c r="HWD82" s="316"/>
      <c r="HWE82" s="316"/>
      <c r="HWF82" s="316"/>
      <c r="HWG82" s="316"/>
      <c r="HWH82" s="316"/>
      <c r="HWI82" s="316"/>
      <c r="HWJ82" s="316"/>
      <c r="HWK82" s="316"/>
      <c r="HWL82" s="316"/>
      <c r="HWM82" s="316"/>
      <c r="HWN82" s="316"/>
      <c r="HWO82" s="316"/>
      <c r="HWP82" s="316"/>
      <c r="HWQ82" s="316"/>
      <c r="HWR82" s="316"/>
      <c r="HWS82" s="316"/>
      <c r="HWT82" s="316"/>
      <c r="HWU82" s="316"/>
      <c r="HWV82" s="316"/>
      <c r="HWW82" s="316"/>
      <c r="HWX82" s="316"/>
      <c r="HWY82" s="316"/>
      <c r="HWZ82" s="316"/>
      <c r="HXA82" s="316"/>
      <c r="HXB82" s="316"/>
      <c r="HXC82" s="316"/>
      <c r="HXD82" s="316"/>
      <c r="HXE82" s="316"/>
      <c r="HXF82" s="316"/>
      <c r="HXG82" s="316"/>
      <c r="HXH82" s="316"/>
      <c r="HXI82" s="316"/>
      <c r="HXJ82" s="316"/>
      <c r="HXK82" s="316"/>
      <c r="HXL82" s="316"/>
      <c r="HXM82" s="316"/>
      <c r="HXN82" s="316"/>
      <c r="HXO82" s="316"/>
      <c r="HXP82" s="316"/>
      <c r="HXQ82" s="316"/>
      <c r="HXR82" s="316"/>
      <c r="HXS82" s="316"/>
      <c r="HXT82" s="316"/>
      <c r="HXU82" s="316"/>
      <c r="HXV82" s="316"/>
      <c r="HXW82" s="316"/>
      <c r="HXX82" s="316"/>
      <c r="HXY82" s="316"/>
      <c r="HXZ82" s="316"/>
      <c r="HYA82" s="316"/>
      <c r="HYB82" s="316"/>
      <c r="HYC82" s="316"/>
      <c r="HYD82" s="316"/>
      <c r="HYE82" s="316"/>
      <c r="HYF82" s="316"/>
      <c r="HYG82" s="316"/>
      <c r="HYH82" s="316"/>
      <c r="HYI82" s="316"/>
      <c r="HYJ82" s="316"/>
      <c r="HYK82" s="316"/>
      <c r="HYL82" s="316"/>
      <c r="HYM82" s="316"/>
      <c r="HYN82" s="316"/>
      <c r="HYO82" s="316"/>
      <c r="HYP82" s="316"/>
      <c r="HYQ82" s="316"/>
      <c r="HYR82" s="316"/>
      <c r="HYS82" s="316"/>
      <c r="HYT82" s="316"/>
      <c r="HYU82" s="316"/>
      <c r="HYV82" s="316"/>
      <c r="HYW82" s="316"/>
      <c r="HYX82" s="316"/>
      <c r="HYY82" s="316"/>
      <c r="HYZ82" s="316"/>
      <c r="HZA82" s="316"/>
      <c r="HZB82" s="316"/>
      <c r="HZC82" s="316"/>
      <c r="HZD82" s="316"/>
      <c r="HZE82" s="316"/>
      <c r="HZF82" s="316"/>
      <c r="HZG82" s="316"/>
      <c r="HZH82" s="316"/>
      <c r="HZI82" s="316"/>
      <c r="HZJ82" s="316"/>
      <c r="HZK82" s="316"/>
      <c r="HZL82" s="316"/>
      <c r="HZM82" s="316"/>
      <c r="HZN82" s="316"/>
      <c r="HZO82" s="316"/>
      <c r="HZP82" s="316"/>
      <c r="HZQ82" s="316"/>
      <c r="HZR82" s="316"/>
      <c r="HZS82" s="316"/>
      <c r="HZT82" s="316"/>
      <c r="HZU82" s="316"/>
      <c r="HZV82" s="316"/>
      <c r="HZW82" s="316"/>
      <c r="HZX82" s="316"/>
      <c r="HZY82" s="316"/>
      <c r="HZZ82" s="316"/>
      <c r="IAA82" s="316"/>
      <c r="IAB82" s="316"/>
      <c r="IAC82" s="316"/>
      <c r="IAD82" s="316"/>
      <c r="IAE82" s="316"/>
      <c r="IAF82" s="316"/>
      <c r="IAG82" s="316"/>
      <c r="IAH82" s="316"/>
      <c r="IAI82" s="316"/>
      <c r="IAJ82" s="316"/>
      <c r="IAK82" s="316"/>
      <c r="IAL82" s="316"/>
      <c r="IAM82" s="316"/>
      <c r="IAN82" s="316"/>
      <c r="IAO82" s="316"/>
      <c r="IAP82" s="316"/>
      <c r="IAQ82" s="316"/>
      <c r="IAR82" s="316"/>
      <c r="IAS82" s="316"/>
      <c r="IAT82" s="316"/>
      <c r="IAU82" s="316"/>
      <c r="IAV82" s="316"/>
      <c r="IAW82" s="316"/>
      <c r="IAX82" s="316"/>
      <c r="IAY82" s="316"/>
      <c r="IAZ82" s="316"/>
      <c r="IBA82" s="316"/>
      <c r="IBB82" s="316"/>
      <c r="IBC82" s="316"/>
      <c r="IBD82" s="316"/>
      <c r="IBE82" s="316"/>
      <c r="IBF82" s="316"/>
      <c r="IBG82" s="316"/>
      <c r="IBH82" s="316"/>
      <c r="IBI82" s="316"/>
      <c r="IBJ82" s="316"/>
      <c r="IBK82" s="316"/>
      <c r="IBL82" s="316"/>
      <c r="IBM82" s="316"/>
      <c r="IBN82" s="316"/>
      <c r="IBO82" s="316"/>
      <c r="IBP82" s="316"/>
      <c r="IBQ82" s="316"/>
      <c r="IBR82" s="316"/>
      <c r="IBS82" s="316"/>
      <c r="IBT82" s="316"/>
      <c r="IBU82" s="316"/>
      <c r="IBV82" s="316"/>
      <c r="IBW82" s="316"/>
      <c r="IBX82" s="316"/>
      <c r="IBY82" s="316"/>
      <c r="IBZ82" s="316"/>
      <c r="ICA82" s="316"/>
      <c r="ICB82" s="316"/>
      <c r="ICC82" s="316"/>
      <c r="ICD82" s="316"/>
      <c r="ICE82" s="316"/>
      <c r="ICF82" s="316"/>
      <c r="ICG82" s="316"/>
      <c r="ICH82" s="316"/>
      <c r="ICI82" s="316"/>
      <c r="ICJ82" s="316"/>
      <c r="ICK82" s="316"/>
      <c r="ICL82" s="316"/>
      <c r="ICM82" s="316"/>
      <c r="ICN82" s="316"/>
      <c r="ICO82" s="316"/>
      <c r="ICP82" s="316"/>
      <c r="ICQ82" s="316"/>
      <c r="ICR82" s="316"/>
      <c r="ICS82" s="316"/>
      <c r="ICT82" s="316"/>
      <c r="ICU82" s="316"/>
      <c r="ICV82" s="316"/>
      <c r="ICW82" s="316"/>
      <c r="ICX82" s="316"/>
      <c r="ICY82" s="316"/>
      <c r="ICZ82" s="316"/>
      <c r="IDA82" s="316"/>
      <c r="IDB82" s="316"/>
      <c r="IDC82" s="316"/>
      <c r="IDD82" s="316"/>
      <c r="IDE82" s="316"/>
      <c r="IDF82" s="316"/>
      <c r="IDG82" s="316"/>
      <c r="IDH82" s="316"/>
      <c r="IDI82" s="316"/>
      <c r="IDJ82" s="316"/>
      <c r="IDK82" s="316"/>
      <c r="IDL82" s="316"/>
      <c r="IDM82" s="316"/>
      <c r="IDN82" s="316"/>
      <c r="IDO82" s="316"/>
      <c r="IDP82" s="316"/>
      <c r="IDQ82" s="316"/>
      <c r="IDR82" s="316"/>
      <c r="IDS82" s="316"/>
      <c r="IDT82" s="316"/>
      <c r="IDU82" s="316"/>
      <c r="IDV82" s="316"/>
      <c r="IDW82" s="316"/>
      <c r="IDX82" s="316"/>
      <c r="IDY82" s="316"/>
      <c r="IDZ82" s="316"/>
      <c r="IEA82" s="316"/>
      <c r="IEB82" s="316"/>
      <c r="IEC82" s="316"/>
      <c r="IED82" s="316"/>
      <c r="IEE82" s="316"/>
      <c r="IEF82" s="316"/>
      <c r="IEG82" s="316"/>
      <c r="IEH82" s="316"/>
      <c r="IEI82" s="316"/>
      <c r="IEJ82" s="316"/>
      <c r="IEK82" s="316"/>
      <c r="IEL82" s="316"/>
      <c r="IEM82" s="316"/>
      <c r="IEN82" s="316"/>
      <c r="IEO82" s="316"/>
      <c r="IEP82" s="316"/>
      <c r="IEQ82" s="316"/>
      <c r="IER82" s="316"/>
      <c r="IES82" s="316"/>
      <c r="IET82" s="316"/>
      <c r="IEU82" s="316"/>
      <c r="IEV82" s="316"/>
      <c r="IEW82" s="316"/>
      <c r="IEX82" s="316"/>
      <c r="IEY82" s="316"/>
      <c r="IEZ82" s="316"/>
      <c r="IFA82" s="316"/>
      <c r="IFB82" s="316"/>
      <c r="IFC82" s="316"/>
      <c r="IFD82" s="316"/>
      <c r="IFE82" s="316"/>
      <c r="IFF82" s="316"/>
      <c r="IFG82" s="316"/>
      <c r="IFH82" s="316"/>
      <c r="IFI82" s="316"/>
      <c r="IFJ82" s="316"/>
      <c r="IFK82" s="316"/>
      <c r="IFL82" s="316"/>
      <c r="IFM82" s="316"/>
      <c r="IFN82" s="316"/>
      <c r="IFO82" s="316"/>
      <c r="IFP82" s="316"/>
      <c r="IFQ82" s="316"/>
      <c r="IFR82" s="316"/>
      <c r="IFS82" s="316"/>
      <c r="IFT82" s="316"/>
      <c r="IFU82" s="316"/>
      <c r="IFV82" s="316"/>
      <c r="IFW82" s="316"/>
      <c r="IFX82" s="316"/>
      <c r="IFY82" s="316"/>
      <c r="IFZ82" s="316"/>
      <c r="IGA82" s="316"/>
      <c r="IGB82" s="316"/>
      <c r="IGC82" s="316"/>
      <c r="IGD82" s="316"/>
      <c r="IGE82" s="316"/>
      <c r="IGF82" s="316"/>
      <c r="IGG82" s="316"/>
      <c r="IGH82" s="316"/>
      <c r="IGI82" s="316"/>
      <c r="IGJ82" s="316"/>
      <c r="IGK82" s="316"/>
      <c r="IGL82" s="316"/>
      <c r="IGM82" s="316"/>
      <c r="IGN82" s="316"/>
      <c r="IGO82" s="316"/>
      <c r="IGP82" s="316"/>
      <c r="IGQ82" s="316"/>
      <c r="IGR82" s="316"/>
      <c r="IGS82" s="316"/>
      <c r="IGT82" s="316"/>
      <c r="IGU82" s="316"/>
      <c r="IGV82" s="316"/>
      <c r="IGW82" s="316"/>
      <c r="IGX82" s="316"/>
      <c r="IGY82" s="316"/>
      <c r="IGZ82" s="316"/>
      <c r="IHA82" s="316"/>
      <c r="IHB82" s="316"/>
      <c r="IHC82" s="316"/>
      <c r="IHD82" s="316"/>
      <c r="IHE82" s="316"/>
      <c r="IHF82" s="316"/>
      <c r="IHG82" s="316"/>
      <c r="IHH82" s="316"/>
      <c r="IHI82" s="316"/>
      <c r="IHJ82" s="316"/>
      <c r="IHK82" s="316"/>
      <c r="IHL82" s="316"/>
      <c r="IHM82" s="316"/>
      <c r="IHN82" s="316"/>
      <c r="IHO82" s="316"/>
      <c r="IHP82" s="316"/>
      <c r="IHQ82" s="316"/>
      <c r="IHR82" s="316"/>
      <c r="IHS82" s="316"/>
      <c r="IHT82" s="316"/>
      <c r="IHU82" s="316"/>
      <c r="IHV82" s="316"/>
      <c r="IHW82" s="316"/>
      <c r="IHX82" s="316"/>
      <c r="IHY82" s="316"/>
      <c r="IHZ82" s="316"/>
      <c r="IIA82" s="316"/>
      <c r="IIB82" s="316"/>
      <c r="IIC82" s="316"/>
      <c r="IID82" s="316"/>
      <c r="IIE82" s="316"/>
      <c r="IIF82" s="316"/>
      <c r="IIG82" s="316"/>
      <c r="IIH82" s="316"/>
      <c r="III82" s="316"/>
      <c r="IIJ82" s="316"/>
      <c r="IIK82" s="316"/>
      <c r="IIL82" s="316"/>
      <c r="IIM82" s="316"/>
      <c r="IIN82" s="316"/>
      <c r="IIO82" s="316"/>
      <c r="IIP82" s="316"/>
      <c r="IIQ82" s="316"/>
      <c r="IIR82" s="316"/>
      <c r="IIS82" s="316"/>
      <c r="IIT82" s="316"/>
      <c r="IIU82" s="316"/>
      <c r="IIV82" s="316"/>
      <c r="IIW82" s="316"/>
      <c r="IIX82" s="316"/>
      <c r="IIY82" s="316"/>
      <c r="IIZ82" s="316"/>
      <c r="IJA82" s="316"/>
      <c r="IJB82" s="316"/>
      <c r="IJC82" s="316"/>
      <c r="IJD82" s="316"/>
      <c r="IJE82" s="316"/>
      <c r="IJF82" s="316"/>
      <c r="IJG82" s="316"/>
      <c r="IJH82" s="316"/>
      <c r="IJI82" s="316"/>
      <c r="IJJ82" s="316"/>
      <c r="IJK82" s="316"/>
      <c r="IJL82" s="316"/>
      <c r="IJM82" s="316"/>
      <c r="IJN82" s="316"/>
      <c r="IJO82" s="316"/>
      <c r="IJP82" s="316"/>
      <c r="IJQ82" s="316"/>
      <c r="IJR82" s="316"/>
      <c r="IJS82" s="316"/>
      <c r="IJT82" s="316"/>
      <c r="IJU82" s="316"/>
      <c r="IJV82" s="316"/>
      <c r="IJW82" s="316"/>
      <c r="IJX82" s="316"/>
      <c r="IJY82" s="316"/>
      <c r="IJZ82" s="316"/>
      <c r="IKA82" s="316"/>
      <c r="IKB82" s="316"/>
      <c r="IKC82" s="316"/>
      <c r="IKD82" s="316"/>
      <c r="IKE82" s="316"/>
      <c r="IKF82" s="316"/>
      <c r="IKG82" s="316"/>
      <c r="IKH82" s="316"/>
      <c r="IKI82" s="316"/>
      <c r="IKJ82" s="316"/>
      <c r="IKK82" s="316"/>
      <c r="IKL82" s="316"/>
      <c r="IKM82" s="316"/>
      <c r="IKN82" s="316"/>
      <c r="IKO82" s="316"/>
      <c r="IKP82" s="316"/>
      <c r="IKQ82" s="316"/>
      <c r="IKR82" s="316"/>
      <c r="IKS82" s="316"/>
      <c r="IKT82" s="316"/>
      <c r="IKU82" s="316"/>
      <c r="IKV82" s="316"/>
      <c r="IKW82" s="316"/>
      <c r="IKX82" s="316"/>
      <c r="IKY82" s="316"/>
      <c r="IKZ82" s="316"/>
      <c r="ILA82" s="316"/>
      <c r="ILB82" s="316"/>
      <c r="ILC82" s="316"/>
      <c r="ILD82" s="316"/>
      <c r="ILE82" s="316"/>
      <c r="ILF82" s="316"/>
      <c r="ILG82" s="316"/>
      <c r="ILH82" s="316"/>
      <c r="ILI82" s="316"/>
      <c r="ILJ82" s="316"/>
      <c r="ILK82" s="316"/>
      <c r="ILL82" s="316"/>
      <c r="ILM82" s="316"/>
      <c r="ILN82" s="316"/>
      <c r="ILO82" s="316"/>
      <c r="ILP82" s="316"/>
      <c r="ILQ82" s="316"/>
      <c r="ILR82" s="316"/>
      <c r="ILS82" s="316"/>
      <c r="ILT82" s="316"/>
      <c r="ILU82" s="316"/>
      <c r="ILV82" s="316"/>
      <c r="ILW82" s="316"/>
      <c r="ILX82" s="316"/>
      <c r="ILY82" s="316"/>
      <c r="ILZ82" s="316"/>
      <c r="IMA82" s="316"/>
      <c r="IMB82" s="316"/>
      <c r="IMC82" s="316"/>
      <c r="IMD82" s="316"/>
      <c r="IME82" s="316"/>
      <c r="IMF82" s="316"/>
      <c r="IMG82" s="316"/>
      <c r="IMH82" s="316"/>
      <c r="IMI82" s="316"/>
      <c r="IMJ82" s="316"/>
      <c r="IMK82" s="316"/>
      <c r="IML82" s="316"/>
      <c r="IMM82" s="316"/>
      <c r="IMN82" s="316"/>
      <c r="IMO82" s="316"/>
      <c r="IMP82" s="316"/>
      <c r="IMQ82" s="316"/>
      <c r="IMR82" s="316"/>
      <c r="IMS82" s="316"/>
      <c r="IMT82" s="316"/>
      <c r="IMU82" s="316"/>
      <c r="IMV82" s="316"/>
      <c r="IMW82" s="316"/>
      <c r="IMX82" s="316"/>
      <c r="IMY82" s="316"/>
      <c r="IMZ82" s="316"/>
      <c r="INA82" s="316"/>
      <c r="INB82" s="316"/>
      <c r="INC82" s="316"/>
      <c r="IND82" s="316"/>
      <c r="INE82" s="316"/>
      <c r="INF82" s="316"/>
      <c r="ING82" s="316"/>
      <c r="INH82" s="316"/>
      <c r="INI82" s="316"/>
      <c r="INJ82" s="316"/>
      <c r="INK82" s="316"/>
      <c r="INL82" s="316"/>
      <c r="INM82" s="316"/>
      <c r="INN82" s="316"/>
      <c r="INO82" s="316"/>
      <c r="INP82" s="316"/>
      <c r="INQ82" s="316"/>
      <c r="INR82" s="316"/>
      <c r="INS82" s="316"/>
      <c r="INT82" s="316"/>
      <c r="INU82" s="316"/>
      <c r="INV82" s="316"/>
      <c r="INW82" s="316"/>
      <c r="INX82" s="316"/>
      <c r="INY82" s="316"/>
      <c r="INZ82" s="316"/>
      <c r="IOA82" s="316"/>
      <c r="IOB82" s="316"/>
      <c r="IOC82" s="316"/>
      <c r="IOD82" s="316"/>
      <c r="IOE82" s="316"/>
      <c r="IOF82" s="316"/>
      <c r="IOG82" s="316"/>
      <c r="IOH82" s="316"/>
      <c r="IOI82" s="316"/>
      <c r="IOJ82" s="316"/>
      <c r="IOK82" s="316"/>
      <c r="IOL82" s="316"/>
      <c r="IOM82" s="316"/>
      <c r="ION82" s="316"/>
      <c r="IOO82" s="316"/>
      <c r="IOP82" s="316"/>
      <c r="IOQ82" s="316"/>
      <c r="IOR82" s="316"/>
      <c r="IOS82" s="316"/>
      <c r="IOT82" s="316"/>
      <c r="IOU82" s="316"/>
      <c r="IOV82" s="316"/>
      <c r="IOW82" s="316"/>
      <c r="IOX82" s="316"/>
      <c r="IOY82" s="316"/>
      <c r="IOZ82" s="316"/>
      <c r="IPA82" s="316"/>
      <c r="IPB82" s="316"/>
      <c r="IPC82" s="316"/>
      <c r="IPD82" s="316"/>
      <c r="IPE82" s="316"/>
      <c r="IPF82" s="316"/>
      <c r="IPG82" s="316"/>
      <c r="IPH82" s="316"/>
      <c r="IPI82" s="316"/>
      <c r="IPJ82" s="316"/>
      <c r="IPK82" s="316"/>
      <c r="IPL82" s="316"/>
      <c r="IPM82" s="316"/>
      <c r="IPN82" s="316"/>
      <c r="IPO82" s="316"/>
      <c r="IPP82" s="316"/>
      <c r="IPQ82" s="316"/>
      <c r="IPR82" s="316"/>
      <c r="IPS82" s="316"/>
      <c r="IPT82" s="316"/>
      <c r="IPU82" s="316"/>
      <c r="IPV82" s="316"/>
      <c r="IPW82" s="316"/>
      <c r="IPX82" s="316"/>
      <c r="IPY82" s="316"/>
      <c r="IPZ82" s="316"/>
      <c r="IQA82" s="316"/>
      <c r="IQB82" s="316"/>
      <c r="IQC82" s="316"/>
      <c r="IQD82" s="316"/>
      <c r="IQE82" s="316"/>
      <c r="IQF82" s="316"/>
      <c r="IQG82" s="316"/>
      <c r="IQH82" s="316"/>
      <c r="IQI82" s="316"/>
      <c r="IQJ82" s="316"/>
      <c r="IQK82" s="316"/>
      <c r="IQL82" s="316"/>
      <c r="IQM82" s="316"/>
      <c r="IQN82" s="316"/>
      <c r="IQO82" s="316"/>
      <c r="IQP82" s="316"/>
      <c r="IQQ82" s="316"/>
      <c r="IQR82" s="316"/>
      <c r="IQS82" s="316"/>
      <c r="IQT82" s="316"/>
      <c r="IQU82" s="316"/>
      <c r="IQV82" s="316"/>
      <c r="IQW82" s="316"/>
      <c r="IQX82" s="316"/>
      <c r="IQY82" s="316"/>
      <c r="IQZ82" s="316"/>
      <c r="IRA82" s="316"/>
      <c r="IRB82" s="316"/>
      <c r="IRC82" s="316"/>
      <c r="IRD82" s="316"/>
      <c r="IRE82" s="316"/>
      <c r="IRF82" s="316"/>
      <c r="IRG82" s="316"/>
      <c r="IRH82" s="316"/>
      <c r="IRI82" s="316"/>
      <c r="IRJ82" s="316"/>
      <c r="IRK82" s="316"/>
      <c r="IRL82" s="316"/>
      <c r="IRM82" s="316"/>
      <c r="IRN82" s="316"/>
      <c r="IRO82" s="316"/>
      <c r="IRP82" s="316"/>
      <c r="IRQ82" s="316"/>
      <c r="IRR82" s="316"/>
      <c r="IRS82" s="316"/>
      <c r="IRT82" s="316"/>
      <c r="IRU82" s="316"/>
      <c r="IRV82" s="316"/>
      <c r="IRW82" s="316"/>
      <c r="IRX82" s="316"/>
      <c r="IRY82" s="316"/>
      <c r="IRZ82" s="316"/>
      <c r="ISA82" s="316"/>
      <c r="ISB82" s="316"/>
      <c r="ISC82" s="316"/>
      <c r="ISD82" s="316"/>
      <c r="ISE82" s="316"/>
      <c r="ISF82" s="316"/>
      <c r="ISG82" s="316"/>
      <c r="ISH82" s="316"/>
      <c r="ISI82" s="316"/>
      <c r="ISJ82" s="316"/>
      <c r="ISK82" s="316"/>
      <c r="ISL82" s="316"/>
      <c r="ISM82" s="316"/>
      <c r="ISN82" s="316"/>
      <c r="ISO82" s="316"/>
      <c r="ISP82" s="316"/>
      <c r="ISQ82" s="316"/>
      <c r="ISR82" s="316"/>
      <c r="ISS82" s="316"/>
      <c r="IST82" s="316"/>
      <c r="ISU82" s="316"/>
      <c r="ISV82" s="316"/>
      <c r="ISW82" s="316"/>
      <c r="ISX82" s="316"/>
      <c r="ISY82" s="316"/>
      <c r="ISZ82" s="316"/>
      <c r="ITA82" s="316"/>
      <c r="ITB82" s="316"/>
      <c r="ITC82" s="316"/>
      <c r="ITD82" s="316"/>
      <c r="ITE82" s="316"/>
      <c r="ITF82" s="316"/>
      <c r="ITG82" s="316"/>
      <c r="ITH82" s="316"/>
      <c r="ITI82" s="316"/>
      <c r="ITJ82" s="316"/>
      <c r="ITK82" s="316"/>
      <c r="ITL82" s="316"/>
      <c r="ITM82" s="316"/>
      <c r="ITN82" s="316"/>
      <c r="ITO82" s="316"/>
      <c r="ITP82" s="316"/>
      <c r="ITQ82" s="316"/>
      <c r="ITR82" s="316"/>
      <c r="ITS82" s="316"/>
      <c r="ITT82" s="316"/>
      <c r="ITU82" s="316"/>
      <c r="ITV82" s="316"/>
      <c r="ITW82" s="316"/>
      <c r="ITX82" s="316"/>
      <c r="ITY82" s="316"/>
      <c r="ITZ82" s="316"/>
      <c r="IUA82" s="316"/>
      <c r="IUB82" s="316"/>
      <c r="IUC82" s="316"/>
      <c r="IUD82" s="316"/>
      <c r="IUE82" s="316"/>
      <c r="IUF82" s="316"/>
      <c r="IUG82" s="316"/>
      <c r="IUH82" s="316"/>
      <c r="IUI82" s="316"/>
      <c r="IUJ82" s="316"/>
      <c r="IUK82" s="316"/>
      <c r="IUL82" s="316"/>
      <c r="IUM82" s="316"/>
      <c r="IUN82" s="316"/>
      <c r="IUO82" s="316"/>
      <c r="IUP82" s="316"/>
      <c r="IUQ82" s="316"/>
      <c r="IUR82" s="316"/>
      <c r="IUS82" s="316"/>
      <c r="IUT82" s="316"/>
      <c r="IUU82" s="316"/>
      <c r="IUV82" s="316"/>
      <c r="IUW82" s="316"/>
      <c r="IUX82" s="316"/>
      <c r="IUY82" s="316"/>
      <c r="IUZ82" s="316"/>
      <c r="IVA82" s="316"/>
      <c r="IVB82" s="316"/>
      <c r="IVC82" s="316"/>
      <c r="IVD82" s="316"/>
      <c r="IVE82" s="316"/>
      <c r="IVF82" s="316"/>
      <c r="IVG82" s="316"/>
      <c r="IVH82" s="316"/>
      <c r="IVI82" s="316"/>
      <c r="IVJ82" s="316"/>
      <c r="IVK82" s="316"/>
      <c r="IVL82" s="316"/>
      <c r="IVM82" s="316"/>
      <c r="IVN82" s="316"/>
      <c r="IVO82" s="316"/>
      <c r="IVP82" s="316"/>
      <c r="IVQ82" s="316"/>
      <c r="IVR82" s="316"/>
      <c r="IVS82" s="316"/>
      <c r="IVT82" s="316"/>
      <c r="IVU82" s="316"/>
      <c r="IVV82" s="316"/>
      <c r="IVW82" s="316"/>
      <c r="IVX82" s="316"/>
      <c r="IVY82" s="316"/>
      <c r="IVZ82" s="316"/>
      <c r="IWA82" s="316"/>
      <c r="IWB82" s="316"/>
      <c r="IWC82" s="316"/>
      <c r="IWD82" s="316"/>
      <c r="IWE82" s="316"/>
      <c r="IWF82" s="316"/>
      <c r="IWG82" s="316"/>
      <c r="IWH82" s="316"/>
      <c r="IWI82" s="316"/>
      <c r="IWJ82" s="316"/>
      <c r="IWK82" s="316"/>
      <c r="IWL82" s="316"/>
      <c r="IWM82" s="316"/>
      <c r="IWN82" s="316"/>
      <c r="IWO82" s="316"/>
      <c r="IWP82" s="316"/>
      <c r="IWQ82" s="316"/>
      <c r="IWR82" s="316"/>
      <c r="IWS82" s="316"/>
      <c r="IWT82" s="316"/>
      <c r="IWU82" s="316"/>
      <c r="IWV82" s="316"/>
      <c r="IWW82" s="316"/>
      <c r="IWX82" s="316"/>
      <c r="IWY82" s="316"/>
      <c r="IWZ82" s="316"/>
      <c r="IXA82" s="316"/>
      <c r="IXB82" s="316"/>
      <c r="IXC82" s="316"/>
      <c r="IXD82" s="316"/>
      <c r="IXE82" s="316"/>
      <c r="IXF82" s="316"/>
      <c r="IXG82" s="316"/>
      <c r="IXH82" s="316"/>
      <c r="IXI82" s="316"/>
      <c r="IXJ82" s="316"/>
      <c r="IXK82" s="316"/>
      <c r="IXL82" s="316"/>
      <c r="IXM82" s="316"/>
      <c r="IXN82" s="316"/>
      <c r="IXO82" s="316"/>
      <c r="IXP82" s="316"/>
      <c r="IXQ82" s="316"/>
      <c r="IXR82" s="316"/>
      <c r="IXS82" s="316"/>
      <c r="IXT82" s="316"/>
      <c r="IXU82" s="316"/>
      <c r="IXV82" s="316"/>
      <c r="IXW82" s="316"/>
      <c r="IXX82" s="316"/>
      <c r="IXY82" s="316"/>
      <c r="IXZ82" s="316"/>
      <c r="IYA82" s="316"/>
      <c r="IYB82" s="316"/>
      <c r="IYC82" s="316"/>
      <c r="IYD82" s="316"/>
      <c r="IYE82" s="316"/>
      <c r="IYF82" s="316"/>
      <c r="IYG82" s="316"/>
      <c r="IYH82" s="316"/>
      <c r="IYI82" s="316"/>
      <c r="IYJ82" s="316"/>
      <c r="IYK82" s="316"/>
      <c r="IYL82" s="316"/>
      <c r="IYM82" s="316"/>
      <c r="IYN82" s="316"/>
      <c r="IYO82" s="316"/>
      <c r="IYP82" s="316"/>
      <c r="IYQ82" s="316"/>
      <c r="IYR82" s="316"/>
      <c r="IYS82" s="316"/>
      <c r="IYT82" s="316"/>
      <c r="IYU82" s="316"/>
      <c r="IYV82" s="316"/>
      <c r="IYW82" s="316"/>
      <c r="IYX82" s="316"/>
      <c r="IYY82" s="316"/>
      <c r="IYZ82" s="316"/>
      <c r="IZA82" s="316"/>
      <c r="IZB82" s="316"/>
      <c r="IZC82" s="316"/>
      <c r="IZD82" s="316"/>
      <c r="IZE82" s="316"/>
      <c r="IZF82" s="316"/>
      <c r="IZG82" s="316"/>
      <c r="IZH82" s="316"/>
      <c r="IZI82" s="316"/>
      <c r="IZJ82" s="316"/>
      <c r="IZK82" s="316"/>
      <c r="IZL82" s="316"/>
      <c r="IZM82" s="316"/>
      <c r="IZN82" s="316"/>
      <c r="IZO82" s="316"/>
      <c r="IZP82" s="316"/>
      <c r="IZQ82" s="316"/>
      <c r="IZR82" s="316"/>
      <c r="IZS82" s="316"/>
      <c r="IZT82" s="316"/>
      <c r="IZU82" s="316"/>
      <c r="IZV82" s="316"/>
      <c r="IZW82" s="316"/>
      <c r="IZX82" s="316"/>
      <c r="IZY82" s="316"/>
      <c r="IZZ82" s="316"/>
      <c r="JAA82" s="316"/>
      <c r="JAB82" s="316"/>
      <c r="JAC82" s="316"/>
      <c r="JAD82" s="316"/>
      <c r="JAE82" s="316"/>
      <c r="JAF82" s="316"/>
      <c r="JAG82" s="316"/>
      <c r="JAH82" s="316"/>
      <c r="JAI82" s="316"/>
      <c r="JAJ82" s="316"/>
      <c r="JAK82" s="316"/>
      <c r="JAL82" s="316"/>
      <c r="JAM82" s="316"/>
      <c r="JAN82" s="316"/>
      <c r="JAO82" s="316"/>
      <c r="JAP82" s="316"/>
      <c r="JAQ82" s="316"/>
      <c r="JAR82" s="316"/>
      <c r="JAS82" s="316"/>
      <c r="JAT82" s="316"/>
      <c r="JAU82" s="316"/>
      <c r="JAV82" s="316"/>
      <c r="JAW82" s="316"/>
      <c r="JAX82" s="316"/>
      <c r="JAY82" s="316"/>
      <c r="JAZ82" s="316"/>
      <c r="JBA82" s="316"/>
      <c r="JBB82" s="316"/>
      <c r="JBC82" s="316"/>
      <c r="JBD82" s="316"/>
      <c r="JBE82" s="316"/>
      <c r="JBF82" s="316"/>
      <c r="JBG82" s="316"/>
      <c r="JBH82" s="316"/>
      <c r="JBI82" s="316"/>
      <c r="JBJ82" s="316"/>
      <c r="JBK82" s="316"/>
      <c r="JBL82" s="316"/>
      <c r="JBM82" s="316"/>
      <c r="JBN82" s="316"/>
      <c r="JBO82" s="316"/>
      <c r="JBP82" s="316"/>
      <c r="JBQ82" s="316"/>
      <c r="JBR82" s="316"/>
      <c r="JBS82" s="316"/>
      <c r="JBT82" s="316"/>
      <c r="JBU82" s="316"/>
      <c r="JBV82" s="316"/>
      <c r="JBW82" s="316"/>
      <c r="JBX82" s="316"/>
      <c r="JBY82" s="316"/>
      <c r="JBZ82" s="316"/>
      <c r="JCA82" s="316"/>
      <c r="JCB82" s="316"/>
      <c r="JCC82" s="316"/>
      <c r="JCD82" s="316"/>
      <c r="JCE82" s="316"/>
      <c r="JCF82" s="316"/>
      <c r="JCG82" s="316"/>
      <c r="JCH82" s="316"/>
      <c r="JCI82" s="316"/>
      <c r="JCJ82" s="316"/>
      <c r="JCK82" s="316"/>
      <c r="JCL82" s="316"/>
      <c r="JCM82" s="316"/>
      <c r="JCN82" s="316"/>
      <c r="JCO82" s="316"/>
      <c r="JCP82" s="316"/>
      <c r="JCQ82" s="316"/>
      <c r="JCR82" s="316"/>
      <c r="JCS82" s="316"/>
      <c r="JCT82" s="316"/>
      <c r="JCU82" s="316"/>
      <c r="JCV82" s="316"/>
      <c r="JCW82" s="316"/>
      <c r="JCX82" s="316"/>
      <c r="JCY82" s="316"/>
      <c r="JCZ82" s="316"/>
      <c r="JDA82" s="316"/>
      <c r="JDB82" s="316"/>
      <c r="JDC82" s="316"/>
      <c r="JDD82" s="316"/>
      <c r="JDE82" s="316"/>
      <c r="JDF82" s="316"/>
      <c r="JDG82" s="316"/>
      <c r="JDH82" s="316"/>
      <c r="JDI82" s="316"/>
      <c r="JDJ82" s="316"/>
      <c r="JDK82" s="316"/>
      <c r="JDL82" s="316"/>
      <c r="JDM82" s="316"/>
      <c r="JDN82" s="316"/>
      <c r="JDO82" s="316"/>
      <c r="JDP82" s="316"/>
      <c r="JDQ82" s="316"/>
      <c r="JDR82" s="316"/>
      <c r="JDS82" s="316"/>
      <c r="JDT82" s="316"/>
      <c r="JDU82" s="316"/>
      <c r="JDV82" s="316"/>
      <c r="JDW82" s="316"/>
      <c r="JDX82" s="316"/>
      <c r="JDY82" s="316"/>
      <c r="JDZ82" s="316"/>
      <c r="JEA82" s="316"/>
      <c r="JEB82" s="316"/>
      <c r="JEC82" s="316"/>
      <c r="JED82" s="316"/>
      <c r="JEE82" s="316"/>
      <c r="JEF82" s="316"/>
      <c r="JEG82" s="316"/>
      <c r="JEH82" s="316"/>
      <c r="JEI82" s="316"/>
      <c r="JEJ82" s="316"/>
      <c r="JEK82" s="316"/>
      <c r="JEL82" s="316"/>
      <c r="JEM82" s="316"/>
      <c r="JEN82" s="316"/>
      <c r="JEO82" s="316"/>
      <c r="JEP82" s="316"/>
      <c r="JEQ82" s="316"/>
      <c r="JER82" s="316"/>
      <c r="JES82" s="316"/>
      <c r="JET82" s="316"/>
      <c r="JEU82" s="316"/>
      <c r="JEV82" s="316"/>
      <c r="JEW82" s="316"/>
      <c r="JEX82" s="316"/>
      <c r="JEY82" s="316"/>
      <c r="JEZ82" s="316"/>
      <c r="JFA82" s="316"/>
      <c r="JFB82" s="316"/>
      <c r="JFC82" s="316"/>
      <c r="JFD82" s="316"/>
      <c r="JFE82" s="316"/>
      <c r="JFF82" s="316"/>
      <c r="JFG82" s="316"/>
      <c r="JFH82" s="316"/>
      <c r="JFI82" s="316"/>
      <c r="JFJ82" s="316"/>
      <c r="JFK82" s="316"/>
      <c r="JFL82" s="316"/>
      <c r="JFM82" s="316"/>
      <c r="JFN82" s="316"/>
      <c r="JFO82" s="316"/>
      <c r="JFP82" s="316"/>
      <c r="JFQ82" s="316"/>
      <c r="JFR82" s="316"/>
      <c r="JFS82" s="316"/>
      <c r="JFT82" s="316"/>
      <c r="JFU82" s="316"/>
      <c r="JFV82" s="316"/>
      <c r="JFW82" s="316"/>
      <c r="JFX82" s="316"/>
      <c r="JFY82" s="316"/>
      <c r="JFZ82" s="316"/>
      <c r="JGA82" s="316"/>
      <c r="JGB82" s="316"/>
      <c r="JGC82" s="316"/>
      <c r="JGD82" s="316"/>
      <c r="JGE82" s="316"/>
      <c r="JGF82" s="316"/>
      <c r="JGG82" s="316"/>
      <c r="JGH82" s="316"/>
      <c r="JGI82" s="316"/>
      <c r="JGJ82" s="316"/>
      <c r="JGK82" s="316"/>
      <c r="JGL82" s="316"/>
      <c r="JGM82" s="316"/>
      <c r="JGN82" s="316"/>
      <c r="JGO82" s="316"/>
      <c r="JGP82" s="316"/>
      <c r="JGQ82" s="316"/>
      <c r="JGR82" s="316"/>
      <c r="JGS82" s="316"/>
      <c r="JGT82" s="316"/>
      <c r="JGU82" s="316"/>
      <c r="JGV82" s="316"/>
      <c r="JGW82" s="316"/>
      <c r="JGX82" s="316"/>
      <c r="JGY82" s="316"/>
      <c r="JGZ82" s="316"/>
      <c r="JHA82" s="316"/>
      <c r="JHB82" s="316"/>
      <c r="JHC82" s="316"/>
      <c r="JHD82" s="316"/>
      <c r="JHE82" s="316"/>
      <c r="JHF82" s="316"/>
      <c r="JHG82" s="316"/>
      <c r="JHH82" s="316"/>
      <c r="JHI82" s="316"/>
      <c r="JHJ82" s="316"/>
      <c r="JHK82" s="316"/>
      <c r="JHL82" s="316"/>
      <c r="JHM82" s="316"/>
      <c r="JHN82" s="316"/>
      <c r="JHO82" s="316"/>
      <c r="JHP82" s="316"/>
      <c r="JHQ82" s="316"/>
      <c r="JHR82" s="316"/>
      <c r="JHS82" s="316"/>
      <c r="JHT82" s="316"/>
      <c r="JHU82" s="316"/>
      <c r="JHV82" s="316"/>
      <c r="JHW82" s="316"/>
      <c r="JHX82" s="316"/>
      <c r="JHY82" s="316"/>
      <c r="JHZ82" s="316"/>
      <c r="JIA82" s="316"/>
      <c r="JIB82" s="316"/>
      <c r="JIC82" s="316"/>
      <c r="JID82" s="316"/>
      <c r="JIE82" s="316"/>
      <c r="JIF82" s="316"/>
      <c r="JIG82" s="316"/>
      <c r="JIH82" s="316"/>
      <c r="JII82" s="316"/>
      <c r="JIJ82" s="316"/>
      <c r="JIK82" s="316"/>
      <c r="JIL82" s="316"/>
      <c r="JIM82" s="316"/>
      <c r="JIN82" s="316"/>
      <c r="JIO82" s="316"/>
      <c r="JIP82" s="316"/>
      <c r="JIQ82" s="316"/>
      <c r="JIR82" s="316"/>
      <c r="JIS82" s="316"/>
      <c r="JIT82" s="316"/>
      <c r="JIU82" s="316"/>
      <c r="JIV82" s="316"/>
      <c r="JIW82" s="316"/>
      <c r="JIX82" s="316"/>
      <c r="JIY82" s="316"/>
      <c r="JIZ82" s="316"/>
      <c r="JJA82" s="316"/>
      <c r="JJB82" s="316"/>
      <c r="JJC82" s="316"/>
      <c r="JJD82" s="316"/>
      <c r="JJE82" s="316"/>
      <c r="JJF82" s="316"/>
      <c r="JJG82" s="316"/>
      <c r="JJH82" s="316"/>
      <c r="JJI82" s="316"/>
      <c r="JJJ82" s="316"/>
      <c r="JJK82" s="316"/>
      <c r="JJL82" s="316"/>
      <c r="JJM82" s="316"/>
      <c r="JJN82" s="316"/>
      <c r="JJO82" s="316"/>
      <c r="JJP82" s="316"/>
      <c r="JJQ82" s="316"/>
      <c r="JJR82" s="316"/>
      <c r="JJS82" s="316"/>
      <c r="JJT82" s="316"/>
      <c r="JJU82" s="316"/>
      <c r="JJV82" s="316"/>
      <c r="JJW82" s="316"/>
      <c r="JJX82" s="316"/>
      <c r="JJY82" s="316"/>
      <c r="JJZ82" s="316"/>
      <c r="JKA82" s="316"/>
      <c r="JKB82" s="316"/>
      <c r="JKC82" s="316"/>
      <c r="JKD82" s="316"/>
      <c r="JKE82" s="316"/>
      <c r="JKF82" s="316"/>
      <c r="JKG82" s="316"/>
      <c r="JKH82" s="316"/>
      <c r="JKI82" s="316"/>
      <c r="JKJ82" s="316"/>
      <c r="JKK82" s="316"/>
      <c r="JKL82" s="316"/>
      <c r="JKM82" s="316"/>
      <c r="JKN82" s="316"/>
      <c r="JKO82" s="316"/>
      <c r="JKP82" s="316"/>
      <c r="JKQ82" s="316"/>
      <c r="JKR82" s="316"/>
      <c r="JKS82" s="316"/>
      <c r="JKT82" s="316"/>
      <c r="JKU82" s="316"/>
      <c r="JKV82" s="316"/>
      <c r="JKW82" s="316"/>
      <c r="JKX82" s="316"/>
      <c r="JKY82" s="316"/>
      <c r="JKZ82" s="316"/>
      <c r="JLA82" s="316"/>
      <c r="JLB82" s="316"/>
      <c r="JLC82" s="316"/>
      <c r="JLD82" s="316"/>
      <c r="JLE82" s="316"/>
      <c r="JLF82" s="316"/>
      <c r="JLG82" s="316"/>
      <c r="JLH82" s="316"/>
      <c r="JLI82" s="316"/>
      <c r="JLJ82" s="316"/>
      <c r="JLK82" s="316"/>
      <c r="JLL82" s="316"/>
      <c r="JLM82" s="316"/>
      <c r="JLN82" s="316"/>
      <c r="JLO82" s="316"/>
      <c r="JLP82" s="316"/>
      <c r="JLQ82" s="316"/>
      <c r="JLR82" s="316"/>
      <c r="JLS82" s="316"/>
      <c r="JLT82" s="316"/>
      <c r="JLU82" s="316"/>
      <c r="JLV82" s="316"/>
      <c r="JLW82" s="316"/>
      <c r="JLX82" s="316"/>
      <c r="JLY82" s="316"/>
      <c r="JLZ82" s="316"/>
      <c r="JMA82" s="316"/>
      <c r="JMB82" s="316"/>
      <c r="JMC82" s="316"/>
      <c r="JMD82" s="316"/>
      <c r="JME82" s="316"/>
      <c r="JMF82" s="316"/>
      <c r="JMG82" s="316"/>
      <c r="JMH82" s="316"/>
      <c r="JMI82" s="316"/>
      <c r="JMJ82" s="316"/>
      <c r="JMK82" s="316"/>
      <c r="JML82" s="316"/>
      <c r="JMM82" s="316"/>
      <c r="JMN82" s="316"/>
      <c r="JMO82" s="316"/>
      <c r="JMP82" s="316"/>
      <c r="JMQ82" s="316"/>
      <c r="JMR82" s="316"/>
      <c r="JMS82" s="316"/>
      <c r="JMT82" s="316"/>
      <c r="JMU82" s="316"/>
      <c r="JMV82" s="316"/>
      <c r="JMW82" s="316"/>
      <c r="JMX82" s="316"/>
      <c r="JMY82" s="316"/>
      <c r="JMZ82" s="316"/>
      <c r="JNA82" s="316"/>
      <c r="JNB82" s="316"/>
      <c r="JNC82" s="316"/>
      <c r="JND82" s="316"/>
      <c r="JNE82" s="316"/>
      <c r="JNF82" s="316"/>
      <c r="JNG82" s="316"/>
      <c r="JNH82" s="316"/>
      <c r="JNI82" s="316"/>
      <c r="JNJ82" s="316"/>
      <c r="JNK82" s="316"/>
      <c r="JNL82" s="316"/>
      <c r="JNM82" s="316"/>
      <c r="JNN82" s="316"/>
      <c r="JNO82" s="316"/>
      <c r="JNP82" s="316"/>
      <c r="JNQ82" s="316"/>
      <c r="JNR82" s="316"/>
      <c r="JNS82" s="316"/>
      <c r="JNT82" s="316"/>
      <c r="JNU82" s="316"/>
      <c r="JNV82" s="316"/>
      <c r="JNW82" s="316"/>
      <c r="JNX82" s="316"/>
      <c r="JNY82" s="316"/>
      <c r="JNZ82" s="316"/>
      <c r="JOA82" s="316"/>
      <c r="JOB82" s="316"/>
      <c r="JOC82" s="316"/>
      <c r="JOD82" s="316"/>
      <c r="JOE82" s="316"/>
      <c r="JOF82" s="316"/>
      <c r="JOG82" s="316"/>
      <c r="JOH82" s="316"/>
      <c r="JOI82" s="316"/>
      <c r="JOJ82" s="316"/>
      <c r="JOK82" s="316"/>
      <c r="JOL82" s="316"/>
      <c r="JOM82" s="316"/>
      <c r="JON82" s="316"/>
      <c r="JOO82" s="316"/>
      <c r="JOP82" s="316"/>
      <c r="JOQ82" s="316"/>
      <c r="JOR82" s="316"/>
      <c r="JOS82" s="316"/>
      <c r="JOT82" s="316"/>
      <c r="JOU82" s="316"/>
      <c r="JOV82" s="316"/>
      <c r="JOW82" s="316"/>
      <c r="JOX82" s="316"/>
      <c r="JOY82" s="316"/>
      <c r="JOZ82" s="316"/>
      <c r="JPA82" s="316"/>
      <c r="JPB82" s="316"/>
      <c r="JPC82" s="316"/>
      <c r="JPD82" s="316"/>
      <c r="JPE82" s="316"/>
      <c r="JPF82" s="316"/>
      <c r="JPG82" s="316"/>
      <c r="JPH82" s="316"/>
      <c r="JPI82" s="316"/>
      <c r="JPJ82" s="316"/>
      <c r="JPK82" s="316"/>
      <c r="JPL82" s="316"/>
      <c r="JPM82" s="316"/>
      <c r="JPN82" s="316"/>
      <c r="JPO82" s="316"/>
      <c r="JPP82" s="316"/>
      <c r="JPQ82" s="316"/>
      <c r="JPR82" s="316"/>
      <c r="JPS82" s="316"/>
      <c r="JPT82" s="316"/>
      <c r="JPU82" s="316"/>
      <c r="JPV82" s="316"/>
      <c r="JPW82" s="316"/>
      <c r="JPX82" s="316"/>
      <c r="JPY82" s="316"/>
      <c r="JPZ82" s="316"/>
      <c r="JQA82" s="316"/>
      <c r="JQB82" s="316"/>
      <c r="JQC82" s="316"/>
      <c r="JQD82" s="316"/>
      <c r="JQE82" s="316"/>
      <c r="JQF82" s="316"/>
      <c r="JQG82" s="316"/>
      <c r="JQH82" s="316"/>
      <c r="JQI82" s="316"/>
      <c r="JQJ82" s="316"/>
      <c r="JQK82" s="316"/>
      <c r="JQL82" s="316"/>
      <c r="JQM82" s="316"/>
      <c r="JQN82" s="316"/>
      <c r="JQO82" s="316"/>
      <c r="JQP82" s="316"/>
      <c r="JQQ82" s="316"/>
      <c r="JQR82" s="316"/>
      <c r="JQS82" s="316"/>
      <c r="JQT82" s="316"/>
      <c r="JQU82" s="316"/>
      <c r="JQV82" s="316"/>
      <c r="JQW82" s="316"/>
      <c r="JQX82" s="316"/>
      <c r="JQY82" s="316"/>
      <c r="JQZ82" s="316"/>
      <c r="JRA82" s="316"/>
      <c r="JRB82" s="316"/>
      <c r="JRC82" s="316"/>
      <c r="JRD82" s="316"/>
      <c r="JRE82" s="316"/>
      <c r="JRF82" s="316"/>
      <c r="JRG82" s="316"/>
      <c r="JRH82" s="316"/>
      <c r="JRI82" s="316"/>
      <c r="JRJ82" s="316"/>
      <c r="JRK82" s="316"/>
      <c r="JRL82" s="316"/>
      <c r="JRM82" s="316"/>
      <c r="JRN82" s="316"/>
      <c r="JRO82" s="316"/>
      <c r="JRP82" s="316"/>
      <c r="JRQ82" s="316"/>
      <c r="JRR82" s="316"/>
      <c r="JRS82" s="316"/>
      <c r="JRT82" s="316"/>
      <c r="JRU82" s="316"/>
      <c r="JRV82" s="316"/>
      <c r="JRW82" s="316"/>
      <c r="JRX82" s="316"/>
      <c r="JRY82" s="316"/>
      <c r="JRZ82" s="316"/>
      <c r="JSA82" s="316"/>
      <c r="JSB82" s="316"/>
      <c r="JSC82" s="316"/>
      <c r="JSD82" s="316"/>
      <c r="JSE82" s="316"/>
      <c r="JSF82" s="316"/>
      <c r="JSG82" s="316"/>
      <c r="JSH82" s="316"/>
      <c r="JSI82" s="316"/>
      <c r="JSJ82" s="316"/>
      <c r="JSK82" s="316"/>
      <c r="JSL82" s="316"/>
      <c r="JSM82" s="316"/>
      <c r="JSN82" s="316"/>
      <c r="JSO82" s="316"/>
      <c r="JSP82" s="316"/>
      <c r="JSQ82" s="316"/>
      <c r="JSR82" s="316"/>
      <c r="JSS82" s="316"/>
      <c r="JST82" s="316"/>
      <c r="JSU82" s="316"/>
      <c r="JSV82" s="316"/>
      <c r="JSW82" s="316"/>
      <c r="JSX82" s="316"/>
      <c r="JSY82" s="316"/>
      <c r="JSZ82" s="316"/>
      <c r="JTA82" s="316"/>
      <c r="JTB82" s="316"/>
      <c r="JTC82" s="316"/>
      <c r="JTD82" s="316"/>
      <c r="JTE82" s="316"/>
      <c r="JTF82" s="316"/>
      <c r="JTG82" s="316"/>
      <c r="JTH82" s="316"/>
      <c r="JTI82" s="316"/>
      <c r="JTJ82" s="316"/>
      <c r="JTK82" s="316"/>
      <c r="JTL82" s="316"/>
      <c r="JTM82" s="316"/>
      <c r="JTN82" s="316"/>
      <c r="JTO82" s="316"/>
      <c r="JTP82" s="316"/>
      <c r="JTQ82" s="316"/>
      <c r="JTR82" s="316"/>
      <c r="JTS82" s="316"/>
      <c r="JTT82" s="316"/>
      <c r="JTU82" s="316"/>
      <c r="JTV82" s="316"/>
      <c r="JTW82" s="316"/>
      <c r="JTX82" s="316"/>
      <c r="JTY82" s="316"/>
      <c r="JTZ82" s="316"/>
      <c r="JUA82" s="316"/>
      <c r="JUB82" s="316"/>
      <c r="JUC82" s="316"/>
      <c r="JUD82" s="316"/>
      <c r="JUE82" s="316"/>
      <c r="JUF82" s="316"/>
      <c r="JUG82" s="316"/>
      <c r="JUH82" s="316"/>
      <c r="JUI82" s="316"/>
      <c r="JUJ82" s="316"/>
      <c r="JUK82" s="316"/>
      <c r="JUL82" s="316"/>
      <c r="JUM82" s="316"/>
      <c r="JUN82" s="316"/>
      <c r="JUO82" s="316"/>
      <c r="JUP82" s="316"/>
      <c r="JUQ82" s="316"/>
      <c r="JUR82" s="316"/>
      <c r="JUS82" s="316"/>
      <c r="JUT82" s="316"/>
      <c r="JUU82" s="316"/>
      <c r="JUV82" s="316"/>
      <c r="JUW82" s="316"/>
      <c r="JUX82" s="316"/>
      <c r="JUY82" s="316"/>
      <c r="JUZ82" s="316"/>
      <c r="JVA82" s="316"/>
      <c r="JVB82" s="316"/>
      <c r="JVC82" s="316"/>
      <c r="JVD82" s="316"/>
      <c r="JVE82" s="316"/>
      <c r="JVF82" s="316"/>
      <c r="JVG82" s="316"/>
      <c r="JVH82" s="316"/>
      <c r="JVI82" s="316"/>
      <c r="JVJ82" s="316"/>
      <c r="JVK82" s="316"/>
      <c r="JVL82" s="316"/>
      <c r="JVM82" s="316"/>
      <c r="JVN82" s="316"/>
      <c r="JVO82" s="316"/>
      <c r="JVP82" s="316"/>
      <c r="JVQ82" s="316"/>
      <c r="JVR82" s="316"/>
      <c r="JVS82" s="316"/>
      <c r="JVT82" s="316"/>
      <c r="JVU82" s="316"/>
      <c r="JVV82" s="316"/>
      <c r="JVW82" s="316"/>
      <c r="JVX82" s="316"/>
      <c r="JVY82" s="316"/>
      <c r="JVZ82" s="316"/>
      <c r="JWA82" s="316"/>
      <c r="JWB82" s="316"/>
      <c r="JWC82" s="316"/>
      <c r="JWD82" s="316"/>
      <c r="JWE82" s="316"/>
      <c r="JWF82" s="316"/>
      <c r="JWG82" s="316"/>
      <c r="JWH82" s="316"/>
      <c r="JWI82" s="316"/>
      <c r="JWJ82" s="316"/>
      <c r="JWK82" s="316"/>
      <c r="JWL82" s="316"/>
      <c r="JWM82" s="316"/>
      <c r="JWN82" s="316"/>
      <c r="JWO82" s="316"/>
      <c r="JWP82" s="316"/>
      <c r="JWQ82" s="316"/>
      <c r="JWR82" s="316"/>
      <c r="JWS82" s="316"/>
      <c r="JWT82" s="316"/>
      <c r="JWU82" s="316"/>
      <c r="JWV82" s="316"/>
      <c r="JWW82" s="316"/>
      <c r="JWX82" s="316"/>
      <c r="JWY82" s="316"/>
      <c r="JWZ82" s="316"/>
      <c r="JXA82" s="316"/>
      <c r="JXB82" s="316"/>
      <c r="JXC82" s="316"/>
      <c r="JXD82" s="316"/>
      <c r="JXE82" s="316"/>
      <c r="JXF82" s="316"/>
      <c r="JXG82" s="316"/>
      <c r="JXH82" s="316"/>
      <c r="JXI82" s="316"/>
      <c r="JXJ82" s="316"/>
      <c r="JXK82" s="316"/>
      <c r="JXL82" s="316"/>
      <c r="JXM82" s="316"/>
      <c r="JXN82" s="316"/>
      <c r="JXO82" s="316"/>
      <c r="JXP82" s="316"/>
      <c r="JXQ82" s="316"/>
      <c r="JXR82" s="316"/>
      <c r="JXS82" s="316"/>
      <c r="JXT82" s="316"/>
      <c r="JXU82" s="316"/>
      <c r="JXV82" s="316"/>
      <c r="JXW82" s="316"/>
      <c r="JXX82" s="316"/>
      <c r="JXY82" s="316"/>
      <c r="JXZ82" s="316"/>
      <c r="JYA82" s="316"/>
      <c r="JYB82" s="316"/>
      <c r="JYC82" s="316"/>
      <c r="JYD82" s="316"/>
      <c r="JYE82" s="316"/>
      <c r="JYF82" s="316"/>
      <c r="JYG82" s="316"/>
      <c r="JYH82" s="316"/>
      <c r="JYI82" s="316"/>
      <c r="JYJ82" s="316"/>
      <c r="JYK82" s="316"/>
      <c r="JYL82" s="316"/>
      <c r="JYM82" s="316"/>
      <c r="JYN82" s="316"/>
      <c r="JYO82" s="316"/>
      <c r="JYP82" s="316"/>
      <c r="JYQ82" s="316"/>
      <c r="JYR82" s="316"/>
      <c r="JYS82" s="316"/>
      <c r="JYT82" s="316"/>
      <c r="JYU82" s="316"/>
      <c r="JYV82" s="316"/>
      <c r="JYW82" s="316"/>
      <c r="JYX82" s="316"/>
      <c r="JYY82" s="316"/>
      <c r="JYZ82" s="316"/>
      <c r="JZA82" s="316"/>
      <c r="JZB82" s="316"/>
      <c r="JZC82" s="316"/>
      <c r="JZD82" s="316"/>
      <c r="JZE82" s="316"/>
      <c r="JZF82" s="316"/>
      <c r="JZG82" s="316"/>
      <c r="JZH82" s="316"/>
      <c r="JZI82" s="316"/>
      <c r="JZJ82" s="316"/>
      <c r="JZK82" s="316"/>
      <c r="JZL82" s="316"/>
      <c r="JZM82" s="316"/>
      <c r="JZN82" s="316"/>
      <c r="JZO82" s="316"/>
      <c r="JZP82" s="316"/>
      <c r="JZQ82" s="316"/>
      <c r="JZR82" s="316"/>
      <c r="JZS82" s="316"/>
      <c r="JZT82" s="316"/>
      <c r="JZU82" s="316"/>
      <c r="JZV82" s="316"/>
      <c r="JZW82" s="316"/>
      <c r="JZX82" s="316"/>
      <c r="JZY82" s="316"/>
      <c r="JZZ82" s="316"/>
      <c r="KAA82" s="316"/>
      <c r="KAB82" s="316"/>
      <c r="KAC82" s="316"/>
      <c r="KAD82" s="316"/>
      <c r="KAE82" s="316"/>
      <c r="KAF82" s="316"/>
      <c r="KAG82" s="316"/>
      <c r="KAH82" s="316"/>
      <c r="KAI82" s="316"/>
      <c r="KAJ82" s="316"/>
      <c r="KAK82" s="316"/>
      <c r="KAL82" s="316"/>
      <c r="KAM82" s="316"/>
      <c r="KAN82" s="316"/>
      <c r="KAO82" s="316"/>
      <c r="KAP82" s="316"/>
      <c r="KAQ82" s="316"/>
      <c r="KAR82" s="316"/>
      <c r="KAS82" s="316"/>
      <c r="KAT82" s="316"/>
      <c r="KAU82" s="316"/>
      <c r="KAV82" s="316"/>
      <c r="KAW82" s="316"/>
      <c r="KAX82" s="316"/>
      <c r="KAY82" s="316"/>
      <c r="KAZ82" s="316"/>
      <c r="KBA82" s="316"/>
      <c r="KBB82" s="316"/>
      <c r="KBC82" s="316"/>
      <c r="KBD82" s="316"/>
      <c r="KBE82" s="316"/>
      <c r="KBF82" s="316"/>
      <c r="KBG82" s="316"/>
      <c r="KBH82" s="316"/>
      <c r="KBI82" s="316"/>
      <c r="KBJ82" s="316"/>
      <c r="KBK82" s="316"/>
      <c r="KBL82" s="316"/>
      <c r="KBM82" s="316"/>
      <c r="KBN82" s="316"/>
      <c r="KBO82" s="316"/>
      <c r="KBP82" s="316"/>
      <c r="KBQ82" s="316"/>
      <c r="KBR82" s="316"/>
      <c r="KBS82" s="316"/>
      <c r="KBT82" s="316"/>
      <c r="KBU82" s="316"/>
      <c r="KBV82" s="316"/>
      <c r="KBW82" s="316"/>
      <c r="KBX82" s="316"/>
      <c r="KBY82" s="316"/>
      <c r="KBZ82" s="316"/>
      <c r="KCA82" s="316"/>
      <c r="KCB82" s="316"/>
      <c r="KCC82" s="316"/>
      <c r="KCD82" s="316"/>
      <c r="KCE82" s="316"/>
      <c r="KCF82" s="316"/>
      <c r="KCG82" s="316"/>
      <c r="KCH82" s="316"/>
      <c r="KCI82" s="316"/>
      <c r="KCJ82" s="316"/>
      <c r="KCK82" s="316"/>
      <c r="KCL82" s="316"/>
      <c r="KCM82" s="316"/>
      <c r="KCN82" s="316"/>
      <c r="KCO82" s="316"/>
      <c r="KCP82" s="316"/>
      <c r="KCQ82" s="316"/>
      <c r="KCR82" s="316"/>
      <c r="KCS82" s="316"/>
      <c r="KCT82" s="316"/>
      <c r="KCU82" s="316"/>
      <c r="KCV82" s="316"/>
      <c r="KCW82" s="316"/>
      <c r="KCX82" s="316"/>
      <c r="KCY82" s="316"/>
      <c r="KCZ82" s="316"/>
      <c r="KDA82" s="316"/>
      <c r="KDB82" s="316"/>
      <c r="KDC82" s="316"/>
      <c r="KDD82" s="316"/>
      <c r="KDE82" s="316"/>
      <c r="KDF82" s="316"/>
      <c r="KDG82" s="316"/>
      <c r="KDH82" s="316"/>
      <c r="KDI82" s="316"/>
      <c r="KDJ82" s="316"/>
      <c r="KDK82" s="316"/>
      <c r="KDL82" s="316"/>
      <c r="KDM82" s="316"/>
      <c r="KDN82" s="316"/>
      <c r="KDO82" s="316"/>
      <c r="KDP82" s="316"/>
      <c r="KDQ82" s="316"/>
      <c r="KDR82" s="316"/>
      <c r="KDS82" s="316"/>
      <c r="KDT82" s="316"/>
      <c r="KDU82" s="316"/>
      <c r="KDV82" s="316"/>
      <c r="KDW82" s="316"/>
      <c r="KDX82" s="316"/>
      <c r="KDY82" s="316"/>
      <c r="KDZ82" s="316"/>
      <c r="KEA82" s="316"/>
      <c r="KEB82" s="316"/>
      <c r="KEC82" s="316"/>
      <c r="KED82" s="316"/>
      <c r="KEE82" s="316"/>
      <c r="KEF82" s="316"/>
      <c r="KEG82" s="316"/>
      <c r="KEH82" s="316"/>
      <c r="KEI82" s="316"/>
      <c r="KEJ82" s="316"/>
      <c r="KEK82" s="316"/>
      <c r="KEL82" s="316"/>
      <c r="KEM82" s="316"/>
      <c r="KEN82" s="316"/>
      <c r="KEO82" s="316"/>
      <c r="KEP82" s="316"/>
      <c r="KEQ82" s="316"/>
      <c r="KER82" s="316"/>
      <c r="KES82" s="316"/>
      <c r="KET82" s="316"/>
      <c r="KEU82" s="316"/>
      <c r="KEV82" s="316"/>
      <c r="KEW82" s="316"/>
      <c r="KEX82" s="316"/>
      <c r="KEY82" s="316"/>
      <c r="KEZ82" s="316"/>
      <c r="KFA82" s="316"/>
      <c r="KFB82" s="316"/>
      <c r="KFC82" s="316"/>
      <c r="KFD82" s="316"/>
      <c r="KFE82" s="316"/>
      <c r="KFF82" s="316"/>
      <c r="KFG82" s="316"/>
      <c r="KFH82" s="316"/>
      <c r="KFI82" s="316"/>
      <c r="KFJ82" s="316"/>
      <c r="KFK82" s="316"/>
      <c r="KFL82" s="316"/>
      <c r="KFM82" s="316"/>
      <c r="KFN82" s="316"/>
      <c r="KFO82" s="316"/>
      <c r="KFP82" s="316"/>
      <c r="KFQ82" s="316"/>
      <c r="KFR82" s="316"/>
      <c r="KFS82" s="316"/>
      <c r="KFT82" s="316"/>
      <c r="KFU82" s="316"/>
      <c r="KFV82" s="316"/>
      <c r="KFW82" s="316"/>
      <c r="KFX82" s="316"/>
      <c r="KFY82" s="316"/>
      <c r="KFZ82" s="316"/>
      <c r="KGA82" s="316"/>
      <c r="KGB82" s="316"/>
      <c r="KGC82" s="316"/>
      <c r="KGD82" s="316"/>
      <c r="KGE82" s="316"/>
      <c r="KGF82" s="316"/>
      <c r="KGG82" s="316"/>
      <c r="KGH82" s="316"/>
      <c r="KGI82" s="316"/>
      <c r="KGJ82" s="316"/>
      <c r="KGK82" s="316"/>
      <c r="KGL82" s="316"/>
      <c r="KGM82" s="316"/>
      <c r="KGN82" s="316"/>
      <c r="KGO82" s="316"/>
      <c r="KGP82" s="316"/>
      <c r="KGQ82" s="316"/>
      <c r="KGR82" s="316"/>
      <c r="KGS82" s="316"/>
      <c r="KGT82" s="316"/>
      <c r="KGU82" s="316"/>
      <c r="KGV82" s="316"/>
      <c r="KGW82" s="316"/>
      <c r="KGX82" s="316"/>
      <c r="KGY82" s="316"/>
      <c r="KGZ82" s="316"/>
      <c r="KHA82" s="316"/>
      <c r="KHB82" s="316"/>
      <c r="KHC82" s="316"/>
      <c r="KHD82" s="316"/>
      <c r="KHE82" s="316"/>
      <c r="KHF82" s="316"/>
      <c r="KHG82" s="316"/>
      <c r="KHH82" s="316"/>
      <c r="KHI82" s="316"/>
      <c r="KHJ82" s="316"/>
      <c r="KHK82" s="316"/>
      <c r="KHL82" s="316"/>
      <c r="KHM82" s="316"/>
      <c r="KHN82" s="316"/>
      <c r="KHO82" s="316"/>
      <c r="KHP82" s="316"/>
      <c r="KHQ82" s="316"/>
      <c r="KHR82" s="316"/>
      <c r="KHS82" s="316"/>
      <c r="KHT82" s="316"/>
      <c r="KHU82" s="316"/>
      <c r="KHV82" s="316"/>
      <c r="KHW82" s="316"/>
      <c r="KHX82" s="316"/>
      <c r="KHY82" s="316"/>
      <c r="KHZ82" s="316"/>
      <c r="KIA82" s="316"/>
      <c r="KIB82" s="316"/>
      <c r="KIC82" s="316"/>
      <c r="KID82" s="316"/>
      <c r="KIE82" s="316"/>
      <c r="KIF82" s="316"/>
      <c r="KIG82" s="316"/>
      <c r="KIH82" s="316"/>
      <c r="KII82" s="316"/>
      <c r="KIJ82" s="316"/>
      <c r="KIK82" s="316"/>
      <c r="KIL82" s="316"/>
      <c r="KIM82" s="316"/>
      <c r="KIN82" s="316"/>
      <c r="KIO82" s="316"/>
      <c r="KIP82" s="316"/>
      <c r="KIQ82" s="316"/>
      <c r="KIR82" s="316"/>
      <c r="KIS82" s="316"/>
      <c r="KIT82" s="316"/>
      <c r="KIU82" s="316"/>
      <c r="KIV82" s="316"/>
      <c r="KIW82" s="316"/>
      <c r="KIX82" s="316"/>
      <c r="KIY82" s="316"/>
      <c r="KIZ82" s="316"/>
      <c r="KJA82" s="316"/>
      <c r="KJB82" s="316"/>
      <c r="KJC82" s="316"/>
      <c r="KJD82" s="316"/>
      <c r="KJE82" s="316"/>
      <c r="KJF82" s="316"/>
      <c r="KJG82" s="316"/>
      <c r="KJH82" s="316"/>
      <c r="KJI82" s="316"/>
      <c r="KJJ82" s="316"/>
      <c r="KJK82" s="316"/>
      <c r="KJL82" s="316"/>
      <c r="KJM82" s="316"/>
      <c r="KJN82" s="316"/>
      <c r="KJO82" s="316"/>
      <c r="KJP82" s="316"/>
      <c r="KJQ82" s="316"/>
      <c r="KJR82" s="316"/>
      <c r="KJS82" s="316"/>
      <c r="KJT82" s="316"/>
      <c r="KJU82" s="316"/>
      <c r="KJV82" s="316"/>
      <c r="KJW82" s="316"/>
      <c r="KJX82" s="316"/>
      <c r="KJY82" s="316"/>
      <c r="KJZ82" s="316"/>
      <c r="KKA82" s="316"/>
      <c r="KKB82" s="316"/>
      <c r="KKC82" s="316"/>
      <c r="KKD82" s="316"/>
      <c r="KKE82" s="316"/>
      <c r="KKF82" s="316"/>
      <c r="KKG82" s="316"/>
      <c r="KKH82" s="316"/>
      <c r="KKI82" s="316"/>
      <c r="KKJ82" s="316"/>
      <c r="KKK82" s="316"/>
      <c r="KKL82" s="316"/>
      <c r="KKM82" s="316"/>
      <c r="KKN82" s="316"/>
      <c r="KKO82" s="316"/>
      <c r="KKP82" s="316"/>
      <c r="KKQ82" s="316"/>
      <c r="KKR82" s="316"/>
      <c r="KKS82" s="316"/>
      <c r="KKT82" s="316"/>
      <c r="KKU82" s="316"/>
      <c r="KKV82" s="316"/>
      <c r="KKW82" s="316"/>
      <c r="KKX82" s="316"/>
      <c r="KKY82" s="316"/>
      <c r="KKZ82" s="316"/>
      <c r="KLA82" s="316"/>
      <c r="KLB82" s="316"/>
      <c r="KLC82" s="316"/>
      <c r="KLD82" s="316"/>
      <c r="KLE82" s="316"/>
      <c r="KLF82" s="316"/>
      <c r="KLG82" s="316"/>
      <c r="KLH82" s="316"/>
      <c r="KLI82" s="316"/>
      <c r="KLJ82" s="316"/>
      <c r="KLK82" s="316"/>
      <c r="KLL82" s="316"/>
      <c r="KLM82" s="316"/>
      <c r="KLN82" s="316"/>
      <c r="KLO82" s="316"/>
      <c r="KLP82" s="316"/>
      <c r="KLQ82" s="316"/>
      <c r="KLR82" s="316"/>
      <c r="KLS82" s="316"/>
      <c r="KLT82" s="316"/>
      <c r="KLU82" s="316"/>
      <c r="KLV82" s="316"/>
      <c r="KLW82" s="316"/>
      <c r="KLX82" s="316"/>
      <c r="KLY82" s="316"/>
      <c r="KLZ82" s="316"/>
      <c r="KMA82" s="316"/>
      <c r="KMB82" s="316"/>
      <c r="KMC82" s="316"/>
      <c r="KMD82" s="316"/>
      <c r="KME82" s="316"/>
      <c r="KMF82" s="316"/>
      <c r="KMG82" s="316"/>
      <c r="KMH82" s="316"/>
      <c r="KMI82" s="316"/>
      <c r="KMJ82" s="316"/>
      <c r="KMK82" s="316"/>
      <c r="KML82" s="316"/>
      <c r="KMM82" s="316"/>
      <c r="KMN82" s="316"/>
      <c r="KMO82" s="316"/>
      <c r="KMP82" s="316"/>
      <c r="KMQ82" s="316"/>
      <c r="KMR82" s="316"/>
      <c r="KMS82" s="316"/>
      <c r="KMT82" s="316"/>
      <c r="KMU82" s="316"/>
      <c r="KMV82" s="316"/>
      <c r="KMW82" s="316"/>
      <c r="KMX82" s="316"/>
      <c r="KMY82" s="316"/>
      <c r="KMZ82" s="316"/>
      <c r="KNA82" s="316"/>
      <c r="KNB82" s="316"/>
      <c r="KNC82" s="316"/>
      <c r="KND82" s="316"/>
      <c r="KNE82" s="316"/>
      <c r="KNF82" s="316"/>
      <c r="KNG82" s="316"/>
      <c r="KNH82" s="316"/>
      <c r="KNI82" s="316"/>
      <c r="KNJ82" s="316"/>
      <c r="KNK82" s="316"/>
      <c r="KNL82" s="316"/>
      <c r="KNM82" s="316"/>
      <c r="KNN82" s="316"/>
      <c r="KNO82" s="316"/>
      <c r="KNP82" s="316"/>
      <c r="KNQ82" s="316"/>
      <c r="KNR82" s="316"/>
      <c r="KNS82" s="316"/>
      <c r="KNT82" s="316"/>
      <c r="KNU82" s="316"/>
      <c r="KNV82" s="316"/>
      <c r="KNW82" s="316"/>
      <c r="KNX82" s="316"/>
      <c r="KNY82" s="316"/>
      <c r="KNZ82" s="316"/>
      <c r="KOA82" s="316"/>
      <c r="KOB82" s="316"/>
      <c r="KOC82" s="316"/>
      <c r="KOD82" s="316"/>
      <c r="KOE82" s="316"/>
      <c r="KOF82" s="316"/>
      <c r="KOG82" s="316"/>
      <c r="KOH82" s="316"/>
      <c r="KOI82" s="316"/>
      <c r="KOJ82" s="316"/>
      <c r="KOK82" s="316"/>
      <c r="KOL82" s="316"/>
      <c r="KOM82" s="316"/>
      <c r="KON82" s="316"/>
      <c r="KOO82" s="316"/>
      <c r="KOP82" s="316"/>
      <c r="KOQ82" s="316"/>
      <c r="KOR82" s="316"/>
      <c r="KOS82" s="316"/>
      <c r="KOT82" s="316"/>
      <c r="KOU82" s="316"/>
      <c r="KOV82" s="316"/>
      <c r="KOW82" s="316"/>
      <c r="KOX82" s="316"/>
      <c r="KOY82" s="316"/>
      <c r="KOZ82" s="316"/>
      <c r="KPA82" s="316"/>
      <c r="KPB82" s="316"/>
      <c r="KPC82" s="316"/>
      <c r="KPD82" s="316"/>
      <c r="KPE82" s="316"/>
      <c r="KPF82" s="316"/>
      <c r="KPG82" s="316"/>
      <c r="KPH82" s="316"/>
      <c r="KPI82" s="316"/>
      <c r="KPJ82" s="316"/>
      <c r="KPK82" s="316"/>
      <c r="KPL82" s="316"/>
      <c r="KPM82" s="316"/>
      <c r="KPN82" s="316"/>
      <c r="KPO82" s="316"/>
      <c r="KPP82" s="316"/>
      <c r="KPQ82" s="316"/>
      <c r="KPR82" s="316"/>
      <c r="KPS82" s="316"/>
      <c r="KPT82" s="316"/>
      <c r="KPU82" s="316"/>
      <c r="KPV82" s="316"/>
      <c r="KPW82" s="316"/>
      <c r="KPX82" s="316"/>
      <c r="KPY82" s="316"/>
      <c r="KPZ82" s="316"/>
      <c r="KQA82" s="316"/>
      <c r="KQB82" s="316"/>
      <c r="KQC82" s="316"/>
      <c r="KQD82" s="316"/>
      <c r="KQE82" s="316"/>
      <c r="KQF82" s="316"/>
      <c r="KQG82" s="316"/>
      <c r="KQH82" s="316"/>
      <c r="KQI82" s="316"/>
      <c r="KQJ82" s="316"/>
      <c r="KQK82" s="316"/>
      <c r="KQL82" s="316"/>
      <c r="KQM82" s="316"/>
      <c r="KQN82" s="316"/>
      <c r="KQO82" s="316"/>
      <c r="KQP82" s="316"/>
      <c r="KQQ82" s="316"/>
      <c r="KQR82" s="316"/>
      <c r="KQS82" s="316"/>
      <c r="KQT82" s="316"/>
      <c r="KQU82" s="316"/>
      <c r="KQV82" s="316"/>
      <c r="KQW82" s="316"/>
      <c r="KQX82" s="316"/>
      <c r="KQY82" s="316"/>
      <c r="KQZ82" s="316"/>
      <c r="KRA82" s="316"/>
      <c r="KRB82" s="316"/>
      <c r="KRC82" s="316"/>
      <c r="KRD82" s="316"/>
      <c r="KRE82" s="316"/>
      <c r="KRF82" s="316"/>
      <c r="KRG82" s="316"/>
      <c r="KRH82" s="316"/>
      <c r="KRI82" s="316"/>
      <c r="KRJ82" s="316"/>
      <c r="KRK82" s="316"/>
      <c r="KRL82" s="316"/>
      <c r="KRM82" s="316"/>
      <c r="KRN82" s="316"/>
      <c r="KRO82" s="316"/>
      <c r="KRP82" s="316"/>
      <c r="KRQ82" s="316"/>
      <c r="KRR82" s="316"/>
      <c r="KRS82" s="316"/>
      <c r="KRT82" s="316"/>
      <c r="KRU82" s="316"/>
      <c r="KRV82" s="316"/>
      <c r="KRW82" s="316"/>
      <c r="KRX82" s="316"/>
      <c r="KRY82" s="316"/>
      <c r="KRZ82" s="316"/>
      <c r="KSA82" s="316"/>
      <c r="KSB82" s="316"/>
      <c r="KSC82" s="316"/>
      <c r="KSD82" s="316"/>
      <c r="KSE82" s="316"/>
      <c r="KSF82" s="316"/>
      <c r="KSG82" s="316"/>
      <c r="KSH82" s="316"/>
      <c r="KSI82" s="316"/>
      <c r="KSJ82" s="316"/>
      <c r="KSK82" s="316"/>
      <c r="KSL82" s="316"/>
      <c r="KSM82" s="316"/>
      <c r="KSN82" s="316"/>
      <c r="KSO82" s="316"/>
      <c r="KSP82" s="316"/>
      <c r="KSQ82" s="316"/>
      <c r="KSR82" s="316"/>
      <c r="KSS82" s="316"/>
      <c r="KST82" s="316"/>
      <c r="KSU82" s="316"/>
      <c r="KSV82" s="316"/>
      <c r="KSW82" s="316"/>
      <c r="KSX82" s="316"/>
      <c r="KSY82" s="316"/>
      <c r="KSZ82" s="316"/>
      <c r="KTA82" s="316"/>
      <c r="KTB82" s="316"/>
      <c r="KTC82" s="316"/>
      <c r="KTD82" s="316"/>
      <c r="KTE82" s="316"/>
      <c r="KTF82" s="316"/>
      <c r="KTG82" s="316"/>
      <c r="KTH82" s="316"/>
      <c r="KTI82" s="316"/>
      <c r="KTJ82" s="316"/>
      <c r="KTK82" s="316"/>
      <c r="KTL82" s="316"/>
      <c r="KTM82" s="316"/>
      <c r="KTN82" s="316"/>
      <c r="KTO82" s="316"/>
      <c r="KTP82" s="316"/>
      <c r="KTQ82" s="316"/>
      <c r="KTR82" s="316"/>
      <c r="KTS82" s="316"/>
      <c r="KTT82" s="316"/>
      <c r="KTU82" s="316"/>
      <c r="KTV82" s="316"/>
      <c r="KTW82" s="316"/>
      <c r="KTX82" s="316"/>
      <c r="KTY82" s="316"/>
      <c r="KTZ82" s="316"/>
      <c r="KUA82" s="316"/>
      <c r="KUB82" s="316"/>
      <c r="KUC82" s="316"/>
      <c r="KUD82" s="316"/>
      <c r="KUE82" s="316"/>
      <c r="KUF82" s="316"/>
      <c r="KUG82" s="316"/>
      <c r="KUH82" s="316"/>
      <c r="KUI82" s="316"/>
      <c r="KUJ82" s="316"/>
      <c r="KUK82" s="316"/>
      <c r="KUL82" s="316"/>
      <c r="KUM82" s="316"/>
      <c r="KUN82" s="316"/>
      <c r="KUO82" s="316"/>
      <c r="KUP82" s="316"/>
      <c r="KUQ82" s="316"/>
      <c r="KUR82" s="316"/>
      <c r="KUS82" s="316"/>
      <c r="KUT82" s="316"/>
      <c r="KUU82" s="316"/>
      <c r="KUV82" s="316"/>
      <c r="KUW82" s="316"/>
      <c r="KUX82" s="316"/>
      <c r="KUY82" s="316"/>
      <c r="KUZ82" s="316"/>
      <c r="KVA82" s="316"/>
      <c r="KVB82" s="316"/>
      <c r="KVC82" s="316"/>
      <c r="KVD82" s="316"/>
      <c r="KVE82" s="316"/>
      <c r="KVF82" s="316"/>
      <c r="KVG82" s="316"/>
      <c r="KVH82" s="316"/>
      <c r="KVI82" s="316"/>
      <c r="KVJ82" s="316"/>
      <c r="KVK82" s="316"/>
      <c r="KVL82" s="316"/>
      <c r="KVM82" s="316"/>
      <c r="KVN82" s="316"/>
      <c r="KVO82" s="316"/>
      <c r="KVP82" s="316"/>
      <c r="KVQ82" s="316"/>
      <c r="KVR82" s="316"/>
      <c r="KVS82" s="316"/>
      <c r="KVT82" s="316"/>
      <c r="KVU82" s="316"/>
      <c r="KVV82" s="316"/>
      <c r="KVW82" s="316"/>
      <c r="KVX82" s="316"/>
      <c r="KVY82" s="316"/>
      <c r="KVZ82" s="316"/>
      <c r="KWA82" s="316"/>
      <c r="KWB82" s="316"/>
      <c r="KWC82" s="316"/>
      <c r="KWD82" s="316"/>
      <c r="KWE82" s="316"/>
      <c r="KWF82" s="316"/>
      <c r="KWG82" s="316"/>
      <c r="KWH82" s="316"/>
      <c r="KWI82" s="316"/>
      <c r="KWJ82" s="316"/>
      <c r="KWK82" s="316"/>
      <c r="KWL82" s="316"/>
      <c r="KWM82" s="316"/>
      <c r="KWN82" s="316"/>
      <c r="KWO82" s="316"/>
      <c r="KWP82" s="316"/>
      <c r="KWQ82" s="316"/>
      <c r="KWR82" s="316"/>
      <c r="KWS82" s="316"/>
      <c r="KWT82" s="316"/>
      <c r="KWU82" s="316"/>
      <c r="KWV82" s="316"/>
      <c r="KWW82" s="316"/>
      <c r="KWX82" s="316"/>
      <c r="KWY82" s="316"/>
      <c r="KWZ82" s="316"/>
      <c r="KXA82" s="316"/>
      <c r="KXB82" s="316"/>
      <c r="KXC82" s="316"/>
      <c r="KXD82" s="316"/>
      <c r="KXE82" s="316"/>
      <c r="KXF82" s="316"/>
      <c r="KXG82" s="316"/>
      <c r="KXH82" s="316"/>
      <c r="KXI82" s="316"/>
      <c r="KXJ82" s="316"/>
      <c r="KXK82" s="316"/>
      <c r="KXL82" s="316"/>
      <c r="KXM82" s="316"/>
      <c r="KXN82" s="316"/>
      <c r="KXO82" s="316"/>
      <c r="KXP82" s="316"/>
      <c r="KXQ82" s="316"/>
      <c r="KXR82" s="316"/>
      <c r="KXS82" s="316"/>
      <c r="KXT82" s="316"/>
      <c r="KXU82" s="316"/>
      <c r="KXV82" s="316"/>
      <c r="KXW82" s="316"/>
      <c r="KXX82" s="316"/>
      <c r="KXY82" s="316"/>
      <c r="KXZ82" s="316"/>
      <c r="KYA82" s="316"/>
      <c r="KYB82" s="316"/>
      <c r="KYC82" s="316"/>
      <c r="KYD82" s="316"/>
      <c r="KYE82" s="316"/>
      <c r="KYF82" s="316"/>
      <c r="KYG82" s="316"/>
      <c r="KYH82" s="316"/>
      <c r="KYI82" s="316"/>
      <c r="KYJ82" s="316"/>
      <c r="KYK82" s="316"/>
      <c r="KYL82" s="316"/>
      <c r="KYM82" s="316"/>
      <c r="KYN82" s="316"/>
      <c r="KYO82" s="316"/>
      <c r="KYP82" s="316"/>
      <c r="KYQ82" s="316"/>
      <c r="KYR82" s="316"/>
      <c r="KYS82" s="316"/>
      <c r="KYT82" s="316"/>
      <c r="KYU82" s="316"/>
      <c r="KYV82" s="316"/>
      <c r="KYW82" s="316"/>
      <c r="KYX82" s="316"/>
      <c r="KYY82" s="316"/>
      <c r="KYZ82" s="316"/>
      <c r="KZA82" s="316"/>
      <c r="KZB82" s="316"/>
      <c r="KZC82" s="316"/>
      <c r="KZD82" s="316"/>
      <c r="KZE82" s="316"/>
      <c r="KZF82" s="316"/>
      <c r="KZG82" s="316"/>
      <c r="KZH82" s="316"/>
      <c r="KZI82" s="316"/>
      <c r="KZJ82" s="316"/>
      <c r="KZK82" s="316"/>
      <c r="KZL82" s="316"/>
      <c r="KZM82" s="316"/>
      <c r="KZN82" s="316"/>
      <c r="KZO82" s="316"/>
      <c r="KZP82" s="316"/>
      <c r="KZQ82" s="316"/>
      <c r="KZR82" s="316"/>
      <c r="KZS82" s="316"/>
      <c r="KZT82" s="316"/>
      <c r="KZU82" s="316"/>
      <c r="KZV82" s="316"/>
      <c r="KZW82" s="316"/>
      <c r="KZX82" s="316"/>
      <c r="KZY82" s="316"/>
      <c r="KZZ82" s="316"/>
      <c r="LAA82" s="316"/>
      <c r="LAB82" s="316"/>
      <c r="LAC82" s="316"/>
      <c r="LAD82" s="316"/>
      <c r="LAE82" s="316"/>
      <c r="LAF82" s="316"/>
      <c r="LAG82" s="316"/>
      <c r="LAH82" s="316"/>
      <c r="LAI82" s="316"/>
      <c r="LAJ82" s="316"/>
      <c r="LAK82" s="316"/>
      <c r="LAL82" s="316"/>
      <c r="LAM82" s="316"/>
      <c r="LAN82" s="316"/>
      <c r="LAO82" s="316"/>
      <c r="LAP82" s="316"/>
      <c r="LAQ82" s="316"/>
      <c r="LAR82" s="316"/>
      <c r="LAS82" s="316"/>
      <c r="LAT82" s="316"/>
      <c r="LAU82" s="316"/>
      <c r="LAV82" s="316"/>
      <c r="LAW82" s="316"/>
      <c r="LAX82" s="316"/>
      <c r="LAY82" s="316"/>
      <c r="LAZ82" s="316"/>
      <c r="LBA82" s="316"/>
      <c r="LBB82" s="316"/>
      <c r="LBC82" s="316"/>
      <c r="LBD82" s="316"/>
      <c r="LBE82" s="316"/>
      <c r="LBF82" s="316"/>
      <c r="LBG82" s="316"/>
      <c r="LBH82" s="316"/>
      <c r="LBI82" s="316"/>
      <c r="LBJ82" s="316"/>
      <c r="LBK82" s="316"/>
      <c r="LBL82" s="316"/>
      <c r="LBM82" s="316"/>
      <c r="LBN82" s="316"/>
      <c r="LBO82" s="316"/>
      <c r="LBP82" s="316"/>
      <c r="LBQ82" s="316"/>
      <c r="LBR82" s="316"/>
      <c r="LBS82" s="316"/>
      <c r="LBT82" s="316"/>
      <c r="LBU82" s="316"/>
      <c r="LBV82" s="316"/>
      <c r="LBW82" s="316"/>
      <c r="LBX82" s="316"/>
      <c r="LBY82" s="316"/>
      <c r="LBZ82" s="316"/>
      <c r="LCA82" s="316"/>
      <c r="LCB82" s="316"/>
      <c r="LCC82" s="316"/>
      <c r="LCD82" s="316"/>
      <c r="LCE82" s="316"/>
      <c r="LCF82" s="316"/>
      <c r="LCG82" s="316"/>
      <c r="LCH82" s="316"/>
      <c r="LCI82" s="316"/>
      <c r="LCJ82" s="316"/>
      <c r="LCK82" s="316"/>
      <c r="LCL82" s="316"/>
      <c r="LCM82" s="316"/>
      <c r="LCN82" s="316"/>
      <c r="LCO82" s="316"/>
      <c r="LCP82" s="316"/>
      <c r="LCQ82" s="316"/>
      <c r="LCR82" s="316"/>
      <c r="LCS82" s="316"/>
      <c r="LCT82" s="316"/>
      <c r="LCU82" s="316"/>
      <c r="LCV82" s="316"/>
      <c r="LCW82" s="316"/>
      <c r="LCX82" s="316"/>
      <c r="LCY82" s="316"/>
      <c r="LCZ82" s="316"/>
      <c r="LDA82" s="316"/>
      <c r="LDB82" s="316"/>
      <c r="LDC82" s="316"/>
      <c r="LDD82" s="316"/>
      <c r="LDE82" s="316"/>
      <c r="LDF82" s="316"/>
      <c r="LDG82" s="316"/>
      <c r="LDH82" s="316"/>
      <c r="LDI82" s="316"/>
      <c r="LDJ82" s="316"/>
      <c r="LDK82" s="316"/>
      <c r="LDL82" s="316"/>
      <c r="LDM82" s="316"/>
      <c r="LDN82" s="316"/>
      <c r="LDO82" s="316"/>
      <c r="LDP82" s="316"/>
      <c r="LDQ82" s="316"/>
      <c r="LDR82" s="316"/>
      <c r="LDS82" s="316"/>
      <c r="LDT82" s="316"/>
      <c r="LDU82" s="316"/>
      <c r="LDV82" s="316"/>
      <c r="LDW82" s="316"/>
      <c r="LDX82" s="316"/>
      <c r="LDY82" s="316"/>
      <c r="LDZ82" s="316"/>
      <c r="LEA82" s="316"/>
      <c r="LEB82" s="316"/>
      <c r="LEC82" s="316"/>
      <c r="LED82" s="316"/>
      <c r="LEE82" s="316"/>
      <c r="LEF82" s="316"/>
      <c r="LEG82" s="316"/>
      <c r="LEH82" s="316"/>
      <c r="LEI82" s="316"/>
      <c r="LEJ82" s="316"/>
      <c r="LEK82" s="316"/>
      <c r="LEL82" s="316"/>
      <c r="LEM82" s="316"/>
      <c r="LEN82" s="316"/>
      <c r="LEO82" s="316"/>
      <c r="LEP82" s="316"/>
      <c r="LEQ82" s="316"/>
      <c r="LER82" s="316"/>
      <c r="LES82" s="316"/>
      <c r="LET82" s="316"/>
      <c r="LEU82" s="316"/>
      <c r="LEV82" s="316"/>
      <c r="LEW82" s="316"/>
      <c r="LEX82" s="316"/>
      <c r="LEY82" s="316"/>
      <c r="LEZ82" s="316"/>
      <c r="LFA82" s="316"/>
      <c r="LFB82" s="316"/>
      <c r="LFC82" s="316"/>
      <c r="LFD82" s="316"/>
      <c r="LFE82" s="316"/>
      <c r="LFF82" s="316"/>
      <c r="LFG82" s="316"/>
      <c r="LFH82" s="316"/>
      <c r="LFI82" s="316"/>
      <c r="LFJ82" s="316"/>
      <c r="LFK82" s="316"/>
      <c r="LFL82" s="316"/>
      <c r="LFM82" s="316"/>
      <c r="LFN82" s="316"/>
      <c r="LFO82" s="316"/>
      <c r="LFP82" s="316"/>
      <c r="LFQ82" s="316"/>
      <c r="LFR82" s="316"/>
      <c r="LFS82" s="316"/>
      <c r="LFT82" s="316"/>
      <c r="LFU82" s="316"/>
      <c r="LFV82" s="316"/>
      <c r="LFW82" s="316"/>
      <c r="LFX82" s="316"/>
      <c r="LFY82" s="316"/>
      <c r="LFZ82" s="316"/>
      <c r="LGA82" s="316"/>
      <c r="LGB82" s="316"/>
      <c r="LGC82" s="316"/>
      <c r="LGD82" s="316"/>
      <c r="LGE82" s="316"/>
      <c r="LGF82" s="316"/>
      <c r="LGG82" s="316"/>
      <c r="LGH82" s="316"/>
      <c r="LGI82" s="316"/>
      <c r="LGJ82" s="316"/>
      <c r="LGK82" s="316"/>
      <c r="LGL82" s="316"/>
      <c r="LGM82" s="316"/>
      <c r="LGN82" s="316"/>
      <c r="LGO82" s="316"/>
      <c r="LGP82" s="316"/>
      <c r="LGQ82" s="316"/>
      <c r="LGR82" s="316"/>
      <c r="LGS82" s="316"/>
      <c r="LGT82" s="316"/>
      <c r="LGU82" s="316"/>
      <c r="LGV82" s="316"/>
      <c r="LGW82" s="316"/>
      <c r="LGX82" s="316"/>
      <c r="LGY82" s="316"/>
      <c r="LGZ82" s="316"/>
      <c r="LHA82" s="316"/>
      <c r="LHB82" s="316"/>
      <c r="LHC82" s="316"/>
      <c r="LHD82" s="316"/>
      <c r="LHE82" s="316"/>
      <c r="LHF82" s="316"/>
      <c r="LHG82" s="316"/>
      <c r="LHH82" s="316"/>
      <c r="LHI82" s="316"/>
      <c r="LHJ82" s="316"/>
      <c r="LHK82" s="316"/>
      <c r="LHL82" s="316"/>
      <c r="LHM82" s="316"/>
      <c r="LHN82" s="316"/>
      <c r="LHO82" s="316"/>
      <c r="LHP82" s="316"/>
      <c r="LHQ82" s="316"/>
      <c r="LHR82" s="316"/>
      <c r="LHS82" s="316"/>
      <c r="LHT82" s="316"/>
      <c r="LHU82" s="316"/>
      <c r="LHV82" s="316"/>
      <c r="LHW82" s="316"/>
      <c r="LHX82" s="316"/>
      <c r="LHY82" s="316"/>
      <c r="LHZ82" s="316"/>
      <c r="LIA82" s="316"/>
      <c r="LIB82" s="316"/>
      <c r="LIC82" s="316"/>
      <c r="LID82" s="316"/>
      <c r="LIE82" s="316"/>
      <c r="LIF82" s="316"/>
      <c r="LIG82" s="316"/>
      <c r="LIH82" s="316"/>
      <c r="LII82" s="316"/>
      <c r="LIJ82" s="316"/>
      <c r="LIK82" s="316"/>
      <c r="LIL82" s="316"/>
      <c r="LIM82" s="316"/>
      <c r="LIN82" s="316"/>
      <c r="LIO82" s="316"/>
      <c r="LIP82" s="316"/>
      <c r="LIQ82" s="316"/>
      <c r="LIR82" s="316"/>
      <c r="LIS82" s="316"/>
      <c r="LIT82" s="316"/>
      <c r="LIU82" s="316"/>
      <c r="LIV82" s="316"/>
      <c r="LIW82" s="316"/>
      <c r="LIX82" s="316"/>
      <c r="LIY82" s="316"/>
      <c r="LIZ82" s="316"/>
      <c r="LJA82" s="316"/>
      <c r="LJB82" s="316"/>
      <c r="LJC82" s="316"/>
      <c r="LJD82" s="316"/>
      <c r="LJE82" s="316"/>
      <c r="LJF82" s="316"/>
      <c r="LJG82" s="316"/>
      <c r="LJH82" s="316"/>
      <c r="LJI82" s="316"/>
      <c r="LJJ82" s="316"/>
      <c r="LJK82" s="316"/>
      <c r="LJL82" s="316"/>
      <c r="LJM82" s="316"/>
      <c r="LJN82" s="316"/>
      <c r="LJO82" s="316"/>
      <c r="LJP82" s="316"/>
      <c r="LJQ82" s="316"/>
      <c r="LJR82" s="316"/>
      <c r="LJS82" s="316"/>
      <c r="LJT82" s="316"/>
      <c r="LJU82" s="316"/>
      <c r="LJV82" s="316"/>
      <c r="LJW82" s="316"/>
      <c r="LJX82" s="316"/>
      <c r="LJY82" s="316"/>
      <c r="LJZ82" s="316"/>
      <c r="LKA82" s="316"/>
      <c r="LKB82" s="316"/>
      <c r="LKC82" s="316"/>
      <c r="LKD82" s="316"/>
      <c r="LKE82" s="316"/>
      <c r="LKF82" s="316"/>
      <c r="LKG82" s="316"/>
      <c r="LKH82" s="316"/>
      <c r="LKI82" s="316"/>
      <c r="LKJ82" s="316"/>
      <c r="LKK82" s="316"/>
      <c r="LKL82" s="316"/>
      <c r="LKM82" s="316"/>
      <c r="LKN82" s="316"/>
      <c r="LKO82" s="316"/>
      <c r="LKP82" s="316"/>
      <c r="LKQ82" s="316"/>
      <c r="LKR82" s="316"/>
      <c r="LKS82" s="316"/>
      <c r="LKT82" s="316"/>
      <c r="LKU82" s="316"/>
      <c r="LKV82" s="316"/>
      <c r="LKW82" s="316"/>
      <c r="LKX82" s="316"/>
      <c r="LKY82" s="316"/>
      <c r="LKZ82" s="316"/>
      <c r="LLA82" s="316"/>
      <c r="LLB82" s="316"/>
      <c r="LLC82" s="316"/>
      <c r="LLD82" s="316"/>
      <c r="LLE82" s="316"/>
      <c r="LLF82" s="316"/>
      <c r="LLG82" s="316"/>
      <c r="LLH82" s="316"/>
      <c r="LLI82" s="316"/>
      <c r="LLJ82" s="316"/>
      <c r="LLK82" s="316"/>
      <c r="LLL82" s="316"/>
      <c r="LLM82" s="316"/>
      <c r="LLN82" s="316"/>
      <c r="LLO82" s="316"/>
      <c r="LLP82" s="316"/>
      <c r="LLQ82" s="316"/>
      <c r="LLR82" s="316"/>
      <c r="LLS82" s="316"/>
      <c r="LLT82" s="316"/>
      <c r="LLU82" s="316"/>
      <c r="LLV82" s="316"/>
      <c r="LLW82" s="316"/>
      <c r="LLX82" s="316"/>
      <c r="LLY82" s="316"/>
      <c r="LLZ82" s="316"/>
      <c r="LMA82" s="316"/>
      <c r="LMB82" s="316"/>
      <c r="LMC82" s="316"/>
      <c r="LMD82" s="316"/>
      <c r="LME82" s="316"/>
      <c r="LMF82" s="316"/>
      <c r="LMG82" s="316"/>
      <c r="LMH82" s="316"/>
      <c r="LMI82" s="316"/>
      <c r="LMJ82" s="316"/>
      <c r="LMK82" s="316"/>
      <c r="LML82" s="316"/>
      <c r="LMM82" s="316"/>
      <c r="LMN82" s="316"/>
      <c r="LMO82" s="316"/>
      <c r="LMP82" s="316"/>
      <c r="LMQ82" s="316"/>
      <c r="LMR82" s="316"/>
      <c r="LMS82" s="316"/>
      <c r="LMT82" s="316"/>
      <c r="LMU82" s="316"/>
      <c r="LMV82" s="316"/>
      <c r="LMW82" s="316"/>
      <c r="LMX82" s="316"/>
      <c r="LMY82" s="316"/>
      <c r="LMZ82" s="316"/>
      <c r="LNA82" s="316"/>
      <c r="LNB82" s="316"/>
      <c r="LNC82" s="316"/>
      <c r="LND82" s="316"/>
      <c r="LNE82" s="316"/>
      <c r="LNF82" s="316"/>
      <c r="LNG82" s="316"/>
      <c r="LNH82" s="316"/>
      <c r="LNI82" s="316"/>
      <c r="LNJ82" s="316"/>
      <c r="LNK82" s="316"/>
      <c r="LNL82" s="316"/>
      <c r="LNM82" s="316"/>
      <c r="LNN82" s="316"/>
      <c r="LNO82" s="316"/>
      <c r="LNP82" s="316"/>
      <c r="LNQ82" s="316"/>
      <c r="LNR82" s="316"/>
      <c r="LNS82" s="316"/>
      <c r="LNT82" s="316"/>
      <c r="LNU82" s="316"/>
      <c r="LNV82" s="316"/>
      <c r="LNW82" s="316"/>
      <c r="LNX82" s="316"/>
      <c r="LNY82" s="316"/>
      <c r="LNZ82" s="316"/>
      <c r="LOA82" s="316"/>
      <c r="LOB82" s="316"/>
      <c r="LOC82" s="316"/>
      <c r="LOD82" s="316"/>
      <c r="LOE82" s="316"/>
      <c r="LOF82" s="316"/>
      <c r="LOG82" s="316"/>
      <c r="LOH82" s="316"/>
      <c r="LOI82" s="316"/>
      <c r="LOJ82" s="316"/>
      <c r="LOK82" s="316"/>
      <c r="LOL82" s="316"/>
      <c r="LOM82" s="316"/>
      <c r="LON82" s="316"/>
      <c r="LOO82" s="316"/>
      <c r="LOP82" s="316"/>
      <c r="LOQ82" s="316"/>
      <c r="LOR82" s="316"/>
      <c r="LOS82" s="316"/>
      <c r="LOT82" s="316"/>
      <c r="LOU82" s="316"/>
      <c r="LOV82" s="316"/>
      <c r="LOW82" s="316"/>
      <c r="LOX82" s="316"/>
      <c r="LOY82" s="316"/>
      <c r="LOZ82" s="316"/>
      <c r="LPA82" s="316"/>
      <c r="LPB82" s="316"/>
      <c r="LPC82" s="316"/>
      <c r="LPD82" s="316"/>
      <c r="LPE82" s="316"/>
      <c r="LPF82" s="316"/>
      <c r="LPG82" s="316"/>
      <c r="LPH82" s="316"/>
      <c r="LPI82" s="316"/>
      <c r="LPJ82" s="316"/>
      <c r="LPK82" s="316"/>
      <c r="LPL82" s="316"/>
      <c r="LPM82" s="316"/>
      <c r="LPN82" s="316"/>
      <c r="LPO82" s="316"/>
      <c r="LPP82" s="316"/>
      <c r="LPQ82" s="316"/>
      <c r="LPR82" s="316"/>
      <c r="LPS82" s="316"/>
      <c r="LPT82" s="316"/>
      <c r="LPU82" s="316"/>
      <c r="LPV82" s="316"/>
      <c r="LPW82" s="316"/>
      <c r="LPX82" s="316"/>
      <c r="LPY82" s="316"/>
      <c r="LPZ82" s="316"/>
      <c r="LQA82" s="316"/>
      <c r="LQB82" s="316"/>
      <c r="LQC82" s="316"/>
      <c r="LQD82" s="316"/>
      <c r="LQE82" s="316"/>
      <c r="LQF82" s="316"/>
      <c r="LQG82" s="316"/>
      <c r="LQH82" s="316"/>
      <c r="LQI82" s="316"/>
      <c r="LQJ82" s="316"/>
      <c r="LQK82" s="316"/>
      <c r="LQL82" s="316"/>
      <c r="LQM82" s="316"/>
      <c r="LQN82" s="316"/>
      <c r="LQO82" s="316"/>
      <c r="LQP82" s="316"/>
      <c r="LQQ82" s="316"/>
      <c r="LQR82" s="316"/>
      <c r="LQS82" s="316"/>
      <c r="LQT82" s="316"/>
      <c r="LQU82" s="316"/>
      <c r="LQV82" s="316"/>
      <c r="LQW82" s="316"/>
      <c r="LQX82" s="316"/>
      <c r="LQY82" s="316"/>
      <c r="LQZ82" s="316"/>
      <c r="LRA82" s="316"/>
      <c r="LRB82" s="316"/>
      <c r="LRC82" s="316"/>
      <c r="LRD82" s="316"/>
      <c r="LRE82" s="316"/>
      <c r="LRF82" s="316"/>
      <c r="LRG82" s="316"/>
      <c r="LRH82" s="316"/>
      <c r="LRI82" s="316"/>
      <c r="LRJ82" s="316"/>
      <c r="LRK82" s="316"/>
      <c r="LRL82" s="316"/>
      <c r="LRM82" s="316"/>
      <c r="LRN82" s="316"/>
      <c r="LRO82" s="316"/>
      <c r="LRP82" s="316"/>
      <c r="LRQ82" s="316"/>
      <c r="LRR82" s="316"/>
      <c r="LRS82" s="316"/>
      <c r="LRT82" s="316"/>
      <c r="LRU82" s="316"/>
      <c r="LRV82" s="316"/>
      <c r="LRW82" s="316"/>
      <c r="LRX82" s="316"/>
      <c r="LRY82" s="316"/>
      <c r="LRZ82" s="316"/>
      <c r="LSA82" s="316"/>
      <c r="LSB82" s="316"/>
      <c r="LSC82" s="316"/>
      <c r="LSD82" s="316"/>
      <c r="LSE82" s="316"/>
      <c r="LSF82" s="316"/>
      <c r="LSG82" s="316"/>
      <c r="LSH82" s="316"/>
      <c r="LSI82" s="316"/>
      <c r="LSJ82" s="316"/>
      <c r="LSK82" s="316"/>
      <c r="LSL82" s="316"/>
      <c r="LSM82" s="316"/>
      <c r="LSN82" s="316"/>
      <c r="LSO82" s="316"/>
      <c r="LSP82" s="316"/>
      <c r="LSQ82" s="316"/>
      <c r="LSR82" s="316"/>
      <c r="LSS82" s="316"/>
      <c r="LST82" s="316"/>
      <c r="LSU82" s="316"/>
      <c r="LSV82" s="316"/>
      <c r="LSW82" s="316"/>
      <c r="LSX82" s="316"/>
      <c r="LSY82" s="316"/>
      <c r="LSZ82" s="316"/>
      <c r="LTA82" s="316"/>
      <c r="LTB82" s="316"/>
      <c r="LTC82" s="316"/>
      <c r="LTD82" s="316"/>
      <c r="LTE82" s="316"/>
      <c r="LTF82" s="316"/>
      <c r="LTG82" s="316"/>
      <c r="LTH82" s="316"/>
      <c r="LTI82" s="316"/>
      <c r="LTJ82" s="316"/>
      <c r="LTK82" s="316"/>
      <c r="LTL82" s="316"/>
      <c r="LTM82" s="316"/>
      <c r="LTN82" s="316"/>
      <c r="LTO82" s="316"/>
      <c r="LTP82" s="316"/>
      <c r="LTQ82" s="316"/>
      <c r="LTR82" s="316"/>
      <c r="LTS82" s="316"/>
      <c r="LTT82" s="316"/>
      <c r="LTU82" s="316"/>
      <c r="LTV82" s="316"/>
      <c r="LTW82" s="316"/>
      <c r="LTX82" s="316"/>
      <c r="LTY82" s="316"/>
      <c r="LTZ82" s="316"/>
      <c r="LUA82" s="316"/>
      <c r="LUB82" s="316"/>
      <c r="LUC82" s="316"/>
      <c r="LUD82" s="316"/>
      <c r="LUE82" s="316"/>
      <c r="LUF82" s="316"/>
      <c r="LUG82" s="316"/>
      <c r="LUH82" s="316"/>
      <c r="LUI82" s="316"/>
      <c r="LUJ82" s="316"/>
      <c r="LUK82" s="316"/>
      <c r="LUL82" s="316"/>
      <c r="LUM82" s="316"/>
      <c r="LUN82" s="316"/>
      <c r="LUO82" s="316"/>
      <c r="LUP82" s="316"/>
      <c r="LUQ82" s="316"/>
      <c r="LUR82" s="316"/>
      <c r="LUS82" s="316"/>
      <c r="LUT82" s="316"/>
      <c r="LUU82" s="316"/>
      <c r="LUV82" s="316"/>
      <c r="LUW82" s="316"/>
      <c r="LUX82" s="316"/>
      <c r="LUY82" s="316"/>
      <c r="LUZ82" s="316"/>
      <c r="LVA82" s="316"/>
      <c r="LVB82" s="316"/>
      <c r="LVC82" s="316"/>
      <c r="LVD82" s="316"/>
      <c r="LVE82" s="316"/>
      <c r="LVF82" s="316"/>
      <c r="LVG82" s="316"/>
      <c r="LVH82" s="316"/>
      <c r="LVI82" s="316"/>
      <c r="LVJ82" s="316"/>
      <c r="LVK82" s="316"/>
      <c r="LVL82" s="316"/>
      <c r="LVM82" s="316"/>
      <c r="LVN82" s="316"/>
      <c r="LVO82" s="316"/>
      <c r="LVP82" s="316"/>
      <c r="LVQ82" s="316"/>
      <c r="LVR82" s="316"/>
      <c r="LVS82" s="316"/>
      <c r="LVT82" s="316"/>
      <c r="LVU82" s="316"/>
      <c r="LVV82" s="316"/>
      <c r="LVW82" s="316"/>
      <c r="LVX82" s="316"/>
      <c r="LVY82" s="316"/>
      <c r="LVZ82" s="316"/>
      <c r="LWA82" s="316"/>
      <c r="LWB82" s="316"/>
      <c r="LWC82" s="316"/>
      <c r="LWD82" s="316"/>
      <c r="LWE82" s="316"/>
      <c r="LWF82" s="316"/>
      <c r="LWG82" s="316"/>
      <c r="LWH82" s="316"/>
      <c r="LWI82" s="316"/>
      <c r="LWJ82" s="316"/>
      <c r="LWK82" s="316"/>
      <c r="LWL82" s="316"/>
      <c r="LWM82" s="316"/>
      <c r="LWN82" s="316"/>
      <c r="LWO82" s="316"/>
      <c r="LWP82" s="316"/>
      <c r="LWQ82" s="316"/>
      <c r="LWR82" s="316"/>
      <c r="LWS82" s="316"/>
      <c r="LWT82" s="316"/>
      <c r="LWU82" s="316"/>
      <c r="LWV82" s="316"/>
      <c r="LWW82" s="316"/>
      <c r="LWX82" s="316"/>
      <c r="LWY82" s="316"/>
      <c r="LWZ82" s="316"/>
      <c r="LXA82" s="316"/>
      <c r="LXB82" s="316"/>
      <c r="LXC82" s="316"/>
      <c r="LXD82" s="316"/>
      <c r="LXE82" s="316"/>
      <c r="LXF82" s="316"/>
      <c r="LXG82" s="316"/>
      <c r="LXH82" s="316"/>
      <c r="LXI82" s="316"/>
      <c r="LXJ82" s="316"/>
      <c r="LXK82" s="316"/>
      <c r="LXL82" s="316"/>
      <c r="LXM82" s="316"/>
      <c r="LXN82" s="316"/>
      <c r="LXO82" s="316"/>
      <c r="LXP82" s="316"/>
      <c r="LXQ82" s="316"/>
      <c r="LXR82" s="316"/>
      <c r="LXS82" s="316"/>
      <c r="LXT82" s="316"/>
      <c r="LXU82" s="316"/>
      <c r="LXV82" s="316"/>
      <c r="LXW82" s="316"/>
      <c r="LXX82" s="316"/>
      <c r="LXY82" s="316"/>
      <c r="LXZ82" s="316"/>
      <c r="LYA82" s="316"/>
      <c r="LYB82" s="316"/>
      <c r="LYC82" s="316"/>
      <c r="LYD82" s="316"/>
      <c r="LYE82" s="316"/>
      <c r="LYF82" s="316"/>
      <c r="LYG82" s="316"/>
      <c r="LYH82" s="316"/>
      <c r="LYI82" s="316"/>
      <c r="LYJ82" s="316"/>
      <c r="LYK82" s="316"/>
      <c r="LYL82" s="316"/>
      <c r="LYM82" s="316"/>
      <c r="LYN82" s="316"/>
      <c r="LYO82" s="316"/>
      <c r="LYP82" s="316"/>
      <c r="LYQ82" s="316"/>
      <c r="LYR82" s="316"/>
      <c r="LYS82" s="316"/>
      <c r="LYT82" s="316"/>
      <c r="LYU82" s="316"/>
      <c r="LYV82" s="316"/>
      <c r="LYW82" s="316"/>
      <c r="LYX82" s="316"/>
      <c r="LYY82" s="316"/>
      <c r="LYZ82" s="316"/>
      <c r="LZA82" s="316"/>
      <c r="LZB82" s="316"/>
      <c r="LZC82" s="316"/>
      <c r="LZD82" s="316"/>
      <c r="LZE82" s="316"/>
      <c r="LZF82" s="316"/>
      <c r="LZG82" s="316"/>
      <c r="LZH82" s="316"/>
      <c r="LZI82" s="316"/>
      <c r="LZJ82" s="316"/>
      <c r="LZK82" s="316"/>
      <c r="LZL82" s="316"/>
      <c r="LZM82" s="316"/>
      <c r="LZN82" s="316"/>
      <c r="LZO82" s="316"/>
      <c r="LZP82" s="316"/>
      <c r="LZQ82" s="316"/>
      <c r="LZR82" s="316"/>
      <c r="LZS82" s="316"/>
      <c r="LZT82" s="316"/>
      <c r="LZU82" s="316"/>
      <c r="LZV82" s="316"/>
      <c r="LZW82" s="316"/>
      <c r="LZX82" s="316"/>
      <c r="LZY82" s="316"/>
      <c r="LZZ82" s="316"/>
      <c r="MAA82" s="316"/>
      <c r="MAB82" s="316"/>
      <c r="MAC82" s="316"/>
      <c r="MAD82" s="316"/>
      <c r="MAE82" s="316"/>
      <c r="MAF82" s="316"/>
      <c r="MAG82" s="316"/>
      <c r="MAH82" s="316"/>
      <c r="MAI82" s="316"/>
      <c r="MAJ82" s="316"/>
      <c r="MAK82" s="316"/>
      <c r="MAL82" s="316"/>
      <c r="MAM82" s="316"/>
      <c r="MAN82" s="316"/>
      <c r="MAO82" s="316"/>
      <c r="MAP82" s="316"/>
      <c r="MAQ82" s="316"/>
      <c r="MAR82" s="316"/>
      <c r="MAS82" s="316"/>
      <c r="MAT82" s="316"/>
      <c r="MAU82" s="316"/>
      <c r="MAV82" s="316"/>
      <c r="MAW82" s="316"/>
      <c r="MAX82" s="316"/>
      <c r="MAY82" s="316"/>
      <c r="MAZ82" s="316"/>
      <c r="MBA82" s="316"/>
      <c r="MBB82" s="316"/>
      <c r="MBC82" s="316"/>
      <c r="MBD82" s="316"/>
      <c r="MBE82" s="316"/>
      <c r="MBF82" s="316"/>
      <c r="MBG82" s="316"/>
      <c r="MBH82" s="316"/>
      <c r="MBI82" s="316"/>
      <c r="MBJ82" s="316"/>
      <c r="MBK82" s="316"/>
      <c r="MBL82" s="316"/>
      <c r="MBM82" s="316"/>
      <c r="MBN82" s="316"/>
      <c r="MBO82" s="316"/>
      <c r="MBP82" s="316"/>
      <c r="MBQ82" s="316"/>
      <c r="MBR82" s="316"/>
      <c r="MBS82" s="316"/>
      <c r="MBT82" s="316"/>
      <c r="MBU82" s="316"/>
      <c r="MBV82" s="316"/>
      <c r="MBW82" s="316"/>
      <c r="MBX82" s="316"/>
      <c r="MBY82" s="316"/>
      <c r="MBZ82" s="316"/>
      <c r="MCA82" s="316"/>
      <c r="MCB82" s="316"/>
      <c r="MCC82" s="316"/>
      <c r="MCD82" s="316"/>
      <c r="MCE82" s="316"/>
      <c r="MCF82" s="316"/>
      <c r="MCG82" s="316"/>
      <c r="MCH82" s="316"/>
      <c r="MCI82" s="316"/>
      <c r="MCJ82" s="316"/>
      <c r="MCK82" s="316"/>
      <c r="MCL82" s="316"/>
      <c r="MCM82" s="316"/>
      <c r="MCN82" s="316"/>
      <c r="MCO82" s="316"/>
      <c r="MCP82" s="316"/>
      <c r="MCQ82" s="316"/>
      <c r="MCR82" s="316"/>
      <c r="MCS82" s="316"/>
      <c r="MCT82" s="316"/>
      <c r="MCU82" s="316"/>
      <c r="MCV82" s="316"/>
      <c r="MCW82" s="316"/>
      <c r="MCX82" s="316"/>
      <c r="MCY82" s="316"/>
      <c r="MCZ82" s="316"/>
      <c r="MDA82" s="316"/>
      <c r="MDB82" s="316"/>
      <c r="MDC82" s="316"/>
      <c r="MDD82" s="316"/>
      <c r="MDE82" s="316"/>
      <c r="MDF82" s="316"/>
      <c r="MDG82" s="316"/>
      <c r="MDH82" s="316"/>
      <c r="MDI82" s="316"/>
      <c r="MDJ82" s="316"/>
      <c r="MDK82" s="316"/>
      <c r="MDL82" s="316"/>
      <c r="MDM82" s="316"/>
      <c r="MDN82" s="316"/>
      <c r="MDO82" s="316"/>
      <c r="MDP82" s="316"/>
      <c r="MDQ82" s="316"/>
      <c r="MDR82" s="316"/>
      <c r="MDS82" s="316"/>
      <c r="MDT82" s="316"/>
      <c r="MDU82" s="316"/>
      <c r="MDV82" s="316"/>
      <c r="MDW82" s="316"/>
      <c r="MDX82" s="316"/>
      <c r="MDY82" s="316"/>
      <c r="MDZ82" s="316"/>
      <c r="MEA82" s="316"/>
      <c r="MEB82" s="316"/>
      <c r="MEC82" s="316"/>
      <c r="MED82" s="316"/>
      <c r="MEE82" s="316"/>
      <c r="MEF82" s="316"/>
      <c r="MEG82" s="316"/>
      <c r="MEH82" s="316"/>
      <c r="MEI82" s="316"/>
      <c r="MEJ82" s="316"/>
      <c r="MEK82" s="316"/>
      <c r="MEL82" s="316"/>
      <c r="MEM82" s="316"/>
      <c r="MEN82" s="316"/>
      <c r="MEO82" s="316"/>
      <c r="MEP82" s="316"/>
      <c r="MEQ82" s="316"/>
      <c r="MER82" s="316"/>
      <c r="MES82" s="316"/>
      <c r="MET82" s="316"/>
      <c r="MEU82" s="316"/>
      <c r="MEV82" s="316"/>
      <c r="MEW82" s="316"/>
      <c r="MEX82" s="316"/>
      <c r="MEY82" s="316"/>
      <c r="MEZ82" s="316"/>
      <c r="MFA82" s="316"/>
      <c r="MFB82" s="316"/>
      <c r="MFC82" s="316"/>
      <c r="MFD82" s="316"/>
      <c r="MFE82" s="316"/>
      <c r="MFF82" s="316"/>
      <c r="MFG82" s="316"/>
      <c r="MFH82" s="316"/>
      <c r="MFI82" s="316"/>
      <c r="MFJ82" s="316"/>
      <c r="MFK82" s="316"/>
      <c r="MFL82" s="316"/>
      <c r="MFM82" s="316"/>
      <c r="MFN82" s="316"/>
      <c r="MFO82" s="316"/>
      <c r="MFP82" s="316"/>
      <c r="MFQ82" s="316"/>
      <c r="MFR82" s="316"/>
      <c r="MFS82" s="316"/>
      <c r="MFT82" s="316"/>
      <c r="MFU82" s="316"/>
      <c r="MFV82" s="316"/>
      <c r="MFW82" s="316"/>
      <c r="MFX82" s="316"/>
      <c r="MFY82" s="316"/>
      <c r="MFZ82" s="316"/>
      <c r="MGA82" s="316"/>
      <c r="MGB82" s="316"/>
      <c r="MGC82" s="316"/>
      <c r="MGD82" s="316"/>
      <c r="MGE82" s="316"/>
      <c r="MGF82" s="316"/>
      <c r="MGG82" s="316"/>
      <c r="MGH82" s="316"/>
      <c r="MGI82" s="316"/>
      <c r="MGJ82" s="316"/>
      <c r="MGK82" s="316"/>
      <c r="MGL82" s="316"/>
      <c r="MGM82" s="316"/>
      <c r="MGN82" s="316"/>
      <c r="MGO82" s="316"/>
      <c r="MGP82" s="316"/>
      <c r="MGQ82" s="316"/>
      <c r="MGR82" s="316"/>
      <c r="MGS82" s="316"/>
      <c r="MGT82" s="316"/>
      <c r="MGU82" s="316"/>
      <c r="MGV82" s="316"/>
      <c r="MGW82" s="316"/>
      <c r="MGX82" s="316"/>
      <c r="MGY82" s="316"/>
      <c r="MGZ82" s="316"/>
      <c r="MHA82" s="316"/>
      <c r="MHB82" s="316"/>
      <c r="MHC82" s="316"/>
      <c r="MHD82" s="316"/>
      <c r="MHE82" s="316"/>
      <c r="MHF82" s="316"/>
      <c r="MHG82" s="316"/>
      <c r="MHH82" s="316"/>
      <c r="MHI82" s="316"/>
      <c r="MHJ82" s="316"/>
      <c r="MHK82" s="316"/>
      <c r="MHL82" s="316"/>
      <c r="MHM82" s="316"/>
      <c r="MHN82" s="316"/>
      <c r="MHO82" s="316"/>
      <c r="MHP82" s="316"/>
      <c r="MHQ82" s="316"/>
      <c r="MHR82" s="316"/>
      <c r="MHS82" s="316"/>
      <c r="MHT82" s="316"/>
      <c r="MHU82" s="316"/>
      <c r="MHV82" s="316"/>
      <c r="MHW82" s="316"/>
      <c r="MHX82" s="316"/>
      <c r="MHY82" s="316"/>
      <c r="MHZ82" s="316"/>
      <c r="MIA82" s="316"/>
      <c r="MIB82" s="316"/>
      <c r="MIC82" s="316"/>
      <c r="MID82" s="316"/>
      <c r="MIE82" s="316"/>
      <c r="MIF82" s="316"/>
      <c r="MIG82" s="316"/>
      <c r="MIH82" s="316"/>
      <c r="MII82" s="316"/>
      <c r="MIJ82" s="316"/>
      <c r="MIK82" s="316"/>
      <c r="MIL82" s="316"/>
      <c r="MIM82" s="316"/>
      <c r="MIN82" s="316"/>
      <c r="MIO82" s="316"/>
      <c r="MIP82" s="316"/>
      <c r="MIQ82" s="316"/>
      <c r="MIR82" s="316"/>
      <c r="MIS82" s="316"/>
      <c r="MIT82" s="316"/>
      <c r="MIU82" s="316"/>
      <c r="MIV82" s="316"/>
      <c r="MIW82" s="316"/>
      <c r="MIX82" s="316"/>
      <c r="MIY82" s="316"/>
      <c r="MIZ82" s="316"/>
      <c r="MJA82" s="316"/>
      <c r="MJB82" s="316"/>
      <c r="MJC82" s="316"/>
      <c r="MJD82" s="316"/>
      <c r="MJE82" s="316"/>
      <c r="MJF82" s="316"/>
      <c r="MJG82" s="316"/>
      <c r="MJH82" s="316"/>
      <c r="MJI82" s="316"/>
      <c r="MJJ82" s="316"/>
      <c r="MJK82" s="316"/>
      <c r="MJL82" s="316"/>
      <c r="MJM82" s="316"/>
      <c r="MJN82" s="316"/>
      <c r="MJO82" s="316"/>
      <c r="MJP82" s="316"/>
      <c r="MJQ82" s="316"/>
      <c r="MJR82" s="316"/>
      <c r="MJS82" s="316"/>
      <c r="MJT82" s="316"/>
      <c r="MJU82" s="316"/>
      <c r="MJV82" s="316"/>
      <c r="MJW82" s="316"/>
      <c r="MJX82" s="316"/>
      <c r="MJY82" s="316"/>
      <c r="MJZ82" s="316"/>
      <c r="MKA82" s="316"/>
      <c r="MKB82" s="316"/>
      <c r="MKC82" s="316"/>
      <c r="MKD82" s="316"/>
      <c r="MKE82" s="316"/>
      <c r="MKF82" s="316"/>
      <c r="MKG82" s="316"/>
      <c r="MKH82" s="316"/>
      <c r="MKI82" s="316"/>
      <c r="MKJ82" s="316"/>
      <c r="MKK82" s="316"/>
      <c r="MKL82" s="316"/>
      <c r="MKM82" s="316"/>
      <c r="MKN82" s="316"/>
      <c r="MKO82" s="316"/>
      <c r="MKP82" s="316"/>
      <c r="MKQ82" s="316"/>
      <c r="MKR82" s="316"/>
      <c r="MKS82" s="316"/>
      <c r="MKT82" s="316"/>
      <c r="MKU82" s="316"/>
      <c r="MKV82" s="316"/>
      <c r="MKW82" s="316"/>
      <c r="MKX82" s="316"/>
      <c r="MKY82" s="316"/>
      <c r="MKZ82" s="316"/>
      <c r="MLA82" s="316"/>
      <c r="MLB82" s="316"/>
      <c r="MLC82" s="316"/>
      <c r="MLD82" s="316"/>
      <c r="MLE82" s="316"/>
      <c r="MLF82" s="316"/>
      <c r="MLG82" s="316"/>
      <c r="MLH82" s="316"/>
      <c r="MLI82" s="316"/>
      <c r="MLJ82" s="316"/>
      <c r="MLK82" s="316"/>
      <c r="MLL82" s="316"/>
      <c r="MLM82" s="316"/>
      <c r="MLN82" s="316"/>
      <c r="MLO82" s="316"/>
      <c r="MLP82" s="316"/>
      <c r="MLQ82" s="316"/>
      <c r="MLR82" s="316"/>
      <c r="MLS82" s="316"/>
      <c r="MLT82" s="316"/>
      <c r="MLU82" s="316"/>
      <c r="MLV82" s="316"/>
      <c r="MLW82" s="316"/>
      <c r="MLX82" s="316"/>
      <c r="MLY82" s="316"/>
      <c r="MLZ82" s="316"/>
      <c r="MMA82" s="316"/>
      <c r="MMB82" s="316"/>
      <c r="MMC82" s="316"/>
      <c r="MMD82" s="316"/>
      <c r="MME82" s="316"/>
      <c r="MMF82" s="316"/>
      <c r="MMG82" s="316"/>
      <c r="MMH82" s="316"/>
      <c r="MMI82" s="316"/>
      <c r="MMJ82" s="316"/>
      <c r="MMK82" s="316"/>
      <c r="MML82" s="316"/>
      <c r="MMM82" s="316"/>
      <c r="MMN82" s="316"/>
      <c r="MMO82" s="316"/>
      <c r="MMP82" s="316"/>
      <c r="MMQ82" s="316"/>
      <c r="MMR82" s="316"/>
      <c r="MMS82" s="316"/>
      <c r="MMT82" s="316"/>
      <c r="MMU82" s="316"/>
      <c r="MMV82" s="316"/>
      <c r="MMW82" s="316"/>
      <c r="MMX82" s="316"/>
      <c r="MMY82" s="316"/>
      <c r="MMZ82" s="316"/>
      <c r="MNA82" s="316"/>
      <c r="MNB82" s="316"/>
      <c r="MNC82" s="316"/>
      <c r="MND82" s="316"/>
      <c r="MNE82" s="316"/>
      <c r="MNF82" s="316"/>
      <c r="MNG82" s="316"/>
      <c r="MNH82" s="316"/>
      <c r="MNI82" s="316"/>
      <c r="MNJ82" s="316"/>
      <c r="MNK82" s="316"/>
      <c r="MNL82" s="316"/>
      <c r="MNM82" s="316"/>
      <c r="MNN82" s="316"/>
      <c r="MNO82" s="316"/>
      <c r="MNP82" s="316"/>
      <c r="MNQ82" s="316"/>
      <c r="MNR82" s="316"/>
      <c r="MNS82" s="316"/>
      <c r="MNT82" s="316"/>
      <c r="MNU82" s="316"/>
      <c r="MNV82" s="316"/>
      <c r="MNW82" s="316"/>
      <c r="MNX82" s="316"/>
      <c r="MNY82" s="316"/>
      <c r="MNZ82" s="316"/>
      <c r="MOA82" s="316"/>
      <c r="MOB82" s="316"/>
      <c r="MOC82" s="316"/>
      <c r="MOD82" s="316"/>
      <c r="MOE82" s="316"/>
      <c r="MOF82" s="316"/>
      <c r="MOG82" s="316"/>
      <c r="MOH82" s="316"/>
      <c r="MOI82" s="316"/>
      <c r="MOJ82" s="316"/>
      <c r="MOK82" s="316"/>
      <c r="MOL82" s="316"/>
      <c r="MOM82" s="316"/>
      <c r="MON82" s="316"/>
      <c r="MOO82" s="316"/>
      <c r="MOP82" s="316"/>
      <c r="MOQ82" s="316"/>
      <c r="MOR82" s="316"/>
      <c r="MOS82" s="316"/>
      <c r="MOT82" s="316"/>
      <c r="MOU82" s="316"/>
      <c r="MOV82" s="316"/>
      <c r="MOW82" s="316"/>
      <c r="MOX82" s="316"/>
      <c r="MOY82" s="316"/>
      <c r="MOZ82" s="316"/>
      <c r="MPA82" s="316"/>
      <c r="MPB82" s="316"/>
      <c r="MPC82" s="316"/>
      <c r="MPD82" s="316"/>
      <c r="MPE82" s="316"/>
      <c r="MPF82" s="316"/>
      <c r="MPG82" s="316"/>
      <c r="MPH82" s="316"/>
      <c r="MPI82" s="316"/>
      <c r="MPJ82" s="316"/>
      <c r="MPK82" s="316"/>
      <c r="MPL82" s="316"/>
      <c r="MPM82" s="316"/>
      <c r="MPN82" s="316"/>
      <c r="MPO82" s="316"/>
      <c r="MPP82" s="316"/>
      <c r="MPQ82" s="316"/>
      <c r="MPR82" s="316"/>
      <c r="MPS82" s="316"/>
      <c r="MPT82" s="316"/>
      <c r="MPU82" s="316"/>
      <c r="MPV82" s="316"/>
      <c r="MPW82" s="316"/>
      <c r="MPX82" s="316"/>
      <c r="MPY82" s="316"/>
      <c r="MPZ82" s="316"/>
      <c r="MQA82" s="316"/>
      <c r="MQB82" s="316"/>
      <c r="MQC82" s="316"/>
      <c r="MQD82" s="316"/>
      <c r="MQE82" s="316"/>
      <c r="MQF82" s="316"/>
      <c r="MQG82" s="316"/>
      <c r="MQH82" s="316"/>
      <c r="MQI82" s="316"/>
      <c r="MQJ82" s="316"/>
      <c r="MQK82" s="316"/>
      <c r="MQL82" s="316"/>
      <c r="MQM82" s="316"/>
      <c r="MQN82" s="316"/>
      <c r="MQO82" s="316"/>
      <c r="MQP82" s="316"/>
      <c r="MQQ82" s="316"/>
      <c r="MQR82" s="316"/>
      <c r="MQS82" s="316"/>
      <c r="MQT82" s="316"/>
      <c r="MQU82" s="316"/>
      <c r="MQV82" s="316"/>
      <c r="MQW82" s="316"/>
      <c r="MQX82" s="316"/>
      <c r="MQY82" s="316"/>
      <c r="MQZ82" s="316"/>
      <c r="MRA82" s="316"/>
      <c r="MRB82" s="316"/>
      <c r="MRC82" s="316"/>
      <c r="MRD82" s="316"/>
      <c r="MRE82" s="316"/>
      <c r="MRF82" s="316"/>
      <c r="MRG82" s="316"/>
      <c r="MRH82" s="316"/>
      <c r="MRI82" s="316"/>
      <c r="MRJ82" s="316"/>
      <c r="MRK82" s="316"/>
      <c r="MRL82" s="316"/>
      <c r="MRM82" s="316"/>
      <c r="MRN82" s="316"/>
      <c r="MRO82" s="316"/>
      <c r="MRP82" s="316"/>
      <c r="MRQ82" s="316"/>
      <c r="MRR82" s="316"/>
      <c r="MRS82" s="316"/>
      <c r="MRT82" s="316"/>
      <c r="MRU82" s="316"/>
      <c r="MRV82" s="316"/>
      <c r="MRW82" s="316"/>
      <c r="MRX82" s="316"/>
      <c r="MRY82" s="316"/>
      <c r="MRZ82" s="316"/>
      <c r="MSA82" s="316"/>
      <c r="MSB82" s="316"/>
      <c r="MSC82" s="316"/>
      <c r="MSD82" s="316"/>
      <c r="MSE82" s="316"/>
      <c r="MSF82" s="316"/>
      <c r="MSG82" s="316"/>
      <c r="MSH82" s="316"/>
      <c r="MSI82" s="316"/>
      <c r="MSJ82" s="316"/>
      <c r="MSK82" s="316"/>
      <c r="MSL82" s="316"/>
      <c r="MSM82" s="316"/>
      <c r="MSN82" s="316"/>
      <c r="MSO82" s="316"/>
      <c r="MSP82" s="316"/>
      <c r="MSQ82" s="316"/>
      <c r="MSR82" s="316"/>
      <c r="MSS82" s="316"/>
      <c r="MST82" s="316"/>
      <c r="MSU82" s="316"/>
      <c r="MSV82" s="316"/>
      <c r="MSW82" s="316"/>
      <c r="MSX82" s="316"/>
      <c r="MSY82" s="316"/>
      <c r="MSZ82" s="316"/>
      <c r="MTA82" s="316"/>
      <c r="MTB82" s="316"/>
      <c r="MTC82" s="316"/>
      <c r="MTD82" s="316"/>
      <c r="MTE82" s="316"/>
      <c r="MTF82" s="316"/>
      <c r="MTG82" s="316"/>
      <c r="MTH82" s="316"/>
      <c r="MTI82" s="316"/>
      <c r="MTJ82" s="316"/>
      <c r="MTK82" s="316"/>
      <c r="MTL82" s="316"/>
      <c r="MTM82" s="316"/>
      <c r="MTN82" s="316"/>
      <c r="MTO82" s="316"/>
      <c r="MTP82" s="316"/>
      <c r="MTQ82" s="316"/>
      <c r="MTR82" s="316"/>
      <c r="MTS82" s="316"/>
      <c r="MTT82" s="316"/>
      <c r="MTU82" s="316"/>
      <c r="MTV82" s="316"/>
      <c r="MTW82" s="316"/>
      <c r="MTX82" s="316"/>
      <c r="MTY82" s="316"/>
      <c r="MTZ82" s="316"/>
      <c r="MUA82" s="316"/>
      <c r="MUB82" s="316"/>
      <c r="MUC82" s="316"/>
      <c r="MUD82" s="316"/>
      <c r="MUE82" s="316"/>
      <c r="MUF82" s="316"/>
      <c r="MUG82" s="316"/>
      <c r="MUH82" s="316"/>
      <c r="MUI82" s="316"/>
      <c r="MUJ82" s="316"/>
      <c r="MUK82" s="316"/>
      <c r="MUL82" s="316"/>
      <c r="MUM82" s="316"/>
      <c r="MUN82" s="316"/>
      <c r="MUO82" s="316"/>
      <c r="MUP82" s="316"/>
      <c r="MUQ82" s="316"/>
      <c r="MUR82" s="316"/>
      <c r="MUS82" s="316"/>
      <c r="MUT82" s="316"/>
      <c r="MUU82" s="316"/>
      <c r="MUV82" s="316"/>
      <c r="MUW82" s="316"/>
      <c r="MUX82" s="316"/>
      <c r="MUY82" s="316"/>
      <c r="MUZ82" s="316"/>
      <c r="MVA82" s="316"/>
      <c r="MVB82" s="316"/>
      <c r="MVC82" s="316"/>
      <c r="MVD82" s="316"/>
      <c r="MVE82" s="316"/>
      <c r="MVF82" s="316"/>
      <c r="MVG82" s="316"/>
      <c r="MVH82" s="316"/>
      <c r="MVI82" s="316"/>
      <c r="MVJ82" s="316"/>
      <c r="MVK82" s="316"/>
      <c r="MVL82" s="316"/>
      <c r="MVM82" s="316"/>
      <c r="MVN82" s="316"/>
      <c r="MVO82" s="316"/>
      <c r="MVP82" s="316"/>
      <c r="MVQ82" s="316"/>
      <c r="MVR82" s="316"/>
      <c r="MVS82" s="316"/>
      <c r="MVT82" s="316"/>
      <c r="MVU82" s="316"/>
      <c r="MVV82" s="316"/>
      <c r="MVW82" s="316"/>
      <c r="MVX82" s="316"/>
      <c r="MVY82" s="316"/>
      <c r="MVZ82" s="316"/>
      <c r="MWA82" s="316"/>
      <c r="MWB82" s="316"/>
      <c r="MWC82" s="316"/>
      <c r="MWD82" s="316"/>
      <c r="MWE82" s="316"/>
      <c r="MWF82" s="316"/>
      <c r="MWG82" s="316"/>
      <c r="MWH82" s="316"/>
      <c r="MWI82" s="316"/>
      <c r="MWJ82" s="316"/>
      <c r="MWK82" s="316"/>
      <c r="MWL82" s="316"/>
      <c r="MWM82" s="316"/>
      <c r="MWN82" s="316"/>
      <c r="MWO82" s="316"/>
      <c r="MWP82" s="316"/>
      <c r="MWQ82" s="316"/>
      <c r="MWR82" s="316"/>
      <c r="MWS82" s="316"/>
      <c r="MWT82" s="316"/>
      <c r="MWU82" s="316"/>
      <c r="MWV82" s="316"/>
      <c r="MWW82" s="316"/>
      <c r="MWX82" s="316"/>
      <c r="MWY82" s="316"/>
      <c r="MWZ82" s="316"/>
      <c r="MXA82" s="316"/>
      <c r="MXB82" s="316"/>
      <c r="MXC82" s="316"/>
      <c r="MXD82" s="316"/>
      <c r="MXE82" s="316"/>
      <c r="MXF82" s="316"/>
      <c r="MXG82" s="316"/>
      <c r="MXH82" s="316"/>
      <c r="MXI82" s="316"/>
      <c r="MXJ82" s="316"/>
      <c r="MXK82" s="316"/>
      <c r="MXL82" s="316"/>
      <c r="MXM82" s="316"/>
      <c r="MXN82" s="316"/>
      <c r="MXO82" s="316"/>
      <c r="MXP82" s="316"/>
      <c r="MXQ82" s="316"/>
      <c r="MXR82" s="316"/>
      <c r="MXS82" s="316"/>
      <c r="MXT82" s="316"/>
      <c r="MXU82" s="316"/>
      <c r="MXV82" s="316"/>
      <c r="MXW82" s="316"/>
      <c r="MXX82" s="316"/>
      <c r="MXY82" s="316"/>
      <c r="MXZ82" s="316"/>
      <c r="MYA82" s="316"/>
      <c r="MYB82" s="316"/>
      <c r="MYC82" s="316"/>
      <c r="MYD82" s="316"/>
      <c r="MYE82" s="316"/>
      <c r="MYF82" s="316"/>
      <c r="MYG82" s="316"/>
      <c r="MYH82" s="316"/>
      <c r="MYI82" s="316"/>
      <c r="MYJ82" s="316"/>
      <c r="MYK82" s="316"/>
      <c r="MYL82" s="316"/>
      <c r="MYM82" s="316"/>
      <c r="MYN82" s="316"/>
      <c r="MYO82" s="316"/>
      <c r="MYP82" s="316"/>
      <c r="MYQ82" s="316"/>
      <c r="MYR82" s="316"/>
      <c r="MYS82" s="316"/>
      <c r="MYT82" s="316"/>
      <c r="MYU82" s="316"/>
      <c r="MYV82" s="316"/>
      <c r="MYW82" s="316"/>
      <c r="MYX82" s="316"/>
      <c r="MYY82" s="316"/>
      <c r="MYZ82" s="316"/>
      <c r="MZA82" s="316"/>
      <c r="MZB82" s="316"/>
      <c r="MZC82" s="316"/>
      <c r="MZD82" s="316"/>
      <c r="MZE82" s="316"/>
      <c r="MZF82" s="316"/>
      <c r="MZG82" s="316"/>
      <c r="MZH82" s="316"/>
      <c r="MZI82" s="316"/>
      <c r="MZJ82" s="316"/>
      <c r="MZK82" s="316"/>
      <c r="MZL82" s="316"/>
      <c r="MZM82" s="316"/>
      <c r="MZN82" s="316"/>
      <c r="MZO82" s="316"/>
      <c r="MZP82" s="316"/>
      <c r="MZQ82" s="316"/>
      <c r="MZR82" s="316"/>
      <c r="MZS82" s="316"/>
      <c r="MZT82" s="316"/>
      <c r="MZU82" s="316"/>
      <c r="MZV82" s="316"/>
      <c r="MZW82" s="316"/>
      <c r="MZX82" s="316"/>
      <c r="MZY82" s="316"/>
      <c r="MZZ82" s="316"/>
      <c r="NAA82" s="316"/>
      <c r="NAB82" s="316"/>
      <c r="NAC82" s="316"/>
      <c r="NAD82" s="316"/>
      <c r="NAE82" s="316"/>
      <c r="NAF82" s="316"/>
      <c r="NAG82" s="316"/>
      <c r="NAH82" s="316"/>
      <c r="NAI82" s="316"/>
      <c r="NAJ82" s="316"/>
      <c r="NAK82" s="316"/>
      <c r="NAL82" s="316"/>
      <c r="NAM82" s="316"/>
      <c r="NAN82" s="316"/>
      <c r="NAO82" s="316"/>
      <c r="NAP82" s="316"/>
      <c r="NAQ82" s="316"/>
      <c r="NAR82" s="316"/>
      <c r="NAS82" s="316"/>
      <c r="NAT82" s="316"/>
      <c r="NAU82" s="316"/>
      <c r="NAV82" s="316"/>
      <c r="NAW82" s="316"/>
      <c r="NAX82" s="316"/>
      <c r="NAY82" s="316"/>
      <c r="NAZ82" s="316"/>
      <c r="NBA82" s="316"/>
      <c r="NBB82" s="316"/>
      <c r="NBC82" s="316"/>
      <c r="NBD82" s="316"/>
      <c r="NBE82" s="316"/>
      <c r="NBF82" s="316"/>
      <c r="NBG82" s="316"/>
      <c r="NBH82" s="316"/>
      <c r="NBI82" s="316"/>
      <c r="NBJ82" s="316"/>
      <c r="NBK82" s="316"/>
      <c r="NBL82" s="316"/>
      <c r="NBM82" s="316"/>
      <c r="NBN82" s="316"/>
      <c r="NBO82" s="316"/>
      <c r="NBP82" s="316"/>
      <c r="NBQ82" s="316"/>
      <c r="NBR82" s="316"/>
      <c r="NBS82" s="316"/>
      <c r="NBT82" s="316"/>
      <c r="NBU82" s="316"/>
      <c r="NBV82" s="316"/>
      <c r="NBW82" s="316"/>
      <c r="NBX82" s="316"/>
      <c r="NBY82" s="316"/>
      <c r="NBZ82" s="316"/>
      <c r="NCA82" s="316"/>
      <c r="NCB82" s="316"/>
      <c r="NCC82" s="316"/>
      <c r="NCD82" s="316"/>
      <c r="NCE82" s="316"/>
      <c r="NCF82" s="316"/>
      <c r="NCG82" s="316"/>
      <c r="NCH82" s="316"/>
      <c r="NCI82" s="316"/>
      <c r="NCJ82" s="316"/>
      <c r="NCK82" s="316"/>
      <c r="NCL82" s="316"/>
      <c r="NCM82" s="316"/>
      <c r="NCN82" s="316"/>
      <c r="NCO82" s="316"/>
      <c r="NCP82" s="316"/>
      <c r="NCQ82" s="316"/>
      <c r="NCR82" s="316"/>
      <c r="NCS82" s="316"/>
      <c r="NCT82" s="316"/>
      <c r="NCU82" s="316"/>
      <c r="NCV82" s="316"/>
      <c r="NCW82" s="316"/>
      <c r="NCX82" s="316"/>
      <c r="NCY82" s="316"/>
      <c r="NCZ82" s="316"/>
      <c r="NDA82" s="316"/>
      <c r="NDB82" s="316"/>
      <c r="NDC82" s="316"/>
      <c r="NDD82" s="316"/>
      <c r="NDE82" s="316"/>
      <c r="NDF82" s="316"/>
      <c r="NDG82" s="316"/>
      <c r="NDH82" s="316"/>
      <c r="NDI82" s="316"/>
      <c r="NDJ82" s="316"/>
      <c r="NDK82" s="316"/>
      <c r="NDL82" s="316"/>
      <c r="NDM82" s="316"/>
      <c r="NDN82" s="316"/>
      <c r="NDO82" s="316"/>
      <c r="NDP82" s="316"/>
      <c r="NDQ82" s="316"/>
      <c r="NDR82" s="316"/>
      <c r="NDS82" s="316"/>
      <c r="NDT82" s="316"/>
      <c r="NDU82" s="316"/>
      <c r="NDV82" s="316"/>
      <c r="NDW82" s="316"/>
      <c r="NDX82" s="316"/>
      <c r="NDY82" s="316"/>
      <c r="NDZ82" s="316"/>
      <c r="NEA82" s="316"/>
      <c r="NEB82" s="316"/>
      <c r="NEC82" s="316"/>
      <c r="NED82" s="316"/>
      <c r="NEE82" s="316"/>
      <c r="NEF82" s="316"/>
      <c r="NEG82" s="316"/>
      <c r="NEH82" s="316"/>
      <c r="NEI82" s="316"/>
      <c r="NEJ82" s="316"/>
      <c r="NEK82" s="316"/>
      <c r="NEL82" s="316"/>
      <c r="NEM82" s="316"/>
      <c r="NEN82" s="316"/>
      <c r="NEO82" s="316"/>
      <c r="NEP82" s="316"/>
      <c r="NEQ82" s="316"/>
      <c r="NER82" s="316"/>
      <c r="NES82" s="316"/>
      <c r="NET82" s="316"/>
      <c r="NEU82" s="316"/>
      <c r="NEV82" s="316"/>
      <c r="NEW82" s="316"/>
      <c r="NEX82" s="316"/>
      <c r="NEY82" s="316"/>
      <c r="NEZ82" s="316"/>
      <c r="NFA82" s="316"/>
      <c r="NFB82" s="316"/>
      <c r="NFC82" s="316"/>
      <c r="NFD82" s="316"/>
      <c r="NFE82" s="316"/>
      <c r="NFF82" s="316"/>
      <c r="NFG82" s="316"/>
      <c r="NFH82" s="316"/>
      <c r="NFI82" s="316"/>
      <c r="NFJ82" s="316"/>
      <c r="NFK82" s="316"/>
      <c r="NFL82" s="316"/>
      <c r="NFM82" s="316"/>
      <c r="NFN82" s="316"/>
      <c r="NFO82" s="316"/>
      <c r="NFP82" s="316"/>
      <c r="NFQ82" s="316"/>
      <c r="NFR82" s="316"/>
      <c r="NFS82" s="316"/>
      <c r="NFT82" s="316"/>
      <c r="NFU82" s="316"/>
      <c r="NFV82" s="316"/>
      <c r="NFW82" s="316"/>
      <c r="NFX82" s="316"/>
      <c r="NFY82" s="316"/>
      <c r="NFZ82" s="316"/>
      <c r="NGA82" s="316"/>
      <c r="NGB82" s="316"/>
      <c r="NGC82" s="316"/>
      <c r="NGD82" s="316"/>
      <c r="NGE82" s="316"/>
      <c r="NGF82" s="316"/>
      <c r="NGG82" s="316"/>
      <c r="NGH82" s="316"/>
      <c r="NGI82" s="316"/>
      <c r="NGJ82" s="316"/>
      <c r="NGK82" s="316"/>
      <c r="NGL82" s="316"/>
      <c r="NGM82" s="316"/>
      <c r="NGN82" s="316"/>
      <c r="NGO82" s="316"/>
      <c r="NGP82" s="316"/>
      <c r="NGQ82" s="316"/>
      <c r="NGR82" s="316"/>
      <c r="NGS82" s="316"/>
      <c r="NGT82" s="316"/>
      <c r="NGU82" s="316"/>
      <c r="NGV82" s="316"/>
      <c r="NGW82" s="316"/>
      <c r="NGX82" s="316"/>
      <c r="NGY82" s="316"/>
      <c r="NGZ82" s="316"/>
      <c r="NHA82" s="316"/>
      <c r="NHB82" s="316"/>
      <c r="NHC82" s="316"/>
      <c r="NHD82" s="316"/>
      <c r="NHE82" s="316"/>
      <c r="NHF82" s="316"/>
      <c r="NHG82" s="316"/>
      <c r="NHH82" s="316"/>
      <c r="NHI82" s="316"/>
      <c r="NHJ82" s="316"/>
      <c r="NHK82" s="316"/>
      <c r="NHL82" s="316"/>
      <c r="NHM82" s="316"/>
      <c r="NHN82" s="316"/>
      <c r="NHO82" s="316"/>
      <c r="NHP82" s="316"/>
      <c r="NHQ82" s="316"/>
      <c r="NHR82" s="316"/>
      <c r="NHS82" s="316"/>
      <c r="NHT82" s="316"/>
      <c r="NHU82" s="316"/>
      <c r="NHV82" s="316"/>
      <c r="NHW82" s="316"/>
      <c r="NHX82" s="316"/>
      <c r="NHY82" s="316"/>
      <c r="NHZ82" s="316"/>
      <c r="NIA82" s="316"/>
      <c r="NIB82" s="316"/>
      <c r="NIC82" s="316"/>
      <c r="NID82" s="316"/>
      <c r="NIE82" s="316"/>
      <c r="NIF82" s="316"/>
      <c r="NIG82" s="316"/>
      <c r="NIH82" s="316"/>
      <c r="NII82" s="316"/>
      <c r="NIJ82" s="316"/>
      <c r="NIK82" s="316"/>
      <c r="NIL82" s="316"/>
      <c r="NIM82" s="316"/>
      <c r="NIN82" s="316"/>
      <c r="NIO82" s="316"/>
      <c r="NIP82" s="316"/>
      <c r="NIQ82" s="316"/>
      <c r="NIR82" s="316"/>
      <c r="NIS82" s="316"/>
      <c r="NIT82" s="316"/>
      <c r="NIU82" s="316"/>
      <c r="NIV82" s="316"/>
      <c r="NIW82" s="316"/>
      <c r="NIX82" s="316"/>
      <c r="NIY82" s="316"/>
      <c r="NIZ82" s="316"/>
      <c r="NJA82" s="316"/>
      <c r="NJB82" s="316"/>
      <c r="NJC82" s="316"/>
      <c r="NJD82" s="316"/>
      <c r="NJE82" s="316"/>
      <c r="NJF82" s="316"/>
      <c r="NJG82" s="316"/>
      <c r="NJH82" s="316"/>
      <c r="NJI82" s="316"/>
      <c r="NJJ82" s="316"/>
      <c r="NJK82" s="316"/>
      <c r="NJL82" s="316"/>
      <c r="NJM82" s="316"/>
      <c r="NJN82" s="316"/>
      <c r="NJO82" s="316"/>
      <c r="NJP82" s="316"/>
      <c r="NJQ82" s="316"/>
      <c r="NJR82" s="316"/>
      <c r="NJS82" s="316"/>
      <c r="NJT82" s="316"/>
      <c r="NJU82" s="316"/>
      <c r="NJV82" s="316"/>
      <c r="NJW82" s="316"/>
      <c r="NJX82" s="316"/>
      <c r="NJY82" s="316"/>
      <c r="NJZ82" s="316"/>
      <c r="NKA82" s="316"/>
      <c r="NKB82" s="316"/>
      <c r="NKC82" s="316"/>
      <c r="NKD82" s="316"/>
      <c r="NKE82" s="316"/>
      <c r="NKF82" s="316"/>
      <c r="NKG82" s="316"/>
      <c r="NKH82" s="316"/>
      <c r="NKI82" s="316"/>
      <c r="NKJ82" s="316"/>
      <c r="NKK82" s="316"/>
      <c r="NKL82" s="316"/>
      <c r="NKM82" s="316"/>
      <c r="NKN82" s="316"/>
      <c r="NKO82" s="316"/>
      <c r="NKP82" s="316"/>
      <c r="NKQ82" s="316"/>
      <c r="NKR82" s="316"/>
      <c r="NKS82" s="316"/>
      <c r="NKT82" s="316"/>
      <c r="NKU82" s="316"/>
      <c r="NKV82" s="316"/>
      <c r="NKW82" s="316"/>
      <c r="NKX82" s="316"/>
      <c r="NKY82" s="316"/>
      <c r="NKZ82" s="316"/>
      <c r="NLA82" s="316"/>
      <c r="NLB82" s="316"/>
      <c r="NLC82" s="316"/>
      <c r="NLD82" s="316"/>
      <c r="NLE82" s="316"/>
      <c r="NLF82" s="316"/>
      <c r="NLG82" s="316"/>
      <c r="NLH82" s="316"/>
      <c r="NLI82" s="316"/>
      <c r="NLJ82" s="316"/>
      <c r="NLK82" s="316"/>
      <c r="NLL82" s="316"/>
      <c r="NLM82" s="316"/>
      <c r="NLN82" s="316"/>
      <c r="NLO82" s="316"/>
      <c r="NLP82" s="316"/>
      <c r="NLQ82" s="316"/>
      <c r="NLR82" s="316"/>
      <c r="NLS82" s="316"/>
      <c r="NLT82" s="316"/>
      <c r="NLU82" s="316"/>
      <c r="NLV82" s="316"/>
      <c r="NLW82" s="316"/>
      <c r="NLX82" s="316"/>
      <c r="NLY82" s="316"/>
      <c r="NLZ82" s="316"/>
      <c r="NMA82" s="316"/>
      <c r="NMB82" s="316"/>
      <c r="NMC82" s="316"/>
      <c r="NMD82" s="316"/>
      <c r="NME82" s="316"/>
      <c r="NMF82" s="316"/>
      <c r="NMG82" s="316"/>
      <c r="NMH82" s="316"/>
      <c r="NMI82" s="316"/>
      <c r="NMJ82" s="316"/>
      <c r="NMK82" s="316"/>
      <c r="NML82" s="316"/>
      <c r="NMM82" s="316"/>
      <c r="NMN82" s="316"/>
      <c r="NMO82" s="316"/>
      <c r="NMP82" s="316"/>
      <c r="NMQ82" s="316"/>
      <c r="NMR82" s="316"/>
      <c r="NMS82" s="316"/>
      <c r="NMT82" s="316"/>
      <c r="NMU82" s="316"/>
      <c r="NMV82" s="316"/>
      <c r="NMW82" s="316"/>
      <c r="NMX82" s="316"/>
      <c r="NMY82" s="316"/>
      <c r="NMZ82" s="316"/>
      <c r="NNA82" s="316"/>
      <c r="NNB82" s="316"/>
      <c r="NNC82" s="316"/>
      <c r="NND82" s="316"/>
      <c r="NNE82" s="316"/>
      <c r="NNF82" s="316"/>
      <c r="NNG82" s="316"/>
      <c r="NNH82" s="316"/>
      <c r="NNI82" s="316"/>
      <c r="NNJ82" s="316"/>
      <c r="NNK82" s="316"/>
      <c r="NNL82" s="316"/>
      <c r="NNM82" s="316"/>
      <c r="NNN82" s="316"/>
      <c r="NNO82" s="316"/>
      <c r="NNP82" s="316"/>
      <c r="NNQ82" s="316"/>
      <c r="NNR82" s="316"/>
      <c r="NNS82" s="316"/>
      <c r="NNT82" s="316"/>
      <c r="NNU82" s="316"/>
      <c r="NNV82" s="316"/>
      <c r="NNW82" s="316"/>
      <c r="NNX82" s="316"/>
      <c r="NNY82" s="316"/>
      <c r="NNZ82" s="316"/>
      <c r="NOA82" s="316"/>
      <c r="NOB82" s="316"/>
      <c r="NOC82" s="316"/>
      <c r="NOD82" s="316"/>
      <c r="NOE82" s="316"/>
      <c r="NOF82" s="316"/>
      <c r="NOG82" s="316"/>
      <c r="NOH82" s="316"/>
      <c r="NOI82" s="316"/>
      <c r="NOJ82" s="316"/>
      <c r="NOK82" s="316"/>
      <c r="NOL82" s="316"/>
      <c r="NOM82" s="316"/>
      <c r="NON82" s="316"/>
      <c r="NOO82" s="316"/>
      <c r="NOP82" s="316"/>
      <c r="NOQ82" s="316"/>
      <c r="NOR82" s="316"/>
      <c r="NOS82" s="316"/>
      <c r="NOT82" s="316"/>
      <c r="NOU82" s="316"/>
      <c r="NOV82" s="316"/>
      <c r="NOW82" s="316"/>
      <c r="NOX82" s="316"/>
      <c r="NOY82" s="316"/>
      <c r="NOZ82" s="316"/>
      <c r="NPA82" s="316"/>
      <c r="NPB82" s="316"/>
      <c r="NPC82" s="316"/>
      <c r="NPD82" s="316"/>
      <c r="NPE82" s="316"/>
      <c r="NPF82" s="316"/>
      <c r="NPG82" s="316"/>
      <c r="NPH82" s="316"/>
      <c r="NPI82" s="316"/>
      <c r="NPJ82" s="316"/>
      <c r="NPK82" s="316"/>
      <c r="NPL82" s="316"/>
      <c r="NPM82" s="316"/>
      <c r="NPN82" s="316"/>
      <c r="NPO82" s="316"/>
      <c r="NPP82" s="316"/>
      <c r="NPQ82" s="316"/>
      <c r="NPR82" s="316"/>
      <c r="NPS82" s="316"/>
      <c r="NPT82" s="316"/>
      <c r="NPU82" s="316"/>
      <c r="NPV82" s="316"/>
      <c r="NPW82" s="316"/>
      <c r="NPX82" s="316"/>
      <c r="NPY82" s="316"/>
      <c r="NPZ82" s="316"/>
      <c r="NQA82" s="316"/>
      <c r="NQB82" s="316"/>
      <c r="NQC82" s="316"/>
      <c r="NQD82" s="316"/>
      <c r="NQE82" s="316"/>
      <c r="NQF82" s="316"/>
      <c r="NQG82" s="316"/>
      <c r="NQH82" s="316"/>
      <c r="NQI82" s="316"/>
      <c r="NQJ82" s="316"/>
      <c r="NQK82" s="316"/>
      <c r="NQL82" s="316"/>
      <c r="NQM82" s="316"/>
      <c r="NQN82" s="316"/>
      <c r="NQO82" s="316"/>
      <c r="NQP82" s="316"/>
      <c r="NQQ82" s="316"/>
      <c r="NQR82" s="316"/>
      <c r="NQS82" s="316"/>
      <c r="NQT82" s="316"/>
      <c r="NQU82" s="316"/>
      <c r="NQV82" s="316"/>
      <c r="NQW82" s="316"/>
      <c r="NQX82" s="316"/>
      <c r="NQY82" s="316"/>
      <c r="NQZ82" s="316"/>
      <c r="NRA82" s="316"/>
      <c r="NRB82" s="316"/>
      <c r="NRC82" s="316"/>
      <c r="NRD82" s="316"/>
      <c r="NRE82" s="316"/>
      <c r="NRF82" s="316"/>
      <c r="NRG82" s="316"/>
      <c r="NRH82" s="316"/>
      <c r="NRI82" s="316"/>
      <c r="NRJ82" s="316"/>
      <c r="NRK82" s="316"/>
      <c r="NRL82" s="316"/>
      <c r="NRM82" s="316"/>
      <c r="NRN82" s="316"/>
      <c r="NRO82" s="316"/>
      <c r="NRP82" s="316"/>
      <c r="NRQ82" s="316"/>
      <c r="NRR82" s="316"/>
      <c r="NRS82" s="316"/>
      <c r="NRT82" s="316"/>
      <c r="NRU82" s="316"/>
      <c r="NRV82" s="316"/>
      <c r="NRW82" s="316"/>
      <c r="NRX82" s="316"/>
      <c r="NRY82" s="316"/>
      <c r="NRZ82" s="316"/>
      <c r="NSA82" s="316"/>
      <c r="NSB82" s="316"/>
      <c r="NSC82" s="316"/>
      <c r="NSD82" s="316"/>
      <c r="NSE82" s="316"/>
      <c r="NSF82" s="316"/>
      <c r="NSG82" s="316"/>
      <c r="NSH82" s="316"/>
      <c r="NSI82" s="316"/>
      <c r="NSJ82" s="316"/>
      <c r="NSK82" s="316"/>
      <c r="NSL82" s="316"/>
      <c r="NSM82" s="316"/>
      <c r="NSN82" s="316"/>
      <c r="NSO82" s="316"/>
      <c r="NSP82" s="316"/>
      <c r="NSQ82" s="316"/>
      <c r="NSR82" s="316"/>
      <c r="NSS82" s="316"/>
      <c r="NST82" s="316"/>
      <c r="NSU82" s="316"/>
      <c r="NSV82" s="316"/>
      <c r="NSW82" s="316"/>
      <c r="NSX82" s="316"/>
      <c r="NSY82" s="316"/>
      <c r="NSZ82" s="316"/>
      <c r="NTA82" s="316"/>
      <c r="NTB82" s="316"/>
      <c r="NTC82" s="316"/>
      <c r="NTD82" s="316"/>
      <c r="NTE82" s="316"/>
      <c r="NTF82" s="316"/>
      <c r="NTG82" s="316"/>
      <c r="NTH82" s="316"/>
      <c r="NTI82" s="316"/>
      <c r="NTJ82" s="316"/>
      <c r="NTK82" s="316"/>
      <c r="NTL82" s="316"/>
      <c r="NTM82" s="316"/>
      <c r="NTN82" s="316"/>
      <c r="NTO82" s="316"/>
      <c r="NTP82" s="316"/>
      <c r="NTQ82" s="316"/>
      <c r="NTR82" s="316"/>
      <c r="NTS82" s="316"/>
      <c r="NTT82" s="316"/>
      <c r="NTU82" s="316"/>
      <c r="NTV82" s="316"/>
      <c r="NTW82" s="316"/>
      <c r="NTX82" s="316"/>
      <c r="NTY82" s="316"/>
      <c r="NTZ82" s="316"/>
      <c r="NUA82" s="316"/>
      <c r="NUB82" s="316"/>
      <c r="NUC82" s="316"/>
      <c r="NUD82" s="316"/>
      <c r="NUE82" s="316"/>
      <c r="NUF82" s="316"/>
      <c r="NUG82" s="316"/>
      <c r="NUH82" s="316"/>
      <c r="NUI82" s="316"/>
      <c r="NUJ82" s="316"/>
      <c r="NUK82" s="316"/>
      <c r="NUL82" s="316"/>
      <c r="NUM82" s="316"/>
      <c r="NUN82" s="316"/>
      <c r="NUO82" s="316"/>
      <c r="NUP82" s="316"/>
      <c r="NUQ82" s="316"/>
      <c r="NUR82" s="316"/>
      <c r="NUS82" s="316"/>
      <c r="NUT82" s="316"/>
      <c r="NUU82" s="316"/>
      <c r="NUV82" s="316"/>
      <c r="NUW82" s="316"/>
      <c r="NUX82" s="316"/>
      <c r="NUY82" s="316"/>
      <c r="NUZ82" s="316"/>
      <c r="NVA82" s="316"/>
      <c r="NVB82" s="316"/>
      <c r="NVC82" s="316"/>
      <c r="NVD82" s="316"/>
      <c r="NVE82" s="316"/>
      <c r="NVF82" s="316"/>
      <c r="NVG82" s="316"/>
      <c r="NVH82" s="316"/>
      <c r="NVI82" s="316"/>
      <c r="NVJ82" s="316"/>
      <c r="NVK82" s="316"/>
      <c r="NVL82" s="316"/>
      <c r="NVM82" s="316"/>
      <c r="NVN82" s="316"/>
      <c r="NVO82" s="316"/>
      <c r="NVP82" s="316"/>
      <c r="NVQ82" s="316"/>
      <c r="NVR82" s="316"/>
      <c r="NVS82" s="316"/>
      <c r="NVT82" s="316"/>
      <c r="NVU82" s="316"/>
      <c r="NVV82" s="316"/>
      <c r="NVW82" s="316"/>
      <c r="NVX82" s="316"/>
      <c r="NVY82" s="316"/>
      <c r="NVZ82" s="316"/>
      <c r="NWA82" s="316"/>
      <c r="NWB82" s="316"/>
      <c r="NWC82" s="316"/>
      <c r="NWD82" s="316"/>
      <c r="NWE82" s="316"/>
      <c r="NWF82" s="316"/>
      <c r="NWG82" s="316"/>
      <c r="NWH82" s="316"/>
      <c r="NWI82" s="316"/>
      <c r="NWJ82" s="316"/>
      <c r="NWK82" s="316"/>
      <c r="NWL82" s="316"/>
      <c r="NWM82" s="316"/>
      <c r="NWN82" s="316"/>
      <c r="NWO82" s="316"/>
      <c r="NWP82" s="316"/>
      <c r="NWQ82" s="316"/>
      <c r="NWR82" s="316"/>
      <c r="NWS82" s="316"/>
      <c r="NWT82" s="316"/>
      <c r="NWU82" s="316"/>
      <c r="NWV82" s="316"/>
      <c r="NWW82" s="316"/>
      <c r="NWX82" s="316"/>
      <c r="NWY82" s="316"/>
      <c r="NWZ82" s="316"/>
      <c r="NXA82" s="316"/>
      <c r="NXB82" s="316"/>
      <c r="NXC82" s="316"/>
      <c r="NXD82" s="316"/>
      <c r="NXE82" s="316"/>
      <c r="NXF82" s="316"/>
      <c r="NXG82" s="316"/>
      <c r="NXH82" s="316"/>
      <c r="NXI82" s="316"/>
      <c r="NXJ82" s="316"/>
      <c r="NXK82" s="316"/>
      <c r="NXL82" s="316"/>
      <c r="NXM82" s="316"/>
      <c r="NXN82" s="316"/>
      <c r="NXO82" s="316"/>
      <c r="NXP82" s="316"/>
      <c r="NXQ82" s="316"/>
      <c r="NXR82" s="316"/>
      <c r="NXS82" s="316"/>
      <c r="NXT82" s="316"/>
      <c r="NXU82" s="316"/>
      <c r="NXV82" s="316"/>
      <c r="NXW82" s="316"/>
      <c r="NXX82" s="316"/>
      <c r="NXY82" s="316"/>
      <c r="NXZ82" s="316"/>
      <c r="NYA82" s="316"/>
      <c r="NYB82" s="316"/>
      <c r="NYC82" s="316"/>
      <c r="NYD82" s="316"/>
      <c r="NYE82" s="316"/>
      <c r="NYF82" s="316"/>
      <c r="NYG82" s="316"/>
      <c r="NYH82" s="316"/>
      <c r="NYI82" s="316"/>
      <c r="NYJ82" s="316"/>
      <c r="NYK82" s="316"/>
      <c r="NYL82" s="316"/>
      <c r="NYM82" s="316"/>
      <c r="NYN82" s="316"/>
      <c r="NYO82" s="316"/>
      <c r="NYP82" s="316"/>
      <c r="NYQ82" s="316"/>
      <c r="NYR82" s="316"/>
      <c r="NYS82" s="316"/>
      <c r="NYT82" s="316"/>
      <c r="NYU82" s="316"/>
      <c r="NYV82" s="316"/>
      <c r="NYW82" s="316"/>
      <c r="NYX82" s="316"/>
      <c r="NYY82" s="316"/>
      <c r="NYZ82" s="316"/>
      <c r="NZA82" s="316"/>
      <c r="NZB82" s="316"/>
      <c r="NZC82" s="316"/>
      <c r="NZD82" s="316"/>
      <c r="NZE82" s="316"/>
      <c r="NZF82" s="316"/>
      <c r="NZG82" s="316"/>
      <c r="NZH82" s="316"/>
      <c r="NZI82" s="316"/>
      <c r="NZJ82" s="316"/>
      <c r="NZK82" s="316"/>
      <c r="NZL82" s="316"/>
      <c r="NZM82" s="316"/>
      <c r="NZN82" s="316"/>
      <c r="NZO82" s="316"/>
      <c r="NZP82" s="316"/>
      <c r="NZQ82" s="316"/>
      <c r="NZR82" s="316"/>
      <c r="NZS82" s="316"/>
      <c r="NZT82" s="316"/>
      <c r="NZU82" s="316"/>
      <c r="NZV82" s="316"/>
      <c r="NZW82" s="316"/>
      <c r="NZX82" s="316"/>
      <c r="NZY82" s="316"/>
      <c r="NZZ82" s="316"/>
      <c r="OAA82" s="316"/>
      <c r="OAB82" s="316"/>
      <c r="OAC82" s="316"/>
      <c r="OAD82" s="316"/>
      <c r="OAE82" s="316"/>
      <c r="OAF82" s="316"/>
      <c r="OAG82" s="316"/>
      <c r="OAH82" s="316"/>
      <c r="OAI82" s="316"/>
      <c r="OAJ82" s="316"/>
      <c r="OAK82" s="316"/>
      <c r="OAL82" s="316"/>
      <c r="OAM82" s="316"/>
      <c r="OAN82" s="316"/>
      <c r="OAO82" s="316"/>
      <c r="OAP82" s="316"/>
      <c r="OAQ82" s="316"/>
      <c r="OAR82" s="316"/>
      <c r="OAS82" s="316"/>
      <c r="OAT82" s="316"/>
      <c r="OAU82" s="316"/>
      <c r="OAV82" s="316"/>
      <c r="OAW82" s="316"/>
      <c r="OAX82" s="316"/>
      <c r="OAY82" s="316"/>
      <c r="OAZ82" s="316"/>
      <c r="OBA82" s="316"/>
      <c r="OBB82" s="316"/>
      <c r="OBC82" s="316"/>
      <c r="OBD82" s="316"/>
      <c r="OBE82" s="316"/>
      <c r="OBF82" s="316"/>
      <c r="OBG82" s="316"/>
      <c r="OBH82" s="316"/>
      <c r="OBI82" s="316"/>
      <c r="OBJ82" s="316"/>
      <c r="OBK82" s="316"/>
      <c r="OBL82" s="316"/>
      <c r="OBM82" s="316"/>
      <c r="OBN82" s="316"/>
      <c r="OBO82" s="316"/>
      <c r="OBP82" s="316"/>
      <c r="OBQ82" s="316"/>
      <c r="OBR82" s="316"/>
      <c r="OBS82" s="316"/>
      <c r="OBT82" s="316"/>
      <c r="OBU82" s="316"/>
      <c r="OBV82" s="316"/>
      <c r="OBW82" s="316"/>
      <c r="OBX82" s="316"/>
      <c r="OBY82" s="316"/>
      <c r="OBZ82" s="316"/>
      <c r="OCA82" s="316"/>
      <c r="OCB82" s="316"/>
      <c r="OCC82" s="316"/>
      <c r="OCD82" s="316"/>
      <c r="OCE82" s="316"/>
      <c r="OCF82" s="316"/>
      <c r="OCG82" s="316"/>
      <c r="OCH82" s="316"/>
      <c r="OCI82" s="316"/>
      <c r="OCJ82" s="316"/>
      <c r="OCK82" s="316"/>
      <c r="OCL82" s="316"/>
      <c r="OCM82" s="316"/>
      <c r="OCN82" s="316"/>
      <c r="OCO82" s="316"/>
      <c r="OCP82" s="316"/>
      <c r="OCQ82" s="316"/>
      <c r="OCR82" s="316"/>
      <c r="OCS82" s="316"/>
      <c r="OCT82" s="316"/>
      <c r="OCU82" s="316"/>
      <c r="OCV82" s="316"/>
      <c r="OCW82" s="316"/>
      <c r="OCX82" s="316"/>
      <c r="OCY82" s="316"/>
      <c r="OCZ82" s="316"/>
      <c r="ODA82" s="316"/>
      <c r="ODB82" s="316"/>
      <c r="ODC82" s="316"/>
      <c r="ODD82" s="316"/>
      <c r="ODE82" s="316"/>
      <c r="ODF82" s="316"/>
      <c r="ODG82" s="316"/>
      <c r="ODH82" s="316"/>
      <c r="ODI82" s="316"/>
      <c r="ODJ82" s="316"/>
      <c r="ODK82" s="316"/>
      <c r="ODL82" s="316"/>
      <c r="ODM82" s="316"/>
      <c r="ODN82" s="316"/>
      <c r="ODO82" s="316"/>
      <c r="ODP82" s="316"/>
      <c r="ODQ82" s="316"/>
      <c r="ODR82" s="316"/>
      <c r="ODS82" s="316"/>
      <c r="ODT82" s="316"/>
      <c r="ODU82" s="316"/>
      <c r="ODV82" s="316"/>
      <c r="ODW82" s="316"/>
      <c r="ODX82" s="316"/>
      <c r="ODY82" s="316"/>
      <c r="ODZ82" s="316"/>
      <c r="OEA82" s="316"/>
      <c r="OEB82" s="316"/>
      <c r="OEC82" s="316"/>
      <c r="OED82" s="316"/>
      <c r="OEE82" s="316"/>
      <c r="OEF82" s="316"/>
      <c r="OEG82" s="316"/>
      <c r="OEH82" s="316"/>
      <c r="OEI82" s="316"/>
      <c r="OEJ82" s="316"/>
      <c r="OEK82" s="316"/>
      <c r="OEL82" s="316"/>
      <c r="OEM82" s="316"/>
      <c r="OEN82" s="316"/>
      <c r="OEO82" s="316"/>
      <c r="OEP82" s="316"/>
      <c r="OEQ82" s="316"/>
      <c r="OER82" s="316"/>
      <c r="OES82" s="316"/>
      <c r="OET82" s="316"/>
      <c r="OEU82" s="316"/>
      <c r="OEV82" s="316"/>
      <c r="OEW82" s="316"/>
      <c r="OEX82" s="316"/>
      <c r="OEY82" s="316"/>
      <c r="OEZ82" s="316"/>
      <c r="OFA82" s="316"/>
      <c r="OFB82" s="316"/>
      <c r="OFC82" s="316"/>
      <c r="OFD82" s="316"/>
      <c r="OFE82" s="316"/>
      <c r="OFF82" s="316"/>
      <c r="OFG82" s="316"/>
      <c r="OFH82" s="316"/>
      <c r="OFI82" s="316"/>
      <c r="OFJ82" s="316"/>
      <c r="OFK82" s="316"/>
      <c r="OFL82" s="316"/>
      <c r="OFM82" s="316"/>
      <c r="OFN82" s="316"/>
      <c r="OFO82" s="316"/>
      <c r="OFP82" s="316"/>
      <c r="OFQ82" s="316"/>
      <c r="OFR82" s="316"/>
      <c r="OFS82" s="316"/>
      <c r="OFT82" s="316"/>
      <c r="OFU82" s="316"/>
      <c r="OFV82" s="316"/>
      <c r="OFW82" s="316"/>
      <c r="OFX82" s="316"/>
      <c r="OFY82" s="316"/>
      <c r="OFZ82" s="316"/>
      <c r="OGA82" s="316"/>
      <c r="OGB82" s="316"/>
      <c r="OGC82" s="316"/>
      <c r="OGD82" s="316"/>
      <c r="OGE82" s="316"/>
      <c r="OGF82" s="316"/>
      <c r="OGG82" s="316"/>
      <c r="OGH82" s="316"/>
      <c r="OGI82" s="316"/>
      <c r="OGJ82" s="316"/>
      <c r="OGK82" s="316"/>
      <c r="OGL82" s="316"/>
      <c r="OGM82" s="316"/>
      <c r="OGN82" s="316"/>
      <c r="OGO82" s="316"/>
      <c r="OGP82" s="316"/>
      <c r="OGQ82" s="316"/>
      <c r="OGR82" s="316"/>
      <c r="OGS82" s="316"/>
      <c r="OGT82" s="316"/>
      <c r="OGU82" s="316"/>
      <c r="OGV82" s="316"/>
      <c r="OGW82" s="316"/>
      <c r="OGX82" s="316"/>
      <c r="OGY82" s="316"/>
      <c r="OGZ82" s="316"/>
      <c r="OHA82" s="316"/>
      <c r="OHB82" s="316"/>
      <c r="OHC82" s="316"/>
      <c r="OHD82" s="316"/>
      <c r="OHE82" s="316"/>
      <c r="OHF82" s="316"/>
      <c r="OHG82" s="316"/>
      <c r="OHH82" s="316"/>
      <c r="OHI82" s="316"/>
      <c r="OHJ82" s="316"/>
      <c r="OHK82" s="316"/>
      <c r="OHL82" s="316"/>
      <c r="OHM82" s="316"/>
      <c r="OHN82" s="316"/>
      <c r="OHO82" s="316"/>
      <c r="OHP82" s="316"/>
      <c r="OHQ82" s="316"/>
      <c r="OHR82" s="316"/>
      <c r="OHS82" s="316"/>
      <c r="OHT82" s="316"/>
      <c r="OHU82" s="316"/>
      <c r="OHV82" s="316"/>
      <c r="OHW82" s="316"/>
      <c r="OHX82" s="316"/>
      <c r="OHY82" s="316"/>
      <c r="OHZ82" s="316"/>
      <c r="OIA82" s="316"/>
      <c r="OIB82" s="316"/>
      <c r="OIC82" s="316"/>
      <c r="OID82" s="316"/>
      <c r="OIE82" s="316"/>
      <c r="OIF82" s="316"/>
      <c r="OIG82" s="316"/>
      <c r="OIH82" s="316"/>
      <c r="OII82" s="316"/>
      <c r="OIJ82" s="316"/>
      <c r="OIK82" s="316"/>
      <c r="OIL82" s="316"/>
      <c r="OIM82" s="316"/>
      <c r="OIN82" s="316"/>
      <c r="OIO82" s="316"/>
      <c r="OIP82" s="316"/>
      <c r="OIQ82" s="316"/>
      <c r="OIR82" s="316"/>
      <c r="OIS82" s="316"/>
      <c r="OIT82" s="316"/>
      <c r="OIU82" s="316"/>
      <c r="OIV82" s="316"/>
      <c r="OIW82" s="316"/>
      <c r="OIX82" s="316"/>
      <c r="OIY82" s="316"/>
      <c r="OIZ82" s="316"/>
      <c r="OJA82" s="316"/>
      <c r="OJB82" s="316"/>
      <c r="OJC82" s="316"/>
      <c r="OJD82" s="316"/>
      <c r="OJE82" s="316"/>
      <c r="OJF82" s="316"/>
      <c r="OJG82" s="316"/>
      <c r="OJH82" s="316"/>
      <c r="OJI82" s="316"/>
      <c r="OJJ82" s="316"/>
      <c r="OJK82" s="316"/>
      <c r="OJL82" s="316"/>
      <c r="OJM82" s="316"/>
      <c r="OJN82" s="316"/>
      <c r="OJO82" s="316"/>
      <c r="OJP82" s="316"/>
      <c r="OJQ82" s="316"/>
      <c r="OJR82" s="316"/>
      <c r="OJS82" s="316"/>
      <c r="OJT82" s="316"/>
      <c r="OJU82" s="316"/>
      <c r="OJV82" s="316"/>
      <c r="OJW82" s="316"/>
      <c r="OJX82" s="316"/>
      <c r="OJY82" s="316"/>
      <c r="OJZ82" s="316"/>
      <c r="OKA82" s="316"/>
      <c r="OKB82" s="316"/>
      <c r="OKC82" s="316"/>
      <c r="OKD82" s="316"/>
      <c r="OKE82" s="316"/>
      <c r="OKF82" s="316"/>
      <c r="OKG82" s="316"/>
      <c r="OKH82" s="316"/>
      <c r="OKI82" s="316"/>
      <c r="OKJ82" s="316"/>
      <c r="OKK82" s="316"/>
      <c r="OKL82" s="316"/>
      <c r="OKM82" s="316"/>
      <c r="OKN82" s="316"/>
      <c r="OKO82" s="316"/>
      <c r="OKP82" s="316"/>
      <c r="OKQ82" s="316"/>
      <c r="OKR82" s="316"/>
      <c r="OKS82" s="316"/>
      <c r="OKT82" s="316"/>
      <c r="OKU82" s="316"/>
      <c r="OKV82" s="316"/>
      <c r="OKW82" s="316"/>
      <c r="OKX82" s="316"/>
      <c r="OKY82" s="316"/>
      <c r="OKZ82" s="316"/>
      <c r="OLA82" s="316"/>
      <c r="OLB82" s="316"/>
      <c r="OLC82" s="316"/>
      <c r="OLD82" s="316"/>
      <c r="OLE82" s="316"/>
      <c r="OLF82" s="316"/>
      <c r="OLG82" s="316"/>
      <c r="OLH82" s="316"/>
      <c r="OLI82" s="316"/>
      <c r="OLJ82" s="316"/>
      <c r="OLK82" s="316"/>
      <c r="OLL82" s="316"/>
      <c r="OLM82" s="316"/>
      <c r="OLN82" s="316"/>
      <c r="OLO82" s="316"/>
      <c r="OLP82" s="316"/>
      <c r="OLQ82" s="316"/>
      <c r="OLR82" s="316"/>
      <c r="OLS82" s="316"/>
      <c r="OLT82" s="316"/>
      <c r="OLU82" s="316"/>
      <c r="OLV82" s="316"/>
      <c r="OLW82" s="316"/>
      <c r="OLX82" s="316"/>
      <c r="OLY82" s="316"/>
      <c r="OLZ82" s="316"/>
      <c r="OMA82" s="316"/>
      <c r="OMB82" s="316"/>
      <c r="OMC82" s="316"/>
      <c r="OMD82" s="316"/>
      <c r="OME82" s="316"/>
      <c r="OMF82" s="316"/>
      <c r="OMG82" s="316"/>
      <c r="OMH82" s="316"/>
      <c r="OMI82" s="316"/>
      <c r="OMJ82" s="316"/>
      <c r="OMK82" s="316"/>
      <c r="OML82" s="316"/>
      <c r="OMM82" s="316"/>
      <c r="OMN82" s="316"/>
      <c r="OMO82" s="316"/>
      <c r="OMP82" s="316"/>
      <c r="OMQ82" s="316"/>
      <c r="OMR82" s="316"/>
      <c r="OMS82" s="316"/>
      <c r="OMT82" s="316"/>
      <c r="OMU82" s="316"/>
      <c r="OMV82" s="316"/>
      <c r="OMW82" s="316"/>
      <c r="OMX82" s="316"/>
      <c r="OMY82" s="316"/>
      <c r="OMZ82" s="316"/>
      <c r="ONA82" s="316"/>
      <c r="ONB82" s="316"/>
      <c r="ONC82" s="316"/>
      <c r="OND82" s="316"/>
      <c r="ONE82" s="316"/>
      <c r="ONF82" s="316"/>
      <c r="ONG82" s="316"/>
      <c r="ONH82" s="316"/>
      <c r="ONI82" s="316"/>
      <c r="ONJ82" s="316"/>
      <c r="ONK82" s="316"/>
      <c r="ONL82" s="316"/>
      <c r="ONM82" s="316"/>
      <c r="ONN82" s="316"/>
      <c r="ONO82" s="316"/>
      <c r="ONP82" s="316"/>
      <c r="ONQ82" s="316"/>
      <c r="ONR82" s="316"/>
      <c r="ONS82" s="316"/>
      <c r="ONT82" s="316"/>
      <c r="ONU82" s="316"/>
      <c r="ONV82" s="316"/>
      <c r="ONW82" s="316"/>
      <c r="ONX82" s="316"/>
      <c r="ONY82" s="316"/>
      <c r="ONZ82" s="316"/>
      <c r="OOA82" s="316"/>
      <c r="OOB82" s="316"/>
      <c r="OOC82" s="316"/>
      <c r="OOD82" s="316"/>
      <c r="OOE82" s="316"/>
      <c r="OOF82" s="316"/>
      <c r="OOG82" s="316"/>
      <c r="OOH82" s="316"/>
      <c r="OOI82" s="316"/>
      <c r="OOJ82" s="316"/>
      <c r="OOK82" s="316"/>
      <c r="OOL82" s="316"/>
      <c r="OOM82" s="316"/>
      <c r="OON82" s="316"/>
      <c r="OOO82" s="316"/>
      <c r="OOP82" s="316"/>
      <c r="OOQ82" s="316"/>
      <c r="OOR82" s="316"/>
      <c r="OOS82" s="316"/>
      <c r="OOT82" s="316"/>
      <c r="OOU82" s="316"/>
      <c r="OOV82" s="316"/>
      <c r="OOW82" s="316"/>
      <c r="OOX82" s="316"/>
      <c r="OOY82" s="316"/>
      <c r="OOZ82" s="316"/>
      <c r="OPA82" s="316"/>
      <c r="OPB82" s="316"/>
      <c r="OPC82" s="316"/>
      <c r="OPD82" s="316"/>
      <c r="OPE82" s="316"/>
      <c r="OPF82" s="316"/>
      <c r="OPG82" s="316"/>
      <c r="OPH82" s="316"/>
      <c r="OPI82" s="316"/>
      <c r="OPJ82" s="316"/>
      <c r="OPK82" s="316"/>
      <c r="OPL82" s="316"/>
      <c r="OPM82" s="316"/>
      <c r="OPN82" s="316"/>
      <c r="OPO82" s="316"/>
      <c r="OPP82" s="316"/>
      <c r="OPQ82" s="316"/>
      <c r="OPR82" s="316"/>
      <c r="OPS82" s="316"/>
      <c r="OPT82" s="316"/>
      <c r="OPU82" s="316"/>
      <c r="OPV82" s="316"/>
      <c r="OPW82" s="316"/>
      <c r="OPX82" s="316"/>
      <c r="OPY82" s="316"/>
      <c r="OPZ82" s="316"/>
      <c r="OQA82" s="316"/>
      <c r="OQB82" s="316"/>
      <c r="OQC82" s="316"/>
      <c r="OQD82" s="316"/>
      <c r="OQE82" s="316"/>
      <c r="OQF82" s="316"/>
      <c r="OQG82" s="316"/>
      <c r="OQH82" s="316"/>
      <c r="OQI82" s="316"/>
      <c r="OQJ82" s="316"/>
      <c r="OQK82" s="316"/>
      <c r="OQL82" s="316"/>
      <c r="OQM82" s="316"/>
      <c r="OQN82" s="316"/>
      <c r="OQO82" s="316"/>
      <c r="OQP82" s="316"/>
      <c r="OQQ82" s="316"/>
      <c r="OQR82" s="316"/>
      <c r="OQS82" s="316"/>
      <c r="OQT82" s="316"/>
      <c r="OQU82" s="316"/>
      <c r="OQV82" s="316"/>
      <c r="OQW82" s="316"/>
      <c r="OQX82" s="316"/>
      <c r="OQY82" s="316"/>
      <c r="OQZ82" s="316"/>
      <c r="ORA82" s="316"/>
      <c r="ORB82" s="316"/>
      <c r="ORC82" s="316"/>
      <c r="ORD82" s="316"/>
      <c r="ORE82" s="316"/>
      <c r="ORF82" s="316"/>
      <c r="ORG82" s="316"/>
      <c r="ORH82" s="316"/>
      <c r="ORI82" s="316"/>
      <c r="ORJ82" s="316"/>
      <c r="ORK82" s="316"/>
      <c r="ORL82" s="316"/>
      <c r="ORM82" s="316"/>
      <c r="ORN82" s="316"/>
      <c r="ORO82" s="316"/>
      <c r="ORP82" s="316"/>
      <c r="ORQ82" s="316"/>
      <c r="ORR82" s="316"/>
      <c r="ORS82" s="316"/>
      <c r="ORT82" s="316"/>
      <c r="ORU82" s="316"/>
      <c r="ORV82" s="316"/>
      <c r="ORW82" s="316"/>
      <c r="ORX82" s="316"/>
      <c r="ORY82" s="316"/>
      <c r="ORZ82" s="316"/>
      <c r="OSA82" s="316"/>
      <c r="OSB82" s="316"/>
      <c r="OSC82" s="316"/>
      <c r="OSD82" s="316"/>
      <c r="OSE82" s="316"/>
      <c r="OSF82" s="316"/>
      <c r="OSG82" s="316"/>
      <c r="OSH82" s="316"/>
      <c r="OSI82" s="316"/>
      <c r="OSJ82" s="316"/>
      <c r="OSK82" s="316"/>
      <c r="OSL82" s="316"/>
      <c r="OSM82" s="316"/>
      <c r="OSN82" s="316"/>
      <c r="OSO82" s="316"/>
      <c r="OSP82" s="316"/>
      <c r="OSQ82" s="316"/>
      <c r="OSR82" s="316"/>
      <c r="OSS82" s="316"/>
      <c r="OST82" s="316"/>
      <c r="OSU82" s="316"/>
      <c r="OSV82" s="316"/>
      <c r="OSW82" s="316"/>
      <c r="OSX82" s="316"/>
      <c r="OSY82" s="316"/>
      <c r="OSZ82" s="316"/>
      <c r="OTA82" s="316"/>
      <c r="OTB82" s="316"/>
      <c r="OTC82" s="316"/>
      <c r="OTD82" s="316"/>
      <c r="OTE82" s="316"/>
      <c r="OTF82" s="316"/>
      <c r="OTG82" s="316"/>
      <c r="OTH82" s="316"/>
      <c r="OTI82" s="316"/>
      <c r="OTJ82" s="316"/>
      <c r="OTK82" s="316"/>
      <c r="OTL82" s="316"/>
      <c r="OTM82" s="316"/>
      <c r="OTN82" s="316"/>
      <c r="OTO82" s="316"/>
      <c r="OTP82" s="316"/>
      <c r="OTQ82" s="316"/>
      <c r="OTR82" s="316"/>
      <c r="OTS82" s="316"/>
      <c r="OTT82" s="316"/>
      <c r="OTU82" s="316"/>
      <c r="OTV82" s="316"/>
      <c r="OTW82" s="316"/>
      <c r="OTX82" s="316"/>
      <c r="OTY82" s="316"/>
      <c r="OTZ82" s="316"/>
      <c r="OUA82" s="316"/>
      <c r="OUB82" s="316"/>
      <c r="OUC82" s="316"/>
      <c r="OUD82" s="316"/>
      <c r="OUE82" s="316"/>
      <c r="OUF82" s="316"/>
      <c r="OUG82" s="316"/>
      <c r="OUH82" s="316"/>
      <c r="OUI82" s="316"/>
      <c r="OUJ82" s="316"/>
      <c r="OUK82" s="316"/>
      <c r="OUL82" s="316"/>
      <c r="OUM82" s="316"/>
      <c r="OUN82" s="316"/>
      <c r="OUO82" s="316"/>
      <c r="OUP82" s="316"/>
      <c r="OUQ82" s="316"/>
      <c r="OUR82" s="316"/>
      <c r="OUS82" s="316"/>
      <c r="OUT82" s="316"/>
      <c r="OUU82" s="316"/>
      <c r="OUV82" s="316"/>
      <c r="OUW82" s="316"/>
      <c r="OUX82" s="316"/>
      <c r="OUY82" s="316"/>
      <c r="OUZ82" s="316"/>
      <c r="OVA82" s="316"/>
      <c r="OVB82" s="316"/>
      <c r="OVC82" s="316"/>
      <c r="OVD82" s="316"/>
      <c r="OVE82" s="316"/>
      <c r="OVF82" s="316"/>
      <c r="OVG82" s="316"/>
      <c r="OVH82" s="316"/>
      <c r="OVI82" s="316"/>
      <c r="OVJ82" s="316"/>
      <c r="OVK82" s="316"/>
      <c r="OVL82" s="316"/>
      <c r="OVM82" s="316"/>
      <c r="OVN82" s="316"/>
      <c r="OVO82" s="316"/>
      <c r="OVP82" s="316"/>
      <c r="OVQ82" s="316"/>
      <c r="OVR82" s="316"/>
      <c r="OVS82" s="316"/>
      <c r="OVT82" s="316"/>
      <c r="OVU82" s="316"/>
      <c r="OVV82" s="316"/>
      <c r="OVW82" s="316"/>
      <c r="OVX82" s="316"/>
      <c r="OVY82" s="316"/>
      <c r="OVZ82" s="316"/>
      <c r="OWA82" s="316"/>
      <c r="OWB82" s="316"/>
      <c r="OWC82" s="316"/>
      <c r="OWD82" s="316"/>
      <c r="OWE82" s="316"/>
      <c r="OWF82" s="316"/>
      <c r="OWG82" s="316"/>
      <c r="OWH82" s="316"/>
      <c r="OWI82" s="316"/>
      <c r="OWJ82" s="316"/>
      <c r="OWK82" s="316"/>
      <c r="OWL82" s="316"/>
      <c r="OWM82" s="316"/>
      <c r="OWN82" s="316"/>
      <c r="OWO82" s="316"/>
      <c r="OWP82" s="316"/>
      <c r="OWQ82" s="316"/>
      <c r="OWR82" s="316"/>
      <c r="OWS82" s="316"/>
      <c r="OWT82" s="316"/>
      <c r="OWU82" s="316"/>
      <c r="OWV82" s="316"/>
      <c r="OWW82" s="316"/>
      <c r="OWX82" s="316"/>
      <c r="OWY82" s="316"/>
      <c r="OWZ82" s="316"/>
      <c r="OXA82" s="316"/>
      <c r="OXB82" s="316"/>
      <c r="OXC82" s="316"/>
      <c r="OXD82" s="316"/>
      <c r="OXE82" s="316"/>
      <c r="OXF82" s="316"/>
      <c r="OXG82" s="316"/>
      <c r="OXH82" s="316"/>
      <c r="OXI82" s="316"/>
      <c r="OXJ82" s="316"/>
      <c r="OXK82" s="316"/>
      <c r="OXL82" s="316"/>
      <c r="OXM82" s="316"/>
      <c r="OXN82" s="316"/>
      <c r="OXO82" s="316"/>
      <c r="OXP82" s="316"/>
      <c r="OXQ82" s="316"/>
      <c r="OXR82" s="316"/>
      <c r="OXS82" s="316"/>
      <c r="OXT82" s="316"/>
      <c r="OXU82" s="316"/>
      <c r="OXV82" s="316"/>
      <c r="OXW82" s="316"/>
      <c r="OXX82" s="316"/>
      <c r="OXY82" s="316"/>
      <c r="OXZ82" s="316"/>
      <c r="OYA82" s="316"/>
      <c r="OYB82" s="316"/>
      <c r="OYC82" s="316"/>
      <c r="OYD82" s="316"/>
      <c r="OYE82" s="316"/>
      <c r="OYF82" s="316"/>
      <c r="OYG82" s="316"/>
      <c r="OYH82" s="316"/>
      <c r="OYI82" s="316"/>
      <c r="OYJ82" s="316"/>
      <c r="OYK82" s="316"/>
      <c r="OYL82" s="316"/>
      <c r="OYM82" s="316"/>
      <c r="OYN82" s="316"/>
      <c r="OYO82" s="316"/>
      <c r="OYP82" s="316"/>
      <c r="OYQ82" s="316"/>
      <c r="OYR82" s="316"/>
      <c r="OYS82" s="316"/>
      <c r="OYT82" s="316"/>
      <c r="OYU82" s="316"/>
      <c r="OYV82" s="316"/>
      <c r="OYW82" s="316"/>
      <c r="OYX82" s="316"/>
      <c r="OYY82" s="316"/>
      <c r="OYZ82" s="316"/>
      <c r="OZA82" s="316"/>
      <c r="OZB82" s="316"/>
      <c r="OZC82" s="316"/>
      <c r="OZD82" s="316"/>
      <c r="OZE82" s="316"/>
      <c r="OZF82" s="316"/>
      <c r="OZG82" s="316"/>
      <c r="OZH82" s="316"/>
      <c r="OZI82" s="316"/>
      <c r="OZJ82" s="316"/>
      <c r="OZK82" s="316"/>
      <c r="OZL82" s="316"/>
      <c r="OZM82" s="316"/>
      <c r="OZN82" s="316"/>
      <c r="OZO82" s="316"/>
      <c r="OZP82" s="316"/>
      <c r="OZQ82" s="316"/>
      <c r="OZR82" s="316"/>
      <c r="OZS82" s="316"/>
      <c r="OZT82" s="316"/>
      <c r="OZU82" s="316"/>
      <c r="OZV82" s="316"/>
      <c r="OZW82" s="316"/>
      <c r="OZX82" s="316"/>
      <c r="OZY82" s="316"/>
      <c r="OZZ82" s="316"/>
      <c r="PAA82" s="316"/>
      <c r="PAB82" s="316"/>
      <c r="PAC82" s="316"/>
      <c r="PAD82" s="316"/>
      <c r="PAE82" s="316"/>
      <c r="PAF82" s="316"/>
      <c r="PAG82" s="316"/>
      <c r="PAH82" s="316"/>
      <c r="PAI82" s="316"/>
      <c r="PAJ82" s="316"/>
      <c r="PAK82" s="316"/>
      <c r="PAL82" s="316"/>
      <c r="PAM82" s="316"/>
      <c r="PAN82" s="316"/>
      <c r="PAO82" s="316"/>
      <c r="PAP82" s="316"/>
      <c r="PAQ82" s="316"/>
      <c r="PAR82" s="316"/>
      <c r="PAS82" s="316"/>
      <c r="PAT82" s="316"/>
      <c r="PAU82" s="316"/>
      <c r="PAV82" s="316"/>
      <c r="PAW82" s="316"/>
      <c r="PAX82" s="316"/>
      <c r="PAY82" s="316"/>
      <c r="PAZ82" s="316"/>
      <c r="PBA82" s="316"/>
      <c r="PBB82" s="316"/>
      <c r="PBC82" s="316"/>
      <c r="PBD82" s="316"/>
      <c r="PBE82" s="316"/>
      <c r="PBF82" s="316"/>
      <c r="PBG82" s="316"/>
      <c r="PBH82" s="316"/>
      <c r="PBI82" s="316"/>
      <c r="PBJ82" s="316"/>
      <c r="PBK82" s="316"/>
      <c r="PBL82" s="316"/>
      <c r="PBM82" s="316"/>
      <c r="PBN82" s="316"/>
      <c r="PBO82" s="316"/>
      <c r="PBP82" s="316"/>
      <c r="PBQ82" s="316"/>
      <c r="PBR82" s="316"/>
      <c r="PBS82" s="316"/>
      <c r="PBT82" s="316"/>
      <c r="PBU82" s="316"/>
      <c r="PBV82" s="316"/>
      <c r="PBW82" s="316"/>
      <c r="PBX82" s="316"/>
      <c r="PBY82" s="316"/>
      <c r="PBZ82" s="316"/>
      <c r="PCA82" s="316"/>
      <c r="PCB82" s="316"/>
      <c r="PCC82" s="316"/>
      <c r="PCD82" s="316"/>
      <c r="PCE82" s="316"/>
      <c r="PCF82" s="316"/>
      <c r="PCG82" s="316"/>
      <c r="PCH82" s="316"/>
      <c r="PCI82" s="316"/>
      <c r="PCJ82" s="316"/>
      <c r="PCK82" s="316"/>
      <c r="PCL82" s="316"/>
      <c r="PCM82" s="316"/>
      <c r="PCN82" s="316"/>
      <c r="PCO82" s="316"/>
      <c r="PCP82" s="316"/>
      <c r="PCQ82" s="316"/>
      <c r="PCR82" s="316"/>
      <c r="PCS82" s="316"/>
      <c r="PCT82" s="316"/>
      <c r="PCU82" s="316"/>
      <c r="PCV82" s="316"/>
      <c r="PCW82" s="316"/>
      <c r="PCX82" s="316"/>
      <c r="PCY82" s="316"/>
      <c r="PCZ82" s="316"/>
      <c r="PDA82" s="316"/>
      <c r="PDB82" s="316"/>
      <c r="PDC82" s="316"/>
      <c r="PDD82" s="316"/>
      <c r="PDE82" s="316"/>
      <c r="PDF82" s="316"/>
      <c r="PDG82" s="316"/>
      <c r="PDH82" s="316"/>
      <c r="PDI82" s="316"/>
      <c r="PDJ82" s="316"/>
      <c r="PDK82" s="316"/>
      <c r="PDL82" s="316"/>
      <c r="PDM82" s="316"/>
      <c r="PDN82" s="316"/>
      <c r="PDO82" s="316"/>
      <c r="PDP82" s="316"/>
      <c r="PDQ82" s="316"/>
      <c r="PDR82" s="316"/>
      <c r="PDS82" s="316"/>
      <c r="PDT82" s="316"/>
      <c r="PDU82" s="316"/>
      <c r="PDV82" s="316"/>
      <c r="PDW82" s="316"/>
      <c r="PDX82" s="316"/>
      <c r="PDY82" s="316"/>
      <c r="PDZ82" s="316"/>
      <c r="PEA82" s="316"/>
      <c r="PEB82" s="316"/>
      <c r="PEC82" s="316"/>
      <c r="PED82" s="316"/>
      <c r="PEE82" s="316"/>
      <c r="PEF82" s="316"/>
      <c r="PEG82" s="316"/>
      <c r="PEH82" s="316"/>
      <c r="PEI82" s="316"/>
      <c r="PEJ82" s="316"/>
      <c r="PEK82" s="316"/>
      <c r="PEL82" s="316"/>
      <c r="PEM82" s="316"/>
      <c r="PEN82" s="316"/>
      <c r="PEO82" s="316"/>
      <c r="PEP82" s="316"/>
      <c r="PEQ82" s="316"/>
      <c r="PER82" s="316"/>
      <c r="PES82" s="316"/>
      <c r="PET82" s="316"/>
      <c r="PEU82" s="316"/>
      <c r="PEV82" s="316"/>
      <c r="PEW82" s="316"/>
      <c r="PEX82" s="316"/>
      <c r="PEY82" s="316"/>
      <c r="PEZ82" s="316"/>
      <c r="PFA82" s="316"/>
      <c r="PFB82" s="316"/>
      <c r="PFC82" s="316"/>
      <c r="PFD82" s="316"/>
      <c r="PFE82" s="316"/>
      <c r="PFF82" s="316"/>
      <c r="PFG82" s="316"/>
      <c r="PFH82" s="316"/>
      <c r="PFI82" s="316"/>
      <c r="PFJ82" s="316"/>
      <c r="PFK82" s="316"/>
      <c r="PFL82" s="316"/>
      <c r="PFM82" s="316"/>
      <c r="PFN82" s="316"/>
      <c r="PFO82" s="316"/>
      <c r="PFP82" s="316"/>
      <c r="PFQ82" s="316"/>
      <c r="PFR82" s="316"/>
      <c r="PFS82" s="316"/>
      <c r="PFT82" s="316"/>
      <c r="PFU82" s="316"/>
      <c r="PFV82" s="316"/>
      <c r="PFW82" s="316"/>
      <c r="PFX82" s="316"/>
      <c r="PFY82" s="316"/>
      <c r="PFZ82" s="316"/>
      <c r="PGA82" s="316"/>
      <c r="PGB82" s="316"/>
      <c r="PGC82" s="316"/>
      <c r="PGD82" s="316"/>
      <c r="PGE82" s="316"/>
      <c r="PGF82" s="316"/>
      <c r="PGG82" s="316"/>
      <c r="PGH82" s="316"/>
      <c r="PGI82" s="316"/>
      <c r="PGJ82" s="316"/>
      <c r="PGK82" s="316"/>
      <c r="PGL82" s="316"/>
      <c r="PGM82" s="316"/>
      <c r="PGN82" s="316"/>
      <c r="PGO82" s="316"/>
      <c r="PGP82" s="316"/>
      <c r="PGQ82" s="316"/>
      <c r="PGR82" s="316"/>
      <c r="PGS82" s="316"/>
      <c r="PGT82" s="316"/>
      <c r="PGU82" s="316"/>
      <c r="PGV82" s="316"/>
      <c r="PGW82" s="316"/>
      <c r="PGX82" s="316"/>
      <c r="PGY82" s="316"/>
      <c r="PGZ82" s="316"/>
      <c r="PHA82" s="316"/>
      <c r="PHB82" s="316"/>
      <c r="PHC82" s="316"/>
      <c r="PHD82" s="316"/>
      <c r="PHE82" s="316"/>
      <c r="PHF82" s="316"/>
      <c r="PHG82" s="316"/>
      <c r="PHH82" s="316"/>
      <c r="PHI82" s="316"/>
      <c r="PHJ82" s="316"/>
      <c r="PHK82" s="316"/>
      <c r="PHL82" s="316"/>
      <c r="PHM82" s="316"/>
      <c r="PHN82" s="316"/>
      <c r="PHO82" s="316"/>
      <c r="PHP82" s="316"/>
      <c r="PHQ82" s="316"/>
      <c r="PHR82" s="316"/>
      <c r="PHS82" s="316"/>
      <c r="PHT82" s="316"/>
      <c r="PHU82" s="316"/>
      <c r="PHV82" s="316"/>
      <c r="PHW82" s="316"/>
      <c r="PHX82" s="316"/>
      <c r="PHY82" s="316"/>
      <c r="PHZ82" s="316"/>
      <c r="PIA82" s="316"/>
      <c r="PIB82" s="316"/>
      <c r="PIC82" s="316"/>
      <c r="PID82" s="316"/>
      <c r="PIE82" s="316"/>
      <c r="PIF82" s="316"/>
      <c r="PIG82" s="316"/>
      <c r="PIH82" s="316"/>
      <c r="PII82" s="316"/>
      <c r="PIJ82" s="316"/>
      <c r="PIK82" s="316"/>
      <c r="PIL82" s="316"/>
      <c r="PIM82" s="316"/>
      <c r="PIN82" s="316"/>
      <c r="PIO82" s="316"/>
      <c r="PIP82" s="316"/>
      <c r="PIQ82" s="316"/>
      <c r="PIR82" s="316"/>
      <c r="PIS82" s="316"/>
      <c r="PIT82" s="316"/>
      <c r="PIU82" s="316"/>
      <c r="PIV82" s="316"/>
      <c r="PIW82" s="316"/>
      <c r="PIX82" s="316"/>
      <c r="PIY82" s="316"/>
      <c r="PIZ82" s="316"/>
      <c r="PJA82" s="316"/>
      <c r="PJB82" s="316"/>
      <c r="PJC82" s="316"/>
      <c r="PJD82" s="316"/>
      <c r="PJE82" s="316"/>
      <c r="PJF82" s="316"/>
      <c r="PJG82" s="316"/>
      <c r="PJH82" s="316"/>
      <c r="PJI82" s="316"/>
      <c r="PJJ82" s="316"/>
      <c r="PJK82" s="316"/>
      <c r="PJL82" s="316"/>
      <c r="PJM82" s="316"/>
      <c r="PJN82" s="316"/>
      <c r="PJO82" s="316"/>
      <c r="PJP82" s="316"/>
      <c r="PJQ82" s="316"/>
      <c r="PJR82" s="316"/>
      <c r="PJS82" s="316"/>
      <c r="PJT82" s="316"/>
      <c r="PJU82" s="316"/>
      <c r="PJV82" s="316"/>
      <c r="PJW82" s="316"/>
      <c r="PJX82" s="316"/>
      <c r="PJY82" s="316"/>
      <c r="PJZ82" s="316"/>
      <c r="PKA82" s="316"/>
      <c r="PKB82" s="316"/>
      <c r="PKC82" s="316"/>
      <c r="PKD82" s="316"/>
      <c r="PKE82" s="316"/>
      <c r="PKF82" s="316"/>
      <c r="PKG82" s="316"/>
      <c r="PKH82" s="316"/>
      <c r="PKI82" s="316"/>
      <c r="PKJ82" s="316"/>
      <c r="PKK82" s="316"/>
      <c r="PKL82" s="316"/>
      <c r="PKM82" s="316"/>
      <c r="PKN82" s="316"/>
      <c r="PKO82" s="316"/>
      <c r="PKP82" s="316"/>
      <c r="PKQ82" s="316"/>
      <c r="PKR82" s="316"/>
      <c r="PKS82" s="316"/>
      <c r="PKT82" s="316"/>
      <c r="PKU82" s="316"/>
      <c r="PKV82" s="316"/>
      <c r="PKW82" s="316"/>
      <c r="PKX82" s="316"/>
      <c r="PKY82" s="316"/>
      <c r="PKZ82" s="316"/>
      <c r="PLA82" s="316"/>
      <c r="PLB82" s="316"/>
      <c r="PLC82" s="316"/>
      <c r="PLD82" s="316"/>
      <c r="PLE82" s="316"/>
      <c r="PLF82" s="316"/>
      <c r="PLG82" s="316"/>
      <c r="PLH82" s="316"/>
      <c r="PLI82" s="316"/>
      <c r="PLJ82" s="316"/>
      <c r="PLK82" s="316"/>
      <c r="PLL82" s="316"/>
      <c r="PLM82" s="316"/>
      <c r="PLN82" s="316"/>
      <c r="PLO82" s="316"/>
      <c r="PLP82" s="316"/>
      <c r="PLQ82" s="316"/>
      <c r="PLR82" s="316"/>
      <c r="PLS82" s="316"/>
      <c r="PLT82" s="316"/>
      <c r="PLU82" s="316"/>
      <c r="PLV82" s="316"/>
      <c r="PLW82" s="316"/>
      <c r="PLX82" s="316"/>
      <c r="PLY82" s="316"/>
      <c r="PLZ82" s="316"/>
      <c r="PMA82" s="316"/>
      <c r="PMB82" s="316"/>
      <c r="PMC82" s="316"/>
      <c r="PMD82" s="316"/>
      <c r="PME82" s="316"/>
      <c r="PMF82" s="316"/>
      <c r="PMG82" s="316"/>
      <c r="PMH82" s="316"/>
      <c r="PMI82" s="316"/>
      <c r="PMJ82" s="316"/>
      <c r="PMK82" s="316"/>
      <c r="PML82" s="316"/>
      <c r="PMM82" s="316"/>
      <c r="PMN82" s="316"/>
      <c r="PMO82" s="316"/>
      <c r="PMP82" s="316"/>
      <c r="PMQ82" s="316"/>
      <c r="PMR82" s="316"/>
      <c r="PMS82" s="316"/>
      <c r="PMT82" s="316"/>
      <c r="PMU82" s="316"/>
      <c r="PMV82" s="316"/>
      <c r="PMW82" s="316"/>
      <c r="PMX82" s="316"/>
      <c r="PMY82" s="316"/>
      <c r="PMZ82" s="316"/>
      <c r="PNA82" s="316"/>
      <c r="PNB82" s="316"/>
      <c r="PNC82" s="316"/>
      <c r="PND82" s="316"/>
      <c r="PNE82" s="316"/>
      <c r="PNF82" s="316"/>
      <c r="PNG82" s="316"/>
      <c r="PNH82" s="316"/>
      <c r="PNI82" s="316"/>
      <c r="PNJ82" s="316"/>
      <c r="PNK82" s="316"/>
      <c r="PNL82" s="316"/>
      <c r="PNM82" s="316"/>
      <c r="PNN82" s="316"/>
      <c r="PNO82" s="316"/>
      <c r="PNP82" s="316"/>
      <c r="PNQ82" s="316"/>
      <c r="PNR82" s="316"/>
      <c r="PNS82" s="316"/>
      <c r="PNT82" s="316"/>
      <c r="PNU82" s="316"/>
      <c r="PNV82" s="316"/>
      <c r="PNW82" s="316"/>
      <c r="PNX82" s="316"/>
      <c r="PNY82" s="316"/>
      <c r="PNZ82" s="316"/>
      <c r="POA82" s="316"/>
      <c r="POB82" s="316"/>
      <c r="POC82" s="316"/>
      <c r="POD82" s="316"/>
      <c r="POE82" s="316"/>
      <c r="POF82" s="316"/>
      <c r="POG82" s="316"/>
      <c r="POH82" s="316"/>
      <c r="POI82" s="316"/>
      <c r="POJ82" s="316"/>
      <c r="POK82" s="316"/>
      <c r="POL82" s="316"/>
      <c r="POM82" s="316"/>
      <c r="PON82" s="316"/>
      <c r="POO82" s="316"/>
      <c r="POP82" s="316"/>
      <c r="POQ82" s="316"/>
      <c r="POR82" s="316"/>
      <c r="POS82" s="316"/>
      <c r="POT82" s="316"/>
      <c r="POU82" s="316"/>
      <c r="POV82" s="316"/>
      <c r="POW82" s="316"/>
      <c r="POX82" s="316"/>
      <c r="POY82" s="316"/>
      <c r="POZ82" s="316"/>
      <c r="PPA82" s="316"/>
      <c r="PPB82" s="316"/>
      <c r="PPC82" s="316"/>
      <c r="PPD82" s="316"/>
      <c r="PPE82" s="316"/>
      <c r="PPF82" s="316"/>
      <c r="PPG82" s="316"/>
      <c r="PPH82" s="316"/>
      <c r="PPI82" s="316"/>
      <c r="PPJ82" s="316"/>
      <c r="PPK82" s="316"/>
      <c r="PPL82" s="316"/>
      <c r="PPM82" s="316"/>
      <c r="PPN82" s="316"/>
      <c r="PPO82" s="316"/>
      <c r="PPP82" s="316"/>
      <c r="PPQ82" s="316"/>
      <c r="PPR82" s="316"/>
      <c r="PPS82" s="316"/>
      <c r="PPT82" s="316"/>
      <c r="PPU82" s="316"/>
      <c r="PPV82" s="316"/>
      <c r="PPW82" s="316"/>
      <c r="PPX82" s="316"/>
      <c r="PPY82" s="316"/>
      <c r="PPZ82" s="316"/>
      <c r="PQA82" s="316"/>
      <c r="PQB82" s="316"/>
      <c r="PQC82" s="316"/>
      <c r="PQD82" s="316"/>
      <c r="PQE82" s="316"/>
      <c r="PQF82" s="316"/>
      <c r="PQG82" s="316"/>
      <c r="PQH82" s="316"/>
      <c r="PQI82" s="316"/>
      <c r="PQJ82" s="316"/>
      <c r="PQK82" s="316"/>
      <c r="PQL82" s="316"/>
      <c r="PQM82" s="316"/>
      <c r="PQN82" s="316"/>
      <c r="PQO82" s="316"/>
      <c r="PQP82" s="316"/>
      <c r="PQQ82" s="316"/>
      <c r="PQR82" s="316"/>
      <c r="PQS82" s="316"/>
      <c r="PQT82" s="316"/>
      <c r="PQU82" s="316"/>
      <c r="PQV82" s="316"/>
      <c r="PQW82" s="316"/>
      <c r="PQX82" s="316"/>
      <c r="PQY82" s="316"/>
      <c r="PQZ82" s="316"/>
      <c r="PRA82" s="316"/>
      <c r="PRB82" s="316"/>
      <c r="PRC82" s="316"/>
      <c r="PRD82" s="316"/>
      <c r="PRE82" s="316"/>
      <c r="PRF82" s="316"/>
      <c r="PRG82" s="316"/>
      <c r="PRH82" s="316"/>
      <c r="PRI82" s="316"/>
      <c r="PRJ82" s="316"/>
      <c r="PRK82" s="316"/>
      <c r="PRL82" s="316"/>
      <c r="PRM82" s="316"/>
      <c r="PRN82" s="316"/>
      <c r="PRO82" s="316"/>
      <c r="PRP82" s="316"/>
      <c r="PRQ82" s="316"/>
      <c r="PRR82" s="316"/>
      <c r="PRS82" s="316"/>
      <c r="PRT82" s="316"/>
      <c r="PRU82" s="316"/>
      <c r="PRV82" s="316"/>
      <c r="PRW82" s="316"/>
      <c r="PRX82" s="316"/>
      <c r="PRY82" s="316"/>
      <c r="PRZ82" s="316"/>
      <c r="PSA82" s="316"/>
      <c r="PSB82" s="316"/>
      <c r="PSC82" s="316"/>
      <c r="PSD82" s="316"/>
      <c r="PSE82" s="316"/>
      <c r="PSF82" s="316"/>
      <c r="PSG82" s="316"/>
      <c r="PSH82" s="316"/>
      <c r="PSI82" s="316"/>
      <c r="PSJ82" s="316"/>
      <c r="PSK82" s="316"/>
      <c r="PSL82" s="316"/>
      <c r="PSM82" s="316"/>
      <c r="PSN82" s="316"/>
      <c r="PSO82" s="316"/>
      <c r="PSP82" s="316"/>
      <c r="PSQ82" s="316"/>
      <c r="PSR82" s="316"/>
      <c r="PSS82" s="316"/>
      <c r="PST82" s="316"/>
      <c r="PSU82" s="316"/>
      <c r="PSV82" s="316"/>
      <c r="PSW82" s="316"/>
      <c r="PSX82" s="316"/>
      <c r="PSY82" s="316"/>
      <c r="PSZ82" s="316"/>
      <c r="PTA82" s="316"/>
      <c r="PTB82" s="316"/>
      <c r="PTC82" s="316"/>
      <c r="PTD82" s="316"/>
      <c r="PTE82" s="316"/>
      <c r="PTF82" s="316"/>
      <c r="PTG82" s="316"/>
      <c r="PTH82" s="316"/>
      <c r="PTI82" s="316"/>
      <c r="PTJ82" s="316"/>
      <c r="PTK82" s="316"/>
      <c r="PTL82" s="316"/>
      <c r="PTM82" s="316"/>
      <c r="PTN82" s="316"/>
      <c r="PTO82" s="316"/>
      <c r="PTP82" s="316"/>
      <c r="PTQ82" s="316"/>
      <c r="PTR82" s="316"/>
      <c r="PTS82" s="316"/>
      <c r="PTT82" s="316"/>
      <c r="PTU82" s="316"/>
      <c r="PTV82" s="316"/>
      <c r="PTW82" s="316"/>
      <c r="PTX82" s="316"/>
      <c r="PTY82" s="316"/>
      <c r="PTZ82" s="316"/>
      <c r="PUA82" s="316"/>
      <c r="PUB82" s="316"/>
      <c r="PUC82" s="316"/>
      <c r="PUD82" s="316"/>
      <c r="PUE82" s="316"/>
      <c r="PUF82" s="316"/>
      <c r="PUG82" s="316"/>
      <c r="PUH82" s="316"/>
      <c r="PUI82" s="316"/>
      <c r="PUJ82" s="316"/>
      <c r="PUK82" s="316"/>
      <c r="PUL82" s="316"/>
      <c r="PUM82" s="316"/>
      <c r="PUN82" s="316"/>
      <c r="PUO82" s="316"/>
      <c r="PUP82" s="316"/>
      <c r="PUQ82" s="316"/>
      <c r="PUR82" s="316"/>
      <c r="PUS82" s="316"/>
      <c r="PUT82" s="316"/>
      <c r="PUU82" s="316"/>
      <c r="PUV82" s="316"/>
      <c r="PUW82" s="316"/>
      <c r="PUX82" s="316"/>
      <c r="PUY82" s="316"/>
      <c r="PUZ82" s="316"/>
      <c r="PVA82" s="316"/>
      <c r="PVB82" s="316"/>
      <c r="PVC82" s="316"/>
      <c r="PVD82" s="316"/>
      <c r="PVE82" s="316"/>
      <c r="PVF82" s="316"/>
      <c r="PVG82" s="316"/>
      <c r="PVH82" s="316"/>
      <c r="PVI82" s="316"/>
      <c r="PVJ82" s="316"/>
      <c r="PVK82" s="316"/>
      <c r="PVL82" s="316"/>
      <c r="PVM82" s="316"/>
      <c r="PVN82" s="316"/>
      <c r="PVO82" s="316"/>
      <c r="PVP82" s="316"/>
      <c r="PVQ82" s="316"/>
      <c r="PVR82" s="316"/>
      <c r="PVS82" s="316"/>
      <c r="PVT82" s="316"/>
      <c r="PVU82" s="316"/>
      <c r="PVV82" s="316"/>
      <c r="PVW82" s="316"/>
      <c r="PVX82" s="316"/>
      <c r="PVY82" s="316"/>
      <c r="PVZ82" s="316"/>
      <c r="PWA82" s="316"/>
      <c r="PWB82" s="316"/>
      <c r="PWC82" s="316"/>
      <c r="PWD82" s="316"/>
      <c r="PWE82" s="316"/>
      <c r="PWF82" s="316"/>
      <c r="PWG82" s="316"/>
      <c r="PWH82" s="316"/>
      <c r="PWI82" s="316"/>
      <c r="PWJ82" s="316"/>
      <c r="PWK82" s="316"/>
      <c r="PWL82" s="316"/>
      <c r="PWM82" s="316"/>
      <c r="PWN82" s="316"/>
      <c r="PWO82" s="316"/>
      <c r="PWP82" s="316"/>
      <c r="PWQ82" s="316"/>
      <c r="PWR82" s="316"/>
      <c r="PWS82" s="316"/>
      <c r="PWT82" s="316"/>
      <c r="PWU82" s="316"/>
      <c r="PWV82" s="316"/>
      <c r="PWW82" s="316"/>
      <c r="PWX82" s="316"/>
      <c r="PWY82" s="316"/>
      <c r="PWZ82" s="316"/>
      <c r="PXA82" s="316"/>
      <c r="PXB82" s="316"/>
      <c r="PXC82" s="316"/>
      <c r="PXD82" s="316"/>
      <c r="PXE82" s="316"/>
      <c r="PXF82" s="316"/>
      <c r="PXG82" s="316"/>
      <c r="PXH82" s="316"/>
      <c r="PXI82" s="316"/>
      <c r="PXJ82" s="316"/>
      <c r="PXK82" s="316"/>
      <c r="PXL82" s="316"/>
      <c r="PXM82" s="316"/>
      <c r="PXN82" s="316"/>
      <c r="PXO82" s="316"/>
      <c r="PXP82" s="316"/>
      <c r="PXQ82" s="316"/>
      <c r="PXR82" s="316"/>
      <c r="PXS82" s="316"/>
      <c r="PXT82" s="316"/>
      <c r="PXU82" s="316"/>
      <c r="PXV82" s="316"/>
      <c r="PXW82" s="316"/>
      <c r="PXX82" s="316"/>
      <c r="PXY82" s="316"/>
      <c r="PXZ82" s="316"/>
      <c r="PYA82" s="316"/>
      <c r="PYB82" s="316"/>
      <c r="PYC82" s="316"/>
      <c r="PYD82" s="316"/>
      <c r="PYE82" s="316"/>
      <c r="PYF82" s="316"/>
      <c r="PYG82" s="316"/>
      <c r="PYH82" s="316"/>
      <c r="PYI82" s="316"/>
      <c r="PYJ82" s="316"/>
      <c r="PYK82" s="316"/>
      <c r="PYL82" s="316"/>
      <c r="PYM82" s="316"/>
      <c r="PYN82" s="316"/>
      <c r="PYO82" s="316"/>
      <c r="PYP82" s="316"/>
      <c r="PYQ82" s="316"/>
      <c r="PYR82" s="316"/>
      <c r="PYS82" s="316"/>
      <c r="PYT82" s="316"/>
      <c r="PYU82" s="316"/>
      <c r="PYV82" s="316"/>
      <c r="PYW82" s="316"/>
      <c r="PYX82" s="316"/>
      <c r="PYY82" s="316"/>
      <c r="PYZ82" s="316"/>
      <c r="PZA82" s="316"/>
      <c r="PZB82" s="316"/>
      <c r="PZC82" s="316"/>
      <c r="PZD82" s="316"/>
      <c r="PZE82" s="316"/>
      <c r="PZF82" s="316"/>
      <c r="PZG82" s="316"/>
      <c r="PZH82" s="316"/>
      <c r="PZI82" s="316"/>
      <c r="PZJ82" s="316"/>
      <c r="PZK82" s="316"/>
      <c r="PZL82" s="316"/>
      <c r="PZM82" s="316"/>
      <c r="PZN82" s="316"/>
      <c r="PZO82" s="316"/>
      <c r="PZP82" s="316"/>
      <c r="PZQ82" s="316"/>
      <c r="PZR82" s="316"/>
      <c r="PZS82" s="316"/>
      <c r="PZT82" s="316"/>
      <c r="PZU82" s="316"/>
      <c r="PZV82" s="316"/>
      <c r="PZW82" s="316"/>
      <c r="PZX82" s="316"/>
      <c r="PZY82" s="316"/>
      <c r="PZZ82" s="316"/>
      <c r="QAA82" s="316"/>
      <c r="QAB82" s="316"/>
      <c r="QAC82" s="316"/>
      <c r="QAD82" s="316"/>
      <c r="QAE82" s="316"/>
      <c r="QAF82" s="316"/>
      <c r="QAG82" s="316"/>
      <c r="QAH82" s="316"/>
      <c r="QAI82" s="316"/>
      <c r="QAJ82" s="316"/>
      <c r="QAK82" s="316"/>
      <c r="QAL82" s="316"/>
      <c r="QAM82" s="316"/>
      <c r="QAN82" s="316"/>
      <c r="QAO82" s="316"/>
      <c r="QAP82" s="316"/>
      <c r="QAQ82" s="316"/>
      <c r="QAR82" s="316"/>
      <c r="QAS82" s="316"/>
      <c r="QAT82" s="316"/>
      <c r="QAU82" s="316"/>
      <c r="QAV82" s="316"/>
      <c r="QAW82" s="316"/>
      <c r="QAX82" s="316"/>
      <c r="QAY82" s="316"/>
      <c r="QAZ82" s="316"/>
      <c r="QBA82" s="316"/>
      <c r="QBB82" s="316"/>
      <c r="QBC82" s="316"/>
      <c r="QBD82" s="316"/>
      <c r="QBE82" s="316"/>
      <c r="QBF82" s="316"/>
      <c r="QBG82" s="316"/>
      <c r="QBH82" s="316"/>
      <c r="QBI82" s="316"/>
      <c r="QBJ82" s="316"/>
      <c r="QBK82" s="316"/>
      <c r="QBL82" s="316"/>
      <c r="QBM82" s="316"/>
      <c r="QBN82" s="316"/>
      <c r="QBO82" s="316"/>
      <c r="QBP82" s="316"/>
      <c r="QBQ82" s="316"/>
      <c r="QBR82" s="316"/>
      <c r="QBS82" s="316"/>
      <c r="QBT82" s="316"/>
      <c r="QBU82" s="316"/>
      <c r="QBV82" s="316"/>
      <c r="QBW82" s="316"/>
      <c r="QBX82" s="316"/>
      <c r="QBY82" s="316"/>
      <c r="QBZ82" s="316"/>
      <c r="QCA82" s="316"/>
      <c r="QCB82" s="316"/>
      <c r="QCC82" s="316"/>
      <c r="QCD82" s="316"/>
      <c r="QCE82" s="316"/>
      <c r="QCF82" s="316"/>
      <c r="QCG82" s="316"/>
      <c r="QCH82" s="316"/>
      <c r="QCI82" s="316"/>
      <c r="QCJ82" s="316"/>
      <c r="QCK82" s="316"/>
      <c r="QCL82" s="316"/>
      <c r="QCM82" s="316"/>
      <c r="QCN82" s="316"/>
      <c r="QCO82" s="316"/>
      <c r="QCP82" s="316"/>
      <c r="QCQ82" s="316"/>
      <c r="QCR82" s="316"/>
      <c r="QCS82" s="316"/>
      <c r="QCT82" s="316"/>
      <c r="QCU82" s="316"/>
      <c r="QCV82" s="316"/>
      <c r="QCW82" s="316"/>
      <c r="QCX82" s="316"/>
      <c r="QCY82" s="316"/>
      <c r="QCZ82" s="316"/>
      <c r="QDA82" s="316"/>
      <c r="QDB82" s="316"/>
      <c r="QDC82" s="316"/>
      <c r="QDD82" s="316"/>
      <c r="QDE82" s="316"/>
      <c r="QDF82" s="316"/>
      <c r="QDG82" s="316"/>
      <c r="QDH82" s="316"/>
      <c r="QDI82" s="316"/>
      <c r="QDJ82" s="316"/>
      <c r="QDK82" s="316"/>
      <c r="QDL82" s="316"/>
      <c r="QDM82" s="316"/>
      <c r="QDN82" s="316"/>
      <c r="QDO82" s="316"/>
      <c r="QDP82" s="316"/>
      <c r="QDQ82" s="316"/>
      <c r="QDR82" s="316"/>
      <c r="QDS82" s="316"/>
      <c r="QDT82" s="316"/>
      <c r="QDU82" s="316"/>
      <c r="QDV82" s="316"/>
      <c r="QDW82" s="316"/>
      <c r="QDX82" s="316"/>
      <c r="QDY82" s="316"/>
      <c r="QDZ82" s="316"/>
      <c r="QEA82" s="316"/>
      <c r="QEB82" s="316"/>
      <c r="QEC82" s="316"/>
      <c r="QED82" s="316"/>
      <c r="QEE82" s="316"/>
      <c r="QEF82" s="316"/>
      <c r="QEG82" s="316"/>
      <c r="QEH82" s="316"/>
      <c r="QEI82" s="316"/>
      <c r="QEJ82" s="316"/>
      <c r="QEK82" s="316"/>
      <c r="QEL82" s="316"/>
      <c r="QEM82" s="316"/>
      <c r="QEN82" s="316"/>
      <c r="QEO82" s="316"/>
      <c r="QEP82" s="316"/>
      <c r="QEQ82" s="316"/>
      <c r="QER82" s="316"/>
      <c r="QES82" s="316"/>
      <c r="QET82" s="316"/>
      <c r="QEU82" s="316"/>
      <c r="QEV82" s="316"/>
      <c r="QEW82" s="316"/>
      <c r="QEX82" s="316"/>
      <c r="QEY82" s="316"/>
      <c r="QEZ82" s="316"/>
      <c r="QFA82" s="316"/>
      <c r="QFB82" s="316"/>
      <c r="QFC82" s="316"/>
      <c r="QFD82" s="316"/>
      <c r="QFE82" s="316"/>
      <c r="QFF82" s="316"/>
      <c r="QFG82" s="316"/>
      <c r="QFH82" s="316"/>
      <c r="QFI82" s="316"/>
      <c r="QFJ82" s="316"/>
      <c r="QFK82" s="316"/>
      <c r="QFL82" s="316"/>
      <c r="QFM82" s="316"/>
      <c r="QFN82" s="316"/>
      <c r="QFO82" s="316"/>
      <c r="QFP82" s="316"/>
      <c r="QFQ82" s="316"/>
      <c r="QFR82" s="316"/>
      <c r="QFS82" s="316"/>
      <c r="QFT82" s="316"/>
      <c r="QFU82" s="316"/>
      <c r="QFV82" s="316"/>
      <c r="QFW82" s="316"/>
      <c r="QFX82" s="316"/>
      <c r="QFY82" s="316"/>
      <c r="QFZ82" s="316"/>
      <c r="QGA82" s="316"/>
      <c r="QGB82" s="316"/>
      <c r="QGC82" s="316"/>
      <c r="QGD82" s="316"/>
      <c r="QGE82" s="316"/>
      <c r="QGF82" s="316"/>
      <c r="QGG82" s="316"/>
      <c r="QGH82" s="316"/>
      <c r="QGI82" s="316"/>
      <c r="QGJ82" s="316"/>
      <c r="QGK82" s="316"/>
      <c r="QGL82" s="316"/>
      <c r="QGM82" s="316"/>
      <c r="QGN82" s="316"/>
      <c r="QGO82" s="316"/>
      <c r="QGP82" s="316"/>
      <c r="QGQ82" s="316"/>
      <c r="QGR82" s="316"/>
      <c r="QGS82" s="316"/>
      <c r="QGT82" s="316"/>
      <c r="QGU82" s="316"/>
      <c r="QGV82" s="316"/>
      <c r="QGW82" s="316"/>
      <c r="QGX82" s="316"/>
      <c r="QGY82" s="316"/>
      <c r="QGZ82" s="316"/>
      <c r="QHA82" s="316"/>
      <c r="QHB82" s="316"/>
      <c r="QHC82" s="316"/>
      <c r="QHD82" s="316"/>
      <c r="QHE82" s="316"/>
      <c r="QHF82" s="316"/>
      <c r="QHG82" s="316"/>
      <c r="QHH82" s="316"/>
      <c r="QHI82" s="316"/>
      <c r="QHJ82" s="316"/>
      <c r="QHK82" s="316"/>
      <c r="QHL82" s="316"/>
      <c r="QHM82" s="316"/>
      <c r="QHN82" s="316"/>
      <c r="QHO82" s="316"/>
      <c r="QHP82" s="316"/>
      <c r="QHQ82" s="316"/>
      <c r="QHR82" s="316"/>
      <c r="QHS82" s="316"/>
      <c r="QHT82" s="316"/>
      <c r="QHU82" s="316"/>
      <c r="QHV82" s="316"/>
      <c r="QHW82" s="316"/>
      <c r="QHX82" s="316"/>
      <c r="QHY82" s="316"/>
      <c r="QHZ82" s="316"/>
      <c r="QIA82" s="316"/>
      <c r="QIB82" s="316"/>
      <c r="QIC82" s="316"/>
      <c r="QID82" s="316"/>
      <c r="QIE82" s="316"/>
      <c r="QIF82" s="316"/>
      <c r="QIG82" s="316"/>
      <c r="QIH82" s="316"/>
      <c r="QII82" s="316"/>
      <c r="QIJ82" s="316"/>
      <c r="QIK82" s="316"/>
      <c r="QIL82" s="316"/>
      <c r="QIM82" s="316"/>
      <c r="QIN82" s="316"/>
      <c r="QIO82" s="316"/>
      <c r="QIP82" s="316"/>
      <c r="QIQ82" s="316"/>
      <c r="QIR82" s="316"/>
      <c r="QIS82" s="316"/>
      <c r="QIT82" s="316"/>
      <c r="QIU82" s="316"/>
      <c r="QIV82" s="316"/>
      <c r="QIW82" s="316"/>
      <c r="QIX82" s="316"/>
      <c r="QIY82" s="316"/>
      <c r="QIZ82" s="316"/>
      <c r="QJA82" s="316"/>
      <c r="QJB82" s="316"/>
      <c r="QJC82" s="316"/>
      <c r="QJD82" s="316"/>
      <c r="QJE82" s="316"/>
      <c r="QJF82" s="316"/>
      <c r="QJG82" s="316"/>
      <c r="QJH82" s="316"/>
      <c r="QJI82" s="316"/>
      <c r="QJJ82" s="316"/>
      <c r="QJK82" s="316"/>
      <c r="QJL82" s="316"/>
      <c r="QJM82" s="316"/>
      <c r="QJN82" s="316"/>
      <c r="QJO82" s="316"/>
      <c r="QJP82" s="316"/>
      <c r="QJQ82" s="316"/>
      <c r="QJR82" s="316"/>
      <c r="QJS82" s="316"/>
      <c r="QJT82" s="316"/>
      <c r="QJU82" s="316"/>
      <c r="QJV82" s="316"/>
      <c r="QJW82" s="316"/>
      <c r="QJX82" s="316"/>
      <c r="QJY82" s="316"/>
      <c r="QJZ82" s="316"/>
      <c r="QKA82" s="316"/>
      <c r="QKB82" s="316"/>
      <c r="QKC82" s="316"/>
      <c r="QKD82" s="316"/>
      <c r="QKE82" s="316"/>
      <c r="QKF82" s="316"/>
      <c r="QKG82" s="316"/>
      <c r="QKH82" s="316"/>
      <c r="QKI82" s="316"/>
      <c r="QKJ82" s="316"/>
      <c r="QKK82" s="316"/>
      <c r="QKL82" s="316"/>
      <c r="QKM82" s="316"/>
      <c r="QKN82" s="316"/>
      <c r="QKO82" s="316"/>
      <c r="QKP82" s="316"/>
      <c r="QKQ82" s="316"/>
      <c r="QKR82" s="316"/>
      <c r="QKS82" s="316"/>
      <c r="QKT82" s="316"/>
      <c r="QKU82" s="316"/>
      <c r="QKV82" s="316"/>
      <c r="QKW82" s="316"/>
      <c r="QKX82" s="316"/>
      <c r="QKY82" s="316"/>
      <c r="QKZ82" s="316"/>
      <c r="QLA82" s="316"/>
      <c r="QLB82" s="316"/>
      <c r="QLC82" s="316"/>
      <c r="QLD82" s="316"/>
      <c r="QLE82" s="316"/>
      <c r="QLF82" s="316"/>
      <c r="QLG82" s="316"/>
      <c r="QLH82" s="316"/>
      <c r="QLI82" s="316"/>
      <c r="QLJ82" s="316"/>
      <c r="QLK82" s="316"/>
      <c r="QLL82" s="316"/>
      <c r="QLM82" s="316"/>
      <c r="QLN82" s="316"/>
      <c r="QLO82" s="316"/>
      <c r="QLP82" s="316"/>
      <c r="QLQ82" s="316"/>
      <c r="QLR82" s="316"/>
      <c r="QLS82" s="316"/>
      <c r="QLT82" s="316"/>
      <c r="QLU82" s="316"/>
      <c r="QLV82" s="316"/>
      <c r="QLW82" s="316"/>
      <c r="QLX82" s="316"/>
      <c r="QLY82" s="316"/>
      <c r="QLZ82" s="316"/>
      <c r="QMA82" s="316"/>
      <c r="QMB82" s="316"/>
      <c r="QMC82" s="316"/>
      <c r="QMD82" s="316"/>
      <c r="QME82" s="316"/>
      <c r="QMF82" s="316"/>
      <c r="QMG82" s="316"/>
      <c r="QMH82" s="316"/>
      <c r="QMI82" s="316"/>
      <c r="QMJ82" s="316"/>
      <c r="QMK82" s="316"/>
      <c r="QML82" s="316"/>
      <c r="QMM82" s="316"/>
      <c r="QMN82" s="316"/>
      <c r="QMO82" s="316"/>
      <c r="QMP82" s="316"/>
      <c r="QMQ82" s="316"/>
      <c r="QMR82" s="316"/>
      <c r="QMS82" s="316"/>
      <c r="QMT82" s="316"/>
      <c r="QMU82" s="316"/>
      <c r="QMV82" s="316"/>
      <c r="QMW82" s="316"/>
      <c r="QMX82" s="316"/>
      <c r="QMY82" s="316"/>
      <c r="QMZ82" s="316"/>
      <c r="QNA82" s="316"/>
      <c r="QNB82" s="316"/>
      <c r="QNC82" s="316"/>
      <c r="QND82" s="316"/>
      <c r="QNE82" s="316"/>
      <c r="QNF82" s="316"/>
      <c r="QNG82" s="316"/>
      <c r="QNH82" s="316"/>
      <c r="QNI82" s="316"/>
      <c r="QNJ82" s="316"/>
      <c r="QNK82" s="316"/>
      <c r="QNL82" s="316"/>
      <c r="QNM82" s="316"/>
      <c r="QNN82" s="316"/>
      <c r="QNO82" s="316"/>
      <c r="QNP82" s="316"/>
      <c r="QNQ82" s="316"/>
      <c r="QNR82" s="316"/>
      <c r="QNS82" s="316"/>
      <c r="QNT82" s="316"/>
      <c r="QNU82" s="316"/>
      <c r="QNV82" s="316"/>
      <c r="QNW82" s="316"/>
      <c r="QNX82" s="316"/>
      <c r="QNY82" s="316"/>
      <c r="QNZ82" s="316"/>
      <c r="QOA82" s="316"/>
      <c r="QOB82" s="316"/>
      <c r="QOC82" s="316"/>
      <c r="QOD82" s="316"/>
      <c r="QOE82" s="316"/>
      <c r="QOF82" s="316"/>
      <c r="QOG82" s="316"/>
      <c r="QOH82" s="316"/>
      <c r="QOI82" s="316"/>
      <c r="QOJ82" s="316"/>
      <c r="QOK82" s="316"/>
      <c r="QOL82" s="316"/>
      <c r="QOM82" s="316"/>
      <c r="QON82" s="316"/>
      <c r="QOO82" s="316"/>
      <c r="QOP82" s="316"/>
      <c r="QOQ82" s="316"/>
      <c r="QOR82" s="316"/>
      <c r="QOS82" s="316"/>
      <c r="QOT82" s="316"/>
      <c r="QOU82" s="316"/>
      <c r="QOV82" s="316"/>
      <c r="QOW82" s="316"/>
      <c r="QOX82" s="316"/>
      <c r="QOY82" s="316"/>
      <c r="QOZ82" s="316"/>
      <c r="QPA82" s="316"/>
      <c r="QPB82" s="316"/>
      <c r="QPC82" s="316"/>
      <c r="QPD82" s="316"/>
      <c r="QPE82" s="316"/>
      <c r="QPF82" s="316"/>
      <c r="QPG82" s="316"/>
      <c r="QPH82" s="316"/>
      <c r="QPI82" s="316"/>
      <c r="QPJ82" s="316"/>
      <c r="QPK82" s="316"/>
      <c r="QPL82" s="316"/>
      <c r="QPM82" s="316"/>
      <c r="QPN82" s="316"/>
      <c r="QPO82" s="316"/>
      <c r="QPP82" s="316"/>
      <c r="QPQ82" s="316"/>
      <c r="QPR82" s="316"/>
      <c r="QPS82" s="316"/>
      <c r="QPT82" s="316"/>
      <c r="QPU82" s="316"/>
      <c r="QPV82" s="316"/>
      <c r="QPW82" s="316"/>
      <c r="QPX82" s="316"/>
      <c r="QPY82" s="316"/>
      <c r="QPZ82" s="316"/>
      <c r="QQA82" s="316"/>
      <c r="QQB82" s="316"/>
      <c r="QQC82" s="316"/>
      <c r="QQD82" s="316"/>
      <c r="QQE82" s="316"/>
      <c r="QQF82" s="316"/>
      <c r="QQG82" s="316"/>
      <c r="QQH82" s="316"/>
      <c r="QQI82" s="316"/>
      <c r="QQJ82" s="316"/>
      <c r="QQK82" s="316"/>
      <c r="QQL82" s="316"/>
      <c r="QQM82" s="316"/>
      <c r="QQN82" s="316"/>
      <c r="QQO82" s="316"/>
      <c r="QQP82" s="316"/>
      <c r="QQQ82" s="316"/>
      <c r="QQR82" s="316"/>
      <c r="QQS82" s="316"/>
      <c r="QQT82" s="316"/>
      <c r="QQU82" s="316"/>
      <c r="QQV82" s="316"/>
      <c r="QQW82" s="316"/>
      <c r="QQX82" s="316"/>
      <c r="QQY82" s="316"/>
      <c r="QQZ82" s="316"/>
      <c r="QRA82" s="316"/>
      <c r="QRB82" s="316"/>
      <c r="QRC82" s="316"/>
      <c r="QRD82" s="316"/>
      <c r="QRE82" s="316"/>
      <c r="QRF82" s="316"/>
      <c r="QRG82" s="316"/>
      <c r="QRH82" s="316"/>
      <c r="QRI82" s="316"/>
      <c r="QRJ82" s="316"/>
      <c r="QRK82" s="316"/>
      <c r="QRL82" s="316"/>
      <c r="QRM82" s="316"/>
      <c r="QRN82" s="316"/>
      <c r="QRO82" s="316"/>
      <c r="QRP82" s="316"/>
      <c r="QRQ82" s="316"/>
      <c r="QRR82" s="316"/>
      <c r="QRS82" s="316"/>
      <c r="QRT82" s="316"/>
      <c r="QRU82" s="316"/>
      <c r="QRV82" s="316"/>
      <c r="QRW82" s="316"/>
      <c r="QRX82" s="316"/>
      <c r="QRY82" s="316"/>
      <c r="QRZ82" s="316"/>
      <c r="QSA82" s="316"/>
      <c r="QSB82" s="316"/>
      <c r="QSC82" s="316"/>
      <c r="QSD82" s="316"/>
      <c r="QSE82" s="316"/>
      <c r="QSF82" s="316"/>
      <c r="QSG82" s="316"/>
      <c r="QSH82" s="316"/>
      <c r="QSI82" s="316"/>
      <c r="QSJ82" s="316"/>
      <c r="QSK82" s="316"/>
      <c r="QSL82" s="316"/>
      <c r="QSM82" s="316"/>
      <c r="QSN82" s="316"/>
      <c r="QSO82" s="316"/>
      <c r="QSP82" s="316"/>
      <c r="QSQ82" s="316"/>
      <c r="QSR82" s="316"/>
      <c r="QSS82" s="316"/>
      <c r="QST82" s="316"/>
      <c r="QSU82" s="316"/>
      <c r="QSV82" s="316"/>
      <c r="QSW82" s="316"/>
      <c r="QSX82" s="316"/>
      <c r="QSY82" s="316"/>
      <c r="QSZ82" s="316"/>
      <c r="QTA82" s="316"/>
      <c r="QTB82" s="316"/>
      <c r="QTC82" s="316"/>
      <c r="QTD82" s="316"/>
      <c r="QTE82" s="316"/>
      <c r="QTF82" s="316"/>
      <c r="QTG82" s="316"/>
      <c r="QTH82" s="316"/>
      <c r="QTI82" s="316"/>
      <c r="QTJ82" s="316"/>
      <c r="QTK82" s="316"/>
      <c r="QTL82" s="316"/>
      <c r="QTM82" s="316"/>
      <c r="QTN82" s="316"/>
      <c r="QTO82" s="316"/>
      <c r="QTP82" s="316"/>
      <c r="QTQ82" s="316"/>
      <c r="QTR82" s="316"/>
      <c r="QTS82" s="316"/>
      <c r="QTT82" s="316"/>
      <c r="QTU82" s="316"/>
      <c r="QTV82" s="316"/>
      <c r="QTW82" s="316"/>
      <c r="QTX82" s="316"/>
      <c r="QTY82" s="316"/>
      <c r="QTZ82" s="316"/>
      <c r="QUA82" s="316"/>
      <c r="QUB82" s="316"/>
      <c r="QUC82" s="316"/>
      <c r="QUD82" s="316"/>
      <c r="QUE82" s="316"/>
      <c r="QUF82" s="316"/>
      <c r="QUG82" s="316"/>
      <c r="QUH82" s="316"/>
      <c r="QUI82" s="316"/>
      <c r="QUJ82" s="316"/>
      <c r="QUK82" s="316"/>
      <c r="QUL82" s="316"/>
      <c r="QUM82" s="316"/>
      <c r="QUN82" s="316"/>
      <c r="QUO82" s="316"/>
      <c r="QUP82" s="316"/>
      <c r="QUQ82" s="316"/>
      <c r="QUR82" s="316"/>
      <c r="QUS82" s="316"/>
      <c r="QUT82" s="316"/>
      <c r="QUU82" s="316"/>
      <c r="QUV82" s="316"/>
      <c r="QUW82" s="316"/>
      <c r="QUX82" s="316"/>
      <c r="QUY82" s="316"/>
      <c r="QUZ82" s="316"/>
      <c r="QVA82" s="316"/>
      <c r="QVB82" s="316"/>
      <c r="QVC82" s="316"/>
      <c r="QVD82" s="316"/>
      <c r="QVE82" s="316"/>
      <c r="QVF82" s="316"/>
      <c r="QVG82" s="316"/>
      <c r="QVH82" s="316"/>
      <c r="QVI82" s="316"/>
      <c r="QVJ82" s="316"/>
      <c r="QVK82" s="316"/>
      <c r="QVL82" s="316"/>
      <c r="QVM82" s="316"/>
      <c r="QVN82" s="316"/>
      <c r="QVO82" s="316"/>
      <c r="QVP82" s="316"/>
      <c r="QVQ82" s="316"/>
      <c r="QVR82" s="316"/>
      <c r="QVS82" s="316"/>
      <c r="QVT82" s="316"/>
      <c r="QVU82" s="316"/>
      <c r="QVV82" s="316"/>
      <c r="QVW82" s="316"/>
      <c r="QVX82" s="316"/>
      <c r="QVY82" s="316"/>
      <c r="QVZ82" s="316"/>
      <c r="QWA82" s="316"/>
      <c r="QWB82" s="316"/>
      <c r="QWC82" s="316"/>
      <c r="QWD82" s="316"/>
      <c r="QWE82" s="316"/>
      <c r="QWF82" s="316"/>
      <c r="QWG82" s="316"/>
      <c r="QWH82" s="316"/>
      <c r="QWI82" s="316"/>
      <c r="QWJ82" s="316"/>
      <c r="QWK82" s="316"/>
      <c r="QWL82" s="316"/>
      <c r="QWM82" s="316"/>
      <c r="QWN82" s="316"/>
      <c r="QWO82" s="316"/>
      <c r="QWP82" s="316"/>
      <c r="QWQ82" s="316"/>
      <c r="QWR82" s="316"/>
      <c r="QWS82" s="316"/>
      <c r="QWT82" s="316"/>
      <c r="QWU82" s="316"/>
      <c r="QWV82" s="316"/>
      <c r="QWW82" s="316"/>
      <c r="QWX82" s="316"/>
      <c r="QWY82" s="316"/>
      <c r="QWZ82" s="316"/>
      <c r="QXA82" s="316"/>
      <c r="QXB82" s="316"/>
      <c r="QXC82" s="316"/>
      <c r="QXD82" s="316"/>
      <c r="QXE82" s="316"/>
      <c r="QXF82" s="316"/>
      <c r="QXG82" s="316"/>
      <c r="QXH82" s="316"/>
      <c r="QXI82" s="316"/>
      <c r="QXJ82" s="316"/>
      <c r="QXK82" s="316"/>
      <c r="QXL82" s="316"/>
      <c r="QXM82" s="316"/>
      <c r="QXN82" s="316"/>
      <c r="QXO82" s="316"/>
      <c r="QXP82" s="316"/>
      <c r="QXQ82" s="316"/>
      <c r="QXR82" s="316"/>
      <c r="QXS82" s="316"/>
      <c r="QXT82" s="316"/>
      <c r="QXU82" s="316"/>
      <c r="QXV82" s="316"/>
      <c r="QXW82" s="316"/>
      <c r="QXX82" s="316"/>
      <c r="QXY82" s="316"/>
      <c r="QXZ82" s="316"/>
      <c r="QYA82" s="316"/>
      <c r="QYB82" s="316"/>
      <c r="QYC82" s="316"/>
      <c r="QYD82" s="316"/>
      <c r="QYE82" s="316"/>
      <c r="QYF82" s="316"/>
      <c r="QYG82" s="316"/>
      <c r="QYH82" s="316"/>
      <c r="QYI82" s="316"/>
      <c r="QYJ82" s="316"/>
      <c r="QYK82" s="316"/>
      <c r="QYL82" s="316"/>
      <c r="QYM82" s="316"/>
      <c r="QYN82" s="316"/>
      <c r="QYO82" s="316"/>
      <c r="QYP82" s="316"/>
      <c r="QYQ82" s="316"/>
      <c r="QYR82" s="316"/>
      <c r="QYS82" s="316"/>
      <c r="QYT82" s="316"/>
      <c r="QYU82" s="316"/>
      <c r="QYV82" s="316"/>
      <c r="QYW82" s="316"/>
      <c r="QYX82" s="316"/>
      <c r="QYY82" s="316"/>
      <c r="QYZ82" s="316"/>
      <c r="QZA82" s="316"/>
      <c r="QZB82" s="316"/>
      <c r="QZC82" s="316"/>
      <c r="QZD82" s="316"/>
      <c r="QZE82" s="316"/>
      <c r="QZF82" s="316"/>
      <c r="QZG82" s="316"/>
      <c r="QZH82" s="316"/>
      <c r="QZI82" s="316"/>
      <c r="QZJ82" s="316"/>
      <c r="QZK82" s="316"/>
      <c r="QZL82" s="316"/>
      <c r="QZM82" s="316"/>
      <c r="QZN82" s="316"/>
      <c r="QZO82" s="316"/>
      <c r="QZP82" s="316"/>
      <c r="QZQ82" s="316"/>
      <c r="QZR82" s="316"/>
      <c r="QZS82" s="316"/>
      <c r="QZT82" s="316"/>
      <c r="QZU82" s="316"/>
      <c r="QZV82" s="316"/>
      <c r="QZW82" s="316"/>
      <c r="QZX82" s="316"/>
      <c r="QZY82" s="316"/>
      <c r="QZZ82" s="316"/>
      <c r="RAA82" s="316"/>
      <c r="RAB82" s="316"/>
      <c r="RAC82" s="316"/>
      <c r="RAD82" s="316"/>
      <c r="RAE82" s="316"/>
      <c r="RAF82" s="316"/>
      <c r="RAG82" s="316"/>
      <c r="RAH82" s="316"/>
      <c r="RAI82" s="316"/>
      <c r="RAJ82" s="316"/>
      <c r="RAK82" s="316"/>
      <c r="RAL82" s="316"/>
      <c r="RAM82" s="316"/>
      <c r="RAN82" s="316"/>
      <c r="RAO82" s="316"/>
      <c r="RAP82" s="316"/>
      <c r="RAQ82" s="316"/>
      <c r="RAR82" s="316"/>
      <c r="RAS82" s="316"/>
      <c r="RAT82" s="316"/>
      <c r="RAU82" s="316"/>
      <c r="RAV82" s="316"/>
      <c r="RAW82" s="316"/>
      <c r="RAX82" s="316"/>
      <c r="RAY82" s="316"/>
      <c r="RAZ82" s="316"/>
      <c r="RBA82" s="316"/>
      <c r="RBB82" s="316"/>
      <c r="RBC82" s="316"/>
      <c r="RBD82" s="316"/>
      <c r="RBE82" s="316"/>
      <c r="RBF82" s="316"/>
      <c r="RBG82" s="316"/>
      <c r="RBH82" s="316"/>
      <c r="RBI82" s="316"/>
      <c r="RBJ82" s="316"/>
      <c r="RBK82" s="316"/>
      <c r="RBL82" s="316"/>
      <c r="RBM82" s="316"/>
      <c r="RBN82" s="316"/>
      <c r="RBO82" s="316"/>
      <c r="RBP82" s="316"/>
      <c r="RBQ82" s="316"/>
      <c r="RBR82" s="316"/>
      <c r="RBS82" s="316"/>
      <c r="RBT82" s="316"/>
      <c r="RBU82" s="316"/>
      <c r="RBV82" s="316"/>
      <c r="RBW82" s="316"/>
      <c r="RBX82" s="316"/>
      <c r="RBY82" s="316"/>
      <c r="RBZ82" s="316"/>
      <c r="RCA82" s="316"/>
      <c r="RCB82" s="316"/>
      <c r="RCC82" s="316"/>
      <c r="RCD82" s="316"/>
      <c r="RCE82" s="316"/>
      <c r="RCF82" s="316"/>
      <c r="RCG82" s="316"/>
      <c r="RCH82" s="316"/>
      <c r="RCI82" s="316"/>
      <c r="RCJ82" s="316"/>
      <c r="RCK82" s="316"/>
      <c r="RCL82" s="316"/>
      <c r="RCM82" s="316"/>
      <c r="RCN82" s="316"/>
      <c r="RCO82" s="316"/>
      <c r="RCP82" s="316"/>
      <c r="RCQ82" s="316"/>
      <c r="RCR82" s="316"/>
      <c r="RCS82" s="316"/>
      <c r="RCT82" s="316"/>
      <c r="RCU82" s="316"/>
      <c r="RCV82" s="316"/>
      <c r="RCW82" s="316"/>
      <c r="RCX82" s="316"/>
      <c r="RCY82" s="316"/>
      <c r="RCZ82" s="316"/>
      <c r="RDA82" s="316"/>
      <c r="RDB82" s="316"/>
      <c r="RDC82" s="316"/>
      <c r="RDD82" s="316"/>
      <c r="RDE82" s="316"/>
      <c r="RDF82" s="316"/>
      <c r="RDG82" s="316"/>
      <c r="RDH82" s="316"/>
      <c r="RDI82" s="316"/>
      <c r="RDJ82" s="316"/>
      <c r="RDK82" s="316"/>
      <c r="RDL82" s="316"/>
      <c r="RDM82" s="316"/>
      <c r="RDN82" s="316"/>
      <c r="RDO82" s="316"/>
      <c r="RDP82" s="316"/>
      <c r="RDQ82" s="316"/>
      <c r="RDR82" s="316"/>
      <c r="RDS82" s="316"/>
      <c r="RDT82" s="316"/>
      <c r="RDU82" s="316"/>
      <c r="RDV82" s="316"/>
      <c r="RDW82" s="316"/>
      <c r="RDX82" s="316"/>
      <c r="RDY82" s="316"/>
      <c r="RDZ82" s="316"/>
      <c r="REA82" s="316"/>
      <c r="REB82" s="316"/>
      <c r="REC82" s="316"/>
      <c r="RED82" s="316"/>
      <c r="REE82" s="316"/>
      <c r="REF82" s="316"/>
      <c r="REG82" s="316"/>
      <c r="REH82" s="316"/>
      <c r="REI82" s="316"/>
      <c r="REJ82" s="316"/>
      <c r="REK82" s="316"/>
      <c r="REL82" s="316"/>
      <c r="REM82" s="316"/>
      <c r="REN82" s="316"/>
      <c r="REO82" s="316"/>
      <c r="REP82" s="316"/>
      <c r="REQ82" s="316"/>
      <c r="RER82" s="316"/>
      <c r="RES82" s="316"/>
      <c r="RET82" s="316"/>
      <c r="REU82" s="316"/>
      <c r="REV82" s="316"/>
      <c r="REW82" s="316"/>
      <c r="REX82" s="316"/>
      <c r="REY82" s="316"/>
      <c r="REZ82" s="316"/>
      <c r="RFA82" s="316"/>
      <c r="RFB82" s="316"/>
      <c r="RFC82" s="316"/>
      <c r="RFD82" s="316"/>
      <c r="RFE82" s="316"/>
      <c r="RFF82" s="316"/>
      <c r="RFG82" s="316"/>
      <c r="RFH82" s="316"/>
      <c r="RFI82" s="316"/>
      <c r="RFJ82" s="316"/>
      <c r="RFK82" s="316"/>
      <c r="RFL82" s="316"/>
      <c r="RFM82" s="316"/>
      <c r="RFN82" s="316"/>
      <c r="RFO82" s="316"/>
      <c r="RFP82" s="316"/>
      <c r="RFQ82" s="316"/>
      <c r="RFR82" s="316"/>
      <c r="RFS82" s="316"/>
      <c r="RFT82" s="316"/>
      <c r="RFU82" s="316"/>
      <c r="RFV82" s="316"/>
      <c r="RFW82" s="316"/>
      <c r="RFX82" s="316"/>
      <c r="RFY82" s="316"/>
      <c r="RFZ82" s="316"/>
      <c r="RGA82" s="316"/>
      <c r="RGB82" s="316"/>
      <c r="RGC82" s="316"/>
      <c r="RGD82" s="316"/>
      <c r="RGE82" s="316"/>
      <c r="RGF82" s="316"/>
      <c r="RGG82" s="316"/>
      <c r="RGH82" s="316"/>
      <c r="RGI82" s="316"/>
      <c r="RGJ82" s="316"/>
      <c r="RGK82" s="316"/>
      <c r="RGL82" s="316"/>
      <c r="RGM82" s="316"/>
      <c r="RGN82" s="316"/>
      <c r="RGO82" s="316"/>
      <c r="RGP82" s="316"/>
      <c r="RGQ82" s="316"/>
      <c r="RGR82" s="316"/>
      <c r="RGS82" s="316"/>
      <c r="RGT82" s="316"/>
      <c r="RGU82" s="316"/>
      <c r="RGV82" s="316"/>
      <c r="RGW82" s="316"/>
      <c r="RGX82" s="316"/>
      <c r="RGY82" s="316"/>
      <c r="RGZ82" s="316"/>
      <c r="RHA82" s="316"/>
      <c r="RHB82" s="316"/>
      <c r="RHC82" s="316"/>
      <c r="RHD82" s="316"/>
      <c r="RHE82" s="316"/>
      <c r="RHF82" s="316"/>
      <c r="RHG82" s="316"/>
      <c r="RHH82" s="316"/>
      <c r="RHI82" s="316"/>
      <c r="RHJ82" s="316"/>
      <c r="RHK82" s="316"/>
      <c r="RHL82" s="316"/>
      <c r="RHM82" s="316"/>
      <c r="RHN82" s="316"/>
      <c r="RHO82" s="316"/>
      <c r="RHP82" s="316"/>
      <c r="RHQ82" s="316"/>
      <c r="RHR82" s="316"/>
      <c r="RHS82" s="316"/>
      <c r="RHT82" s="316"/>
      <c r="RHU82" s="316"/>
      <c r="RHV82" s="316"/>
      <c r="RHW82" s="316"/>
      <c r="RHX82" s="316"/>
      <c r="RHY82" s="316"/>
      <c r="RHZ82" s="316"/>
      <c r="RIA82" s="316"/>
      <c r="RIB82" s="316"/>
      <c r="RIC82" s="316"/>
      <c r="RID82" s="316"/>
      <c r="RIE82" s="316"/>
      <c r="RIF82" s="316"/>
      <c r="RIG82" s="316"/>
      <c r="RIH82" s="316"/>
      <c r="RII82" s="316"/>
      <c r="RIJ82" s="316"/>
      <c r="RIK82" s="316"/>
      <c r="RIL82" s="316"/>
      <c r="RIM82" s="316"/>
      <c r="RIN82" s="316"/>
      <c r="RIO82" s="316"/>
      <c r="RIP82" s="316"/>
      <c r="RIQ82" s="316"/>
      <c r="RIR82" s="316"/>
      <c r="RIS82" s="316"/>
      <c r="RIT82" s="316"/>
      <c r="RIU82" s="316"/>
      <c r="RIV82" s="316"/>
      <c r="RIW82" s="316"/>
      <c r="RIX82" s="316"/>
      <c r="RIY82" s="316"/>
      <c r="RIZ82" s="316"/>
      <c r="RJA82" s="316"/>
      <c r="RJB82" s="316"/>
      <c r="RJC82" s="316"/>
      <c r="RJD82" s="316"/>
      <c r="RJE82" s="316"/>
      <c r="RJF82" s="316"/>
      <c r="RJG82" s="316"/>
      <c r="RJH82" s="316"/>
      <c r="RJI82" s="316"/>
      <c r="RJJ82" s="316"/>
      <c r="RJK82" s="316"/>
      <c r="RJL82" s="316"/>
      <c r="RJM82" s="316"/>
      <c r="RJN82" s="316"/>
      <c r="RJO82" s="316"/>
      <c r="RJP82" s="316"/>
      <c r="RJQ82" s="316"/>
      <c r="RJR82" s="316"/>
      <c r="RJS82" s="316"/>
      <c r="RJT82" s="316"/>
      <c r="RJU82" s="316"/>
      <c r="RJV82" s="316"/>
      <c r="RJW82" s="316"/>
      <c r="RJX82" s="316"/>
      <c r="RJY82" s="316"/>
      <c r="RJZ82" s="316"/>
      <c r="RKA82" s="316"/>
      <c r="RKB82" s="316"/>
      <c r="RKC82" s="316"/>
      <c r="RKD82" s="316"/>
      <c r="RKE82" s="316"/>
      <c r="RKF82" s="316"/>
      <c r="RKG82" s="316"/>
      <c r="RKH82" s="316"/>
      <c r="RKI82" s="316"/>
      <c r="RKJ82" s="316"/>
      <c r="RKK82" s="316"/>
      <c r="RKL82" s="316"/>
      <c r="RKM82" s="316"/>
      <c r="RKN82" s="316"/>
      <c r="RKO82" s="316"/>
      <c r="RKP82" s="316"/>
      <c r="RKQ82" s="316"/>
      <c r="RKR82" s="316"/>
      <c r="RKS82" s="316"/>
      <c r="RKT82" s="316"/>
      <c r="RKU82" s="316"/>
      <c r="RKV82" s="316"/>
      <c r="RKW82" s="316"/>
      <c r="RKX82" s="316"/>
      <c r="RKY82" s="316"/>
      <c r="RKZ82" s="316"/>
      <c r="RLA82" s="316"/>
      <c r="RLB82" s="316"/>
      <c r="RLC82" s="316"/>
      <c r="RLD82" s="316"/>
      <c r="RLE82" s="316"/>
      <c r="RLF82" s="316"/>
      <c r="RLG82" s="316"/>
      <c r="RLH82" s="316"/>
      <c r="RLI82" s="316"/>
      <c r="RLJ82" s="316"/>
      <c r="RLK82" s="316"/>
      <c r="RLL82" s="316"/>
      <c r="RLM82" s="316"/>
      <c r="RLN82" s="316"/>
      <c r="RLO82" s="316"/>
      <c r="RLP82" s="316"/>
      <c r="RLQ82" s="316"/>
      <c r="RLR82" s="316"/>
      <c r="RLS82" s="316"/>
      <c r="RLT82" s="316"/>
      <c r="RLU82" s="316"/>
      <c r="RLV82" s="316"/>
      <c r="RLW82" s="316"/>
      <c r="RLX82" s="316"/>
      <c r="RLY82" s="316"/>
      <c r="RLZ82" s="316"/>
      <c r="RMA82" s="316"/>
      <c r="RMB82" s="316"/>
      <c r="RMC82" s="316"/>
      <c r="RMD82" s="316"/>
      <c r="RME82" s="316"/>
      <c r="RMF82" s="316"/>
      <c r="RMG82" s="316"/>
      <c r="RMH82" s="316"/>
      <c r="RMI82" s="316"/>
      <c r="RMJ82" s="316"/>
      <c r="RMK82" s="316"/>
      <c r="RML82" s="316"/>
      <c r="RMM82" s="316"/>
      <c r="RMN82" s="316"/>
      <c r="RMO82" s="316"/>
      <c r="RMP82" s="316"/>
      <c r="RMQ82" s="316"/>
      <c r="RMR82" s="316"/>
      <c r="RMS82" s="316"/>
      <c r="RMT82" s="316"/>
      <c r="RMU82" s="316"/>
      <c r="RMV82" s="316"/>
      <c r="RMW82" s="316"/>
      <c r="RMX82" s="316"/>
      <c r="RMY82" s="316"/>
      <c r="RMZ82" s="316"/>
      <c r="RNA82" s="316"/>
      <c r="RNB82" s="316"/>
      <c r="RNC82" s="316"/>
      <c r="RND82" s="316"/>
      <c r="RNE82" s="316"/>
      <c r="RNF82" s="316"/>
      <c r="RNG82" s="316"/>
      <c r="RNH82" s="316"/>
      <c r="RNI82" s="316"/>
      <c r="RNJ82" s="316"/>
      <c r="RNK82" s="316"/>
      <c r="RNL82" s="316"/>
      <c r="RNM82" s="316"/>
      <c r="RNN82" s="316"/>
      <c r="RNO82" s="316"/>
      <c r="RNP82" s="316"/>
      <c r="RNQ82" s="316"/>
      <c r="RNR82" s="316"/>
      <c r="RNS82" s="316"/>
      <c r="RNT82" s="316"/>
      <c r="RNU82" s="316"/>
      <c r="RNV82" s="316"/>
      <c r="RNW82" s="316"/>
      <c r="RNX82" s="316"/>
      <c r="RNY82" s="316"/>
      <c r="RNZ82" s="316"/>
      <c r="ROA82" s="316"/>
      <c r="ROB82" s="316"/>
      <c r="ROC82" s="316"/>
      <c r="ROD82" s="316"/>
      <c r="ROE82" s="316"/>
      <c r="ROF82" s="316"/>
      <c r="ROG82" s="316"/>
      <c r="ROH82" s="316"/>
      <c r="ROI82" s="316"/>
      <c r="ROJ82" s="316"/>
      <c r="ROK82" s="316"/>
      <c r="ROL82" s="316"/>
      <c r="ROM82" s="316"/>
      <c r="RON82" s="316"/>
      <c r="ROO82" s="316"/>
      <c r="ROP82" s="316"/>
      <c r="ROQ82" s="316"/>
      <c r="ROR82" s="316"/>
      <c r="ROS82" s="316"/>
      <c r="ROT82" s="316"/>
      <c r="ROU82" s="316"/>
      <c r="ROV82" s="316"/>
      <c r="ROW82" s="316"/>
      <c r="ROX82" s="316"/>
      <c r="ROY82" s="316"/>
      <c r="ROZ82" s="316"/>
      <c r="RPA82" s="316"/>
      <c r="RPB82" s="316"/>
      <c r="RPC82" s="316"/>
      <c r="RPD82" s="316"/>
      <c r="RPE82" s="316"/>
      <c r="RPF82" s="316"/>
      <c r="RPG82" s="316"/>
      <c r="RPH82" s="316"/>
      <c r="RPI82" s="316"/>
      <c r="RPJ82" s="316"/>
      <c r="RPK82" s="316"/>
      <c r="RPL82" s="316"/>
      <c r="RPM82" s="316"/>
      <c r="RPN82" s="316"/>
      <c r="RPO82" s="316"/>
      <c r="RPP82" s="316"/>
      <c r="RPQ82" s="316"/>
      <c r="RPR82" s="316"/>
      <c r="RPS82" s="316"/>
      <c r="RPT82" s="316"/>
      <c r="RPU82" s="316"/>
      <c r="RPV82" s="316"/>
      <c r="RPW82" s="316"/>
      <c r="RPX82" s="316"/>
      <c r="RPY82" s="316"/>
      <c r="RPZ82" s="316"/>
      <c r="RQA82" s="316"/>
      <c r="RQB82" s="316"/>
      <c r="RQC82" s="316"/>
      <c r="RQD82" s="316"/>
      <c r="RQE82" s="316"/>
      <c r="RQF82" s="316"/>
      <c r="RQG82" s="316"/>
      <c r="RQH82" s="316"/>
      <c r="RQI82" s="316"/>
      <c r="RQJ82" s="316"/>
      <c r="RQK82" s="316"/>
      <c r="RQL82" s="316"/>
      <c r="RQM82" s="316"/>
      <c r="RQN82" s="316"/>
      <c r="RQO82" s="316"/>
      <c r="RQP82" s="316"/>
      <c r="RQQ82" s="316"/>
      <c r="RQR82" s="316"/>
      <c r="RQS82" s="316"/>
      <c r="RQT82" s="316"/>
      <c r="RQU82" s="316"/>
      <c r="RQV82" s="316"/>
      <c r="RQW82" s="316"/>
      <c r="RQX82" s="316"/>
      <c r="RQY82" s="316"/>
      <c r="RQZ82" s="316"/>
      <c r="RRA82" s="316"/>
      <c r="RRB82" s="316"/>
      <c r="RRC82" s="316"/>
      <c r="RRD82" s="316"/>
      <c r="RRE82" s="316"/>
      <c r="RRF82" s="316"/>
      <c r="RRG82" s="316"/>
      <c r="RRH82" s="316"/>
      <c r="RRI82" s="316"/>
      <c r="RRJ82" s="316"/>
      <c r="RRK82" s="316"/>
      <c r="RRL82" s="316"/>
      <c r="RRM82" s="316"/>
      <c r="RRN82" s="316"/>
      <c r="RRO82" s="316"/>
      <c r="RRP82" s="316"/>
      <c r="RRQ82" s="316"/>
      <c r="RRR82" s="316"/>
      <c r="RRS82" s="316"/>
      <c r="RRT82" s="316"/>
      <c r="RRU82" s="316"/>
      <c r="RRV82" s="316"/>
      <c r="RRW82" s="316"/>
      <c r="RRX82" s="316"/>
      <c r="RRY82" s="316"/>
      <c r="RRZ82" s="316"/>
      <c r="RSA82" s="316"/>
      <c r="RSB82" s="316"/>
      <c r="RSC82" s="316"/>
      <c r="RSD82" s="316"/>
      <c r="RSE82" s="316"/>
      <c r="RSF82" s="316"/>
      <c r="RSG82" s="316"/>
      <c r="RSH82" s="316"/>
      <c r="RSI82" s="316"/>
      <c r="RSJ82" s="316"/>
      <c r="RSK82" s="316"/>
      <c r="RSL82" s="316"/>
      <c r="RSM82" s="316"/>
      <c r="RSN82" s="316"/>
      <c r="RSO82" s="316"/>
      <c r="RSP82" s="316"/>
      <c r="RSQ82" s="316"/>
      <c r="RSR82" s="316"/>
      <c r="RSS82" s="316"/>
      <c r="RST82" s="316"/>
      <c r="RSU82" s="316"/>
      <c r="RSV82" s="316"/>
      <c r="RSW82" s="316"/>
      <c r="RSX82" s="316"/>
      <c r="RSY82" s="316"/>
      <c r="RSZ82" s="316"/>
      <c r="RTA82" s="316"/>
      <c r="RTB82" s="316"/>
      <c r="RTC82" s="316"/>
      <c r="RTD82" s="316"/>
      <c r="RTE82" s="316"/>
      <c r="RTF82" s="316"/>
      <c r="RTG82" s="316"/>
      <c r="RTH82" s="316"/>
      <c r="RTI82" s="316"/>
      <c r="RTJ82" s="316"/>
      <c r="RTK82" s="316"/>
      <c r="RTL82" s="316"/>
      <c r="RTM82" s="316"/>
      <c r="RTN82" s="316"/>
      <c r="RTO82" s="316"/>
      <c r="RTP82" s="316"/>
      <c r="RTQ82" s="316"/>
      <c r="RTR82" s="316"/>
      <c r="RTS82" s="316"/>
      <c r="RTT82" s="316"/>
      <c r="RTU82" s="316"/>
      <c r="RTV82" s="316"/>
      <c r="RTW82" s="316"/>
      <c r="RTX82" s="316"/>
      <c r="RTY82" s="316"/>
      <c r="RTZ82" s="316"/>
      <c r="RUA82" s="316"/>
      <c r="RUB82" s="316"/>
      <c r="RUC82" s="316"/>
      <c r="RUD82" s="316"/>
      <c r="RUE82" s="316"/>
      <c r="RUF82" s="316"/>
      <c r="RUG82" s="316"/>
      <c r="RUH82" s="316"/>
      <c r="RUI82" s="316"/>
      <c r="RUJ82" s="316"/>
      <c r="RUK82" s="316"/>
      <c r="RUL82" s="316"/>
      <c r="RUM82" s="316"/>
      <c r="RUN82" s="316"/>
      <c r="RUO82" s="316"/>
      <c r="RUP82" s="316"/>
      <c r="RUQ82" s="316"/>
      <c r="RUR82" s="316"/>
      <c r="RUS82" s="316"/>
      <c r="RUT82" s="316"/>
      <c r="RUU82" s="316"/>
      <c r="RUV82" s="316"/>
      <c r="RUW82" s="316"/>
      <c r="RUX82" s="316"/>
      <c r="RUY82" s="316"/>
      <c r="RUZ82" s="316"/>
      <c r="RVA82" s="316"/>
      <c r="RVB82" s="316"/>
      <c r="RVC82" s="316"/>
      <c r="RVD82" s="316"/>
      <c r="RVE82" s="316"/>
      <c r="RVF82" s="316"/>
      <c r="RVG82" s="316"/>
      <c r="RVH82" s="316"/>
      <c r="RVI82" s="316"/>
      <c r="RVJ82" s="316"/>
      <c r="RVK82" s="316"/>
      <c r="RVL82" s="316"/>
      <c r="RVM82" s="316"/>
      <c r="RVN82" s="316"/>
      <c r="RVO82" s="316"/>
      <c r="RVP82" s="316"/>
      <c r="RVQ82" s="316"/>
      <c r="RVR82" s="316"/>
      <c r="RVS82" s="316"/>
      <c r="RVT82" s="316"/>
      <c r="RVU82" s="316"/>
      <c r="RVV82" s="316"/>
      <c r="RVW82" s="316"/>
      <c r="RVX82" s="316"/>
      <c r="RVY82" s="316"/>
      <c r="RVZ82" s="316"/>
      <c r="RWA82" s="316"/>
      <c r="RWB82" s="316"/>
      <c r="RWC82" s="316"/>
      <c r="RWD82" s="316"/>
      <c r="RWE82" s="316"/>
      <c r="RWF82" s="316"/>
      <c r="RWG82" s="316"/>
      <c r="RWH82" s="316"/>
      <c r="RWI82" s="316"/>
      <c r="RWJ82" s="316"/>
      <c r="RWK82" s="316"/>
      <c r="RWL82" s="316"/>
      <c r="RWM82" s="316"/>
      <c r="RWN82" s="316"/>
      <c r="RWO82" s="316"/>
      <c r="RWP82" s="316"/>
      <c r="RWQ82" s="316"/>
      <c r="RWR82" s="316"/>
      <c r="RWS82" s="316"/>
      <c r="RWT82" s="316"/>
      <c r="RWU82" s="316"/>
      <c r="RWV82" s="316"/>
      <c r="RWW82" s="316"/>
      <c r="RWX82" s="316"/>
      <c r="RWY82" s="316"/>
      <c r="RWZ82" s="316"/>
      <c r="RXA82" s="316"/>
      <c r="RXB82" s="316"/>
      <c r="RXC82" s="316"/>
      <c r="RXD82" s="316"/>
      <c r="RXE82" s="316"/>
      <c r="RXF82" s="316"/>
      <c r="RXG82" s="316"/>
      <c r="RXH82" s="316"/>
      <c r="RXI82" s="316"/>
      <c r="RXJ82" s="316"/>
      <c r="RXK82" s="316"/>
      <c r="RXL82" s="316"/>
      <c r="RXM82" s="316"/>
      <c r="RXN82" s="316"/>
      <c r="RXO82" s="316"/>
      <c r="RXP82" s="316"/>
      <c r="RXQ82" s="316"/>
      <c r="RXR82" s="316"/>
      <c r="RXS82" s="316"/>
      <c r="RXT82" s="316"/>
      <c r="RXU82" s="316"/>
      <c r="RXV82" s="316"/>
      <c r="RXW82" s="316"/>
      <c r="RXX82" s="316"/>
      <c r="RXY82" s="316"/>
      <c r="RXZ82" s="316"/>
      <c r="RYA82" s="316"/>
      <c r="RYB82" s="316"/>
      <c r="RYC82" s="316"/>
      <c r="RYD82" s="316"/>
      <c r="RYE82" s="316"/>
      <c r="RYF82" s="316"/>
      <c r="RYG82" s="316"/>
      <c r="RYH82" s="316"/>
      <c r="RYI82" s="316"/>
      <c r="RYJ82" s="316"/>
      <c r="RYK82" s="316"/>
      <c r="RYL82" s="316"/>
      <c r="RYM82" s="316"/>
      <c r="RYN82" s="316"/>
      <c r="RYO82" s="316"/>
      <c r="RYP82" s="316"/>
      <c r="RYQ82" s="316"/>
      <c r="RYR82" s="316"/>
      <c r="RYS82" s="316"/>
      <c r="RYT82" s="316"/>
      <c r="RYU82" s="316"/>
      <c r="RYV82" s="316"/>
      <c r="RYW82" s="316"/>
      <c r="RYX82" s="316"/>
      <c r="RYY82" s="316"/>
      <c r="RYZ82" s="316"/>
      <c r="RZA82" s="316"/>
      <c r="RZB82" s="316"/>
      <c r="RZC82" s="316"/>
      <c r="RZD82" s="316"/>
      <c r="RZE82" s="316"/>
      <c r="RZF82" s="316"/>
      <c r="RZG82" s="316"/>
      <c r="RZH82" s="316"/>
      <c r="RZI82" s="316"/>
      <c r="RZJ82" s="316"/>
      <c r="RZK82" s="316"/>
      <c r="RZL82" s="316"/>
      <c r="RZM82" s="316"/>
      <c r="RZN82" s="316"/>
      <c r="RZO82" s="316"/>
      <c r="RZP82" s="316"/>
      <c r="RZQ82" s="316"/>
      <c r="RZR82" s="316"/>
      <c r="RZS82" s="316"/>
      <c r="RZT82" s="316"/>
      <c r="RZU82" s="316"/>
      <c r="RZV82" s="316"/>
      <c r="RZW82" s="316"/>
      <c r="RZX82" s="316"/>
      <c r="RZY82" s="316"/>
      <c r="RZZ82" s="316"/>
      <c r="SAA82" s="316"/>
      <c r="SAB82" s="316"/>
      <c r="SAC82" s="316"/>
      <c r="SAD82" s="316"/>
      <c r="SAE82" s="316"/>
      <c r="SAF82" s="316"/>
      <c r="SAG82" s="316"/>
      <c r="SAH82" s="316"/>
      <c r="SAI82" s="316"/>
      <c r="SAJ82" s="316"/>
      <c r="SAK82" s="316"/>
      <c r="SAL82" s="316"/>
      <c r="SAM82" s="316"/>
      <c r="SAN82" s="316"/>
      <c r="SAO82" s="316"/>
      <c r="SAP82" s="316"/>
      <c r="SAQ82" s="316"/>
      <c r="SAR82" s="316"/>
      <c r="SAS82" s="316"/>
      <c r="SAT82" s="316"/>
      <c r="SAU82" s="316"/>
      <c r="SAV82" s="316"/>
      <c r="SAW82" s="316"/>
      <c r="SAX82" s="316"/>
      <c r="SAY82" s="316"/>
      <c r="SAZ82" s="316"/>
      <c r="SBA82" s="316"/>
      <c r="SBB82" s="316"/>
      <c r="SBC82" s="316"/>
      <c r="SBD82" s="316"/>
      <c r="SBE82" s="316"/>
      <c r="SBF82" s="316"/>
      <c r="SBG82" s="316"/>
      <c r="SBH82" s="316"/>
      <c r="SBI82" s="316"/>
      <c r="SBJ82" s="316"/>
      <c r="SBK82" s="316"/>
      <c r="SBL82" s="316"/>
      <c r="SBM82" s="316"/>
      <c r="SBN82" s="316"/>
      <c r="SBO82" s="316"/>
      <c r="SBP82" s="316"/>
      <c r="SBQ82" s="316"/>
      <c r="SBR82" s="316"/>
      <c r="SBS82" s="316"/>
      <c r="SBT82" s="316"/>
      <c r="SBU82" s="316"/>
      <c r="SBV82" s="316"/>
      <c r="SBW82" s="316"/>
      <c r="SBX82" s="316"/>
      <c r="SBY82" s="316"/>
      <c r="SBZ82" s="316"/>
      <c r="SCA82" s="316"/>
      <c r="SCB82" s="316"/>
      <c r="SCC82" s="316"/>
      <c r="SCD82" s="316"/>
      <c r="SCE82" s="316"/>
      <c r="SCF82" s="316"/>
      <c r="SCG82" s="316"/>
      <c r="SCH82" s="316"/>
      <c r="SCI82" s="316"/>
      <c r="SCJ82" s="316"/>
      <c r="SCK82" s="316"/>
      <c r="SCL82" s="316"/>
      <c r="SCM82" s="316"/>
      <c r="SCN82" s="316"/>
      <c r="SCO82" s="316"/>
      <c r="SCP82" s="316"/>
      <c r="SCQ82" s="316"/>
      <c r="SCR82" s="316"/>
      <c r="SCS82" s="316"/>
      <c r="SCT82" s="316"/>
      <c r="SCU82" s="316"/>
      <c r="SCV82" s="316"/>
      <c r="SCW82" s="316"/>
      <c r="SCX82" s="316"/>
      <c r="SCY82" s="316"/>
      <c r="SCZ82" s="316"/>
      <c r="SDA82" s="316"/>
      <c r="SDB82" s="316"/>
      <c r="SDC82" s="316"/>
      <c r="SDD82" s="316"/>
      <c r="SDE82" s="316"/>
      <c r="SDF82" s="316"/>
      <c r="SDG82" s="316"/>
      <c r="SDH82" s="316"/>
      <c r="SDI82" s="316"/>
      <c r="SDJ82" s="316"/>
      <c r="SDK82" s="316"/>
      <c r="SDL82" s="316"/>
      <c r="SDM82" s="316"/>
      <c r="SDN82" s="316"/>
      <c r="SDO82" s="316"/>
      <c r="SDP82" s="316"/>
      <c r="SDQ82" s="316"/>
      <c r="SDR82" s="316"/>
      <c r="SDS82" s="316"/>
      <c r="SDT82" s="316"/>
      <c r="SDU82" s="316"/>
      <c r="SDV82" s="316"/>
      <c r="SDW82" s="316"/>
      <c r="SDX82" s="316"/>
      <c r="SDY82" s="316"/>
      <c r="SDZ82" s="316"/>
      <c r="SEA82" s="316"/>
      <c r="SEB82" s="316"/>
      <c r="SEC82" s="316"/>
      <c r="SED82" s="316"/>
      <c r="SEE82" s="316"/>
      <c r="SEF82" s="316"/>
      <c r="SEG82" s="316"/>
      <c r="SEH82" s="316"/>
      <c r="SEI82" s="316"/>
      <c r="SEJ82" s="316"/>
      <c r="SEK82" s="316"/>
      <c r="SEL82" s="316"/>
      <c r="SEM82" s="316"/>
      <c r="SEN82" s="316"/>
      <c r="SEO82" s="316"/>
      <c r="SEP82" s="316"/>
      <c r="SEQ82" s="316"/>
      <c r="SER82" s="316"/>
      <c r="SES82" s="316"/>
      <c r="SET82" s="316"/>
      <c r="SEU82" s="316"/>
      <c r="SEV82" s="316"/>
      <c r="SEW82" s="316"/>
      <c r="SEX82" s="316"/>
      <c r="SEY82" s="316"/>
      <c r="SEZ82" s="316"/>
      <c r="SFA82" s="316"/>
      <c r="SFB82" s="316"/>
      <c r="SFC82" s="316"/>
      <c r="SFD82" s="316"/>
      <c r="SFE82" s="316"/>
      <c r="SFF82" s="316"/>
      <c r="SFG82" s="316"/>
      <c r="SFH82" s="316"/>
      <c r="SFI82" s="316"/>
      <c r="SFJ82" s="316"/>
      <c r="SFK82" s="316"/>
      <c r="SFL82" s="316"/>
      <c r="SFM82" s="316"/>
      <c r="SFN82" s="316"/>
      <c r="SFO82" s="316"/>
      <c r="SFP82" s="316"/>
      <c r="SFQ82" s="316"/>
      <c r="SFR82" s="316"/>
      <c r="SFS82" s="316"/>
      <c r="SFT82" s="316"/>
      <c r="SFU82" s="316"/>
      <c r="SFV82" s="316"/>
      <c r="SFW82" s="316"/>
      <c r="SFX82" s="316"/>
      <c r="SFY82" s="316"/>
      <c r="SFZ82" s="316"/>
      <c r="SGA82" s="316"/>
      <c r="SGB82" s="316"/>
      <c r="SGC82" s="316"/>
      <c r="SGD82" s="316"/>
      <c r="SGE82" s="316"/>
      <c r="SGF82" s="316"/>
      <c r="SGG82" s="316"/>
      <c r="SGH82" s="316"/>
      <c r="SGI82" s="316"/>
      <c r="SGJ82" s="316"/>
      <c r="SGK82" s="316"/>
      <c r="SGL82" s="316"/>
      <c r="SGM82" s="316"/>
      <c r="SGN82" s="316"/>
      <c r="SGO82" s="316"/>
      <c r="SGP82" s="316"/>
      <c r="SGQ82" s="316"/>
      <c r="SGR82" s="316"/>
      <c r="SGS82" s="316"/>
      <c r="SGT82" s="316"/>
      <c r="SGU82" s="316"/>
      <c r="SGV82" s="316"/>
      <c r="SGW82" s="316"/>
      <c r="SGX82" s="316"/>
      <c r="SGY82" s="316"/>
      <c r="SGZ82" s="316"/>
      <c r="SHA82" s="316"/>
      <c r="SHB82" s="316"/>
      <c r="SHC82" s="316"/>
      <c r="SHD82" s="316"/>
      <c r="SHE82" s="316"/>
      <c r="SHF82" s="316"/>
      <c r="SHG82" s="316"/>
      <c r="SHH82" s="316"/>
      <c r="SHI82" s="316"/>
      <c r="SHJ82" s="316"/>
      <c r="SHK82" s="316"/>
      <c r="SHL82" s="316"/>
      <c r="SHM82" s="316"/>
      <c r="SHN82" s="316"/>
      <c r="SHO82" s="316"/>
      <c r="SHP82" s="316"/>
      <c r="SHQ82" s="316"/>
      <c r="SHR82" s="316"/>
      <c r="SHS82" s="316"/>
      <c r="SHT82" s="316"/>
      <c r="SHU82" s="316"/>
      <c r="SHV82" s="316"/>
      <c r="SHW82" s="316"/>
      <c r="SHX82" s="316"/>
      <c r="SHY82" s="316"/>
      <c r="SHZ82" s="316"/>
      <c r="SIA82" s="316"/>
      <c r="SIB82" s="316"/>
      <c r="SIC82" s="316"/>
      <c r="SID82" s="316"/>
      <c r="SIE82" s="316"/>
      <c r="SIF82" s="316"/>
      <c r="SIG82" s="316"/>
      <c r="SIH82" s="316"/>
      <c r="SII82" s="316"/>
      <c r="SIJ82" s="316"/>
      <c r="SIK82" s="316"/>
      <c r="SIL82" s="316"/>
      <c r="SIM82" s="316"/>
      <c r="SIN82" s="316"/>
      <c r="SIO82" s="316"/>
      <c r="SIP82" s="316"/>
      <c r="SIQ82" s="316"/>
      <c r="SIR82" s="316"/>
      <c r="SIS82" s="316"/>
      <c r="SIT82" s="316"/>
      <c r="SIU82" s="316"/>
      <c r="SIV82" s="316"/>
      <c r="SIW82" s="316"/>
      <c r="SIX82" s="316"/>
      <c r="SIY82" s="316"/>
      <c r="SIZ82" s="316"/>
      <c r="SJA82" s="316"/>
      <c r="SJB82" s="316"/>
      <c r="SJC82" s="316"/>
      <c r="SJD82" s="316"/>
      <c r="SJE82" s="316"/>
      <c r="SJF82" s="316"/>
      <c r="SJG82" s="316"/>
      <c r="SJH82" s="316"/>
      <c r="SJI82" s="316"/>
      <c r="SJJ82" s="316"/>
      <c r="SJK82" s="316"/>
      <c r="SJL82" s="316"/>
      <c r="SJM82" s="316"/>
      <c r="SJN82" s="316"/>
      <c r="SJO82" s="316"/>
      <c r="SJP82" s="316"/>
      <c r="SJQ82" s="316"/>
      <c r="SJR82" s="316"/>
      <c r="SJS82" s="316"/>
      <c r="SJT82" s="316"/>
      <c r="SJU82" s="316"/>
      <c r="SJV82" s="316"/>
      <c r="SJW82" s="316"/>
      <c r="SJX82" s="316"/>
      <c r="SJY82" s="316"/>
      <c r="SJZ82" s="316"/>
      <c r="SKA82" s="316"/>
      <c r="SKB82" s="316"/>
      <c r="SKC82" s="316"/>
      <c r="SKD82" s="316"/>
      <c r="SKE82" s="316"/>
      <c r="SKF82" s="316"/>
      <c r="SKG82" s="316"/>
      <c r="SKH82" s="316"/>
      <c r="SKI82" s="316"/>
      <c r="SKJ82" s="316"/>
      <c r="SKK82" s="316"/>
      <c r="SKL82" s="316"/>
      <c r="SKM82" s="316"/>
      <c r="SKN82" s="316"/>
      <c r="SKO82" s="316"/>
      <c r="SKP82" s="316"/>
      <c r="SKQ82" s="316"/>
      <c r="SKR82" s="316"/>
      <c r="SKS82" s="316"/>
      <c r="SKT82" s="316"/>
      <c r="SKU82" s="316"/>
      <c r="SKV82" s="316"/>
      <c r="SKW82" s="316"/>
      <c r="SKX82" s="316"/>
      <c r="SKY82" s="316"/>
      <c r="SKZ82" s="316"/>
      <c r="SLA82" s="316"/>
      <c r="SLB82" s="316"/>
      <c r="SLC82" s="316"/>
      <c r="SLD82" s="316"/>
      <c r="SLE82" s="316"/>
      <c r="SLF82" s="316"/>
      <c r="SLG82" s="316"/>
      <c r="SLH82" s="316"/>
      <c r="SLI82" s="316"/>
      <c r="SLJ82" s="316"/>
      <c r="SLK82" s="316"/>
      <c r="SLL82" s="316"/>
      <c r="SLM82" s="316"/>
      <c r="SLN82" s="316"/>
      <c r="SLO82" s="316"/>
      <c r="SLP82" s="316"/>
      <c r="SLQ82" s="316"/>
      <c r="SLR82" s="316"/>
      <c r="SLS82" s="316"/>
      <c r="SLT82" s="316"/>
      <c r="SLU82" s="316"/>
      <c r="SLV82" s="316"/>
      <c r="SLW82" s="316"/>
      <c r="SLX82" s="316"/>
      <c r="SLY82" s="316"/>
      <c r="SLZ82" s="316"/>
      <c r="SMA82" s="316"/>
      <c r="SMB82" s="316"/>
      <c r="SMC82" s="316"/>
      <c r="SMD82" s="316"/>
      <c r="SME82" s="316"/>
      <c r="SMF82" s="316"/>
      <c r="SMG82" s="316"/>
      <c r="SMH82" s="316"/>
      <c r="SMI82" s="316"/>
      <c r="SMJ82" s="316"/>
      <c r="SMK82" s="316"/>
      <c r="SML82" s="316"/>
      <c r="SMM82" s="316"/>
      <c r="SMN82" s="316"/>
      <c r="SMO82" s="316"/>
      <c r="SMP82" s="316"/>
      <c r="SMQ82" s="316"/>
      <c r="SMR82" s="316"/>
      <c r="SMS82" s="316"/>
      <c r="SMT82" s="316"/>
      <c r="SMU82" s="316"/>
      <c r="SMV82" s="316"/>
      <c r="SMW82" s="316"/>
      <c r="SMX82" s="316"/>
      <c r="SMY82" s="316"/>
      <c r="SMZ82" s="316"/>
      <c r="SNA82" s="316"/>
      <c r="SNB82" s="316"/>
      <c r="SNC82" s="316"/>
      <c r="SND82" s="316"/>
      <c r="SNE82" s="316"/>
      <c r="SNF82" s="316"/>
      <c r="SNG82" s="316"/>
      <c r="SNH82" s="316"/>
      <c r="SNI82" s="316"/>
      <c r="SNJ82" s="316"/>
      <c r="SNK82" s="316"/>
      <c r="SNL82" s="316"/>
      <c r="SNM82" s="316"/>
      <c r="SNN82" s="316"/>
      <c r="SNO82" s="316"/>
      <c r="SNP82" s="316"/>
      <c r="SNQ82" s="316"/>
      <c r="SNR82" s="316"/>
      <c r="SNS82" s="316"/>
      <c r="SNT82" s="316"/>
      <c r="SNU82" s="316"/>
      <c r="SNV82" s="316"/>
      <c r="SNW82" s="316"/>
      <c r="SNX82" s="316"/>
      <c r="SNY82" s="316"/>
      <c r="SNZ82" s="316"/>
      <c r="SOA82" s="316"/>
      <c r="SOB82" s="316"/>
      <c r="SOC82" s="316"/>
      <c r="SOD82" s="316"/>
      <c r="SOE82" s="316"/>
      <c r="SOF82" s="316"/>
      <c r="SOG82" s="316"/>
      <c r="SOH82" s="316"/>
      <c r="SOI82" s="316"/>
      <c r="SOJ82" s="316"/>
      <c r="SOK82" s="316"/>
      <c r="SOL82" s="316"/>
      <c r="SOM82" s="316"/>
      <c r="SON82" s="316"/>
      <c r="SOO82" s="316"/>
      <c r="SOP82" s="316"/>
      <c r="SOQ82" s="316"/>
      <c r="SOR82" s="316"/>
      <c r="SOS82" s="316"/>
      <c r="SOT82" s="316"/>
      <c r="SOU82" s="316"/>
      <c r="SOV82" s="316"/>
      <c r="SOW82" s="316"/>
      <c r="SOX82" s="316"/>
      <c r="SOY82" s="316"/>
      <c r="SOZ82" s="316"/>
      <c r="SPA82" s="316"/>
      <c r="SPB82" s="316"/>
      <c r="SPC82" s="316"/>
      <c r="SPD82" s="316"/>
      <c r="SPE82" s="316"/>
      <c r="SPF82" s="316"/>
      <c r="SPG82" s="316"/>
      <c r="SPH82" s="316"/>
      <c r="SPI82" s="316"/>
      <c r="SPJ82" s="316"/>
      <c r="SPK82" s="316"/>
      <c r="SPL82" s="316"/>
      <c r="SPM82" s="316"/>
      <c r="SPN82" s="316"/>
      <c r="SPO82" s="316"/>
      <c r="SPP82" s="316"/>
      <c r="SPQ82" s="316"/>
      <c r="SPR82" s="316"/>
      <c r="SPS82" s="316"/>
      <c r="SPT82" s="316"/>
      <c r="SPU82" s="316"/>
      <c r="SPV82" s="316"/>
      <c r="SPW82" s="316"/>
      <c r="SPX82" s="316"/>
      <c r="SPY82" s="316"/>
      <c r="SPZ82" s="316"/>
      <c r="SQA82" s="316"/>
      <c r="SQB82" s="316"/>
      <c r="SQC82" s="316"/>
      <c r="SQD82" s="316"/>
      <c r="SQE82" s="316"/>
      <c r="SQF82" s="316"/>
      <c r="SQG82" s="316"/>
      <c r="SQH82" s="316"/>
      <c r="SQI82" s="316"/>
      <c r="SQJ82" s="316"/>
      <c r="SQK82" s="316"/>
      <c r="SQL82" s="316"/>
      <c r="SQM82" s="316"/>
      <c r="SQN82" s="316"/>
      <c r="SQO82" s="316"/>
      <c r="SQP82" s="316"/>
      <c r="SQQ82" s="316"/>
      <c r="SQR82" s="316"/>
      <c r="SQS82" s="316"/>
      <c r="SQT82" s="316"/>
      <c r="SQU82" s="316"/>
      <c r="SQV82" s="316"/>
      <c r="SQW82" s="316"/>
      <c r="SQX82" s="316"/>
      <c r="SQY82" s="316"/>
      <c r="SQZ82" s="316"/>
      <c r="SRA82" s="316"/>
      <c r="SRB82" s="316"/>
      <c r="SRC82" s="316"/>
      <c r="SRD82" s="316"/>
      <c r="SRE82" s="316"/>
      <c r="SRF82" s="316"/>
      <c r="SRG82" s="316"/>
      <c r="SRH82" s="316"/>
      <c r="SRI82" s="316"/>
      <c r="SRJ82" s="316"/>
      <c r="SRK82" s="316"/>
      <c r="SRL82" s="316"/>
      <c r="SRM82" s="316"/>
      <c r="SRN82" s="316"/>
      <c r="SRO82" s="316"/>
      <c r="SRP82" s="316"/>
      <c r="SRQ82" s="316"/>
      <c r="SRR82" s="316"/>
      <c r="SRS82" s="316"/>
      <c r="SRT82" s="316"/>
      <c r="SRU82" s="316"/>
      <c r="SRV82" s="316"/>
      <c r="SRW82" s="316"/>
      <c r="SRX82" s="316"/>
      <c r="SRY82" s="316"/>
      <c r="SRZ82" s="316"/>
      <c r="SSA82" s="316"/>
      <c r="SSB82" s="316"/>
      <c r="SSC82" s="316"/>
      <c r="SSD82" s="316"/>
      <c r="SSE82" s="316"/>
      <c r="SSF82" s="316"/>
      <c r="SSG82" s="316"/>
      <c r="SSH82" s="316"/>
      <c r="SSI82" s="316"/>
      <c r="SSJ82" s="316"/>
      <c r="SSK82" s="316"/>
      <c r="SSL82" s="316"/>
      <c r="SSM82" s="316"/>
      <c r="SSN82" s="316"/>
      <c r="SSO82" s="316"/>
      <c r="SSP82" s="316"/>
      <c r="SSQ82" s="316"/>
      <c r="SSR82" s="316"/>
      <c r="SSS82" s="316"/>
      <c r="SST82" s="316"/>
      <c r="SSU82" s="316"/>
      <c r="SSV82" s="316"/>
      <c r="SSW82" s="316"/>
      <c r="SSX82" s="316"/>
      <c r="SSY82" s="316"/>
      <c r="SSZ82" s="316"/>
      <c r="STA82" s="316"/>
      <c r="STB82" s="316"/>
      <c r="STC82" s="316"/>
      <c r="STD82" s="316"/>
      <c r="STE82" s="316"/>
      <c r="STF82" s="316"/>
      <c r="STG82" s="316"/>
      <c r="STH82" s="316"/>
      <c r="STI82" s="316"/>
      <c r="STJ82" s="316"/>
      <c r="STK82" s="316"/>
      <c r="STL82" s="316"/>
      <c r="STM82" s="316"/>
      <c r="STN82" s="316"/>
      <c r="STO82" s="316"/>
      <c r="STP82" s="316"/>
      <c r="STQ82" s="316"/>
      <c r="STR82" s="316"/>
      <c r="STS82" s="316"/>
      <c r="STT82" s="316"/>
      <c r="STU82" s="316"/>
      <c r="STV82" s="316"/>
      <c r="STW82" s="316"/>
      <c r="STX82" s="316"/>
      <c r="STY82" s="316"/>
      <c r="STZ82" s="316"/>
      <c r="SUA82" s="316"/>
      <c r="SUB82" s="316"/>
      <c r="SUC82" s="316"/>
      <c r="SUD82" s="316"/>
      <c r="SUE82" s="316"/>
      <c r="SUF82" s="316"/>
      <c r="SUG82" s="316"/>
      <c r="SUH82" s="316"/>
      <c r="SUI82" s="316"/>
      <c r="SUJ82" s="316"/>
      <c r="SUK82" s="316"/>
      <c r="SUL82" s="316"/>
      <c r="SUM82" s="316"/>
      <c r="SUN82" s="316"/>
      <c r="SUO82" s="316"/>
      <c r="SUP82" s="316"/>
      <c r="SUQ82" s="316"/>
      <c r="SUR82" s="316"/>
      <c r="SUS82" s="316"/>
      <c r="SUT82" s="316"/>
      <c r="SUU82" s="316"/>
      <c r="SUV82" s="316"/>
      <c r="SUW82" s="316"/>
      <c r="SUX82" s="316"/>
      <c r="SUY82" s="316"/>
      <c r="SUZ82" s="316"/>
      <c r="SVA82" s="316"/>
      <c r="SVB82" s="316"/>
      <c r="SVC82" s="316"/>
      <c r="SVD82" s="316"/>
      <c r="SVE82" s="316"/>
      <c r="SVF82" s="316"/>
      <c r="SVG82" s="316"/>
      <c r="SVH82" s="316"/>
      <c r="SVI82" s="316"/>
      <c r="SVJ82" s="316"/>
      <c r="SVK82" s="316"/>
      <c r="SVL82" s="316"/>
      <c r="SVM82" s="316"/>
      <c r="SVN82" s="316"/>
      <c r="SVO82" s="316"/>
      <c r="SVP82" s="316"/>
      <c r="SVQ82" s="316"/>
      <c r="SVR82" s="316"/>
      <c r="SVS82" s="316"/>
      <c r="SVT82" s="316"/>
      <c r="SVU82" s="316"/>
      <c r="SVV82" s="316"/>
      <c r="SVW82" s="316"/>
      <c r="SVX82" s="316"/>
      <c r="SVY82" s="316"/>
      <c r="SVZ82" s="316"/>
      <c r="SWA82" s="316"/>
      <c r="SWB82" s="316"/>
      <c r="SWC82" s="316"/>
      <c r="SWD82" s="316"/>
      <c r="SWE82" s="316"/>
      <c r="SWF82" s="316"/>
      <c r="SWG82" s="316"/>
      <c r="SWH82" s="316"/>
      <c r="SWI82" s="316"/>
      <c r="SWJ82" s="316"/>
      <c r="SWK82" s="316"/>
      <c r="SWL82" s="316"/>
      <c r="SWM82" s="316"/>
      <c r="SWN82" s="316"/>
      <c r="SWO82" s="316"/>
      <c r="SWP82" s="316"/>
      <c r="SWQ82" s="316"/>
      <c r="SWR82" s="316"/>
      <c r="SWS82" s="316"/>
      <c r="SWT82" s="316"/>
      <c r="SWU82" s="316"/>
      <c r="SWV82" s="316"/>
      <c r="SWW82" s="316"/>
      <c r="SWX82" s="316"/>
      <c r="SWY82" s="316"/>
      <c r="SWZ82" s="316"/>
      <c r="SXA82" s="316"/>
      <c r="SXB82" s="316"/>
      <c r="SXC82" s="316"/>
      <c r="SXD82" s="316"/>
      <c r="SXE82" s="316"/>
      <c r="SXF82" s="316"/>
      <c r="SXG82" s="316"/>
      <c r="SXH82" s="316"/>
      <c r="SXI82" s="316"/>
      <c r="SXJ82" s="316"/>
      <c r="SXK82" s="316"/>
      <c r="SXL82" s="316"/>
      <c r="SXM82" s="316"/>
      <c r="SXN82" s="316"/>
      <c r="SXO82" s="316"/>
      <c r="SXP82" s="316"/>
      <c r="SXQ82" s="316"/>
      <c r="SXR82" s="316"/>
      <c r="SXS82" s="316"/>
      <c r="SXT82" s="316"/>
      <c r="SXU82" s="316"/>
      <c r="SXV82" s="316"/>
      <c r="SXW82" s="316"/>
      <c r="SXX82" s="316"/>
      <c r="SXY82" s="316"/>
      <c r="SXZ82" s="316"/>
      <c r="SYA82" s="316"/>
      <c r="SYB82" s="316"/>
      <c r="SYC82" s="316"/>
      <c r="SYD82" s="316"/>
      <c r="SYE82" s="316"/>
      <c r="SYF82" s="316"/>
      <c r="SYG82" s="316"/>
      <c r="SYH82" s="316"/>
      <c r="SYI82" s="316"/>
      <c r="SYJ82" s="316"/>
      <c r="SYK82" s="316"/>
      <c r="SYL82" s="316"/>
      <c r="SYM82" s="316"/>
      <c r="SYN82" s="316"/>
      <c r="SYO82" s="316"/>
      <c r="SYP82" s="316"/>
      <c r="SYQ82" s="316"/>
      <c r="SYR82" s="316"/>
      <c r="SYS82" s="316"/>
      <c r="SYT82" s="316"/>
      <c r="SYU82" s="316"/>
      <c r="SYV82" s="316"/>
      <c r="SYW82" s="316"/>
      <c r="SYX82" s="316"/>
      <c r="SYY82" s="316"/>
      <c r="SYZ82" s="316"/>
      <c r="SZA82" s="316"/>
      <c r="SZB82" s="316"/>
      <c r="SZC82" s="316"/>
      <c r="SZD82" s="316"/>
      <c r="SZE82" s="316"/>
      <c r="SZF82" s="316"/>
      <c r="SZG82" s="316"/>
      <c r="SZH82" s="316"/>
      <c r="SZI82" s="316"/>
      <c r="SZJ82" s="316"/>
      <c r="SZK82" s="316"/>
      <c r="SZL82" s="316"/>
      <c r="SZM82" s="316"/>
      <c r="SZN82" s="316"/>
      <c r="SZO82" s="316"/>
      <c r="SZP82" s="316"/>
      <c r="SZQ82" s="316"/>
      <c r="SZR82" s="316"/>
      <c r="SZS82" s="316"/>
      <c r="SZT82" s="316"/>
      <c r="SZU82" s="316"/>
      <c r="SZV82" s="316"/>
      <c r="SZW82" s="316"/>
      <c r="SZX82" s="316"/>
      <c r="SZY82" s="316"/>
      <c r="SZZ82" s="316"/>
      <c r="TAA82" s="316"/>
      <c r="TAB82" s="316"/>
      <c r="TAC82" s="316"/>
      <c r="TAD82" s="316"/>
      <c r="TAE82" s="316"/>
      <c r="TAF82" s="316"/>
      <c r="TAG82" s="316"/>
      <c r="TAH82" s="316"/>
      <c r="TAI82" s="316"/>
      <c r="TAJ82" s="316"/>
      <c r="TAK82" s="316"/>
      <c r="TAL82" s="316"/>
      <c r="TAM82" s="316"/>
      <c r="TAN82" s="316"/>
      <c r="TAO82" s="316"/>
      <c r="TAP82" s="316"/>
      <c r="TAQ82" s="316"/>
      <c r="TAR82" s="316"/>
      <c r="TAS82" s="316"/>
      <c r="TAT82" s="316"/>
      <c r="TAU82" s="316"/>
      <c r="TAV82" s="316"/>
      <c r="TAW82" s="316"/>
      <c r="TAX82" s="316"/>
      <c r="TAY82" s="316"/>
      <c r="TAZ82" s="316"/>
      <c r="TBA82" s="316"/>
      <c r="TBB82" s="316"/>
      <c r="TBC82" s="316"/>
      <c r="TBD82" s="316"/>
      <c r="TBE82" s="316"/>
      <c r="TBF82" s="316"/>
      <c r="TBG82" s="316"/>
      <c r="TBH82" s="316"/>
      <c r="TBI82" s="316"/>
      <c r="TBJ82" s="316"/>
      <c r="TBK82" s="316"/>
      <c r="TBL82" s="316"/>
      <c r="TBM82" s="316"/>
      <c r="TBN82" s="316"/>
      <c r="TBO82" s="316"/>
      <c r="TBP82" s="316"/>
      <c r="TBQ82" s="316"/>
      <c r="TBR82" s="316"/>
      <c r="TBS82" s="316"/>
      <c r="TBT82" s="316"/>
      <c r="TBU82" s="316"/>
      <c r="TBV82" s="316"/>
      <c r="TBW82" s="316"/>
      <c r="TBX82" s="316"/>
      <c r="TBY82" s="316"/>
      <c r="TBZ82" s="316"/>
      <c r="TCA82" s="316"/>
      <c r="TCB82" s="316"/>
      <c r="TCC82" s="316"/>
      <c r="TCD82" s="316"/>
      <c r="TCE82" s="316"/>
      <c r="TCF82" s="316"/>
      <c r="TCG82" s="316"/>
      <c r="TCH82" s="316"/>
      <c r="TCI82" s="316"/>
      <c r="TCJ82" s="316"/>
      <c r="TCK82" s="316"/>
      <c r="TCL82" s="316"/>
      <c r="TCM82" s="316"/>
      <c r="TCN82" s="316"/>
      <c r="TCO82" s="316"/>
      <c r="TCP82" s="316"/>
      <c r="TCQ82" s="316"/>
      <c r="TCR82" s="316"/>
      <c r="TCS82" s="316"/>
      <c r="TCT82" s="316"/>
      <c r="TCU82" s="316"/>
      <c r="TCV82" s="316"/>
      <c r="TCW82" s="316"/>
      <c r="TCX82" s="316"/>
      <c r="TCY82" s="316"/>
      <c r="TCZ82" s="316"/>
      <c r="TDA82" s="316"/>
      <c r="TDB82" s="316"/>
      <c r="TDC82" s="316"/>
      <c r="TDD82" s="316"/>
      <c r="TDE82" s="316"/>
      <c r="TDF82" s="316"/>
      <c r="TDG82" s="316"/>
      <c r="TDH82" s="316"/>
      <c r="TDI82" s="316"/>
      <c r="TDJ82" s="316"/>
      <c r="TDK82" s="316"/>
      <c r="TDL82" s="316"/>
      <c r="TDM82" s="316"/>
      <c r="TDN82" s="316"/>
      <c r="TDO82" s="316"/>
      <c r="TDP82" s="316"/>
      <c r="TDQ82" s="316"/>
      <c r="TDR82" s="316"/>
      <c r="TDS82" s="316"/>
      <c r="TDT82" s="316"/>
      <c r="TDU82" s="316"/>
      <c r="TDV82" s="316"/>
      <c r="TDW82" s="316"/>
      <c r="TDX82" s="316"/>
      <c r="TDY82" s="316"/>
      <c r="TDZ82" s="316"/>
      <c r="TEA82" s="316"/>
      <c r="TEB82" s="316"/>
      <c r="TEC82" s="316"/>
      <c r="TED82" s="316"/>
      <c r="TEE82" s="316"/>
      <c r="TEF82" s="316"/>
      <c r="TEG82" s="316"/>
      <c r="TEH82" s="316"/>
      <c r="TEI82" s="316"/>
      <c r="TEJ82" s="316"/>
      <c r="TEK82" s="316"/>
      <c r="TEL82" s="316"/>
      <c r="TEM82" s="316"/>
      <c r="TEN82" s="316"/>
      <c r="TEO82" s="316"/>
      <c r="TEP82" s="316"/>
      <c r="TEQ82" s="316"/>
      <c r="TER82" s="316"/>
      <c r="TES82" s="316"/>
      <c r="TET82" s="316"/>
      <c r="TEU82" s="316"/>
      <c r="TEV82" s="316"/>
      <c r="TEW82" s="316"/>
      <c r="TEX82" s="316"/>
      <c r="TEY82" s="316"/>
      <c r="TEZ82" s="316"/>
      <c r="TFA82" s="316"/>
      <c r="TFB82" s="316"/>
      <c r="TFC82" s="316"/>
      <c r="TFD82" s="316"/>
      <c r="TFE82" s="316"/>
      <c r="TFF82" s="316"/>
      <c r="TFG82" s="316"/>
      <c r="TFH82" s="316"/>
      <c r="TFI82" s="316"/>
      <c r="TFJ82" s="316"/>
      <c r="TFK82" s="316"/>
      <c r="TFL82" s="316"/>
      <c r="TFM82" s="316"/>
      <c r="TFN82" s="316"/>
      <c r="TFO82" s="316"/>
      <c r="TFP82" s="316"/>
      <c r="TFQ82" s="316"/>
      <c r="TFR82" s="316"/>
      <c r="TFS82" s="316"/>
      <c r="TFT82" s="316"/>
      <c r="TFU82" s="316"/>
      <c r="TFV82" s="316"/>
      <c r="TFW82" s="316"/>
      <c r="TFX82" s="316"/>
      <c r="TFY82" s="316"/>
      <c r="TFZ82" s="316"/>
      <c r="TGA82" s="316"/>
      <c r="TGB82" s="316"/>
      <c r="TGC82" s="316"/>
      <c r="TGD82" s="316"/>
      <c r="TGE82" s="316"/>
      <c r="TGF82" s="316"/>
      <c r="TGG82" s="316"/>
      <c r="TGH82" s="316"/>
      <c r="TGI82" s="316"/>
      <c r="TGJ82" s="316"/>
      <c r="TGK82" s="316"/>
      <c r="TGL82" s="316"/>
      <c r="TGM82" s="316"/>
      <c r="TGN82" s="316"/>
      <c r="TGO82" s="316"/>
      <c r="TGP82" s="316"/>
      <c r="TGQ82" s="316"/>
      <c r="TGR82" s="316"/>
      <c r="TGS82" s="316"/>
      <c r="TGT82" s="316"/>
      <c r="TGU82" s="316"/>
      <c r="TGV82" s="316"/>
      <c r="TGW82" s="316"/>
      <c r="TGX82" s="316"/>
      <c r="TGY82" s="316"/>
      <c r="TGZ82" s="316"/>
      <c r="THA82" s="316"/>
      <c r="THB82" s="316"/>
      <c r="THC82" s="316"/>
      <c r="THD82" s="316"/>
      <c r="THE82" s="316"/>
      <c r="THF82" s="316"/>
      <c r="THG82" s="316"/>
      <c r="THH82" s="316"/>
      <c r="THI82" s="316"/>
      <c r="THJ82" s="316"/>
      <c r="THK82" s="316"/>
      <c r="THL82" s="316"/>
      <c r="THM82" s="316"/>
      <c r="THN82" s="316"/>
      <c r="THO82" s="316"/>
      <c r="THP82" s="316"/>
      <c r="THQ82" s="316"/>
      <c r="THR82" s="316"/>
      <c r="THS82" s="316"/>
      <c r="THT82" s="316"/>
      <c r="THU82" s="316"/>
      <c r="THV82" s="316"/>
      <c r="THW82" s="316"/>
      <c r="THX82" s="316"/>
      <c r="THY82" s="316"/>
      <c r="THZ82" s="316"/>
      <c r="TIA82" s="316"/>
      <c r="TIB82" s="316"/>
      <c r="TIC82" s="316"/>
      <c r="TID82" s="316"/>
      <c r="TIE82" s="316"/>
      <c r="TIF82" s="316"/>
      <c r="TIG82" s="316"/>
      <c r="TIH82" s="316"/>
      <c r="TII82" s="316"/>
      <c r="TIJ82" s="316"/>
      <c r="TIK82" s="316"/>
      <c r="TIL82" s="316"/>
      <c r="TIM82" s="316"/>
      <c r="TIN82" s="316"/>
      <c r="TIO82" s="316"/>
      <c r="TIP82" s="316"/>
      <c r="TIQ82" s="316"/>
      <c r="TIR82" s="316"/>
      <c r="TIS82" s="316"/>
      <c r="TIT82" s="316"/>
      <c r="TIU82" s="316"/>
      <c r="TIV82" s="316"/>
      <c r="TIW82" s="316"/>
      <c r="TIX82" s="316"/>
      <c r="TIY82" s="316"/>
      <c r="TIZ82" s="316"/>
      <c r="TJA82" s="316"/>
      <c r="TJB82" s="316"/>
      <c r="TJC82" s="316"/>
      <c r="TJD82" s="316"/>
      <c r="TJE82" s="316"/>
      <c r="TJF82" s="316"/>
      <c r="TJG82" s="316"/>
      <c r="TJH82" s="316"/>
      <c r="TJI82" s="316"/>
      <c r="TJJ82" s="316"/>
      <c r="TJK82" s="316"/>
      <c r="TJL82" s="316"/>
      <c r="TJM82" s="316"/>
      <c r="TJN82" s="316"/>
      <c r="TJO82" s="316"/>
      <c r="TJP82" s="316"/>
      <c r="TJQ82" s="316"/>
      <c r="TJR82" s="316"/>
      <c r="TJS82" s="316"/>
      <c r="TJT82" s="316"/>
      <c r="TJU82" s="316"/>
      <c r="TJV82" s="316"/>
      <c r="TJW82" s="316"/>
      <c r="TJX82" s="316"/>
      <c r="TJY82" s="316"/>
      <c r="TJZ82" s="316"/>
      <c r="TKA82" s="316"/>
      <c r="TKB82" s="316"/>
      <c r="TKC82" s="316"/>
      <c r="TKD82" s="316"/>
      <c r="TKE82" s="316"/>
      <c r="TKF82" s="316"/>
      <c r="TKG82" s="316"/>
      <c r="TKH82" s="316"/>
      <c r="TKI82" s="316"/>
      <c r="TKJ82" s="316"/>
      <c r="TKK82" s="316"/>
      <c r="TKL82" s="316"/>
      <c r="TKM82" s="316"/>
      <c r="TKN82" s="316"/>
      <c r="TKO82" s="316"/>
      <c r="TKP82" s="316"/>
      <c r="TKQ82" s="316"/>
      <c r="TKR82" s="316"/>
      <c r="TKS82" s="316"/>
      <c r="TKT82" s="316"/>
      <c r="TKU82" s="316"/>
      <c r="TKV82" s="316"/>
      <c r="TKW82" s="316"/>
      <c r="TKX82" s="316"/>
      <c r="TKY82" s="316"/>
      <c r="TKZ82" s="316"/>
      <c r="TLA82" s="316"/>
      <c r="TLB82" s="316"/>
      <c r="TLC82" s="316"/>
      <c r="TLD82" s="316"/>
      <c r="TLE82" s="316"/>
      <c r="TLF82" s="316"/>
      <c r="TLG82" s="316"/>
      <c r="TLH82" s="316"/>
      <c r="TLI82" s="316"/>
      <c r="TLJ82" s="316"/>
      <c r="TLK82" s="316"/>
      <c r="TLL82" s="316"/>
      <c r="TLM82" s="316"/>
      <c r="TLN82" s="316"/>
      <c r="TLO82" s="316"/>
      <c r="TLP82" s="316"/>
      <c r="TLQ82" s="316"/>
      <c r="TLR82" s="316"/>
      <c r="TLS82" s="316"/>
      <c r="TLT82" s="316"/>
      <c r="TLU82" s="316"/>
      <c r="TLV82" s="316"/>
      <c r="TLW82" s="316"/>
      <c r="TLX82" s="316"/>
      <c r="TLY82" s="316"/>
      <c r="TLZ82" s="316"/>
      <c r="TMA82" s="316"/>
      <c r="TMB82" s="316"/>
      <c r="TMC82" s="316"/>
      <c r="TMD82" s="316"/>
      <c r="TME82" s="316"/>
      <c r="TMF82" s="316"/>
      <c r="TMG82" s="316"/>
      <c r="TMH82" s="316"/>
      <c r="TMI82" s="316"/>
      <c r="TMJ82" s="316"/>
      <c r="TMK82" s="316"/>
      <c r="TML82" s="316"/>
      <c r="TMM82" s="316"/>
      <c r="TMN82" s="316"/>
      <c r="TMO82" s="316"/>
      <c r="TMP82" s="316"/>
      <c r="TMQ82" s="316"/>
      <c r="TMR82" s="316"/>
      <c r="TMS82" s="316"/>
      <c r="TMT82" s="316"/>
      <c r="TMU82" s="316"/>
      <c r="TMV82" s="316"/>
      <c r="TMW82" s="316"/>
      <c r="TMX82" s="316"/>
      <c r="TMY82" s="316"/>
      <c r="TMZ82" s="316"/>
      <c r="TNA82" s="316"/>
      <c r="TNB82" s="316"/>
      <c r="TNC82" s="316"/>
      <c r="TND82" s="316"/>
      <c r="TNE82" s="316"/>
      <c r="TNF82" s="316"/>
      <c r="TNG82" s="316"/>
      <c r="TNH82" s="316"/>
      <c r="TNI82" s="316"/>
      <c r="TNJ82" s="316"/>
      <c r="TNK82" s="316"/>
      <c r="TNL82" s="316"/>
      <c r="TNM82" s="316"/>
      <c r="TNN82" s="316"/>
      <c r="TNO82" s="316"/>
      <c r="TNP82" s="316"/>
      <c r="TNQ82" s="316"/>
      <c r="TNR82" s="316"/>
      <c r="TNS82" s="316"/>
      <c r="TNT82" s="316"/>
      <c r="TNU82" s="316"/>
      <c r="TNV82" s="316"/>
      <c r="TNW82" s="316"/>
      <c r="TNX82" s="316"/>
      <c r="TNY82" s="316"/>
      <c r="TNZ82" s="316"/>
      <c r="TOA82" s="316"/>
      <c r="TOB82" s="316"/>
      <c r="TOC82" s="316"/>
      <c r="TOD82" s="316"/>
      <c r="TOE82" s="316"/>
      <c r="TOF82" s="316"/>
      <c r="TOG82" s="316"/>
      <c r="TOH82" s="316"/>
      <c r="TOI82" s="316"/>
      <c r="TOJ82" s="316"/>
      <c r="TOK82" s="316"/>
      <c r="TOL82" s="316"/>
      <c r="TOM82" s="316"/>
      <c r="TON82" s="316"/>
      <c r="TOO82" s="316"/>
      <c r="TOP82" s="316"/>
      <c r="TOQ82" s="316"/>
      <c r="TOR82" s="316"/>
      <c r="TOS82" s="316"/>
      <c r="TOT82" s="316"/>
      <c r="TOU82" s="316"/>
      <c r="TOV82" s="316"/>
      <c r="TOW82" s="316"/>
      <c r="TOX82" s="316"/>
      <c r="TOY82" s="316"/>
      <c r="TOZ82" s="316"/>
      <c r="TPA82" s="316"/>
      <c r="TPB82" s="316"/>
      <c r="TPC82" s="316"/>
      <c r="TPD82" s="316"/>
      <c r="TPE82" s="316"/>
      <c r="TPF82" s="316"/>
      <c r="TPG82" s="316"/>
      <c r="TPH82" s="316"/>
      <c r="TPI82" s="316"/>
      <c r="TPJ82" s="316"/>
      <c r="TPK82" s="316"/>
      <c r="TPL82" s="316"/>
      <c r="TPM82" s="316"/>
      <c r="TPN82" s="316"/>
      <c r="TPO82" s="316"/>
      <c r="TPP82" s="316"/>
      <c r="TPQ82" s="316"/>
      <c r="TPR82" s="316"/>
      <c r="TPS82" s="316"/>
      <c r="TPT82" s="316"/>
      <c r="TPU82" s="316"/>
      <c r="TPV82" s="316"/>
      <c r="TPW82" s="316"/>
      <c r="TPX82" s="316"/>
      <c r="TPY82" s="316"/>
      <c r="TPZ82" s="316"/>
      <c r="TQA82" s="316"/>
      <c r="TQB82" s="316"/>
      <c r="TQC82" s="316"/>
      <c r="TQD82" s="316"/>
      <c r="TQE82" s="316"/>
      <c r="TQF82" s="316"/>
      <c r="TQG82" s="316"/>
      <c r="TQH82" s="316"/>
      <c r="TQI82" s="316"/>
      <c r="TQJ82" s="316"/>
      <c r="TQK82" s="316"/>
      <c r="TQL82" s="316"/>
      <c r="TQM82" s="316"/>
      <c r="TQN82" s="316"/>
      <c r="TQO82" s="316"/>
      <c r="TQP82" s="316"/>
      <c r="TQQ82" s="316"/>
      <c r="TQR82" s="316"/>
      <c r="TQS82" s="316"/>
      <c r="TQT82" s="316"/>
      <c r="TQU82" s="316"/>
      <c r="TQV82" s="316"/>
      <c r="TQW82" s="316"/>
      <c r="TQX82" s="316"/>
      <c r="TQY82" s="316"/>
      <c r="TQZ82" s="316"/>
      <c r="TRA82" s="316"/>
      <c r="TRB82" s="316"/>
      <c r="TRC82" s="316"/>
      <c r="TRD82" s="316"/>
      <c r="TRE82" s="316"/>
      <c r="TRF82" s="316"/>
      <c r="TRG82" s="316"/>
      <c r="TRH82" s="316"/>
      <c r="TRI82" s="316"/>
      <c r="TRJ82" s="316"/>
      <c r="TRK82" s="316"/>
      <c r="TRL82" s="316"/>
      <c r="TRM82" s="316"/>
      <c r="TRN82" s="316"/>
      <c r="TRO82" s="316"/>
      <c r="TRP82" s="316"/>
      <c r="TRQ82" s="316"/>
      <c r="TRR82" s="316"/>
      <c r="TRS82" s="316"/>
      <c r="TRT82" s="316"/>
      <c r="TRU82" s="316"/>
      <c r="TRV82" s="316"/>
      <c r="TRW82" s="316"/>
      <c r="TRX82" s="316"/>
      <c r="TRY82" s="316"/>
      <c r="TRZ82" s="316"/>
      <c r="TSA82" s="316"/>
      <c r="TSB82" s="316"/>
      <c r="TSC82" s="316"/>
      <c r="TSD82" s="316"/>
      <c r="TSE82" s="316"/>
      <c r="TSF82" s="316"/>
      <c r="TSG82" s="316"/>
      <c r="TSH82" s="316"/>
      <c r="TSI82" s="316"/>
      <c r="TSJ82" s="316"/>
      <c r="TSK82" s="316"/>
      <c r="TSL82" s="316"/>
      <c r="TSM82" s="316"/>
      <c r="TSN82" s="316"/>
      <c r="TSO82" s="316"/>
      <c r="TSP82" s="316"/>
      <c r="TSQ82" s="316"/>
      <c r="TSR82" s="316"/>
      <c r="TSS82" s="316"/>
      <c r="TST82" s="316"/>
      <c r="TSU82" s="316"/>
      <c r="TSV82" s="316"/>
      <c r="TSW82" s="316"/>
      <c r="TSX82" s="316"/>
      <c r="TSY82" s="316"/>
      <c r="TSZ82" s="316"/>
      <c r="TTA82" s="316"/>
      <c r="TTB82" s="316"/>
      <c r="TTC82" s="316"/>
      <c r="TTD82" s="316"/>
      <c r="TTE82" s="316"/>
      <c r="TTF82" s="316"/>
      <c r="TTG82" s="316"/>
      <c r="TTH82" s="316"/>
      <c r="TTI82" s="316"/>
      <c r="TTJ82" s="316"/>
      <c r="TTK82" s="316"/>
      <c r="TTL82" s="316"/>
      <c r="TTM82" s="316"/>
      <c r="TTN82" s="316"/>
      <c r="TTO82" s="316"/>
      <c r="TTP82" s="316"/>
      <c r="TTQ82" s="316"/>
      <c r="TTR82" s="316"/>
      <c r="TTS82" s="316"/>
      <c r="TTT82" s="316"/>
      <c r="TTU82" s="316"/>
      <c r="TTV82" s="316"/>
      <c r="TTW82" s="316"/>
      <c r="TTX82" s="316"/>
      <c r="TTY82" s="316"/>
      <c r="TTZ82" s="316"/>
      <c r="TUA82" s="316"/>
      <c r="TUB82" s="316"/>
      <c r="TUC82" s="316"/>
      <c r="TUD82" s="316"/>
      <c r="TUE82" s="316"/>
      <c r="TUF82" s="316"/>
      <c r="TUG82" s="316"/>
      <c r="TUH82" s="316"/>
      <c r="TUI82" s="316"/>
      <c r="TUJ82" s="316"/>
      <c r="TUK82" s="316"/>
      <c r="TUL82" s="316"/>
      <c r="TUM82" s="316"/>
      <c r="TUN82" s="316"/>
      <c r="TUO82" s="316"/>
      <c r="TUP82" s="316"/>
      <c r="TUQ82" s="316"/>
      <c r="TUR82" s="316"/>
      <c r="TUS82" s="316"/>
      <c r="TUT82" s="316"/>
      <c r="TUU82" s="316"/>
      <c r="TUV82" s="316"/>
      <c r="TUW82" s="316"/>
      <c r="TUX82" s="316"/>
      <c r="TUY82" s="316"/>
      <c r="TUZ82" s="316"/>
      <c r="TVA82" s="316"/>
      <c r="TVB82" s="316"/>
      <c r="TVC82" s="316"/>
      <c r="TVD82" s="316"/>
      <c r="TVE82" s="316"/>
      <c r="TVF82" s="316"/>
      <c r="TVG82" s="316"/>
      <c r="TVH82" s="316"/>
      <c r="TVI82" s="316"/>
      <c r="TVJ82" s="316"/>
      <c r="TVK82" s="316"/>
      <c r="TVL82" s="316"/>
      <c r="TVM82" s="316"/>
      <c r="TVN82" s="316"/>
      <c r="TVO82" s="316"/>
      <c r="TVP82" s="316"/>
      <c r="TVQ82" s="316"/>
      <c r="TVR82" s="316"/>
      <c r="TVS82" s="316"/>
      <c r="TVT82" s="316"/>
      <c r="TVU82" s="316"/>
      <c r="TVV82" s="316"/>
      <c r="TVW82" s="316"/>
      <c r="TVX82" s="316"/>
      <c r="TVY82" s="316"/>
      <c r="TVZ82" s="316"/>
      <c r="TWA82" s="316"/>
      <c r="TWB82" s="316"/>
      <c r="TWC82" s="316"/>
      <c r="TWD82" s="316"/>
      <c r="TWE82" s="316"/>
      <c r="TWF82" s="316"/>
      <c r="TWG82" s="316"/>
      <c r="TWH82" s="316"/>
      <c r="TWI82" s="316"/>
      <c r="TWJ82" s="316"/>
      <c r="TWK82" s="316"/>
      <c r="TWL82" s="316"/>
      <c r="TWM82" s="316"/>
      <c r="TWN82" s="316"/>
      <c r="TWO82" s="316"/>
      <c r="TWP82" s="316"/>
      <c r="TWQ82" s="316"/>
      <c r="TWR82" s="316"/>
      <c r="TWS82" s="316"/>
      <c r="TWT82" s="316"/>
      <c r="TWU82" s="316"/>
      <c r="TWV82" s="316"/>
      <c r="TWW82" s="316"/>
      <c r="TWX82" s="316"/>
      <c r="TWY82" s="316"/>
      <c r="TWZ82" s="316"/>
      <c r="TXA82" s="316"/>
      <c r="TXB82" s="316"/>
      <c r="TXC82" s="316"/>
      <c r="TXD82" s="316"/>
      <c r="TXE82" s="316"/>
      <c r="TXF82" s="316"/>
      <c r="TXG82" s="316"/>
      <c r="TXH82" s="316"/>
      <c r="TXI82" s="316"/>
      <c r="TXJ82" s="316"/>
      <c r="TXK82" s="316"/>
      <c r="TXL82" s="316"/>
      <c r="TXM82" s="316"/>
      <c r="TXN82" s="316"/>
      <c r="TXO82" s="316"/>
      <c r="TXP82" s="316"/>
      <c r="TXQ82" s="316"/>
      <c r="TXR82" s="316"/>
      <c r="TXS82" s="316"/>
      <c r="TXT82" s="316"/>
      <c r="TXU82" s="316"/>
      <c r="TXV82" s="316"/>
      <c r="TXW82" s="316"/>
      <c r="TXX82" s="316"/>
      <c r="TXY82" s="316"/>
      <c r="TXZ82" s="316"/>
      <c r="TYA82" s="316"/>
      <c r="TYB82" s="316"/>
      <c r="TYC82" s="316"/>
      <c r="TYD82" s="316"/>
      <c r="TYE82" s="316"/>
      <c r="TYF82" s="316"/>
      <c r="TYG82" s="316"/>
      <c r="TYH82" s="316"/>
      <c r="TYI82" s="316"/>
      <c r="TYJ82" s="316"/>
      <c r="TYK82" s="316"/>
      <c r="TYL82" s="316"/>
      <c r="TYM82" s="316"/>
      <c r="TYN82" s="316"/>
      <c r="TYO82" s="316"/>
      <c r="TYP82" s="316"/>
      <c r="TYQ82" s="316"/>
      <c r="TYR82" s="316"/>
      <c r="TYS82" s="316"/>
      <c r="TYT82" s="316"/>
      <c r="TYU82" s="316"/>
      <c r="TYV82" s="316"/>
      <c r="TYW82" s="316"/>
      <c r="TYX82" s="316"/>
      <c r="TYY82" s="316"/>
      <c r="TYZ82" s="316"/>
      <c r="TZA82" s="316"/>
      <c r="TZB82" s="316"/>
      <c r="TZC82" s="316"/>
      <c r="TZD82" s="316"/>
      <c r="TZE82" s="316"/>
      <c r="TZF82" s="316"/>
      <c r="TZG82" s="316"/>
      <c r="TZH82" s="316"/>
      <c r="TZI82" s="316"/>
      <c r="TZJ82" s="316"/>
      <c r="TZK82" s="316"/>
      <c r="TZL82" s="316"/>
      <c r="TZM82" s="316"/>
      <c r="TZN82" s="316"/>
      <c r="TZO82" s="316"/>
      <c r="TZP82" s="316"/>
      <c r="TZQ82" s="316"/>
      <c r="TZR82" s="316"/>
      <c r="TZS82" s="316"/>
      <c r="TZT82" s="316"/>
      <c r="TZU82" s="316"/>
      <c r="TZV82" s="316"/>
      <c r="TZW82" s="316"/>
      <c r="TZX82" s="316"/>
      <c r="TZY82" s="316"/>
      <c r="TZZ82" s="316"/>
      <c r="UAA82" s="316"/>
      <c r="UAB82" s="316"/>
      <c r="UAC82" s="316"/>
      <c r="UAD82" s="316"/>
      <c r="UAE82" s="316"/>
      <c r="UAF82" s="316"/>
      <c r="UAG82" s="316"/>
      <c r="UAH82" s="316"/>
      <c r="UAI82" s="316"/>
      <c r="UAJ82" s="316"/>
      <c r="UAK82" s="316"/>
      <c r="UAL82" s="316"/>
      <c r="UAM82" s="316"/>
      <c r="UAN82" s="316"/>
      <c r="UAO82" s="316"/>
      <c r="UAP82" s="316"/>
      <c r="UAQ82" s="316"/>
      <c r="UAR82" s="316"/>
      <c r="UAS82" s="316"/>
      <c r="UAT82" s="316"/>
      <c r="UAU82" s="316"/>
      <c r="UAV82" s="316"/>
      <c r="UAW82" s="316"/>
      <c r="UAX82" s="316"/>
      <c r="UAY82" s="316"/>
      <c r="UAZ82" s="316"/>
      <c r="UBA82" s="316"/>
      <c r="UBB82" s="316"/>
      <c r="UBC82" s="316"/>
      <c r="UBD82" s="316"/>
      <c r="UBE82" s="316"/>
      <c r="UBF82" s="316"/>
      <c r="UBG82" s="316"/>
      <c r="UBH82" s="316"/>
      <c r="UBI82" s="316"/>
      <c r="UBJ82" s="316"/>
      <c r="UBK82" s="316"/>
      <c r="UBL82" s="316"/>
      <c r="UBM82" s="316"/>
      <c r="UBN82" s="316"/>
      <c r="UBO82" s="316"/>
      <c r="UBP82" s="316"/>
      <c r="UBQ82" s="316"/>
      <c r="UBR82" s="316"/>
      <c r="UBS82" s="316"/>
      <c r="UBT82" s="316"/>
      <c r="UBU82" s="316"/>
      <c r="UBV82" s="316"/>
      <c r="UBW82" s="316"/>
      <c r="UBX82" s="316"/>
      <c r="UBY82" s="316"/>
      <c r="UBZ82" s="316"/>
      <c r="UCA82" s="316"/>
      <c r="UCB82" s="316"/>
      <c r="UCC82" s="316"/>
      <c r="UCD82" s="316"/>
      <c r="UCE82" s="316"/>
      <c r="UCF82" s="316"/>
      <c r="UCG82" s="316"/>
      <c r="UCH82" s="316"/>
      <c r="UCI82" s="316"/>
      <c r="UCJ82" s="316"/>
      <c r="UCK82" s="316"/>
      <c r="UCL82" s="316"/>
      <c r="UCM82" s="316"/>
      <c r="UCN82" s="316"/>
      <c r="UCO82" s="316"/>
      <c r="UCP82" s="316"/>
      <c r="UCQ82" s="316"/>
      <c r="UCR82" s="316"/>
      <c r="UCS82" s="316"/>
      <c r="UCT82" s="316"/>
      <c r="UCU82" s="316"/>
      <c r="UCV82" s="316"/>
      <c r="UCW82" s="316"/>
      <c r="UCX82" s="316"/>
      <c r="UCY82" s="316"/>
      <c r="UCZ82" s="316"/>
      <c r="UDA82" s="316"/>
      <c r="UDB82" s="316"/>
      <c r="UDC82" s="316"/>
      <c r="UDD82" s="316"/>
      <c r="UDE82" s="316"/>
      <c r="UDF82" s="316"/>
      <c r="UDG82" s="316"/>
      <c r="UDH82" s="316"/>
      <c r="UDI82" s="316"/>
      <c r="UDJ82" s="316"/>
      <c r="UDK82" s="316"/>
      <c r="UDL82" s="316"/>
      <c r="UDM82" s="316"/>
      <c r="UDN82" s="316"/>
      <c r="UDO82" s="316"/>
      <c r="UDP82" s="316"/>
      <c r="UDQ82" s="316"/>
      <c r="UDR82" s="316"/>
      <c r="UDS82" s="316"/>
      <c r="UDT82" s="316"/>
      <c r="UDU82" s="316"/>
      <c r="UDV82" s="316"/>
      <c r="UDW82" s="316"/>
      <c r="UDX82" s="316"/>
      <c r="UDY82" s="316"/>
      <c r="UDZ82" s="316"/>
      <c r="UEA82" s="316"/>
      <c r="UEB82" s="316"/>
      <c r="UEC82" s="316"/>
      <c r="UED82" s="316"/>
      <c r="UEE82" s="316"/>
      <c r="UEF82" s="316"/>
      <c r="UEG82" s="316"/>
      <c r="UEH82" s="316"/>
      <c r="UEI82" s="316"/>
      <c r="UEJ82" s="316"/>
      <c r="UEK82" s="316"/>
      <c r="UEL82" s="316"/>
      <c r="UEM82" s="316"/>
      <c r="UEN82" s="316"/>
      <c r="UEO82" s="316"/>
      <c r="UEP82" s="316"/>
      <c r="UEQ82" s="316"/>
      <c r="UER82" s="316"/>
      <c r="UES82" s="316"/>
      <c r="UET82" s="316"/>
      <c r="UEU82" s="316"/>
      <c r="UEV82" s="316"/>
      <c r="UEW82" s="316"/>
      <c r="UEX82" s="316"/>
      <c r="UEY82" s="316"/>
      <c r="UEZ82" s="316"/>
      <c r="UFA82" s="316"/>
      <c r="UFB82" s="316"/>
      <c r="UFC82" s="316"/>
      <c r="UFD82" s="316"/>
      <c r="UFE82" s="316"/>
      <c r="UFF82" s="316"/>
      <c r="UFG82" s="316"/>
      <c r="UFH82" s="316"/>
      <c r="UFI82" s="316"/>
      <c r="UFJ82" s="316"/>
      <c r="UFK82" s="316"/>
      <c r="UFL82" s="316"/>
      <c r="UFM82" s="316"/>
      <c r="UFN82" s="316"/>
      <c r="UFO82" s="316"/>
      <c r="UFP82" s="316"/>
      <c r="UFQ82" s="316"/>
      <c r="UFR82" s="316"/>
      <c r="UFS82" s="316"/>
      <c r="UFT82" s="316"/>
      <c r="UFU82" s="316"/>
      <c r="UFV82" s="316"/>
      <c r="UFW82" s="316"/>
      <c r="UFX82" s="316"/>
      <c r="UFY82" s="316"/>
      <c r="UFZ82" s="316"/>
      <c r="UGA82" s="316"/>
      <c r="UGB82" s="316"/>
      <c r="UGC82" s="316"/>
      <c r="UGD82" s="316"/>
      <c r="UGE82" s="316"/>
      <c r="UGF82" s="316"/>
      <c r="UGG82" s="316"/>
      <c r="UGH82" s="316"/>
      <c r="UGI82" s="316"/>
      <c r="UGJ82" s="316"/>
      <c r="UGK82" s="316"/>
      <c r="UGL82" s="316"/>
      <c r="UGM82" s="316"/>
      <c r="UGN82" s="316"/>
      <c r="UGO82" s="316"/>
      <c r="UGP82" s="316"/>
      <c r="UGQ82" s="316"/>
      <c r="UGR82" s="316"/>
      <c r="UGS82" s="316"/>
      <c r="UGT82" s="316"/>
      <c r="UGU82" s="316"/>
      <c r="UGV82" s="316"/>
      <c r="UGW82" s="316"/>
      <c r="UGX82" s="316"/>
      <c r="UGY82" s="316"/>
      <c r="UGZ82" s="316"/>
      <c r="UHA82" s="316"/>
      <c r="UHB82" s="316"/>
      <c r="UHC82" s="316"/>
      <c r="UHD82" s="316"/>
      <c r="UHE82" s="316"/>
      <c r="UHF82" s="316"/>
      <c r="UHG82" s="316"/>
      <c r="UHH82" s="316"/>
      <c r="UHI82" s="316"/>
      <c r="UHJ82" s="316"/>
      <c r="UHK82" s="316"/>
      <c r="UHL82" s="316"/>
      <c r="UHM82" s="316"/>
      <c r="UHN82" s="316"/>
      <c r="UHO82" s="316"/>
      <c r="UHP82" s="316"/>
      <c r="UHQ82" s="316"/>
      <c r="UHR82" s="316"/>
      <c r="UHS82" s="316"/>
      <c r="UHT82" s="316"/>
      <c r="UHU82" s="316"/>
      <c r="UHV82" s="316"/>
      <c r="UHW82" s="316"/>
      <c r="UHX82" s="316"/>
      <c r="UHY82" s="316"/>
      <c r="UHZ82" s="316"/>
      <c r="UIA82" s="316"/>
      <c r="UIB82" s="316"/>
      <c r="UIC82" s="316"/>
      <c r="UID82" s="316"/>
      <c r="UIE82" s="316"/>
      <c r="UIF82" s="316"/>
      <c r="UIG82" s="316"/>
      <c r="UIH82" s="316"/>
      <c r="UII82" s="316"/>
      <c r="UIJ82" s="316"/>
      <c r="UIK82" s="316"/>
      <c r="UIL82" s="316"/>
      <c r="UIM82" s="316"/>
      <c r="UIN82" s="316"/>
      <c r="UIO82" s="316"/>
      <c r="UIP82" s="316"/>
      <c r="UIQ82" s="316"/>
      <c r="UIR82" s="316"/>
      <c r="UIS82" s="316"/>
      <c r="UIT82" s="316"/>
      <c r="UIU82" s="316"/>
      <c r="UIV82" s="316"/>
      <c r="UIW82" s="316"/>
      <c r="UIX82" s="316"/>
      <c r="UIY82" s="316"/>
      <c r="UIZ82" s="316"/>
      <c r="UJA82" s="316"/>
      <c r="UJB82" s="316"/>
      <c r="UJC82" s="316"/>
      <c r="UJD82" s="316"/>
      <c r="UJE82" s="316"/>
      <c r="UJF82" s="316"/>
      <c r="UJG82" s="316"/>
      <c r="UJH82" s="316"/>
      <c r="UJI82" s="316"/>
      <c r="UJJ82" s="316"/>
      <c r="UJK82" s="316"/>
      <c r="UJL82" s="316"/>
      <c r="UJM82" s="316"/>
      <c r="UJN82" s="316"/>
      <c r="UJO82" s="316"/>
      <c r="UJP82" s="316"/>
      <c r="UJQ82" s="316"/>
      <c r="UJR82" s="316"/>
      <c r="UJS82" s="316"/>
      <c r="UJT82" s="316"/>
      <c r="UJU82" s="316"/>
      <c r="UJV82" s="316"/>
      <c r="UJW82" s="316"/>
      <c r="UJX82" s="316"/>
      <c r="UJY82" s="316"/>
      <c r="UJZ82" s="316"/>
      <c r="UKA82" s="316"/>
      <c r="UKB82" s="316"/>
      <c r="UKC82" s="316"/>
      <c r="UKD82" s="316"/>
      <c r="UKE82" s="316"/>
      <c r="UKF82" s="316"/>
      <c r="UKG82" s="316"/>
      <c r="UKH82" s="316"/>
      <c r="UKI82" s="316"/>
      <c r="UKJ82" s="316"/>
      <c r="UKK82" s="316"/>
      <c r="UKL82" s="316"/>
      <c r="UKM82" s="316"/>
      <c r="UKN82" s="316"/>
      <c r="UKO82" s="316"/>
      <c r="UKP82" s="316"/>
      <c r="UKQ82" s="316"/>
      <c r="UKR82" s="316"/>
      <c r="UKS82" s="316"/>
      <c r="UKT82" s="316"/>
      <c r="UKU82" s="316"/>
      <c r="UKV82" s="316"/>
      <c r="UKW82" s="316"/>
      <c r="UKX82" s="316"/>
      <c r="UKY82" s="316"/>
      <c r="UKZ82" s="316"/>
      <c r="ULA82" s="316"/>
      <c r="ULB82" s="316"/>
      <c r="ULC82" s="316"/>
      <c r="ULD82" s="316"/>
      <c r="ULE82" s="316"/>
      <c r="ULF82" s="316"/>
      <c r="ULG82" s="316"/>
      <c r="ULH82" s="316"/>
      <c r="ULI82" s="316"/>
      <c r="ULJ82" s="316"/>
      <c r="ULK82" s="316"/>
      <c r="ULL82" s="316"/>
      <c r="ULM82" s="316"/>
      <c r="ULN82" s="316"/>
      <c r="ULO82" s="316"/>
      <c r="ULP82" s="316"/>
      <c r="ULQ82" s="316"/>
      <c r="ULR82" s="316"/>
      <c r="ULS82" s="316"/>
      <c r="ULT82" s="316"/>
      <c r="ULU82" s="316"/>
      <c r="ULV82" s="316"/>
      <c r="ULW82" s="316"/>
      <c r="ULX82" s="316"/>
      <c r="ULY82" s="316"/>
      <c r="ULZ82" s="316"/>
      <c r="UMA82" s="316"/>
      <c r="UMB82" s="316"/>
      <c r="UMC82" s="316"/>
      <c r="UMD82" s="316"/>
      <c r="UME82" s="316"/>
      <c r="UMF82" s="316"/>
      <c r="UMG82" s="316"/>
      <c r="UMH82" s="316"/>
      <c r="UMI82" s="316"/>
      <c r="UMJ82" s="316"/>
      <c r="UMK82" s="316"/>
      <c r="UML82" s="316"/>
      <c r="UMM82" s="316"/>
      <c r="UMN82" s="316"/>
      <c r="UMO82" s="316"/>
      <c r="UMP82" s="316"/>
      <c r="UMQ82" s="316"/>
      <c r="UMR82" s="316"/>
      <c r="UMS82" s="316"/>
      <c r="UMT82" s="316"/>
      <c r="UMU82" s="316"/>
      <c r="UMV82" s="316"/>
      <c r="UMW82" s="316"/>
      <c r="UMX82" s="316"/>
      <c r="UMY82" s="316"/>
      <c r="UMZ82" s="316"/>
      <c r="UNA82" s="316"/>
      <c r="UNB82" s="316"/>
      <c r="UNC82" s="316"/>
      <c r="UND82" s="316"/>
      <c r="UNE82" s="316"/>
      <c r="UNF82" s="316"/>
      <c r="UNG82" s="316"/>
      <c r="UNH82" s="316"/>
      <c r="UNI82" s="316"/>
      <c r="UNJ82" s="316"/>
      <c r="UNK82" s="316"/>
      <c r="UNL82" s="316"/>
      <c r="UNM82" s="316"/>
      <c r="UNN82" s="316"/>
      <c r="UNO82" s="316"/>
      <c r="UNP82" s="316"/>
      <c r="UNQ82" s="316"/>
      <c r="UNR82" s="316"/>
      <c r="UNS82" s="316"/>
      <c r="UNT82" s="316"/>
      <c r="UNU82" s="316"/>
      <c r="UNV82" s="316"/>
      <c r="UNW82" s="316"/>
      <c r="UNX82" s="316"/>
      <c r="UNY82" s="316"/>
      <c r="UNZ82" s="316"/>
      <c r="UOA82" s="316"/>
      <c r="UOB82" s="316"/>
      <c r="UOC82" s="316"/>
      <c r="UOD82" s="316"/>
      <c r="UOE82" s="316"/>
      <c r="UOF82" s="316"/>
      <c r="UOG82" s="316"/>
      <c r="UOH82" s="316"/>
      <c r="UOI82" s="316"/>
      <c r="UOJ82" s="316"/>
      <c r="UOK82" s="316"/>
      <c r="UOL82" s="316"/>
      <c r="UOM82" s="316"/>
      <c r="UON82" s="316"/>
      <c r="UOO82" s="316"/>
      <c r="UOP82" s="316"/>
      <c r="UOQ82" s="316"/>
      <c r="UOR82" s="316"/>
      <c r="UOS82" s="316"/>
      <c r="UOT82" s="316"/>
      <c r="UOU82" s="316"/>
      <c r="UOV82" s="316"/>
      <c r="UOW82" s="316"/>
      <c r="UOX82" s="316"/>
      <c r="UOY82" s="316"/>
      <c r="UOZ82" s="316"/>
      <c r="UPA82" s="316"/>
      <c r="UPB82" s="316"/>
      <c r="UPC82" s="316"/>
      <c r="UPD82" s="316"/>
      <c r="UPE82" s="316"/>
      <c r="UPF82" s="316"/>
      <c r="UPG82" s="316"/>
      <c r="UPH82" s="316"/>
      <c r="UPI82" s="316"/>
      <c r="UPJ82" s="316"/>
      <c r="UPK82" s="316"/>
      <c r="UPL82" s="316"/>
      <c r="UPM82" s="316"/>
      <c r="UPN82" s="316"/>
      <c r="UPO82" s="316"/>
      <c r="UPP82" s="316"/>
      <c r="UPQ82" s="316"/>
      <c r="UPR82" s="316"/>
      <c r="UPS82" s="316"/>
      <c r="UPT82" s="316"/>
      <c r="UPU82" s="316"/>
      <c r="UPV82" s="316"/>
      <c r="UPW82" s="316"/>
      <c r="UPX82" s="316"/>
      <c r="UPY82" s="316"/>
      <c r="UPZ82" s="316"/>
      <c r="UQA82" s="316"/>
      <c r="UQB82" s="316"/>
      <c r="UQC82" s="316"/>
      <c r="UQD82" s="316"/>
      <c r="UQE82" s="316"/>
      <c r="UQF82" s="316"/>
      <c r="UQG82" s="316"/>
      <c r="UQH82" s="316"/>
      <c r="UQI82" s="316"/>
      <c r="UQJ82" s="316"/>
      <c r="UQK82" s="316"/>
      <c r="UQL82" s="316"/>
      <c r="UQM82" s="316"/>
      <c r="UQN82" s="316"/>
      <c r="UQO82" s="316"/>
      <c r="UQP82" s="316"/>
      <c r="UQQ82" s="316"/>
      <c r="UQR82" s="316"/>
      <c r="UQS82" s="316"/>
      <c r="UQT82" s="316"/>
      <c r="UQU82" s="316"/>
      <c r="UQV82" s="316"/>
      <c r="UQW82" s="316"/>
      <c r="UQX82" s="316"/>
      <c r="UQY82" s="316"/>
      <c r="UQZ82" s="316"/>
      <c r="URA82" s="316"/>
      <c r="URB82" s="316"/>
      <c r="URC82" s="316"/>
      <c r="URD82" s="316"/>
      <c r="URE82" s="316"/>
      <c r="URF82" s="316"/>
      <c r="URG82" s="316"/>
      <c r="URH82" s="316"/>
      <c r="URI82" s="316"/>
      <c r="URJ82" s="316"/>
      <c r="URK82" s="316"/>
      <c r="URL82" s="316"/>
      <c r="URM82" s="316"/>
      <c r="URN82" s="316"/>
      <c r="URO82" s="316"/>
      <c r="URP82" s="316"/>
      <c r="URQ82" s="316"/>
      <c r="URR82" s="316"/>
      <c r="URS82" s="316"/>
      <c r="URT82" s="316"/>
      <c r="URU82" s="316"/>
      <c r="URV82" s="316"/>
      <c r="URW82" s="316"/>
      <c r="URX82" s="316"/>
      <c r="URY82" s="316"/>
      <c r="URZ82" s="316"/>
      <c r="USA82" s="316"/>
      <c r="USB82" s="316"/>
      <c r="USC82" s="316"/>
      <c r="USD82" s="316"/>
      <c r="USE82" s="316"/>
      <c r="USF82" s="316"/>
      <c r="USG82" s="316"/>
      <c r="USH82" s="316"/>
      <c r="USI82" s="316"/>
      <c r="USJ82" s="316"/>
      <c r="USK82" s="316"/>
      <c r="USL82" s="316"/>
      <c r="USM82" s="316"/>
      <c r="USN82" s="316"/>
      <c r="USO82" s="316"/>
      <c r="USP82" s="316"/>
      <c r="USQ82" s="316"/>
      <c r="USR82" s="316"/>
      <c r="USS82" s="316"/>
      <c r="UST82" s="316"/>
      <c r="USU82" s="316"/>
      <c r="USV82" s="316"/>
      <c r="USW82" s="316"/>
      <c r="USX82" s="316"/>
      <c r="USY82" s="316"/>
      <c r="USZ82" s="316"/>
      <c r="UTA82" s="316"/>
      <c r="UTB82" s="316"/>
      <c r="UTC82" s="316"/>
      <c r="UTD82" s="316"/>
      <c r="UTE82" s="316"/>
      <c r="UTF82" s="316"/>
      <c r="UTG82" s="316"/>
      <c r="UTH82" s="316"/>
      <c r="UTI82" s="316"/>
      <c r="UTJ82" s="316"/>
      <c r="UTK82" s="316"/>
      <c r="UTL82" s="316"/>
      <c r="UTM82" s="316"/>
      <c r="UTN82" s="316"/>
      <c r="UTO82" s="316"/>
      <c r="UTP82" s="316"/>
      <c r="UTQ82" s="316"/>
      <c r="UTR82" s="316"/>
      <c r="UTS82" s="316"/>
      <c r="UTT82" s="316"/>
      <c r="UTU82" s="316"/>
      <c r="UTV82" s="316"/>
      <c r="UTW82" s="316"/>
      <c r="UTX82" s="316"/>
      <c r="UTY82" s="316"/>
      <c r="UTZ82" s="316"/>
      <c r="UUA82" s="316"/>
      <c r="UUB82" s="316"/>
      <c r="UUC82" s="316"/>
      <c r="UUD82" s="316"/>
      <c r="UUE82" s="316"/>
      <c r="UUF82" s="316"/>
      <c r="UUG82" s="316"/>
      <c r="UUH82" s="316"/>
      <c r="UUI82" s="316"/>
      <c r="UUJ82" s="316"/>
      <c r="UUK82" s="316"/>
      <c r="UUL82" s="316"/>
      <c r="UUM82" s="316"/>
      <c r="UUN82" s="316"/>
      <c r="UUO82" s="316"/>
      <c r="UUP82" s="316"/>
      <c r="UUQ82" s="316"/>
      <c r="UUR82" s="316"/>
      <c r="UUS82" s="316"/>
      <c r="UUT82" s="316"/>
      <c r="UUU82" s="316"/>
      <c r="UUV82" s="316"/>
      <c r="UUW82" s="316"/>
      <c r="UUX82" s="316"/>
      <c r="UUY82" s="316"/>
      <c r="UUZ82" s="316"/>
      <c r="UVA82" s="316"/>
      <c r="UVB82" s="316"/>
      <c r="UVC82" s="316"/>
      <c r="UVD82" s="316"/>
      <c r="UVE82" s="316"/>
      <c r="UVF82" s="316"/>
      <c r="UVG82" s="316"/>
      <c r="UVH82" s="316"/>
      <c r="UVI82" s="316"/>
      <c r="UVJ82" s="316"/>
      <c r="UVK82" s="316"/>
      <c r="UVL82" s="316"/>
      <c r="UVM82" s="316"/>
      <c r="UVN82" s="316"/>
      <c r="UVO82" s="316"/>
      <c r="UVP82" s="316"/>
      <c r="UVQ82" s="316"/>
      <c r="UVR82" s="316"/>
      <c r="UVS82" s="316"/>
      <c r="UVT82" s="316"/>
      <c r="UVU82" s="316"/>
      <c r="UVV82" s="316"/>
      <c r="UVW82" s="316"/>
      <c r="UVX82" s="316"/>
      <c r="UVY82" s="316"/>
      <c r="UVZ82" s="316"/>
      <c r="UWA82" s="316"/>
      <c r="UWB82" s="316"/>
      <c r="UWC82" s="316"/>
      <c r="UWD82" s="316"/>
      <c r="UWE82" s="316"/>
      <c r="UWF82" s="316"/>
      <c r="UWG82" s="316"/>
      <c r="UWH82" s="316"/>
      <c r="UWI82" s="316"/>
      <c r="UWJ82" s="316"/>
      <c r="UWK82" s="316"/>
      <c r="UWL82" s="316"/>
      <c r="UWM82" s="316"/>
      <c r="UWN82" s="316"/>
      <c r="UWO82" s="316"/>
      <c r="UWP82" s="316"/>
      <c r="UWQ82" s="316"/>
      <c r="UWR82" s="316"/>
      <c r="UWS82" s="316"/>
      <c r="UWT82" s="316"/>
      <c r="UWU82" s="316"/>
      <c r="UWV82" s="316"/>
      <c r="UWW82" s="316"/>
      <c r="UWX82" s="316"/>
      <c r="UWY82" s="316"/>
      <c r="UWZ82" s="316"/>
      <c r="UXA82" s="316"/>
      <c r="UXB82" s="316"/>
      <c r="UXC82" s="316"/>
      <c r="UXD82" s="316"/>
      <c r="UXE82" s="316"/>
      <c r="UXF82" s="316"/>
      <c r="UXG82" s="316"/>
      <c r="UXH82" s="316"/>
      <c r="UXI82" s="316"/>
      <c r="UXJ82" s="316"/>
      <c r="UXK82" s="316"/>
      <c r="UXL82" s="316"/>
      <c r="UXM82" s="316"/>
      <c r="UXN82" s="316"/>
      <c r="UXO82" s="316"/>
      <c r="UXP82" s="316"/>
      <c r="UXQ82" s="316"/>
      <c r="UXR82" s="316"/>
      <c r="UXS82" s="316"/>
      <c r="UXT82" s="316"/>
      <c r="UXU82" s="316"/>
      <c r="UXV82" s="316"/>
      <c r="UXW82" s="316"/>
      <c r="UXX82" s="316"/>
      <c r="UXY82" s="316"/>
      <c r="UXZ82" s="316"/>
      <c r="UYA82" s="316"/>
      <c r="UYB82" s="316"/>
      <c r="UYC82" s="316"/>
      <c r="UYD82" s="316"/>
      <c r="UYE82" s="316"/>
      <c r="UYF82" s="316"/>
      <c r="UYG82" s="316"/>
      <c r="UYH82" s="316"/>
      <c r="UYI82" s="316"/>
      <c r="UYJ82" s="316"/>
      <c r="UYK82" s="316"/>
      <c r="UYL82" s="316"/>
      <c r="UYM82" s="316"/>
      <c r="UYN82" s="316"/>
      <c r="UYO82" s="316"/>
      <c r="UYP82" s="316"/>
      <c r="UYQ82" s="316"/>
      <c r="UYR82" s="316"/>
      <c r="UYS82" s="316"/>
      <c r="UYT82" s="316"/>
      <c r="UYU82" s="316"/>
      <c r="UYV82" s="316"/>
      <c r="UYW82" s="316"/>
      <c r="UYX82" s="316"/>
      <c r="UYY82" s="316"/>
      <c r="UYZ82" s="316"/>
      <c r="UZA82" s="316"/>
      <c r="UZB82" s="316"/>
      <c r="UZC82" s="316"/>
      <c r="UZD82" s="316"/>
      <c r="UZE82" s="316"/>
      <c r="UZF82" s="316"/>
      <c r="UZG82" s="316"/>
      <c r="UZH82" s="316"/>
      <c r="UZI82" s="316"/>
      <c r="UZJ82" s="316"/>
      <c r="UZK82" s="316"/>
      <c r="UZL82" s="316"/>
      <c r="UZM82" s="316"/>
      <c r="UZN82" s="316"/>
      <c r="UZO82" s="316"/>
      <c r="UZP82" s="316"/>
      <c r="UZQ82" s="316"/>
      <c r="UZR82" s="316"/>
      <c r="UZS82" s="316"/>
      <c r="UZT82" s="316"/>
      <c r="UZU82" s="316"/>
      <c r="UZV82" s="316"/>
      <c r="UZW82" s="316"/>
      <c r="UZX82" s="316"/>
      <c r="UZY82" s="316"/>
      <c r="UZZ82" s="316"/>
      <c r="VAA82" s="316"/>
      <c r="VAB82" s="316"/>
      <c r="VAC82" s="316"/>
      <c r="VAD82" s="316"/>
      <c r="VAE82" s="316"/>
      <c r="VAF82" s="316"/>
      <c r="VAG82" s="316"/>
      <c r="VAH82" s="316"/>
      <c r="VAI82" s="316"/>
      <c r="VAJ82" s="316"/>
      <c r="VAK82" s="316"/>
      <c r="VAL82" s="316"/>
      <c r="VAM82" s="316"/>
      <c r="VAN82" s="316"/>
      <c r="VAO82" s="316"/>
      <c r="VAP82" s="316"/>
      <c r="VAQ82" s="316"/>
      <c r="VAR82" s="316"/>
      <c r="VAS82" s="316"/>
      <c r="VAT82" s="316"/>
      <c r="VAU82" s="316"/>
      <c r="VAV82" s="316"/>
      <c r="VAW82" s="316"/>
      <c r="VAX82" s="316"/>
      <c r="VAY82" s="316"/>
      <c r="VAZ82" s="316"/>
      <c r="VBA82" s="316"/>
      <c r="VBB82" s="316"/>
      <c r="VBC82" s="316"/>
      <c r="VBD82" s="316"/>
      <c r="VBE82" s="316"/>
      <c r="VBF82" s="316"/>
      <c r="VBG82" s="316"/>
      <c r="VBH82" s="316"/>
      <c r="VBI82" s="316"/>
      <c r="VBJ82" s="316"/>
      <c r="VBK82" s="316"/>
      <c r="VBL82" s="316"/>
      <c r="VBM82" s="316"/>
      <c r="VBN82" s="316"/>
      <c r="VBO82" s="316"/>
      <c r="VBP82" s="316"/>
      <c r="VBQ82" s="316"/>
      <c r="VBR82" s="316"/>
      <c r="VBS82" s="316"/>
      <c r="VBT82" s="316"/>
      <c r="VBU82" s="316"/>
      <c r="VBV82" s="316"/>
      <c r="VBW82" s="316"/>
      <c r="VBX82" s="316"/>
      <c r="VBY82" s="316"/>
      <c r="VBZ82" s="316"/>
      <c r="VCA82" s="316"/>
      <c r="VCB82" s="316"/>
      <c r="VCC82" s="316"/>
      <c r="VCD82" s="316"/>
      <c r="VCE82" s="316"/>
      <c r="VCF82" s="316"/>
      <c r="VCG82" s="316"/>
      <c r="VCH82" s="316"/>
      <c r="VCI82" s="316"/>
      <c r="VCJ82" s="316"/>
      <c r="VCK82" s="316"/>
      <c r="VCL82" s="316"/>
      <c r="VCM82" s="316"/>
      <c r="VCN82" s="316"/>
      <c r="VCO82" s="316"/>
      <c r="VCP82" s="316"/>
      <c r="VCQ82" s="316"/>
      <c r="VCR82" s="316"/>
      <c r="VCS82" s="316"/>
      <c r="VCT82" s="316"/>
      <c r="VCU82" s="316"/>
      <c r="VCV82" s="316"/>
      <c r="VCW82" s="316"/>
      <c r="VCX82" s="316"/>
      <c r="VCY82" s="316"/>
      <c r="VCZ82" s="316"/>
      <c r="VDA82" s="316"/>
      <c r="VDB82" s="316"/>
      <c r="VDC82" s="316"/>
      <c r="VDD82" s="316"/>
      <c r="VDE82" s="316"/>
      <c r="VDF82" s="316"/>
      <c r="VDG82" s="316"/>
      <c r="VDH82" s="316"/>
      <c r="VDI82" s="316"/>
      <c r="VDJ82" s="316"/>
      <c r="VDK82" s="316"/>
      <c r="VDL82" s="316"/>
      <c r="VDM82" s="316"/>
      <c r="VDN82" s="316"/>
      <c r="VDO82" s="316"/>
      <c r="VDP82" s="316"/>
      <c r="VDQ82" s="316"/>
      <c r="VDR82" s="316"/>
      <c r="VDS82" s="316"/>
      <c r="VDT82" s="316"/>
      <c r="VDU82" s="316"/>
      <c r="VDV82" s="316"/>
      <c r="VDW82" s="316"/>
      <c r="VDX82" s="316"/>
      <c r="VDY82" s="316"/>
      <c r="VDZ82" s="316"/>
      <c r="VEA82" s="316"/>
      <c r="VEB82" s="316"/>
      <c r="VEC82" s="316"/>
      <c r="VED82" s="316"/>
      <c r="VEE82" s="316"/>
      <c r="VEF82" s="316"/>
      <c r="VEG82" s="316"/>
      <c r="VEH82" s="316"/>
      <c r="VEI82" s="316"/>
      <c r="VEJ82" s="316"/>
      <c r="VEK82" s="316"/>
      <c r="VEL82" s="316"/>
      <c r="VEM82" s="316"/>
      <c r="VEN82" s="316"/>
      <c r="VEO82" s="316"/>
      <c r="VEP82" s="316"/>
      <c r="VEQ82" s="316"/>
      <c r="VER82" s="316"/>
      <c r="VES82" s="316"/>
      <c r="VET82" s="316"/>
      <c r="VEU82" s="316"/>
      <c r="VEV82" s="316"/>
      <c r="VEW82" s="316"/>
      <c r="VEX82" s="316"/>
      <c r="VEY82" s="316"/>
      <c r="VEZ82" s="316"/>
      <c r="VFA82" s="316"/>
      <c r="VFB82" s="316"/>
      <c r="VFC82" s="316"/>
      <c r="VFD82" s="316"/>
      <c r="VFE82" s="316"/>
      <c r="VFF82" s="316"/>
      <c r="VFG82" s="316"/>
      <c r="VFH82" s="316"/>
      <c r="VFI82" s="316"/>
      <c r="VFJ82" s="316"/>
      <c r="VFK82" s="316"/>
      <c r="VFL82" s="316"/>
      <c r="VFM82" s="316"/>
      <c r="VFN82" s="316"/>
      <c r="VFO82" s="316"/>
      <c r="VFP82" s="316"/>
      <c r="VFQ82" s="316"/>
      <c r="VFR82" s="316"/>
      <c r="VFS82" s="316"/>
      <c r="VFT82" s="316"/>
      <c r="VFU82" s="316"/>
      <c r="VFV82" s="316"/>
      <c r="VFW82" s="316"/>
      <c r="VFX82" s="316"/>
      <c r="VFY82" s="316"/>
      <c r="VFZ82" s="316"/>
      <c r="VGA82" s="316"/>
      <c r="VGB82" s="316"/>
      <c r="VGC82" s="316"/>
      <c r="VGD82" s="316"/>
      <c r="VGE82" s="316"/>
      <c r="VGF82" s="316"/>
      <c r="VGG82" s="316"/>
      <c r="VGH82" s="316"/>
      <c r="VGI82" s="316"/>
      <c r="VGJ82" s="316"/>
      <c r="VGK82" s="316"/>
      <c r="VGL82" s="316"/>
      <c r="VGM82" s="316"/>
      <c r="VGN82" s="316"/>
      <c r="VGO82" s="316"/>
      <c r="VGP82" s="316"/>
      <c r="VGQ82" s="316"/>
      <c r="VGR82" s="316"/>
      <c r="VGS82" s="316"/>
      <c r="VGT82" s="316"/>
      <c r="VGU82" s="316"/>
      <c r="VGV82" s="316"/>
      <c r="VGW82" s="316"/>
      <c r="VGX82" s="316"/>
      <c r="VGY82" s="316"/>
      <c r="VGZ82" s="316"/>
      <c r="VHA82" s="316"/>
      <c r="VHB82" s="316"/>
      <c r="VHC82" s="316"/>
      <c r="VHD82" s="316"/>
      <c r="VHE82" s="316"/>
      <c r="VHF82" s="316"/>
      <c r="VHG82" s="316"/>
      <c r="VHH82" s="316"/>
      <c r="VHI82" s="316"/>
      <c r="VHJ82" s="316"/>
      <c r="VHK82" s="316"/>
      <c r="VHL82" s="316"/>
      <c r="VHM82" s="316"/>
      <c r="VHN82" s="316"/>
      <c r="VHO82" s="316"/>
      <c r="VHP82" s="316"/>
      <c r="VHQ82" s="316"/>
      <c r="VHR82" s="316"/>
      <c r="VHS82" s="316"/>
      <c r="VHT82" s="316"/>
      <c r="VHU82" s="316"/>
      <c r="VHV82" s="316"/>
      <c r="VHW82" s="316"/>
      <c r="VHX82" s="316"/>
      <c r="VHY82" s="316"/>
      <c r="VHZ82" s="316"/>
      <c r="VIA82" s="316"/>
      <c r="VIB82" s="316"/>
      <c r="VIC82" s="316"/>
      <c r="VID82" s="316"/>
      <c r="VIE82" s="316"/>
      <c r="VIF82" s="316"/>
      <c r="VIG82" s="316"/>
      <c r="VIH82" s="316"/>
      <c r="VII82" s="316"/>
      <c r="VIJ82" s="316"/>
      <c r="VIK82" s="316"/>
      <c r="VIL82" s="316"/>
      <c r="VIM82" s="316"/>
      <c r="VIN82" s="316"/>
      <c r="VIO82" s="316"/>
      <c r="VIP82" s="316"/>
      <c r="VIQ82" s="316"/>
      <c r="VIR82" s="316"/>
      <c r="VIS82" s="316"/>
      <c r="VIT82" s="316"/>
      <c r="VIU82" s="316"/>
      <c r="VIV82" s="316"/>
      <c r="VIW82" s="316"/>
      <c r="VIX82" s="316"/>
      <c r="VIY82" s="316"/>
      <c r="VIZ82" s="316"/>
      <c r="VJA82" s="316"/>
      <c r="VJB82" s="316"/>
      <c r="VJC82" s="316"/>
      <c r="VJD82" s="316"/>
      <c r="VJE82" s="316"/>
      <c r="VJF82" s="316"/>
      <c r="VJG82" s="316"/>
      <c r="VJH82" s="316"/>
      <c r="VJI82" s="316"/>
      <c r="VJJ82" s="316"/>
      <c r="VJK82" s="316"/>
      <c r="VJL82" s="316"/>
      <c r="VJM82" s="316"/>
      <c r="VJN82" s="316"/>
      <c r="VJO82" s="316"/>
      <c r="VJP82" s="316"/>
      <c r="VJQ82" s="316"/>
      <c r="VJR82" s="316"/>
      <c r="VJS82" s="316"/>
      <c r="VJT82" s="316"/>
      <c r="VJU82" s="316"/>
      <c r="VJV82" s="316"/>
      <c r="VJW82" s="316"/>
      <c r="VJX82" s="316"/>
      <c r="VJY82" s="316"/>
      <c r="VJZ82" s="316"/>
      <c r="VKA82" s="316"/>
      <c r="VKB82" s="316"/>
      <c r="VKC82" s="316"/>
      <c r="VKD82" s="316"/>
      <c r="VKE82" s="316"/>
      <c r="VKF82" s="316"/>
      <c r="VKG82" s="316"/>
      <c r="VKH82" s="316"/>
      <c r="VKI82" s="316"/>
      <c r="VKJ82" s="316"/>
      <c r="VKK82" s="316"/>
      <c r="VKL82" s="316"/>
      <c r="VKM82" s="316"/>
      <c r="VKN82" s="316"/>
      <c r="VKO82" s="316"/>
      <c r="VKP82" s="316"/>
      <c r="VKQ82" s="316"/>
      <c r="VKR82" s="316"/>
      <c r="VKS82" s="316"/>
      <c r="VKT82" s="316"/>
      <c r="VKU82" s="316"/>
      <c r="VKV82" s="316"/>
      <c r="VKW82" s="316"/>
      <c r="VKX82" s="316"/>
      <c r="VKY82" s="316"/>
      <c r="VKZ82" s="316"/>
      <c r="VLA82" s="316"/>
      <c r="VLB82" s="316"/>
      <c r="VLC82" s="316"/>
      <c r="VLD82" s="316"/>
      <c r="VLE82" s="316"/>
      <c r="VLF82" s="316"/>
      <c r="VLG82" s="316"/>
      <c r="VLH82" s="316"/>
      <c r="VLI82" s="316"/>
      <c r="VLJ82" s="316"/>
      <c r="VLK82" s="316"/>
      <c r="VLL82" s="316"/>
      <c r="VLM82" s="316"/>
      <c r="VLN82" s="316"/>
      <c r="VLO82" s="316"/>
      <c r="VLP82" s="316"/>
      <c r="VLQ82" s="316"/>
      <c r="VLR82" s="316"/>
      <c r="VLS82" s="316"/>
      <c r="VLT82" s="316"/>
      <c r="VLU82" s="316"/>
      <c r="VLV82" s="316"/>
      <c r="VLW82" s="316"/>
      <c r="VLX82" s="316"/>
      <c r="VLY82" s="316"/>
      <c r="VLZ82" s="316"/>
      <c r="VMA82" s="316"/>
      <c r="VMB82" s="316"/>
      <c r="VMC82" s="316"/>
      <c r="VMD82" s="316"/>
      <c r="VME82" s="316"/>
      <c r="VMF82" s="316"/>
      <c r="VMG82" s="316"/>
      <c r="VMH82" s="316"/>
      <c r="VMI82" s="316"/>
      <c r="VMJ82" s="316"/>
      <c r="VMK82" s="316"/>
      <c r="VML82" s="316"/>
      <c r="VMM82" s="316"/>
      <c r="VMN82" s="316"/>
      <c r="VMO82" s="316"/>
      <c r="VMP82" s="316"/>
      <c r="VMQ82" s="316"/>
      <c r="VMR82" s="316"/>
      <c r="VMS82" s="316"/>
      <c r="VMT82" s="316"/>
      <c r="VMU82" s="316"/>
      <c r="VMV82" s="316"/>
      <c r="VMW82" s="316"/>
      <c r="VMX82" s="316"/>
      <c r="VMY82" s="316"/>
      <c r="VMZ82" s="316"/>
      <c r="VNA82" s="316"/>
      <c r="VNB82" s="316"/>
      <c r="VNC82" s="316"/>
      <c r="VND82" s="316"/>
      <c r="VNE82" s="316"/>
      <c r="VNF82" s="316"/>
      <c r="VNG82" s="316"/>
      <c r="VNH82" s="316"/>
      <c r="VNI82" s="316"/>
      <c r="VNJ82" s="316"/>
      <c r="VNK82" s="316"/>
      <c r="VNL82" s="316"/>
      <c r="VNM82" s="316"/>
      <c r="VNN82" s="316"/>
      <c r="VNO82" s="316"/>
      <c r="VNP82" s="316"/>
      <c r="VNQ82" s="316"/>
      <c r="VNR82" s="316"/>
      <c r="VNS82" s="316"/>
      <c r="VNT82" s="316"/>
      <c r="VNU82" s="316"/>
      <c r="VNV82" s="316"/>
      <c r="VNW82" s="316"/>
      <c r="VNX82" s="316"/>
      <c r="VNY82" s="316"/>
      <c r="VNZ82" s="316"/>
      <c r="VOA82" s="316"/>
      <c r="VOB82" s="316"/>
      <c r="VOC82" s="316"/>
      <c r="VOD82" s="316"/>
      <c r="VOE82" s="316"/>
      <c r="VOF82" s="316"/>
      <c r="VOG82" s="316"/>
      <c r="VOH82" s="316"/>
      <c r="VOI82" s="316"/>
      <c r="VOJ82" s="316"/>
      <c r="VOK82" s="316"/>
      <c r="VOL82" s="316"/>
      <c r="VOM82" s="316"/>
      <c r="VON82" s="316"/>
      <c r="VOO82" s="316"/>
      <c r="VOP82" s="316"/>
      <c r="VOQ82" s="316"/>
      <c r="VOR82" s="316"/>
      <c r="VOS82" s="316"/>
      <c r="VOT82" s="316"/>
      <c r="VOU82" s="316"/>
      <c r="VOV82" s="316"/>
      <c r="VOW82" s="316"/>
      <c r="VOX82" s="316"/>
      <c r="VOY82" s="316"/>
      <c r="VOZ82" s="316"/>
      <c r="VPA82" s="316"/>
      <c r="VPB82" s="316"/>
      <c r="VPC82" s="316"/>
      <c r="VPD82" s="316"/>
      <c r="VPE82" s="316"/>
      <c r="VPF82" s="316"/>
      <c r="VPG82" s="316"/>
      <c r="VPH82" s="316"/>
      <c r="VPI82" s="316"/>
      <c r="VPJ82" s="316"/>
      <c r="VPK82" s="316"/>
      <c r="VPL82" s="316"/>
      <c r="VPM82" s="316"/>
      <c r="VPN82" s="316"/>
      <c r="VPO82" s="316"/>
      <c r="VPP82" s="316"/>
      <c r="VPQ82" s="316"/>
      <c r="VPR82" s="316"/>
      <c r="VPS82" s="316"/>
      <c r="VPT82" s="316"/>
      <c r="VPU82" s="316"/>
      <c r="VPV82" s="316"/>
      <c r="VPW82" s="316"/>
      <c r="VPX82" s="316"/>
      <c r="VPY82" s="316"/>
      <c r="VPZ82" s="316"/>
      <c r="VQA82" s="316"/>
      <c r="VQB82" s="316"/>
      <c r="VQC82" s="316"/>
      <c r="VQD82" s="316"/>
      <c r="VQE82" s="316"/>
      <c r="VQF82" s="316"/>
      <c r="VQG82" s="316"/>
      <c r="VQH82" s="316"/>
      <c r="VQI82" s="316"/>
      <c r="VQJ82" s="316"/>
      <c r="VQK82" s="316"/>
      <c r="VQL82" s="316"/>
      <c r="VQM82" s="316"/>
      <c r="VQN82" s="316"/>
      <c r="VQO82" s="316"/>
      <c r="VQP82" s="316"/>
      <c r="VQQ82" s="316"/>
      <c r="VQR82" s="316"/>
      <c r="VQS82" s="316"/>
      <c r="VQT82" s="316"/>
      <c r="VQU82" s="316"/>
      <c r="VQV82" s="316"/>
      <c r="VQW82" s="316"/>
      <c r="VQX82" s="316"/>
      <c r="VQY82" s="316"/>
      <c r="VQZ82" s="316"/>
      <c r="VRA82" s="316"/>
      <c r="VRB82" s="316"/>
      <c r="VRC82" s="316"/>
      <c r="VRD82" s="316"/>
      <c r="VRE82" s="316"/>
      <c r="VRF82" s="316"/>
      <c r="VRG82" s="316"/>
      <c r="VRH82" s="316"/>
      <c r="VRI82" s="316"/>
      <c r="VRJ82" s="316"/>
      <c r="VRK82" s="316"/>
      <c r="VRL82" s="316"/>
      <c r="VRM82" s="316"/>
      <c r="VRN82" s="316"/>
      <c r="VRO82" s="316"/>
      <c r="VRP82" s="316"/>
      <c r="VRQ82" s="316"/>
      <c r="VRR82" s="316"/>
      <c r="VRS82" s="316"/>
      <c r="VRT82" s="316"/>
      <c r="VRU82" s="316"/>
      <c r="VRV82" s="316"/>
      <c r="VRW82" s="316"/>
      <c r="VRX82" s="316"/>
      <c r="VRY82" s="316"/>
      <c r="VRZ82" s="316"/>
      <c r="VSA82" s="316"/>
      <c r="VSB82" s="316"/>
      <c r="VSC82" s="316"/>
      <c r="VSD82" s="316"/>
      <c r="VSE82" s="316"/>
      <c r="VSF82" s="316"/>
      <c r="VSG82" s="316"/>
      <c r="VSH82" s="316"/>
      <c r="VSI82" s="316"/>
      <c r="VSJ82" s="316"/>
      <c r="VSK82" s="316"/>
      <c r="VSL82" s="316"/>
      <c r="VSM82" s="316"/>
      <c r="VSN82" s="316"/>
      <c r="VSO82" s="316"/>
      <c r="VSP82" s="316"/>
      <c r="VSQ82" s="316"/>
      <c r="VSR82" s="316"/>
      <c r="VSS82" s="316"/>
      <c r="VST82" s="316"/>
      <c r="VSU82" s="316"/>
      <c r="VSV82" s="316"/>
      <c r="VSW82" s="316"/>
      <c r="VSX82" s="316"/>
      <c r="VSY82" s="316"/>
      <c r="VSZ82" s="316"/>
      <c r="VTA82" s="316"/>
      <c r="VTB82" s="316"/>
      <c r="VTC82" s="316"/>
      <c r="VTD82" s="316"/>
      <c r="VTE82" s="316"/>
      <c r="VTF82" s="316"/>
      <c r="VTG82" s="316"/>
      <c r="VTH82" s="316"/>
      <c r="VTI82" s="316"/>
      <c r="VTJ82" s="316"/>
      <c r="VTK82" s="316"/>
      <c r="VTL82" s="316"/>
      <c r="VTM82" s="316"/>
      <c r="VTN82" s="316"/>
      <c r="VTO82" s="316"/>
      <c r="VTP82" s="316"/>
      <c r="VTQ82" s="316"/>
      <c r="VTR82" s="316"/>
      <c r="VTS82" s="316"/>
      <c r="VTT82" s="316"/>
      <c r="VTU82" s="316"/>
      <c r="VTV82" s="316"/>
      <c r="VTW82" s="316"/>
      <c r="VTX82" s="316"/>
      <c r="VTY82" s="316"/>
      <c r="VTZ82" s="316"/>
      <c r="VUA82" s="316"/>
      <c r="VUB82" s="316"/>
      <c r="VUC82" s="316"/>
      <c r="VUD82" s="316"/>
      <c r="VUE82" s="316"/>
      <c r="VUF82" s="316"/>
      <c r="VUG82" s="316"/>
      <c r="VUH82" s="316"/>
      <c r="VUI82" s="316"/>
      <c r="VUJ82" s="316"/>
      <c r="VUK82" s="316"/>
      <c r="VUL82" s="316"/>
      <c r="VUM82" s="316"/>
      <c r="VUN82" s="316"/>
      <c r="VUO82" s="316"/>
      <c r="VUP82" s="316"/>
      <c r="VUQ82" s="316"/>
      <c r="VUR82" s="316"/>
      <c r="VUS82" s="316"/>
      <c r="VUT82" s="316"/>
      <c r="VUU82" s="316"/>
      <c r="VUV82" s="316"/>
      <c r="VUW82" s="316"/>
      <c r="VUX82" s="316"/>
      <c r="VUY82" s="316"/>
      <c r="VUZ82" s="316"/>
      <c r="VVA82" s="316"/>
      <c r="VVB82" s="316"/>
      <c r="VVC82" s="316"/>
      <c r="VVD82" s="316"/>
      <c r="VVE82" s="316"/>
      <c r="VVF82" s="316"/>
      <c r="VVG82" s="316"/>
      <c r="VVH82" s="316"/>
      <c r="VVI82" s="316"/>
      <c r="VVJ82" s="316"/>
      <c r="VVK82" s="316"/>
      <c r="VVL82" s="316"/>
      <c r="VVM82" s="316"/>
      <c r="VVN82" s="316"/>
      <c r="VVO82" s="316"/>
      <c r="VVP82" s="316"/>
      <c r="VVQ82" s="316"/>
      <c r="VVR82" s="316"/>
      <c r="VVS82" s="316"/>
      <c r="VVT82" s="316"/>
      <c r="VVU82" s="316"/>
      <c r="VVV82" s="316"/>
      <c r="VVW82" s="316"/>
      <c r="VVX82" s="316"/>
      <c r="VVY82" s="316"/>
      <c r="VVZ82" s="316"/>
      <c r="VWA82" s="316"/>
      <c r="VWB82" s="316"/>
      <c r="VWC82" s="316"/>
      <c r="VWD82" s="316"/>
      <c r="VWE82" s="316"/>
      <c r="VWF82" s="316"/>
      <c r="VWG82" s="316"/>
      <c r="VWH82" s="316"/>
      <c r="VWI82" s="316"/>
      <c r="VWJ82" s="316"/>
      <c r="VWK82" s="316"/>
      <c r="VWL82" s="316"/>
      <c r="VWM82" s="316"/>
      <c r="VWN82" s="316"/>
      <c r="VWO82" s="316"/>
      <c r="VWP82" s="316"/>
      <c r="VWQ82" s="316"/>
      <c r="VWR82" s="316"/>
      <c r="VWS82" s="316"/>
      <c r="VWT82" s="316"/>
      <c r="VWU82" s="316"/>
      <c r="VWV82" s="316"/>
      <c r="VWW82" s="316"/>
      <c r="VWX82" s="316"/>
      <c r="VWY82" s="316"/>
      <c r="VWZ82" s="316"/>
      <c r="VXA82" s="316"/>
      <c r="VXB82" s="316"/>
      <c r="VXC82" s="316"/>
      <c r="VXD82" s="316"/>
      <c r="VXE82" s="316"/>
      <c r="VXF82" s="316"/>
      <c r="VXG82" s="316"/>
      <c r="VXH82" s="316"/>
      <c r="VXI82" s="316"/>
      <c r="VXJ82" s="316"/>
      <c r="VXK82" s="316"/>
      <c r="VXL82" s="316"/>
      <c r="VXM82" s="316"/>
      <c r="VXN82" s="316"/>
      <c r="VXO82" s="316"/>
      <c r="VXP82" s="316"/>
      <c r="VXQ82" s="316"/>
      <c r="VXR82" s="316"/>
      <c r="VXS82" s="316"/>
      <c r="VXT82" s="316"/>
      <c r="VXU82" s="316"/>
      <c r="VXV82" s="316"/>
      <c r="VXW82" s="316"/>
      <c r="VXX82" s="316"/>
      <c r="VXY82" s="316"/>
      <c r="VXZ82" s="316"/>
      <c r="VYA82" s="316"/>
      <c r="VYB82" s="316"/>
      <c r="VYC82" s="316"/>
      <c r="VYD82" s="316"/>
      <c r="VYE82" s="316"/>
      <c r="VYF82" s="316"/>
      <c r="VYG82" s="316"/>
      <c r="VYH82" s="316"/>
      <c r="VYI82" s="316"/>
      <c r="VYJ82" s="316"/>
      <c r="VYK82" s="316"/>
      <c r="VYL82" s="316"/>
      <c r="VYM82" s="316"/>
      <c r="VYN82" s="316"/>
      <c r="VYO82" s="316"/>
      <c r="VYP82" s="316"/>
      <c r="VYQ82" s="316"/>
      <c r="VYR82" s="316"/>
      <c r="VYS82" s="316"/>
      <c r="VYT82" s="316"/>
      <c r="VYU82" s="316"/>
      <c r="VYV82" s="316"/>
      <c r="VYW82" s="316"/>
      <c r="VYX82" s="316"/>
      <c r="VYY82" s="316"/>
      <c r="VYZ82" s="316"/>
      <c r="VZA82" s="316"/>
      <c r="VZB82" s="316"/>
      <c r="VZC82" s="316"/>
      <c r="VZD82" s="316"/>
      <c r="VZE82" s="316"/>
      <c r="VZF82" s="316"/>
      <c r="VZG82" s="316"/>
      <c r="VZH82" s="316"/>
      <c r="VZI82" s="316"/>
      <c r="VZJ82" s="316"/>
      <c r="VZK82" s="316"/>
      <c r="VZL82" s="316"/>
      <c r="VZM82" s="316"/>
      <c r="VZN82" s="316"/>
      <c r="VZO82" s="316"/>
      <c r="VZP82" s="316"/>
      <c r="VZQ82" s="316"/>
      <c r="VZR82" s="316"/>
      <c r="VZS82" s="316"/>
      <c r="VZT82" s="316"/>
      <c r="VZU82" s="316"/>
      <c r="VZV82" s="316"/>
      <c r="VZW82" s="316"/>
      <c r="VZX82" s="316"/>
      <c r="VZY82" s="316"/>
      <c r="VZZ82" s="316"/>
      <c r="WAA82" s="316"/>
      <c r="WAB82" s="316"/>
      <c r="WAC82" s="316"/>
      <c r="WAD82" s="316"/>
      <c r="WAE82" s="316"/>
      <c r="WAF82" s="316"/>
      <c r="WAG82" s="316"/>
      <c r="WAH82" s="316"/>
      <c r="WAI82" s="316"/>
      <c r="WAJ82" s="316"/>
      <c r="WAK82" s="316"/>
      <c r="WAL82" s="316"/>
      <c r="WAM82" s="316"/>
      <c r="WAN82" s="316"/>
      <c r="WAO82" s="316"/>
      <c r="WAP82" s="316"/>
      <c r="WAQ82" s="316"/>
      <c r="WAR82" s="316"/>
      <c r="WAS82" s="316"/>
      <c r="WAT82" s="316"/>
      <c r="WAU82" s="316"/>
      <c r="WAV82" s="316"/>
      <c r="WAW82" s="316"/>
      <c r="WAX82" s="316"/>
      <c r="WAY82" s="316"/>
      <c r="WAZ82" s="316"/>
      <c r="WBA82" s="316"/>
      <c r="WBB82" s="316"/>
      <c r="WBC82" s="316"/>
      <c r="WBD82" s="316"/>
      <c r="WBE82" s="316"/>
      <c r="WBF82" s="316"/>
      <c r="WBG82" s="316"/>
      <c r="WBH82" s="316"/>
      <c r="WBI82" s="316"/>
      <c r="WBJ82" s="316"/>
      <c r="WBK82" s="316"/>
      <c r="WBL82" s="316"/>
      <c r="WBM82" s="316"/>
      <c r="WBN82" s="316"/>
      <c r="WBO82" s="316"/>
      <c r="WBP82" s="316"/>
      <c r="WBQ82" s="316"/>
      <c r="WBR82" s="316"/>
      <c r="WBS82" s="316"/>
      <c r="WBT82" s="316"/>
      <c r="WBU82" s="316"/>
      <c r="WBV82" s="316"/>
      <c r="WBW82" s="316"/>
      <c r="WBX82" s="316"/>
      <c r="WBY82" s="316"/>
      <c r="WBZ82" s="316"/>
      <c r="WCA82" s="316"/>
      <c r="WCB82" s="316"/>
      <c r="WCC82" s="316"/>
      <c r="WCD82" s="316"/>
      <c r="WCE82" s="316"/>
      <c r="WCF82" s="316"/>
      <c r="WCG82" s="316"/>
      <c r="WCH82" s="316"/>
      <c r="WCI82" s="316"/>
      <c r="WCJ82" s="316"/>
      <c r="WCK82" s="316"/>
      <c r="WCL82" s="316"/>
      <c r="WCM82" s="316"/>
      <c r="WCN82" s="316"/>
      <c r="WCO82" s="316"/>
      <c r="WCP82" s="316"/>
      <c r="WCQ82" s="316"/>
      <c r="WCR82" s="316"/>
      <c r="WCS82" s="316"/>
      <c r="WCT82" s="316"/>
      <c r="WCU82" s="316"/>
      <c r="WCV82" s="316"/>
      <c r="WCW82" s="316"/>
      <c r="WCX82" s="316"/>
      <c r="WCY82" s="316"/>
      <c r="WCZ82" s="316"/>
      <c r="WDA82" s="316"/>
      <c r="WDB82" s="316"/>
      <c r="WDC82" s="316"/>
      <c r="WDD82" s="316"/>
      <c r="WDE82" s="316"/>
      <c r="WDF82" s="316"/>
      <c r="WDG82" s="316"/>
      <c r="WDH82" s="316"/>
      <c r="WDI82" s="316"/>
      <c r="WDJ82" s="316"/>
      <c r="WDK82" s="316"/>
      <c r="WDL82" s="316"/>
      <c r="WDM82" s="316"/>
      <c r="WDN82" s="316"/>
      <c r="WDO82" s="316"/>
      <c r="WDP82" s="316"/>
      <c r="WDQ82" s="316"/>
      <c r="WDR82" s="316"/>
      <c r="WDS82" s="316"/>
      <c r="WDT82" s="316"/>
      <c r="WDU82" s="316"/>
      <c r="WDV82" s="316"/>
      <c r="WDW82" s="316"/>
      <c r="WDX82" s="316"/>
      <c r="WDY82" s="316"/>
      <c r="WDZ82" s="316"/>
      <c r="WEA82" s="316"/>
      <c r="WEB82" s="316"/>
      <c r="WEC82" s="316"/>
      <c r="WED82" s="316"/>
      <c r="WEE82" s="316"/>
      <c r="WEF82" s="316"/>
      <c r="WEG82" s="316"/>
      <c r="WEH82" s="316"/>
      <c r="WEI82" s="316"/>
      <c r="WEJ82" s="316"/>
      <c r="WEK82" s="316"/>
      <c r="WEL82" s="316"/>
      <c r="WEM82" s="316"/>
      <c r="WEN82" s="316"/>
      <c r="WEO82" s="316"/>
      <c r="WEP82" s="316"/>
      <c r="WEQ82" s="316"/>
      <c r="WER82" s="316"/>
      <c r="WES82" s="316"/>
      <c r="WET82" s="316"/>
      <c r="WEU82" s="316"/>
      <c r="WEV82" s="316"/>
      <c r="WEW82" s="316"/>
      <c r="WEX82" s="316"/>
      <c r="WEY82" s="316"/>
      <c r="WEZ82" s="316"/>
      <c r="WFA82" s="316"/>
      <c r="WFB82" s="316"/>
      <c r="WFC82" s="316"/>
      <c r="WFD82" s="316"/>
      <c r="WFE82" s="316"/>
      <c r="WFF82" s="316"/>
      <c r="WFG82" s="316"/>
      <c r="WFH82" s="316"/>
      <c r="WFI82" s="316"/>
      <c r="WFJ82" s="316"/>
      <c r="WFK82" s="316"/>
      <c r="WFL82" s="316"/>
      <c r="WFM82" s="316"/>
      <c r="WFN82" s="316"/>
      <c r="WFO82" s="316"/>
      <c r="WFP82" s="316"/>
      <c r="WFQ82" s="316"/>
      <c r="WFR82" s="316"/>
      <c r="WFS82" s="316"/>
      <c r="WFT82" s="316"/>
      <c r="WFU82" s="316"/>
      <c r="WFV82" s="316"/>
      <c r="WFW82" s="316"/>
      <c r="WFX82" s="316"/>
      <c r="WFY82" s="316"/>
      <c r="WFZ82" s="316"/>
      <c r="WGA82" s="316"/>
      <c r="WGB82" s="316"/>
      <c r="WGC82" s="316"/>
      <c r="WGD82" s="316"/>
      <c r="WGE82" s="316"/>
      <c r="WGF82" s="316"/>
      <c r="WGG82" s="316"/>
      <c r="WGH82" s="316"/>
      <c r="WGI82" s="316"/>
      <c r="WGJ82" s="316"/>
      <c r="WGK82" s="316"/>
      <c r="WGL82" s="316"/>
      <c r="WGM82" s="316"/>
      <c r="WGN82" s="316"/>
      <c r="WGO82" s="316"/>
      <c r="WGP82" s="316"/>
      <c r="WGQ82" s="316"/>
      <c r="WGR82" s="316"/>
      <c r="WGS82" s="316"/>
      <c r="WGT82" s="316"/>
      <c r="WGU82" s="316"/>
      <c r="WGV82" s="316"/>
      <c r="WGW82" s="316"/>
      <c r="WGX82" s="316"/>
      <c r="WGY82" s="316"/>
      <c r="WGZ82" s="316"/>
      <c r="WHA82" s="316"/>
      <c r="WHB82" s="316"/>
      <c r="WHC82" s="316"/>
      <c r="WHD82" s="316"/>
      <c r="WHE82" s="316"/>
      <c r="WHF82" s="316"/>
      <c r="WHG82" s="316"/>
      <c r="WHH82" s="316"/>
      <c r="WHI82" s="316"/>
      <c r="WHJ82" s="316"/>
      <c r="WHK82" s="316"/>
      <c r="WHL82" s="316"/>
      <c r="WHM82" s="316"/>
      <c r="WHN82" s="316"/>
      <c r="WHO82" s="316"/>
      <c r="WHP82" s="316"/>
      <c r="WHQ82" s="316"/>
      <c r="WHR82" s="316"/>
      <c r="WHS82" s="316"/>
      <c r="WHT82" s="316"/>
      <c r="WHU82" s="316"/>
      <c r="WHV82" s="316"/>
      <c r="WHW82" s="316"/>
      <c r="WHX82" s="316"/>
      <c r="WHY82" s="316"/>
      <c r="WHZ82" s="316"/>
      <c r="WIA82" s="316"/>
      <c r="WIB82" s="316"/>
      <c r="WIC82" s="316"/>
      <c r="WID82" s="316"/>
      <c r="WIE82" s="316"/>
      <c r="WIF82" s="316"/>
      <c r="WIG82" s="316"/>
      <c r="WIH82" s="316"/>
      <c r="WII82" s="316"/>
      <c r="WIJ82" s="316"/>
      <c r="WIK82" s="316"/>
      <c r="WIL82" s="316"/>
      <c r="WIM82" s="316"/>
      <c r="WIN82" s="316"/>
      <c r="WIO82" s="316"/>
      <c r="WIP82" s="316"/>
      <c r="WIQ82" s="316"/>
      <c r="WIR82" s="316"/>
      <c r="WIS82" s="316"/>
      <c r="WIT82" s="316"/>
      <c r="WIU82" s="316"/>
      <c r="WIV82" s="316"/>
      <c r="WIW82" s="316"/>
      <c r="WIX82" s="316"/>
      <c r="WIY82" s="316"/>
      <c r="WIZ82" s="316"/>
      <c r="WJA82" s="316"/>
      <c r="WJB82" s="316"/>
      <c r="WJC82" s="316"/>
      <c r="WJD82" s="316"/>
      <c r="WJE82" s="316"/>
      <c r="WJF82" s="316"/>
      <c r="WJG82" s="316"/>
      <c r="WJH82" s="316"/>
      <c r="WJI82" s="316"/>
      <c r="WJJ82" s="316"/>
      <c r="WJK82" s="316"/>
      <c r="WJL82" s="316"/>
      <c r="WJM82" s="316"/>
      <c r="WJN82" s="316"/>
      <c r="WJO82" s="316"/>
      <c r="WJP82" s="316"/>
      <c r="WJQ82" s="316"/>
      <c r="WJR82" s="316"/>
      <c r="WJS82" s="316"/>
      <c r="WJT82" s="316"/>
      <c r="WJU82" s="316"/>
      <c r="WJV82" s="316"/>
      <c r="WJW82" s="316"/>
      <c r="WJX82" s="316"/>
      <c r="WJY82" s="316"/>
      <c r="WJZ82" s="316"/>
      <c r="WKA82" s="316"/>
      <c r="WKB82" s="316"/>
      <c r="WKC82" s="316"/>
      <c r="WKD82" s="316"/>
      <c r="WKE82" s="316"/>
      <c r="WKF82" s="316"/>
      <c r="WKG82" s="316"/>
      <c r="WKH82" s="316"/>
      <c r="WKI82" s="316"/>
      <c r="WKJ82" s="316"/>
      <c r="WKK82" s="316"/>
      <c r="WKL82" s="316"/>
      <c r="WKM82" s="316"/>
      <c r="WKN82" s="316"/>
      <c r="WKO82" s="316"/>
      <c r="WKP82" s="316"/>
      <c r="WKQ82" s="316"/>
      <c r="WKR82" s="316"/>
      <c r="WKS82" s="316"/>
      <c r="WKT82" s="316"/>
      <c r="WKU82" s="316"/>
      <c r="WKV82" s="316"/>
      <c r="WKW82" s="316"/>
      <c r="WKX82" s="316"/>
      <c r="WKY82" s="316"/>
      <c r="WKZ82" s="316"/>
      <c r="WLA82" s="316"/>
      <c r="WLB82" s="316"/>
      <c r="WLC82" s="316"/>
      <c r="WLD82" s="316"/>
      <c r="WLE82" s="316"/>
      <c r="WLF82" s="316"/>
      <c r="WLG82" s="316"/>
      <c r="WLH82" s="316"/>
      <c r="WLI82" s="316"/>
      <c r="WLJ82" s="316"/>
      <c r="WLK82" s="316"/>
      <c r="WLL82" s="316"/>
      <c r="WLM82" s="316"/>
      <c r="WLN82" s="316"/>
      <c r="WLO82" s="316"/>
      <c r="WLP82" s="316"/>
      <c r="WLQ82" s="316"/>
      <c r="WLR82" s="316"/>
      <c r="WLS82" s="316"/>
      <c r="WLT82" s="316"/>
      <c r="WLU82" s="316"/>
      <c r="WLV82" s="316"/>
      <c r="WLW82" s="316"/>
      <c r="WLX82" s="316"/>
      <c r="WLY82" s="316"/>
      <c r="WLZ82" s="316"/>
      <c r="WMA82" s="316"/>
      <c r="WMB82" s="316"/>
      <c r="WMC82" s="316"/>
      <c r="WMD82" s="316"/>
      <c r="WME82" s="316"/>
      <c r="WMF82" s="316"/>
      <c r="WMG82" s="316"/>
      <c r="WMH82" s="316"/>
      <c r="WMI82" s="316"/>
      <c r="WMJ82" s="316"/>
      <c r="WMK82" s="316"/>
      <c r="WML82" s="316"/>
      <c r="WMM82" s="316"/>
      <c r="WMN82" s="316"/>
      <c r="WMO82" s="316"/>
      <c r="WMP82" s="316"/>
      <c r="WMQ82" s="316"/>
      <c r="WMR82" s="316"/>
      <c r="WMS82" s="316"/>
      <c r="WMT82" s="316"/>
      <c r="WMU82" s="316"/>
      <c r="WMV82" s="316"/>
      <c r="WMW82" s="316"/>
      <c r="WMX82" s="316"/>
      <c r="WMY82" s="316"/>
      <c r="WMZ82" s="316"/>
      <c r="WNA82" s="316"/>
      <c r="WNB82" s="316"/>
      <c r="WNC82" s="316"/>
      <c r="WND82" s="316"/>
      <c r="WNE82" s="316"/>
      <c r="WNF82" s="316"/>
      <c r="WNG82" s="316"/>
      <c r="WNH82" s="316"/>
      <c r="WNI82" s="316"/>
      <c r="WNJ82" s="316"/>
      <c r="WNK82" s="316"/>
      <c r="WNL82" s="316"/>
      <c r="WNM82" s="316"/>
      <c r="WNN82" s="316"/>
      <c r="WNO82" s="316"/>
      <c r="WNP82" s="316"/>
      <c r="WNQ82" s="316"/>
      <c r="WNR82" s="316"/>
      <c r="WNS82" s="316"/>
      <c r="WNT82" s="316"/>
      <c r="WNU82" s="316"/>
      <c r="WNV82" s="316"/>
      <c r="WNW82" s="316"/>
      <c r="WNX82" s="316"/>
      <c r="WNY82" s="316"/>
      <c r="WNZ82" s="316"/>
      <c r="WOA82" s="316"/>
      <c r="WOB82" s="316"/>
      <c r="WOC82" s="316"/>
      <c r="WOD82" s="316"/>
      <c r="WOE82" s="316"/>
      <c r="WOF82" s="316"/>
      <c r="WOG82" s="316"/>
      <c r="WOH82" s="316"/>
      <c r="WOI82" s="316"/>
      <c r="WOJ82" s="316"/>
      <c r="WOK82" s="316"/>
      <c r="WOL82" s="316"/>
      <c r="WOM82" s="316"/>
      <c r="WON82" s="316"/>
      <c r="WOO82" s="316"/>
      <c r="WOP82" s="316"/>
      <c r="WOQ82" s="316"/>
      <c r="WOR82" s="316"/>
      <c r="WOS82" s="316"/>
      <c r="WOT82" s="316"/>
      <c r="WOU82" s="316"/>
      <c r="WOV82" s="316"/>
      <c r="WOW82" s="316"/>
      <c r="WOX82" s="316"/>
      <c r="WOY82" s="316"/>
      <c r="WOZ82" s="316"/>
      <c r="WPA82" s="316"/>
      <c r="WPB82" s="316"/>
      <c r="WPC82" s="316"/>
      <c r="WPD82" s="316"/>
      <c r="WPE82" s="316"/>
      <c r="WPF82" s="316"/>
      <c r="WPG82" s="316"/>
      <c r="WPH82" s="316"/>
      <c r="WPI82" s="316"/>
      <c r="WPJ82" s="316"/>
      <c r="WPK82" s="316"/>
      <c r="WPL82" s="316"/>
      <c r="WPM82" s="316"/>
      <c r="WPN82" s="316"/>
      <c r="WPO82" s="316"/>
      <c r="WPP82" s="316"/>
      <c r="WPQ82" s="316"/>
      <c r="WPR82" s="316"/>
      <c r="WPS82" s="316"/>
      <c r="WPT82" s="316"/>
      <c r="WPU82" s="316"/>
      <c r="WPV82" s="316"/>
      <c r="WPW82" s="316"/>
      <c r="WPX82" s="316"/>
      <c r="WPY82" s="316"/>
      <c r="WPZ82" s="316"/>
      <c r="WQA82" s="316"/>
      <c r="WQB82" s="316"/>
      <c r="WQC82" s="316"/>
      <c r="WQD82" s="316"/>
      <c r="WQE82" s="316"/>
      <c r="WQF82" s="316"/>
      <c r="WQG82" s="316"/>
      <c r="WQH82" s="316"/>
      <c r="WQI82" s="316"/>
      <c r="WQJ82" s="316"/>
      <c r="WQK82" s="316"/>
      <c r="WQL82" s="316"/>
      <c r="WQM82" s="316"/>
      <c r="WQN82" s="316"/>
      <c r="WQO82" s="316"/>
      <c r="WQP82" s="316"/>
      <c r="WQQ82" s="316"/>
      <c r="WQR82" s="316"/>
      <c r="WQS82" s="316"/>
      <c r="WQT82" s="316"/>
      <c r="WQU82" s="316"/>
      <c r="WQV82" s="316"/>
      <c r="WQW82" s="316"/>
      <c r="WQX82" s="316"/>
      <c r="WQY82" s="316"/>
      <c r="WQZ82" s="316"/>
      <c r="WRA82" s="316"/>
      <c r="WRB82" s="316"/>
      <c r="WRC82" s="316"/>
      <c r="WRD82" s="316"/>
      <c r="WRE82" s="316"/>
      <c r="WRF82" s="316"/>
      <c r="WRG82" s="316"/>
      <c r="WRH82" s="316"/>
      <c r="WRI82" s="316"/>
      <c r="WRJ82" s="316"/>
      <c r="WRK82" s="316"/>
      <c r="WRL82" s="316"/>
      <c r="WRM82" s="316"/>
      <c r="WRN82" s="316"/>
      <c r="WRO82" s="316"/>
      <c r="WRP82" s="316"/>
      <c r="WRQ82" s="316"/>
      <c r="WRR82" s="316"/>
      <c r="WRS82" s="316"/>
      <c r="WRT82" s="316"/>
      <c r="WRU82" s="316"/>
      <c r="WRV82" s="316"/>
      <c r="WRW82" s="316"/>
      <c r="WRX82" s="316"/>
      <c r="WRY82" s="316"/>
      <c r="WRZ82" s="316"/>
      <c r="WSA82" s="316"/>
      <c r="WSB82" s="316"/>
      <c r="WSC82" s="316"/>
      <c r="WSD82" s="316"/>
      <c r="WSE82" s="316"/>
      <c r="WSF82" s="316"/>
      <c r="WSG82" s="316"/>
      <c r="WSH82" s="316"/>
      <c r="WSI82" s="316"/>
      <c r="WSJ82" s="316"/>
      <c r="WSK82" s="316"/>
      <c r="WSL82" s="316"/>
      <c r="WSM82" s="316"/>
      <c r="WSN82" s="316"/>
      <c r="WSO82" s="316"/>
      <c r="WSP82" s="316"/>
      <c r="WSQ82" s="316"/>
      <c r="WSR82" s="316"/>
      <c r="WSS82" s="316"/>
      <c r="WST82" s="316"/>
      <c r="WSU82" s="316"/>
      <c r="WSV82" s="316"/>
      <c r="WSW82" s="316"/>
      <c r="WSX82" s="316"/>
      <c r="WSY82" s="316"/>
      <c r="WSZ82" s="316"/>
      <c r="WTA82" s="316"/>
      <c r="WTB82" s="316"/>
      <c r="WTC82" s="316"/>
      <c r="WTD82" s="316"/>
      <c r="WTE82" s="316"/>
      <c r="WTF82" s="316"/>
      <c r="WTG82" s="316"/>
      <c r="WTH82" s="316"/>
      <c r="WTI82" s="316"/>
      <c r="WTJ82" s="316"/>
      <c r="WTK82" s="316"/>
      <c r="WTL82" s="316"/>
      <c r="WTM82" s="316"/>
      <c r="WTN82" s="316"/>
      <c r="WTO82" s="316"/>
      <c r="WTP82" s="316"/>
      <c r="WTQ82" s="316"/>
      <c r="WTR82" s="316"/>
      <c r="WTS82" s="316"/>
      <c r="WTT82" s="316"/>
      <c r="WTU82" s="316"/>
      <c r="WTV82" s="316"/>
      <c r="WTW82" s="316"/>
      <c r="WTX82" s="316"/>
      <c r="WTY82" s="316"/>
      <c r="WTZ82" s="316"/>
      <c r="WUA82" s="316"/>
      <c r="WUB82" s="316"/>
      <c r="WUC82" s="316"/>
      <c r="WUD82" s="316"/>
      <c r="WUE82" s="316"/>
      <c r="WUF82" s="316"/>
      <c r="WUG82" s="316"/>
      <c r="WUH82" s="316"/>
      <c r="WUI82" s="316"/>
      <c r="WUJ82" s="316"/>
      <c r="WUK82" s="316"/>
      <c r="WUL82" s="316"/>
      <c r="WUM82" s="316"/>
      <c r="WUN82" s="316"/>
      <c r="WUO82" s="316"/>
      <c r="WUP82" s="316"/>
      <c r="WUQ82" s="316"/>
      <c r="WUR82" s="316"/>
      <c r="WUS82" s="316"/>
      <c r="WUT82" s="316"/>
      <c r="WUU82" s="316"/>
      <c r="WUV82" s="316"/>
      <c r="WUW82" s="316"/>
      <c r="WUX82" s="316"/>
      <c r="WUY82" s="316"/>
      <c r="WUZ82" s="316"/>
      <c r="WVA82" s="316"/>
      <c r="WVB82" s="316"/>
      <c r="WVC82" s="316"/>
      <c r="WVD82" s="316"/>
      <c r="WVE82" s="316"/>
      <c r="WVF82" s="316"/>
      <c r="WVG82" s="316"/>
      <c r="WVH82" s="316"/>
      <c r="WVI82" s="316"/>
      <c r="WVJ82" s="316"/>
      <c r="WVK82" s="316"/>
      <c r="WVL82" s="316"/>
      <c r="WVM82" s="316"/>
      <c r="WVN82" s="316"/>
      <c r="WVO82" s="316"/>
      <c r="WVP82" s="316"/>
      <c r="WVQ82" s="316"/>
      <c r="WVR82" s="316"/>
      <c r="WVS82" s="316"/>
      <c r="WVT82" s="316"/>
      <c r="WVU82" s="316"/>
      <c r="WVV82" s="316"/>
      <c r="WVW82" s="316"/>
      <c r="WVX82" s="316"/>
      <c r="WVY82" s="316"/>
      <c r="WVZ82" s="316"/>
      <c r="WWA82" s="316"/>
      <c r="WWB82" s="316"/>
      <c r="WWC82" s="316"/>
      <c r="WWD82" s="316"/>
      <c r="WWE82" s="316"/>
      <c r="WWF82" s="316"/>
      <c r="WWG82" s="316"/>
      <c r="WWH82" s="316"/>
      <c r="WWI82" s="316"/>
      <c r="WWJ82" s="316"/>
      <c r="WWK82" s="316"/>
      <c r="WWL82" s="316"/>
      <c r="WWM82" s="316"/>
      <c r="WWN82" s="316"/>
      <c r="WWO82" s="316"/>
      <c r="WWP82" s="316"/>
      <c r="WWQ82" s="316"/>
      <c r="WWR82" s="316"/>
      <c r="WWS82" s="316"/>
      <c r="WWT82" s="316"/>
      <c r="WWU82" s="316"/>
      <c r="WWV82" s="316"/>
      <c r="WWW82" s="316"/>
      <c r="WWX82" s="316"/>
      <c r="WWY82" s="316"/>
      <c r="WWZ82" s="316"/>
      <c r="WXA82" s="316"/>
      <c r="WXB82" s="316"/>
      <c r="WXC82" s="316"/>
      <c r="WXD82" s="316"/>
      <c r="WXE82" s="316"/>
      <c r="WXF82" s="316"/>
      <c r="WXG82" s="316"/>
      <c r="WXH82" s="316"/>
      <c r="WXI82" s="316"/>
      <c r="WXJ82" s="316"/>
      <c r="WXK82" s="316"/>
      <c r="WXL82" s="316"/>
      <c r="WXM82" s="316"/>
      <c r="WXN82" s="316"/>
      <c r="WXO82" s="316"/>
      <c r="WXP82" s="316"/>
      <c r="WXQ82" s="316"/>
      <c r="WXR82" s="316"/>
      <c r="WXS82" s="316"/>
      <c r="WXT82" s="316"/>
      <c r="WXU82" s="316"/>
      <c r="WXV82" s="316"/>
      <c r="WXW82" s="316"/>
      <c r="WXX82" s="316"/>
      <c r="WXY82" s="316"/>
      <c r="WXZ82" s="316"/>
      <c r="WYA82" s="316"/>
      <c r="WYB82" s="316"/>
      <c r="WYC82" s="316"/>
      <c r="WYD82" s="316"/>
      <c r="WYE82" s="316"/>
      <c r="WYF82" s="316"/>
      <c r="WYG82" s="316"/>
      <c r="WYH82" s="316"/>
      <c r="WYI82" s="316"/>
      <c r="WYJ82" s="316"/>
      <c r="WYK82" s="316"/>
      <c r="WYL82" s="316"/>
      <c r="WYM82" s="316"/>
      <c r="WYN82" s="316"/>
      <c r="WYO82" s="316"/>
      <c r="WYP82" s="316"/>
      <c r="WYQ82" s="316"/>
      <c r="WYR82" s="316"/>
      <c r="WYS82" s="316"/>
      <c r="WYT82" s="316"/>
      <c r="WYU82" s="316"/>
      <c r="WYV82" s="316"/>
      <c r="WYW82" s="316"/>
      <c r="WYX82" s="316"/>
      <c r="WYY82" s="316"/>
      <c r="WYZ82" s="316"/>
      <c r="WZA82" s="316"/>
      <c r="WZB82" s="316"/>
      <c r="WZC82" s="316"/>
      <c r="WZD82" s="316"/>
      <c r="WZE82" s="316"/>
      <c r="WZF82" s="316"/>
      <c r="WZG82" s="316"/>
      <c r="WZH82" s="316"/>
      <c r="WZI82" s="316"/>
      <c r="WZJ82" s="316"/>
      <c r="WZK82" s="316"/>
      <c r="WZL82" s="316"/>
      <c r="WZM82" s="316"/>
      <c r="WZN82" s="316"/>
      <c r="WZO82" s="316"/>
      <c r="WZP82" s="316"/>
      <c r="WZQ82" s="316"/>
      <c r="WZR82" s="316"/>
      <c r="WZS82" s="316"/>
      <c r="WZT82" s="316"/>
      <c r="WZU82" s="316"/>
      <c r="WZV82" s="316"/>
      <c r="WZW82" s="316"/>
      <c r="WZX82" s="316"/>
      <c r="WZY82" s="316"/>
      <c r="WZZ82" s="316"/>
      <c r="XAA82" s="316"/>
      <c r="XAB82" s="316"/>
      <c r="XAC82" s="316"/>
      <c r="XAD82" s="316"/>
      <c r="XAE82" s="316"/>
      <c r="XAF82" s="316"/>
      <c r="XAG82" s="316"/>
      <c r="XAH82" s="316"/>
      <c r="XAI82" s="316"/>
      <c r="XAJ82" s="316"/>
      <c r="XAK82" s="316"/>
      <c r="XAL82" s="316"/>
      <c r="XAM82" s="316"/>
      <c r="XAN82" s="316"/>
      <c r="XAO82" s="316"/>
      <c r="XAP82" s="316"/>
      <c r="XAQ82" s="316"/>
      <c r="XAR82" s="316"/>
      <c r="XAS82" s="316"/>
      <c r="XAT82" s="316"/>
      <c r="XAU82" s="316"/>
      <c r="XAV82" s="316"/>
      <c r="XAW82" s="316"/>
      <c r="XAX82" s="316"/>
      <c r="XAY82" s="316"/>
      <c r="XAZ82" s="316"/>
      <c r="XBA82" s="316"/>
      <c r="XBB82" s="316"/>
      <c r="XBC82" s="316"/>
      <c r="XBD82" s="316"/>
      <c r="XBE82" s="316"/>
      <c r="XBF82" s="316"/>
      <c r="XBG82" s="316"/>
      <c r="XBH82" s="316"/>
      <c r="XBI82" s="316"/>
      <c r="XBJ82" s="316"/>
      <c r="XBK82" s="316"/>
      <c r="XBL82" s="316"/>
      <c r="XBM82" s="316"/>
      <c r="XBN82" s="316"/>
      <c r="XBO82" s="316"/>
      <c r="XBP82" s="316"/>
      <c r="XBQ82" s="316"/>
      <c r="XBR82" s="316"/>
      <c r="XBS82" s="316"/>
      <c r="XBT82" s="316"/>
      <c r="XBU82" s="316"/>
      <c r="XBV82" s="316"/>
      <c r="XBW82" s="316"/>
      <c r="XBX82" s="316"/>
      <c r="XBY82" s="316"/>
      <c r="XBZ82" s="316"/>
      <c r="XCA82" s="316"/>
      <c r="XCB82" s="316"/>
      <c r="XCC82" s="316"/>
      <c r="XCD82" s="316"/>
      <c r="XCE82" s="316"/>
      <c r="XCF82" s="316"/>
      <c r="XCG82" s="316"/>
      <c r="XCH82" s="316"/>
      <c r="XCI82" s="316"/>
      <c r="XCJ82" s="316"/>
      <c r="XCK82" s="316"/>
      <c r="XCL82" s="316"/>
      <c r="XCM82" s="316"/>
      <c r="XCN82" s="316"/>
      <c r="XCO82" s="316"/>
      <c r="XCP82" s="316"/>
      <c r="XCQ82" s="316"/>
      <c r="XCR82" s="316"/>
      <c r="XCS82" s="316"/>
      <c r="XCT82" s="316"/>
      <c r="XCU82" s="316"/>
      <c r="XCV82" s="316"/>
      <c r="XCW82" s="316"/>
      <c r="XCX82" s="316"/>
      <c r="XCY82" s="316"/>
      <c r="XCZ82" s="316"/>
      <c r="XDA82" s="316"/>
      <c r="XDB82" s="316"/>
      <c r="XDC82" s="316"/>
      <c r="XDD82" s="316"/>
      <c r="XDE82" s="316"/>
      <c r="XDF82" s="316"/>
      <c r="XDG82" s="316"/>
      <c r="XDH82" s="316"/>
      <c r="XDI82" s="316"/>
      <c r="XDJ82" s="316"/>
      <c r="XDK82" s="316"/>
      <c r="XDL82" s="316"/>
      <c r="XDM82" s="316"/>
      <c r="XDN82" s="316"/>
      <c r="XDO82" s="316"/>
      <c r="XDP82" s="316"/>
      <c r="XDQ82" s="316"/>
      <c r="XDR82" s="316"/>
      <c r="XDS82" s="316"/>
      <c r="XDT82" s="316"/>
      <c r="XDU82" s="316"/>
      <c r="XDV82" s="316"/>
      <c r="XDW82" s="316"/>
      <c r="XDX82" s="316"/>
      <c r="XDY82" s="316"/>
      <c r="XDZ82" s="316"/>
      <c r="XEA82" s="316"/>
      <c r="XEB82" s="316"/>
      <c r="XEC82" s="316"/>
      <c r="XED82" s="316"/>
      <c r="XEE82" s="316"/>
      <c r="XEF82" s="316"/>
      <c r="XEG82" s="316"/>
    </row>
    <row r="83" spans="1:16361" ht="18" customHeight="1">
      <c r="A83" s="402"/>
      <c r="B83" s="402"/>
      <c r="C83" s="408" t="s">
        <v>963</v>
      </c>
      <c r="D83" s="408"/>
      <c r="E83" s="408"/>
      <c r="F83" s="409" t="s">
        <v>960</v>
      </c>
      <c r="G83" s="412">
        <v>1</v>
      </c>
      <c r="H83" s="415">
        <f>I82*0.1</f>
        <v>80143.581999999995</v>
      </c>
      <c r="I83" s="418">
        <f>G83*H83</f>
        <v>80143.581999999995</v>
      </c>
      <c r="J83" s="434"/>
    </row>
    <row r="84" spans="1:16361" ht="18" customHeight="1">
      <c r="A84" s="402"/>
      <c r="B84" s="402"/>
      <c r="C84" s="408" t="s">
        <v>964</v>
      </c>
      <c r="D84" s="408"/>
      <c r="E84" s="408"/>
      <c r="F84" s="410"/>
      <c r="G84" s="413"/>
      <c r="H84" s="416"/>
      <c r="I84" s="419"/>
      <c r="J84" s="434"/>
    </row>
    <row r="85" spans="1:16361" ht="18" customHeight="1">
      <c r="A85" s="402"/>
      <c r="B85" s="402"/>
      <c r="C85" s="408" t="s">
        <v>965</v>
      </c>
      <c r="D85" s="408"/>
      <c r="E85" s="408"/>
      <c r="F85" s="411"/>
      <c r="G85" s="414"/>
      <c r="H85" s="417"/>
      <c r="I85" s="420"/>
      <c r="J85" s="434"/>
    </row>
    <row r="86" spans="1:16361" ht="18" customHeight="1">
      <c r="A86" s="402"/>
      <c r="B86" s="402"/>
      <c r="C86" s="408" t="s">
        <v>972</v>
      </c>
      <c r="D86" s="408"/>
      <c r="E86" s="408"/>
      <c r="F86" s="330"/>
      <c r="G86" s="319">
        <v>1</v>
      </c>
      <c r="H86" s="326">
        <f>I86</f>
        <v>30000</v>
      </c>
      <c r="I86" s="336">
        <v>30000</v>
      </c>
      <c r="J86" s="434"/>
    </row>
    <row r="87" spans="1:16361" ht="18" customHeight="1">
      <c r="A87" s="402"/>
      <c r="B87" s="402"/>
      <c r="C87" s="403" t="s">
        <v>973</v>
      </c>
      <c r="D87" s="403"/>
      <c r="E87" s="403"/>
      <c r="F87" s="330"/>
      <c r="G87" s="315"/>
      <c r="H87" s="315"/>
      <c r="I87" s="333">
        <f>SUM(I83:I86)</f>
        <v>110143.58199999999</v>
      </c>
      <c r="J87" s="434"/>
    </row>
    <row r="88" spans="1:16361" ht="18" customHeight="1">
      <c r="A88" s="317"/>
      <c r="B88" s="317"/>
      <c r="C88" s="431" t="s">
        <v>974</v>
      </c>
      <c r="D88" s="432"/>
      <c r="E88" s="433"/>
      <c r="F88" s="330"/>
      <c r="G88" s="315"/>
      <c r="H88" s="315"/>
      <c r="I88" s="333">
        <f>I82+I87</f>
        <v>911579.402</v>
      </c>
      <c r="J88" s="434"/>
    </row>
    <row r="89" spans="1:16361" ht="18" customHeight="1">
      <c r="A89" s="324"/>
      <c r="B89" s="324"/>
      <c r="C89" s="425" t="s">
        <v>1026</v>
      </c>
      <c r="D89" s="425"/>
      <c r="E89" s="425"/>
      <c r="F89" s="325"/>
      <c r="G89" s="326"/>
      <c r="H89" s="326"/>
      <c r="I89" s="326"/>
      <c r="J89" s="313">
        <f>SUM(J3:J88)</f>
        <v>2860377</v>
      </c>
    </row>
  </sheetData>
  <mergeCells count="139">
    <mergeCell ref="C89:E89"/>
    <mergeCell ref="A1:J1"/>
    <mergeCell ref="C88:E88"/>
    <mergeCell ref="J3:J16"/>
    <mergeCell ref="J17:J25"/>
    <mergeCell ref="J26:J43"/>
    <mergeCell ref="J44:J54"/>
    <mergeCell ref="J55:J65"/>
    <mergeCell ref="J66:J76"/>
    <mergeCell ref="J77:J88"/>
    <mergeCell ref="H83:H85"/>
    <mergeCell ref="I83:I85"/>
    <mergeCell ref="C84:E84"/>
    <mergeCell ref="C85:E85"/>
    <mergeCell ref="C86:E86"/>
    <mergeCell ref="C87:E87"/>
    <mergeCell ref="D80:E80"/>
    <mergeCell ref="D81:E81"/>
    <mergeCell ref="C82:E82"/>
    <mergeCell ref="C83:E83"/>
    <mergeCell ref="F83:F85"/>
    <mergeCell ref="G83:G85"/>
    <mergeCell ref="C74:E74"/>
    <mergeCell ref="C75:E75"/>
    <mergeCell ref="C76:E76"/>
    <mergeCell ref="A77:A87"/>
    <mergeCell ref="B77:B87"/>
    <mergeCell ref="C77:C79"/>
    <mergeCell ref="D77:E77"/>
    <mergeCell ref="D78:E78"/>
    <mergeCell ref="D79:E79"/>
    <mergeCell ref="C80:C81"/>
    <mergeCell ref="C70:E70"/>
    <mergeCell ref="A66:A75"/>
    <mergeCell ref="B66:B75"/>
    <mergeCell ref="F60:F62"/>
    <mergeCell ref="G60:G62"/>
    <mergeCell ref="H60:H62"/>
    <mergeCell ref="I60:I62"/>
    <mergeCell ref="C61:E61"/>
    <mergeCell ref="C62:E62"/>
    <mergeCell ref="C53:E53"/>
    <mergeCell ref="C54:E54"/>
    <mergeCell ref="F70:F73"/>
    <mergeCell ref="G70:G73"/>
    <mergeCell ref="H70:H73"/>
    <mergeCell ref="I70:I73"/>
    <mergeCell ref="C71:E71"/>
    <mergeCell ref="C72:E72"/>
    <mergeCell ref="C73:E73"/>
    <mergeCell ref="C63:E63"/>
    <mergeCell ref="C64:E64"/>
    <mergeCell ref="C65:E65"/>
    <mergeCell ref="C66:C67"/>
    <mergeCell ref="D66:E66"/>
    <mergeCell ref="D67:E67"/>
    <mergeCell ref="D68:E68"/>
    <mergeCell ref="C69:E69"/>
    <mergeCell ref="A55:A64"/>
    <mergeCell ref="B55:B64"/>
    <mergeCell ref="C55:C58"/>
    <mergeCell ref="D55:E55"/>
    <mergeCell ref="D56:E56"/>
    <mergeCell ref="D57:E57"/>
    <mergeCell ref="D58:E58"/>
    <mergeCell ref="C59:E59"/>
    <mergeCell ref="C49:E49"/>
    <mergeCell ref="C50:E50"/>
    <mergeCell ref="C60:E60"/>
    <mergeCell ref="F50:F52"/>
    <mergeCell ref="G50:G52"/>
    <mergeCell ref="H50:H52"/>
    <mergeCell ref="I50:I52"/>
    <mergeCell ref="C51:E51"/>
    <mergeCell ref="C52:E52"/>
    <mergeCell ref="C42:E42"/>
    <mergeCell ref="C43:E43"/>
    <mergeCell ref="A44:A53"/>
    <mergeCell ref="B44:B53"/>
    <mergeCell ref="C44:C48"/>
    <mergeCell ref="D44:E44"/>
    <mergeCell ref="D45:E45"/>
    <mergeCell ref="D46:E46"/>
    <mergeCell ref="D47:E47"/>
    <mergeCell ref="D48:E48"/>
    <mergeCell ref="A26:A42"/>
    <mergeCell ref="B26:B42"/>
    <mergeCell ref="C38:E38"/>
    <mergeCell ref="C39:E39"/>
    <mergeCell ref="F39:F41"/>
    <mergeCell ref="G39:G41"/>
    <mergeCell ref="H39:H41"/>
    <mergeCell ref="I39:I41"/>
    <mergeCell ref="C40:E40"/>
    <mergeCell ref="C41:E41"/>
    <mergeCell ref="C25:E25"/>
    <mergeCell ref="C26:C37"/>
    <mergeCell ref="D26:D32"/>
    <mergeCell ref="D33:E33"/>
    <mergeCell ref="D34:E34"/>
    <mergeCell ref="D35:E35"/>
    <mergeCell ref="D36:E36"/>
    <mergeCell ref="D37:E37"/>
    <mergeCell ref="F20:F23"/>
    <mergeCell ref="G20:G23"/>
    <mergeCell ref="H20:H23"/>
    <mergeCell ref="I20:I23"/>
    <mergeCell ref="C21:E21"/>
    <mergeCell ref="C22:E22"/>
    <mergeCell ref="C23:E23"/>
    <mergeCell ref="C16:E16"/>
    <mergeCell ref="A17:A24"/>
    <mergeCell ref="B17:B24"/>
    <mergeCell ref="D17:E17"/>
    <mergeCell ref="D18:E18"/>
    <mergeCell ref="C19:E19"/>
    <mergeCell ref="C20:E20"/>
    <mergeCell ref="C24:E24"/>
    <mergeCell ref="H11:H13"/>
    <mergeCell ref="I11:I13"/>
    <mergeCell ref="C12:E12"/>
    <mergeCell ref="C13:E13"/>
    <mergeCell ref="C14:E14"/>
    <mergeCell ref="C15:E15"/>
    <mergeCell ref="D8:E8"/>
    <mergeCell ref="D9:E9"/>
    <mergeCell ref="C10:E10"/>
    <mergeCell ref="C11:E11"/>
    <mergeCell ref="F11:F13"/>
    <mergeCell ref="G11:G13"/>
    <mergeCell ref="D2:E2"/>
    <mergeCell ref="A3:A15"/>
    <mergeCell ref="B3:B15"/>
    <mergeCell ref="C3:C9"/>
    <mergeCell ref="D3:E3"/>
    <mergeCell ref="D4:E4"/>
    <mergeCell ref="D5:E5"/>
    <mergeCell ref="D6:E6"/>
    <mergeCell ref="D7:E7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dimension ref="A1:K10"/>
  <sheetViews>
    <sheetView workbookViewId="0">
      <selection activeCell="A11" sqref="A11:XFD23"/>
    </sheetView>
  </sheetViews>
  <sheetFormatPr defaultColWidth="9" defaultRowHeight="45" customHeight="1"/>
  <cols>
    <col min="1" max="1" width="5.5" style="338" customWidth="1"/>
    <col min="2" max="2" width="36.125" style="339" customWidth="1"/>
    <col min="3" max="3" width="44.875" style="338" customWidth="1"/>
    <col min="4" max="9" width="12.625" style="340" customWidth="1"/>
    <col min="10" max="10" width="12.625" style="341" customWidth="1"/>
    <col min="11" max="11" width="13.875" style="338" bestFit="1" customWidth="1"/>
    <col min="12" max="16384" width="9" style="338"/>
  </cols>
  <sheetData>
    <row r="1" spans="1:11" ht="45" customHeight="1">
      <c r="A1" s="437" t="s">
        <v>1045</v>
      </c>
      <c r="B1" s="438"/>
      <c r="C1" s="438"/>
      <c r="D1" s="438"/>
      <c r="E1" s="438"/>
      <c r="F1" s="438"/>
      <c r="G1" s="438"/>
      <c r="H1" s="438"/>
      <c r="I1" s="438"/>
      <c r="J1" s="438"/>
    </row>
    <row r="2" spans="1:11" s="345" customFormat="1" ht="20.100000000000001" customHeight="1">
      <c r="A2" s="342" t="s">
        <v>1</v>
      </c>
      <c r="B2" s="177" t="s">
        <v>594</v>
      </c>
      <c r="C2" s="342" t="s">
        <v>2</v>
      </c>
      <c r="D2" s="343" t="s">
        <v>1038</v>
      </c>
      <c r="E2" s="343" t="s">
        <v>1039</v>
      </c>
      <c r="F2" s="343" t="s">
        <v>1040</v>
      </c>
      <c r="G2" s="343" t="s">
        <v>1041</v>
      </c>
      <c r="H2" s="343" t="s">
        <v>1042</v>
      </c>
      <c r="I2" s="343" t="s">
        <v>1043</v>
      </c>
      <c r="J2" s="344" t="s">
        <v>1044</v>
      </c>
    </row>
    <row r="3" spans="1:11" s="347" customFormat="1" ht="20.100000000000001" customHeight="1">
      <c r="A3" s="342">
        <v>1</v>
      </c>
      <c r="B3" s="337" t="s">
        <v>1027</v>
      </c>
      <c r="C3" s="337" t="s">
        <v>1028</v>
      </c>
      <c r="D3" s="346">
        <v>273965</v>
      </c>
      <c r="E3" s="346">
        <v>249252</v>
      </c>
      <c r="F3" s="346">
        <v>243543.72</v>
      </c>
      <c r="G3" s="346">
        <v>19620</v>
      </c>
      <c r="H3" s="346">
        <f t="shared" ref="H3:H6" si="0">+F3+G3</f>
        <v>263163.71999999997</v>
      </c>
      <c r="I3" s="346">
        <v>273965</v>
      </c>
      <c r="J3" s="346">
        <f t="shared" ref="J3:J9" si="1">+H3-I3</f>
        <v>-10801.280000000028</v>
      </c>
      <c r="K3" s="345"/>
    </row>
    <row r="4" spans="1:11" s="347" customFormat="1" ht="20.100000000000001" customHeight="1">
      <c r="A4" s="342">
        <v>2</v>
      </c>
      <c r="B4" s="337" t="s">
        <v>422</v>
      </c>
      <c r="C4" s="337" t="s">
        <v>1029</v>
      </c>
      <c r="D4" s="346">
        <v>234556</v>
      </c>
      <c r="E4" s="346">
        <v>201630</v>
      </c>
      <c r="F4" s="346">
        <v>192745</v>
      </c>
      <c r="G4" s="346">
        <v>31120</v>
      </c>
      <c r="H4" s="346">
        <f t="shared" si="0"/>
        <v>223865</v>
      </c>
      <c r="I4" s="346">
        <v>234556</v>
      </c>
      <c r="J4" s="346">
        <f t="shared" si="1"/>
        <v>-10691</v>
      </c>
      <c r="K4" s="345"/>
    </row>
    <row r="5" spans="1:11" s="347" customFormat="1" ht="20.100000000000001" customHeight="1">
      <c r="A5" s="342">
        <v>3</v>
      </c>
      <c r="B5" s="337" t="s">
        <v>425</v>
      </c>
      <c r="C5" s="337" t="s">
        <v>1030</v>
      </c>
      <c r="D5" s="346">
        <v>735233</v>
      </c>
      <c r="E5" s="346">
        <v>608870</v>
      </c>
      <c r="F5" s="346">
        <v>608248</v>
      </c>
      <c r="G5" s="346">
        <v>57272</v>
      </c>
      <c r="H5" s="346">
        <f t="shared" si="0"/>
        <v>665520</v>
      </c>
      <c r="I5" s="346">
        <v>735233</v>
      </c>
      <c r="J5" s="346">
        <f t="shared" si="1"/>
        <v>-69713</v>
      </c>
      <c r="K5" s="345"/>
    </row>
    <row r="6" spans="1:11" s="347" customFormat="1" ht="20.100000000000001" customHeight="1">
      <c r="A6" s="342">
        <v>4</v>
      </c>
      <c r="B6" s="337" t="s">
        <v>1031</v>
      </c>
      <c r="C6" s="337" t="s">
        <v>1031</v>
      </c>
      <c r="D6" s="346">
        <v>213675</v>
      </c>
      <c r="E6" s="346">
        <v>193511</v>
      </c>
      <c r="F6" s="346">
        <v>186369.79</v>
      </c>
      <c r="G6" s="346">
        <v>15640</v>
      </c>
      <c r="H6" s="346">
        <f t="shared" si="0"/>
        <v>202009.79</v>
      </c>
      <c r="I6" s="346">
        <v>213675</v>
      </c>
      <c r="J6" s="346">
        <f t="shared" si="1"/>
        <v>-11665.209999999992</v>
      </c>
      <c r="K6" s="345"/>
    </row>
    <row r="7" spans="1:11" s="347" customFormat="1" ht="20.100000000000001" customHeight="1">
      <c r="A7" s="342">
        <v>5</v>
      </c>
      <c r="B7" s="337" t="s">
        <v>1032</v>
      </c>
      <c r="C7" s="337" t="s">
        <v>1033</v>
      </c>
      <c r="D7" s="346">
        <v>10395</v>
      </c>
      <c r="E7" s="346">
        <v>9319</v>
      </c>
      <c r="F7" s="346">
        <v>9170</v>
      </c>
      <c r="G7" s="346">
        <v>910</v>
      </c>
      <c r="H7" s="346">
        <f>F7+G7</f>
        <v>10080</v>
      </c>
      <c r="I7" s="346">
        <v>10395</v>
      </c>
      <c r="J7" s="346">
        <f t="shared" si="1"/>
        <v>-315</v>
      </c>
      <c r="K7" s="345"/>
    </row>
    <row r="8" spans="1:11" s="347" customFormat="1" ht="20.100000000000001" customHeight="1">
      <c r="A8" s="342">
        <v>6</v>
      </c>
      <c r="B8" s="337" t="s">
        <v>1034</v>
      </c>
      <c r="C8" s="337" t="s">
        <v>1035</v>
      </c>
      <c r="D8" s="346">
        <v>145530</v>
      </c>
      <c r="E8" s="346">
        <v>131109</v>
      </c>
      <c r="F8" s="346">
        <v>124657</v>
      </c>
      <c r="G8" s="346">
        <f>5600+720+3900+720</f>
        <v>10940</v>
      </c>
      <c r="H8" s="346">
        <f t="shared" ref="H8:H9" si="2">+F8+G8</f>
        <v>135597</v>
      </c>
      <c r="I8" s="346">
        <v>145530</v>
      </c>
      <c r="J8" s="346">
        <f t="shared" si="1"/>
        <v>-9933</v>
      </c>
      <c r="K8" s="345"/>
    </row>
    <row r="9" spans="1:11" s="347" customFormat="1" ht="20.100000000000001" customHeight="1">
      <c r="A9" s="342">
        <v>7</v>
      </c>
      <c r="B9" s="337" t="s">
        <v>417</v>
      </c>
      <c r="C9" s="337" t="s">
        <v>1036</v>
      </c>
      <c r="D9" s="346">
        <v>1023099</v>
      </c>
      <c r="E9" s="346">
        <v>808492</v>
      </c>
      <c r="F9" s="346">
        <v>801547.36</v>
      </c>
      <c r="G9" s="346">
        <v>77618</v>
      </c>
      <c r="H9" s="346">
        <f t="shared" si="2"/>
        <v>879165.36</v>
      </c>
      <c r="I9" s="346">
        <v>1023099</v>
      </c>
      <c r="J9" s="346">
        <f t="shared" si="1"/>
        <v>-143933.64000000001</v>
      </c>
      <c r="K9" s="345"/>
    </row>
    <row r="10" spans="1:11" s="351" customFormat="1" ht="20.100000000000001" customHeight="1">
      <c r="A10" s="348"/>
      <c r="B10" s="349"/>
      <c r="C10" s="349" t="s">
        <v>1037</v>
      </c>
      <c r="D10" s="144">
        <f t="shared" ref="D10:J10" si="3">SUM(D3:D9)</f>
        <v>2636453</v>
      </c>
      <c r="E10" s="144">
        <f t="shared" si="3"/>
        <v>2202183</v>
      </c>
      <c r="F10" s="144">
        <f t="shared" si="3"/>
        <v>2166280.87</v>
      </c>
      <c r="G10" s="144">
        <f t="shared" si="3"/>
        <v>213120</v>
      </c>
      <c r="H10" s="144">
        <f t="shared" si="3"/>
        <v>2379400.87</v>
      </c>
      <c r="I10" s="144">
        <f t="shared" si="3"/>
        <v>2636453</v>
      </c>
      <c r="J10" s="144">
        <f t="shared" si="3"/>
        <v>-257052.13000000003</v>
      </c>
      <c r="K10" s="350"/>
    </row>
  </sheetData>
  <mergeCells count="1">
    <mergeCell ref="A1:J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landscape" verticalDpi="0" r:id="rId1"/>
  <headerFooter>
    <oddFooter>第 &amp;P 页，共 &amp;N 页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dimension ref="A1:I14"/>
  <sheetViews>
    <sheetView workbookViewId="0">
      <selection activeCell="A15" sqref="A15:XFD86"/>
    </sheetView>
  </sheetViews>
  <sheetFormatPr defaultRowHeight="13.5" outlineLevelRow="2"/>
  <cols>
    <col min="1" max="1" width="10.25" style="189" customWidth="1"/>
    <col min="2" max="2" width="24.125" style="189" customWidth="1"/>
    <col min="3" max="3" width="9.5" style="189" customWidth="1"/>
    <col min="4" max="4" width="18.875" style="192" customWidth="1"/>
    <col min="5" max="5" width="23.375" style="192" customWidth="1"/>
    <col min="6" max="6" width="28.5" style="192" customWidth="1"/>
    <col min="7" max="7" width="8.125" style="192" customWidth="1"/>
    <col min="8" max="8" width="11.375" style="192" customWidth="1"/>
    <col min="9" max="9" width="10.125" style="192" customWidth="1"/>
    <col min="10" max="16384" width="9" style="192"/>
  </cols>
  <sheetData>
    <row r="1" spans="1:9" s="189" customFormat="1" ht="22.5">
      <c r="A1" s="439" t="s">
        <v>705</v>
      </c>
      <c r="B1" s="440"/>
      <c r="C1" s="440"/>
      <c r="D1" s="440"/>
      <c r="E1" s="440"/>
      <c r="F1" s="440"/>
      <c r="G1" s="440"/>
      <c r="H1" s="440"/>
      <c r="I1" s="440"/>
    </row>
    <row r="2" spans="1:9">
      <c r="A2" s="190" t="s">
        <v>556</v>
      </c>
      <c r="B2" s="190" t="s">
        <v>594</v>
      </c>
      <c r="C2" s="190" t="s">
        <v>706</v>
      </c>
      <c r="D2" s="191" t="s">
        <v>2</v>
      </c>
      <c r="E2" s="191" t="s">
        <v>688</v>
      </c>
      <c r="F2" s="191" t="s">
        <v>689</v>
      </c>
      <c r="G2" s="190" t="s">
        <v>690</v>
      </c>
      <c r="H2" s="190" t="s">
        <v>691</v>
      </c>
      <c r="I2" s="190" t="s">
        <v>692</v>
      </c>
    </row>
    <row r="3" spans="1:9" outlineLevel="2">
      <c r="A3" s="196" t="s">
        <v>550</v>
      </c>
      <c r="B3" s="194" t="s">
        <v>718</v>
      </c>
      <c r="C3" s="193" t="s">
        <v>707</v>
      </c>
      <c r="D3" s="195" t="s">
        <v>708</v>
      </c>
      <c r="E3" s="195" t="s">
        <v>709</v>
      </c>
      <c r="F3" s="195" t="s">
        <v>710</v>
      </c>
      <c r="G3" s="196">
        <v>1</v>
      </c>
      <c r="H3" s="197">
        <v>100000</v>
      </c>
      <c r="I3" s="197">
        <f t="shared" ref="I3:I13" si="0">G3*H3</f>
        <v>100000</v>
      </c>
    </row>
    <row r="4" spans="1:9">
      <c r="A4" s="196" t="s">
        <v>550</v>
      </c>
      <c r="B4" s="194" t="s">
        <v>718</v>
      </c>
      <c r="C4" s="193" t="s">
        <v>707</v>
      </c>
      <c r="D4" s="195" t="s">
        <v>708</v>
      </c>
      <c r="E4" s="195" t="s">
        <v>711</v>
      </c>
      <c r="F4" s="195" t="s">
        <v>712</v>
      </c>
      <c r="G4" s="196">
        <v>1</v>
      </c>
      <c r="H4" s="197">
        <v>100000</v>
      </c>
      <c r="I4" s="197">
        <f t="shared" si="0"/>
        <v>100000</v>
      </c>
    </row>
    <row r="5" spans="1:9">
      <c r="A5" s="196" t="s">
        <v>550</v>
      </c>
      <c r="B5" s="194" t="s">
        <v>719</v>
      </c>
      <c r="C5" s="193" t="s">
        <v>707</v>
      </c>
      <c r="D5" s="195" t="s">
        <v>708</v>
      </c>
      <c r="E5" s="195" t="s">
        <v>709</v>
      </c>
      <c r="F5" s="195" t="s">
        <v>710</v>
      </c>
      <c r="G5" s="196">
        <v>1</v>
      </c>
      <c r="H5" s="197">
        <v>100000</v>
      </c>
      <c r="I5" s="197">
        <f t="shared" si="0"/>
        <v>100000</v>
      </c>
    </row>
    <row r="6" spans="1:9">
      <c r="A6" s="196" t="s">
        <v>550</v>
      </c>
      <c r="B6" s="194" t="s">
        <v>720</v>
      </c>
      <c r="C6" s="193" t="s">
        <v>707</v>
      </c>
      <c r="D6" s="195" t="s">
        <v>708</v>
      </c>
      <c r="E6" s="195" t="s">
        <v>709</v>
      </c>
      <c r="F6" s="195" t="s">
        <v>710</v>
      </c>
      <c r="G6" s="196">
        <v>1</v>
      </c>
      <c r="H6" s="197">
        <v>100000</v>
      </c>
      <c r="I6" s="197">
        <f t="shared" si="0"/>
        <v>100000</v>
      </c>
    </row>
    <row r="7" spans="1:9">
      <c r="A7" s="196" t="s">
        <v>550</v>
      </c>
      <c r="B7" s="194" t="s">
        <v>721</v>
      </c>
      <c r="C7" s="193" t="s">
        <v>707</v>
      </c>
      <c r="D7" s="195" t="s">
        <v>708</v>
      </c>
      <c r="E7" s="195" t="s">
        <v>709</v>
      </c>
      <c r="F7" s="195" t="s">
        <v>710</v>
      </c>
      <c r="G7" s="196">
        <v>1</v>
      </c>
      <c r="H7" s="197">
        <v>100000</v>
      </c>
      <c r="I7" s="197">
        <f t="shared" si="0"/>
        <v>100000</v>
      </c>
    </row>
    <row r="8" spans="1:9">
      <c r="A8" s="196" t="s">
        <v>550</v>
      </c>
      <c r="B8" s="194" t="s">
        <v>722</v>
      </c>
      <c r="C8" s="193" t="s">
        <v>707</v>
      </c>
      <c r="D8" s="195" t="s">
        <v>708</v>
      </c>
      <c r="E8" s="195" t="s">
        <v>711</v>
      </c>
      <c r="F8" s="195" t="s">
        <v>712</v>
      </c>
      <c r="G8" s="196">
        <v>1</v>
      </c>
      <c r="H8" s="197">
        <v>100000</v>
      </c>
      <c r="I8" s="197">
        <f t="shared" si="0"/>
        <v>100000</v>
      </c>
    </row>
    <row r="9" spans="1:9">
      <c r="A9" s="196" t="s">
        <v>550</v>
      </c>
      <c r="B9" s="194" t="s">
        <v>722</v>
      </c>
      <c r="C9" s="193" t="s">
        <v>707</v>
      </c>
      <c r="D9" s="195" t="s">
        <v>713</v>
      </c>
      <c r="E9" s="195" t="s">
        <v>714</v>
      </c>
      <c r="F9" s="195" t="s">
        <v>715</v>
      </c>
      <c r="G9" s="196">
        <v>1</v>
      </c>
      <c r="H9" s="197">
        <v>40000</v>
      </c>
      <c r="I9" s="197">
        <f t="shared" si="0"/>
        <v>40000</v>
      </c>
    </row>
    <row r="10" spans="1:9">
      <c r="A10" s="196" t="s">
        <v>550</v>
      </c>
      <c r="B10" s="194" t="s">
        <v>718</v>
      </c>
      <c r="C10" s="193" t="s">
        <v>707</v>
      </c>
      <c r="D10" s="195" t="s">
        <v>713</v>
      </c>
      <c r="E10" s="195" t="s">
        <v>714</v>
      </c>
      <c r="F10" s="195" t="s">
        <v>715</v>
      </c>
      <c r="G10" s="196">
        <v>1</v>
      </c>
      <c r="H10" s="197">
        <v>40000</v>
      </c>
      <c r="I10" s="197">
        <f t="shared" si="0"/>
        <v>40000</v>
      </c>
    </row>
    <row r="11" spans="1:9">
      <c r="A11" s="196" t="s">
        <v>550</v>
      </c>
      <c r="B11" s="198" t="s">
        <v>723</v>
      </c>
      <c r="C11" s="193" t="s">
        <v>716</v>
      </c>
      <c r="D11" s="195" t="s">
        <v>717</v>
      </c>
      <c r="E11" s="195" t="s">
        <v>717</v>
      </c>
      <c r="F11" s="195" t="s">
        <v>717</v>
      </c>
      <c r="G11" s="196">
        <v>1</v>
      </c>
      <c r="H11" s="197">
        <v>11380</v>
      </c>
      <c r="I11" s="197">
        <f t="shared" si="0"/>
        <v>11380</v>
      </c>
    </row>
    <row r="12" spans="1:9">
      <c r="A12" s="196" t="s">
        <v>550</v>
      </c>
      <c r="B12" s="198" t="s">
        <v>724</v>
      </c>
      <c r="C12" s="193" t="s">
        <v>716</v>
      </c>
      <c r="D12" s="195" t="s">
        <v>717</v>
      </c>
      <c r="E12" s="195" t="s">
        <v>717</v>
      </c>
      <c r="F12" s="195" t="s">
        <v>717</v>
      </c>
      <c r="G12" s="196">
        <v>1</v>
      </c>
      <c r="H12" s="197">
        <v>163328.6</v>
      </c>
      <c r="I12" s="197">
        <f t="shared" si="0"/>
        <v>163328.6</v>
      </c>
    </row>
    <row r="13" spans="1:9">
      <c r="A13" s="196" t="s">
        <v>550</v>
      </c>
      <c r="B13" s="194" t="s">
        <v>725</v>
      </c>
      <c r="C13" s="193" t="s">
        <v>716</v>
      </c>
      <c r="D13" s="195" t="s">
        <v>713</v>
      </c>
      <c r="E13" s="195" t="s">
        <v>714</v>
      </c>
      <c r="F13" s="195" t="s">
        <v>715</v>
      </c>
      <c r="G13" s="196">
        <v>1</v>
      </c>
      <c r="H13" s="197">
        <v>40000</v>
      </c>
      <c r="I13" s="197">
        <f t="shared" si="0"/>
        <v>40000</v>
      </c>
    </row>
    <row r="14" spans="1:9">
      <c r="A14" s="199" t="s">
        <v>562</v>
      </c>
      <c r="B14" s="194"/>
      <c r="C14" s="193"/>
      <c r="D14" s="195"/>
      <c r="E14" s="195"/>
      <c r="F14" s="195"/>
      <c r="G14" s="196"/>
      <c r="H14" s="197"/>
      <c r="I14" s="197">
        <f>SUBTOTAL(9,I3:I13)</f>
        <v>894708.6</v>
      </c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dimension ref="A1:G18"/>
  <sheetViews>
    <sheetView workbookViewId="0">
      <selection activeCell="A19" sqref="A19:XFD102"/>
    </sheetView>
  </sheetViews>
  <sheetFormatPr defaultRowHeight="13.5"/>
  <cols>
    <col min="1" max="1" width="8" style="209" customWidth="1"/>
    <col min="2" max="2" width="29.5" style="201" customWidth="1"/>
    <col min="3" max="3" width="20.125" style="201" customWidth="1"/>
    <col min="4" max="4" width="34.5" style="201" customWidth="1"/>
    <col min="5" max="5" width="8.125" style="201" customWidth="1"/>
    <col min="6" max="6" width="7.75" style="201" customWidth="1"/>
    <col min="7" max="7" width="10" style="201" customWidth="1"/>
    <col min="8" max="8" width="13.625" style="201" customWidth="1"/>
    <col min="9" max="16384" width="9" style="201"/>
  </cols>
  <sheetData>
    <row r="1" spans="1:7" ht="18.75">
      <c r="A1" s="441" t="s">
        <v>726</v>
      </c>
      <c r="B1" s="441"/>
      <c r="C1" s="441"/>
      <c r="D1" s="441"/>
      <c r="E1" s="441"/>
      <c r="F1" s="441"/>
      <c r="G1" s="441"/>
    </row>
    <row r="2" spans="1:7" s="203" customFormat="1" ht="18" customHeight="1">
      <c r="A2" s="202" t="s">
        <v>556</v>
      </c>
      <c r="B2" s="202" t="s">
        <v>727</v>
      </c>
      <c r="C2" s="202" t="s">
        <v>688</v>
      </c>
      <c r="D2" s="202" t="s">
        <v>689</v>
      </c>
      <c r="E2" s="202" t="s">
        <v>690</v>
      </c>
      <c r="F2" s="202" t="s">
        <v>691</v>
      </c>
      <c r="G2" s="202" t="s">
        <v>692</v>
      </c>
    </row>
    <row r="3" spans="1:7" s="203" customFormat="1" ht="18" customHeight="1">
      <c r="A3" s="204" t="s">
        <v>537</v>
      </c>
      <c r="B3" s="204" t="s">
        <v>734</v>
      </c>
      <c r="C3" s="204" t="s">
        <v>728</v>
      </c>
      <c r="D3" s="204" t="s">
        <v>729</v>
      </c>
      <c r="E3" s="204">
        <v>320</v>
      </c>
      <c r="F3" s="204">
        <v>46</v>
      </c>
      <c r="G3" s="194">
        <f t="shared" ref="G3:G17" si="0">E3*F3</f>
        <v>14720</v>
      </c>
    </row>
    <row r="4" spans="1:7" s="203" customFormat="1" ht="18" customHeight="1">
      <c r="A4" s="204" t="s">
        <v>537</v>
      </c>
      <c r="B4" s="204" t="s">
        <v>735</v>
      </c>
      <c r="C4" s="204" t="s">
        <v>728</v>
      </c>
      <c r="D4" s="204" t="s">
        <v>729</v>
      </c>
      <c r="E4" s="204">
        <v>273</v>
      </c>
      <c r="F4" s="204">
        <v>46</v>
      </c>
      <c r="G4" s="194">
        <f t="shared" si="0"/>
        <v>12558</v>
      </c>
    </row>
    <row r="5" spans="1:7" s="203" customFormat="1" ht="18" customHeight="1">
      <c r="A5" s="204" t="s">
        <v>537</v>
      </c>
      <c r="B5" s="204" t="s">
        <v>736</v>
      </c>
      <c r="C5" s="204" t="s">
        <v>728</v>
      </c>
      <c r="D5" s="204" t="s">
        <v>729</v>
      </c>
      <c r="E5" s="204">
        <v>473</v>
      </c>
      <c r="F5" s="204">
        <v>46</v>
      </c>
      <c r="G5" s="194">
        <f t="shared" si="0"/>
        <v>21758</v>
      </c>
    </row>
    <row r="6" spans="1:7" s="203" customFormat="1" ht="18" customHeight="1">
      <c r="A6" s="204" t="s">
        <v>537</v>
      </c>
      <c r="B6" s="204" t="s">
        <v>737</v>
      </c>
      <c r="C6" s="204" t="s">
        <v>728</v>
      </c>
      <c r="D6" s="204" t="s">
        <v>729</v>
      </c>
      <c r="E6" s="204">
        <v>433</v>
      </c>
      <c r="F6" s="204">
        <v>46</v>
      </c>
      <c r="G6" s="194">
        <f t="shared" si="0"/>
        <v>19918</v>
      </c>
    </row>
    <row r="7" spans="1:7" s="203" customFormat="1" ht="18" customHeight="1">
      <c r="A7" s="204" t="s">
        <v>537</v>
      </c>
      <c r="B7" s="204" t="s">
        <v>738</v>
      </c>
      <c r="C7" s="204" t="s">
        <v>728</v>
      </c>
      <c r="D7" s="204" t="s">
        <v>729</v>
      </c>
      <c r="E7" s="204">
        <v>744</v>
      </c>
      <c r="F7" s="204">
        <v>46</v>
      </c>
      <c r="G7" s="194">
        <f t="shared" si="0"/>
        <v>34224</v>
      </c>
    </row>
    <row r="8" spans="1:7" s="203" customFormat="1" ht="18" customHeight="1">
      <c r="A8" s="204" t="s">
        <v>537</v>
      </c>
      <c r="B8" s="204" t="s">
        <v>435</v>
      </c>
      <c r="C8" s="204" t="s">
        <v>728</v>
      </c>
      <c r="D8" s="204" t="s">
        <v>729</v>
      </c>
      <c r="E8" s="204">
        <v>144</v>
      </c>
      <c r="F8" s="204">
        <v>46</v>
      </c>
      <c r="G8" s="194">
        <f t="shared" si="0"/>
        <v>6624</v>
      </c>
    </row>
    <row r="9" spans="1:7" s="203" customFormat="1" ht="18" customHeight="1">
      <c r="A9" s="204" t="s">
        <v>537</v>
      </c>
      <c r="B9" s="204" t="s">
        <v>421</v>
      </c>
      <c r="C9" s="204" t="s">
        <v>728</v>
      </c>
      <c r="D9" s="204" t="s">
        <v>729</v>
      </c>
      <c r="E9" s="204">
        <v>360</v>
      </c>
      <c r="F9" s="204">
        <v>46</v>
      </c>
      <c r="G9" s="194">
        <f t="shared" si="0"/>
        <v>16560</v>
      </c>
    </row>
    <row r="10" spans="1:7" s="203" customFormat="1" ht="18" customHeight="1">
      <c r="A10" s="204" t="s">
        <v>537</v>
      </c>
      <c r="B10" s="204" t="s">
        <v>420</v>
      </c>
      <c r="C10" s="204" t="s">
        <v>728</v>
      </c>
      <c r="D10" s="204" t="s">
        <v>729</v>
      </c>
      <c r="E10" s="204">
        <v>701</v>
      </c>
      <c r="F10" s="204">
        <v>46</v>
      </c>
      <c r="G10" s="194">
        <f t="shared" si="0"/>
        <v>32246</v>
      </c>
    </row>
    <row r="11" spans="1:7" s="203" customFormat="1" ht="18" customHeight="1">
      <c r="A11" s="204" t="s">
        <v>537</v>
      </c>
      <c r="B11" s="204" t="s">
        <v>420</v>
      </c>
      <c r="C11" s="204" t="s">
        <v>728</v>
      </c>
      <c r="D11" s="204" t="s">
        <v>729</v>
      </c>
      <c r="E11" s="204">
        <v>804</v>
      </c>
      <c r="F11" s="204">
        <v>46</v>
      </c>
      <c r="G11" s="194">
        <f t="shared" si="0"/>
        <v>36984</v>
      </c>
    </row>
    <row r="12" spans="1:7" s="203" customFormat="1" ht="18" customHeight="1">
      <c r="A12" s="207" t="s">
        <v>550</v>
      </c>
      <c r="B12" s="207" t="s">
        <v>425</v>
      </c>
      <c r="C12" s="206" t="s">
        <v>730</v>
      </c>
      <c r="D12" s="206" t="s">
        <v>731</v>
      </c>
      <c r="E12" s="206">
        <v>1</v>
      </c>
      <c r="F12" s="206">
        <v>50000</v>
      </c>
      <c r="G12" s="194">
        <f t="shared" si="0"/>
        <v>50000</v>
      </c>
    </row>
    <row r="13" spans="1:7" s="203" customFormat="1" ht="18" customHeight="1">
      <c r="A13" s="208" t="s">
        <v>550</v>
      </c>
      <c r="B13" s="208" t="s">
        <v>739</v>
      </c>
      <c r="C13" s="208" t="s">
        <v>740</v>
      </c>
      <c r="D13" s="208" t="s">
        <v>741</v>
      </c>
      <c r="E13" s="208">
        <v>2</v>
      </c>
      <c r="F13" s="208">
        <v>100000</v>
      </c>
      <c r="G13" s="194">
        <f t="shared" si="0"/>
        <v>200000</v>
      </c>
    </row>
    <row r="14" spans="1:7" s="203" customFormat="1" ht="18" customHeight="1">
      <c r="A14" s="206" t="s">
        <v>550</v>
      </c>
      <c r="B14" s="206" t="s">
        <v>417</v>
      </c>
      <c r="C14" s="206" t="s">
        <v>730</v>
      </c>
      <c r="D14" s="206" t="s">
        <v>731</v>
      </c>
      <c r="E14" s="206">
        <v>1</v>
      </c>
      <c r="F14" s="206">
        <v>50000</v>
      </c>
      <c r="G14" s="194">
        <f t="shared" si="0"/>
        <v>50000</v>
      </c>
    </row>
    <row r="15" spans="1:7" s="203" customFormat="1" ht="18" customHeight="1">
      <c r="A15" s="204" t="s">
        <v>537</v>
      </c>
      <c r="B15" s="204" t="s">
        <v>424</v>
      </c>
      <c r="C15" s="204" t="s">
        <v>728</v>
      </c>
      <c r="D15" s="204" t="s">
        <v>729</v>
      </c>
      <c r="E15" s="204">
        <v>600</v>
      </c>
      <c r="F15" s="204">
        <v>46</v>
      </c>
      <c r="G15" s="194">
        <f t="shared" si="0"/>
        <v>27600</v>
      </c>
    </row>
    <row r="16" spans="1:7" s="203" customFormat="1" ht="18" customHeight="1">
      <c r="A16" s="204" t="s">
        <v>537</v>
      </c>
      <c r="B16" s="204" t="s">
        <v>424</v>
      </c>
      <c r="C16" s="204" t="s">
        <v>728</v>
      </c>
      <c r="D16" s="204" t="s">
        <v>742</v>
      </c>
      <c r="E16" s="204">
        <v>1</v>
      </c>
      <c r="F16" s="204">
        <v>45000</v>
      </c>
      <c r="G16" s="194">
        <f t="shared" si="0"/>
        <v>45000</v>
      </c>
    </row>
    <row r="17" spans="1:7" s="203" customFormat="1" ht="18" customHeight="1">
      <c r="A17" s="204" t="s">
        <v>550</v>
      </c>
      <c r="B17" s="204" t="s">
        <v>743</v>
      </c>
      <c r="C17" s="208" t="s">
        <v>732</v>
      </c>
      <c r="D17" s="208" t="s">
        <v>733</v>
      </c>
      <c r="E17" s="208">
        <v>1</v>
      </c>
      <c r="F17" s="208">
        <v>80000</v>
      </c>
      <c r="G17" s="194">
        <f t="shared" si="0"/>
        <v>80000</v>
      </c>
    </row>
    <row r="18" spans="1:7" s="203" customFormat="1" ht="18" customHeight="1">
      <c r="A18" s="205" t="s">
        <v>562</v>
      </c>
      <c r="B18" s="204"/>
      <c r="C18" s="208"/>
      <c r="D18" s="208"/>
      <c r="E18" s="208"/>
      <c r="F18" s="208"/>
      <c r="G18" s="194">
        <f>SUBTOTAL(9,G3:G17)</f>
        <v>648192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dimension ref="A1:J11"/>
  <sheetViews>
    <sheetView workbookViewId="0">
      <selection activeCell="H3" sqref="H3:H10"/>
    </sheetView>
  </sheetViews>
  <sheetFormatPr defaultRowHeight="12"/>
  <cols>
    <col min="1" max="1" width="8.75" style="230" customWidth="1"/>
    <col min="2" max="2" width="23.5" style="210" customWidth="1"/>
    <col min="3" max="3" width="28.125" style="210" customWidth="1"/>
    <col min="4" max="4" width="20.25" style="210" customWidth="1"/>
    <col min="5" max="5" width="40.875" style="210" customWidth="1"/>
    <col min="6" max="6" width="7.625" style="210" customWidth="1"/>
    <col min="7" max="7" width="9.375" style="210" customWidth="1"/>
    <col min="8" max="8" width="11.5" style="210" customWidth="1"/>
    <col min="9" max="9" width="15.875" style="213" customWidth="1"/>
    <col min="10" max="10" width="11.625" style="210" customWidth="1"/>
    <col min="11" max="256" width="9" style="210"/>
    <col min="257" max="257" width="13.25" style="210" customWidth="1"/>
    <col min="258" max="258" width="29" style="210" customWidth="1"/>
    <col min="259" max="259" width="26" style="210" customWidth="1"/>
    <col min="260" max="260" width="20.25" style="210" customWidth="1"/>
    <col min="261" max="261" width="40.875" style="210" customWidth="1"/>
    <col min="262" max="263" width="13.125" style="210" customWidth="1"/>
    <col min="264" max="264" width="11.5" style="210" customWidth="1"/>
    <col min="265" max="265" width="15.875" style="210" customWidth="1"/>
    <col min="266" max="266" width="11.625" style="210" customWidth="1"/>
    <col min="267" max="512" width="9" style="210"/>
    <col min="513" max="513" width="13.25" style="210" customWidth="1"/>
    <col min="514" max="514" width="29" style="210" customWidth="1"/>
    <col min="515" max="515" width="26" style="210" customWidth="1"/>
    <col min="516" max="516" width="20.25" style="210" customWidth="1"/>
    <col min="517" max="517" width="40.875" style="210" customWidth="1"/>
    <col min="518" max="519" width="13.125" style="210" customWidth="1"/>
    <col min="520" max="520" width="11.5" style="210" customWidth="1"/>
    <col min="521" max="521" width="15.875" style="210" customWidth="1"/>
    <col min="522" max="522" width="11.625" style="210" customWidth="1"/>
    <col min="523" max="768" width="9" style="210"/>
    <col min="769" max="769" width="13.25" style="210" customWidth="1"/>
    <col min="770" max="770" width="29" style="210" customWidth="1"/>
    <col min="771" max="771" width="26" style="210" customWidth="1"/>
    <col min="772" max="772" width="20.25" style="210" customWidth="1"/>
    <col min="773" max="773" width="40.875" style="210" customWidth="1"/>
    <col min="774" max="775" width="13.125" style="210" customWidth="1"/>
    <col min="776" max="776" width="11.5" style="210" customWidth="1"/>
    <col min="777" max="777" width="15.875" style="210" customWidth="1"/>
    <col min="778" max="778" width="11.625" style="210" customWidth="1"/>
    <col min="779" max="1024" width="9" style="210"/>
    <col min="1025" max="1025" width="13.25" style="210" customWidth="1"/>
    <col min="1026" max="1026" width="29" style="210" customWidth="1"/>
    <col min="1027" max="1027" width="26" style="210" customWidth="1"/>
    <col min="1028" max="1028" width="20.25" style="210" customWidth="1"/>
    <col min="1029" max="1029" width="40.875" style="210" customWidth="1"/>
    <col min="1030" max="1031" width="13.125" style="210" customWidth="1"/>
    <col min="1032" max="1032" width="11.5" style="210" customWidth="1"/>
    <col min="1033" max="1033" width="15.875" style="210" customWidth="1"/>
    <col min="1034" max="1034" width="11.625" style="210" customWidth="1"/>
    <col min="1035" max="1280" width="9" style="210"/>
    <col min="1281" max="1281" width="13.25" style="210" customWidth="1"/>
    <col min="1282" max="1282" width="29" style="210" customWidth="1"/>
    <col min="1283" max="1283" width="26" style="210" customWidth="1"/>
    <col min="1284" max="1284" width="20.25" style="210" customWidth="1"/>
    <col min="1285" max="1285" width="40.875" style="210" customWidth="1"/>
    <col min="1286" max="1287" width="13.125" style="210" customWidth="1"/>
    <col min="1288" max="1288" width="11.5" style="210" customWidth="1"/>
    <col min="1289" max="1289" width="15.875" style="210" customWidth="1"/>
    <col min="1290" max="1290" width="11.625" style="210" customWidth="1"/>
    <col min="1291" max="1536" width="9" style="210"/>
    <col min="1537" max="1537" width="13.25" style="210" customWidth="1"/>
    <col min="1538" max="1538" width="29" style="210" customWidth="1"/>
    <col min="1539" max="1539" width="26" style="210" customWidth="1"/>
    <col min="1540" max="1540" width="20.25" style="210" customWidth="1"/>
    <col min="1541" max="1541" width="40.875" style="210" customWidth="1"/>
    <col min="1542" max="1543" width="13.125" style="210" customWidth="1"/>
    <col min="1544" max="1544" width="11.5" style="210" customWidth="1"/>
    <col min="1545" max="1545" width="15.875" style="210" customWidth="1"/>
    <col min="1546" max="1546" width="11.625" style="210" customWidth="1"/>
    <col min="1547" max="1792" width="9" style="210"/>
    <col min="1793" max="1793" width="13.25" style="210" customWidth="1"/>
    <col min="1794" max="1794" width="29" style="210" customWidth="1"/>
    <col min="1795" max="1795" width="26" style="210" customWidth="1"/>
    <col min="1796" max="1796" width="20.25" style="210" customWidth="1"/>
    <col min="1797" max="1797" width="40.875" style="210" customWidth="1"/>
    <col min="1798" max="1799" width="13.125" style="210" customWidth="1"/>
    <col min="1800" max="1800" width="11.5" style="210" customWidth="1"/>
    <col min="1801" max="1801" width="15.875" style="210" customWidth="1"/>
    <col min="1802" max="1802" width="11.625" style="210" customWidth="1"/>
    <col min="1803" max="2048" width="9" style="210"/>
    <col min="2049" max="2049" width="13.25" style="210" customWidth="1"/>
    <col min="2050" max="2050" width="29" style="210" customWidth="1"/>
    <col min="2051" max="2051" width="26" style="210" customWidth="1"/>
    <col min="2052" max="2052" width="20.25" style="210" customWidth="1"/>
    <col min="2053" max="2053" width="40.875" style="210" customWidth="1"/>
    <col min="2054" max="2055" width="13.125" style="210" customWidth="1"/>
    <col min="2056" max="2056" width="11.5" style="210" customWidth="1"/>
    <col min="2057" max="2057" width="15.875" style="210" customWidth="1"/>
    <col min="2058" max="2058" width="11.625" style="210" customWidth="1"/>
    <col min="2059" max="2304" width="9" style="210"/>
    <col min="2305" max="2305" width="13.25" style="210" customWidth="1"/>
    <col min="2306" max="2306" width="29" style="210" customWidth="1"/>
    <col min="2307" max="2307" width="26" style="210" customWidth="1"/>
    <col min="2308" max="2308" width="20.25" style="210" customWidth="1"/>
    <col min="2309" max="2309" width="40.875" style="210" customWidth="1"/>
    <col min="2310" max="2311" width="13.125" style="210" customWidth="1"/>
    <col min="2312" max="2312" width="11.5" style="210" customWidth="1"/>
    <col min="2313" max="2313" width="15.875" style="210" customWidth="1"/>
    <col min="2314" max="2314" width="11.625" style="210" customWidth="1"/>
    <col min="2315" max="2560" width="9" style="210"/>
    <col min="2561" max="2561" width="13.25" style="210" customWidth="1"/>
    <col min="2562" max="2562" width="29" style="210" customWidth="1"/>
    <col min="2563" max="2563" width="26" style="210" customWidth="1"/>
    <col min="2564" max="2564" width="20.25" style="210" customWidth="1"/>
    <col min="2565" max="2565" width="40.875" style="210" customWidth="1"/>
    <col min="2566" max="2567" width="13.125" style="210" customWidth="1"/>
    <col min="2568" max="2568" width="11.5" style="210" customWidth="1"/>
    <col min="2569" max="2569" width="15.875" style="210" customWidth="1"/>
    <col min="2570" max="2570" width="11.625" style="210" customWidth="1"/>
    <col min="2571" max="2816" width="9" style="210"/>
    <col min="2817" max="2817" width="13.25" style="210" customWidth="1"/>
    <col min="2818" max="2818" width="29" style="210" customWidth="1"/>
    <col min="2819" max="2819" width="26" style="210" customWidth="1"/>
    <col min="2820" max="2820" width="20.25" style="210" customWidth="1"/>
    <col min="2821" max="2821" width="40.875" style="210" customWidth="1"/>
    <col min="2822" max="2823" width="13.125" style="210" customWidth="1"/>
    <col min="2824" max="2824" width="11.5" style="210" customWidth="1"/>
    <col min="2825" max="2825" width="15.875" style="210" customWidth="1"/>
    <col min="2826" max="2826" width="11.625" style="210" customWidth="1"/>
    <col min="2827" max="3072" width="9" style="210"/>
    <col min="3073" max="3073" width="13.25" style="210" customWidth="1"/>
    <col min="3074" max="3074" width="29" style="210" customWidth="1"/>
    <col min="3075" max="3075" width="26" style="210" customWidth="1"/>
    <col min="3076" max="3076" width="20.25" style="210" customWidth="1"/>
    <col min="3077" max="3077" width="40.875" style="210" customWidth="1"/>
    <col min="3078" max="3079" width="13.125" style="210" customWidth="1"/>
    <col min="3080" max="3080" width="11.5" style="210" customWidth="1"/>
    <col min="3081" max="3081" width="15.875" style="210" customWidth="1"/>
    <col min="3082" max="3082" width="11.625" style="210" customWidth="1"/>
    <col min="3083" max="3328" width="9" style="210"/>
    <col min="3329" max="3329" width="13.25" style="210" customWidth="1"/>
    <col min="3330" max="3330" width="29" style="210" customWidth="1"/>
    <col min="3331" max="3331" width="26" style="210" customWidth="1"/>
    <col min="3332" max="3332" width="20.25" style="210" customWidth="1"/>
    <col min="3333" max="3333" width="40.875" style="210" customWidth="1"/>
    <col min="3334" max="3335" width="13.125" style="210" customWidth="1"/>
    <col min="3336" max="3336" width="11.5" style="210" customWidth="1"/>
    <col min="3337" max="3337" width="15.875" style="210" customWidth="1"/>
    <col min="3338" max="3338" width="11.625" style="210" customWidth="1"/>
    <col min="3339" max="3584" width="9" style="210"/>
    <col min="3585" max="3585" width="13.25" style="210" customWidth="1"/>
    <col min="3586" max="3586" width="29" style="210" customWidth="1"/>
    <col min="3587" max="3587" width="26" style="210" customWidth="1"/>
    <col min="3588" max="3588" width="20.25" style="210" customWidth="1"/>
    <col min="3589" max="3589" width="40.875" style="210" customWidth="1"/>
    <col min="3590" max="3591" width="13.125" style="210" customWidth="1"/>
    <col min="3592" max="3592" width="11.5" style="210" customWidth="1"/>
    <col min="3593" max="3593" width="15.875" style="210" customWidth="1"/>
    <col min="3594" max="3594" width="11.625" style="210" customWidth="1"/>
    <col min="3595" max="3840" width="9" style="210"/>
    <col min="3841" max="3841" width="13.25" style="210" customWidth="1"/>
    <col min="3842" max="3842" width="29" style="210" customWidth="1"/>
    <col min="3843" max="3843" width="26" style="210" customWidth="1"/>
    <col min="3844" max="3844" width="20.25" style="210" customWidth="1"/>
    <col min="3845" max="3845" width="40.875" style="210" customWidth="1"/>
    <col min="3846" max="3847" width="13.125" style="210" customWidth="1"/>
    <col min="3848" max="3848" width="11.5" style="210" customWidth="1"/>
    <col min="3849" max="3849" width="15.875" style="210" customWidth="1"/>
    <col min="3850" max="3850" width="11.625" style="210" customWidth="1"/>
    <col min="3851" max="4096" width="9" style="210"/>
    <col min="4097" max="4097" width="13.25" style="210" customWidth="1"/>
    <col min="4098" max="4098" width="29" style="210" customWidth="1"/>
    <col min="4099" max="4099" width="26" style="210" customWidth="1"/>
    <col min="4100" max="4100" width="20.25" style="210" customWidth="1"/>
    <col min="4101" max="4101" width="40.875" style="210" customWidth="1"/>
    <col min="4102" max="4103" width="13.125" style="210" customWidth="1"/>
    <col min="4104" max="4104" width="11.5" style="210" customWidth="1"/>
    <col min="4105" max="4105" width="15.875" style="210" customWidth="1"/>
    <col min="4106" max="4106" width="11.625" style="210" customWidth="1"/>
    <col min="4107" max="4352" width="9" style="210"/>
    <col min="4353" max="4353" width="13.25" style="210" customWidth="1"/>
    <col min="4354" max="4354" width="29" style="210" customWidth="1"/>
    <col min="4355" max="4355" width="26" style="210" customWidth="1"/>
    <col min="4356" max="4356" width="20.25" style="210" customWidth="1"/>
    <col min="4357" max="4357" width="40.875" style="210" customWidth="1"/>
    <col min="4358" max="4359" width="13.125" style="210" customWidth="1"/>
    <col min="4360" max="4360" width="11.5" style="210" customWidth="1"/>
    <col min="4361" max="4361" width="15.875" style="210" customWidth="1"/>
    <col min="4362" max="4362" width="11.625" style="210" customWidth="1"/>
    <col min="4363" max="4608" width="9" style="210"/>
    <col min="4609" max="4609" width="13.25" style="210" customWidth="1"/>
    <col min="4610" max="4610" width="29" style="210" customWidth="1"/>
    <col min="4611" max="4611" width="26" style="210" customWidth="1"/>
    <col min="4612" max="4612" width="20.25" style="210" customWidth="1"/>
    <col min="4613" max="4613" width="40.875" style="210" customWidth="1"/>
    <col min="4614" max="4615" width="13.125" style="210" customWidth="1"/>
    <col min="4616" max="4616" width="11.5" style="210" customWidth="1"/>
    <col min="4617" max="4617" width="15.875" style="210" customWidth="1"/>
    <col min="4618" max="4618" width="11.625" style="210" customWidth="1"/>
    <col min="4619" max="4864" width="9" style="210"/>
    <col min="4865" max="4865" width="13.25" style="210" customWidth="1"/>
    <col min="4866" max="4866" width="29" style="210" customWidth="1"/>
    <col min="4867" max="4867" width="26" style="210" customWidth="1"/>
    <col min="4868" max="4868" width="20.25" style="210" customWidth="1"/>
    <col min="4869" max="4869" width="40.875" style="210" customWidth="1"/>
    <col min="4870" max="4871" width="13.125" style="210" customWidth="1"/>
    <col min="4872" max="4872" width="11.5" style="210" customWidth="1"/>
    <col min="4873" max="4873" width="15.875" style="210" customWidth="1"/>
    <col min="4874" max="4874" width="11.625" style="210" customWidth="1"/>
    <col min="4875" max="5120" width="9" style="210"/>
    <col min="5121" max="5121" width="13.25" style="210" customWidth="1"/>
    <col min="5122" max="5122" width="29" style="210" customWidth="1"/>
    <col min="5123" max="5123" width="26" style="210" customWidth="1"/>
    <col min="5124" max="5124" width="20.25" style="210" customWidth="1"/>
    <col min="5125" max="5125" width="40.875" style="210" customWidth="1"/>
    <col min="5126" max="5127" width="13.125" style="210" customWidth="1"/>
    <col min="5128" max="5128" width="11.5" style="210" customWidth="1"/>
    <col min="5129" max="5129" width="15.875" style="210" customWidth="1"/>
    <col min="5130" max="5130" width="11.625" style="210" customWidth="1"/>
    <col min="5131" max="5376" width="9" style="210"/>
    <col min="5377" max="5377" width="13.25" style="210" customWidth="1"/>
    <col min="5378" max="5378" width="29" style="210" customWidth="1"/>
    <col min="5379" max="5379" width="26" style="210" customWidth="1"/>
    <col min="5380" max="5380" width="20.25" style="210" customWidth="1"/>
    <col min="5381" max="5381" width="40.875" style="210" customWidth="1"/>
    <col min="5382" max="5383" width="13.125" style="210" customWidth="1"/>
    <col min="5384" max="5384" width="11.5" style="210" customWidth="1"/>
    <col min="5385" max="5385" width="15.875" style="210" customWidth="1"/>
    <col min="5386" max="5386" width="11.625" style="210" customWidth="1"/>
    <col min="5387" max="5632" width="9" style="210"/>
    <col min="5633" max="5633" width="13.25" style="210" customWidth="1"/>
    <col min="5634" max="5634" width="29" style="210" customWidth="1"/>
    <col min="5635" max="5635" width="26" style="210" customWidth="1"/>
    <col min="5636" max="5636" width="20.25" style="210" customWidth="1"/>
    <col min="5637" max="5637" width="40.875" style="210" customWidth="1"/>
    <col min="5638" max="5639" width="13.125" style="210" customWidth="1"/>
    <col min="5640" max="5640" width="11.5" style="210" customWidth="1"/>
    <col min="5641" max="5641" width="15.875" style="210" customWidth="1"/>
    <col min="5642" max="5642" width="11.625" style="210" customWidth="1"/>
    <col min="5643" max="5888" width="9" style="210"/>
    <col min="5889" max="5889" width="13.25" style="210" customWidth="1"/>
    <col min="5890" max="5890" width="29" style="210" customWidth="1"/>
    <col min="5891" max="5891" width="26" style="210" customWidth="1"/>
    <col min="5892" max="5892" width="20.25" style="210" customWidth="1"/>
    <col min="5893" max="5893" width="40.875" style="210" customWidth="1"/>
    <col min="5894" max="5895" width="13.125" style="210" customWidth="1"/>
    <col min="5896" max="5896" width="11.5" style="210" customWidth="1"/>
    <col min="5897" max="5897" width="15.875" style="210" customWidth="1"/>
    <col min="5898" max="5898" width="11.625" style="210" customWidth="1"/>
    <col min="5899" max="6144" width="9" style="210"/>
    <col min="6145" max="6145" width="13.25" style="210" customWidth="1"/>
    <col min="6146" max="6146" width="29" style="210" customWidth="1"/>
    <col min="6147" max="6147" width="26" style="210" customWidth="1"/>
    <col min="6148" max="6148" width="20.25" style="210" customWidth="1"/>
    <col min="6149" max="6149" width="40.875" style="210" customWidth="1"/>
    <col min="6150" max="6151" width="13.125" style="210" customWidth="1"/>
    <col min="6152" max="6152" width="11.5" style="210" customWidth="1"/>
    <col min="6153" max="6153" width="15.875" style="210" customWidth="1"/>
    <col min="6154" max="6154" width="11.625" style="210" customWidth="1"/>
    <col min="6155" max="6400" width="9" style="210"/>
    <col min="6401" max="6401" width="13.25" style="210" customWidth="1"/>
    <col min="6402" max="6402" width="29" style="210" customWidth="1"/>
    <col min="6403" max="6403" width="26" style="210" customWidth="1"/>
    <col min="6404" max="6404" width="20.25" style="210" customWidth="1"/>
    <col min="6405" max="6405" width="40.875" style="210" customWidth="1"/>
    <col min="6406" max="6407" width="13.125" style="210" customWidth="1"/>
    <col min="6408" max="6408" width="11.5" style="210" customWidth="1"/>
    <col min="6409" max="6409" width="15.875" style="210" customWidth="1"/>
    <col min="6410" max="6410" width="11.625" style="210" customWidth="1"/>
    <col min="6411" max="6656" width="9" style="210"/>
    <col min="6657" max="6657" width="13.25" style="210" customWidth="1"/>
    <col min="6658" max="6658" width="29" style="210" customWidth="1"/>
    <col min="6659" max="6659" width="26" style="210" customWidth="1"/>
    <col min="6660" max="6660" width="20.25" style="210" customWidth="1"/>
    <col min="6661" max="6661" width="40.875" style="210" customWidth="1"/>
    <col min="6662" max="6663" width="13.125" style="210" customWidth="1"/>
    <col min="6664" max="6664" width="11.5" style="210" customWidth="1"/>
    <col min="6665" max="6665" width="15.875" style="210" customWidth="1"/>
    <col min="6666" max="6666" width="11.625" style="210" customWidth="1"/>
    <col min="6667" max="6912" width="9" style="210"/>
    <col min="6913" max="6913" width="13.25" style="210" customWidth="1"/>
    <col min="6914" max="6914" width="29" style="210" customWidth="1"/>
    <col min="6915" max="6915" width="26" style="210" customWidth="1"/>
    <col min="6916" max="6916" width="20.25" style="210" customWidth="1"/>
    <col min="6917" max="6917" width="40.875" style="210" customWidth="1"/>
    <col min="6918" max="6919" width="13.125" style="210" customWidth="1"/>
    <col min="6920" max="6920" width="11.5" style="210" customWidth="1"/>
    <col min="6921" max="6921" width="15.875" style="210" customWidth="1"/>
    <col min="6922" max="6922" width="11.625" style="210" customWidth="1"/>
    <col min="6923" max="7168" width="9" style="210"/>
    <col min="7169" max="7169" width="13.25" style="210" customWidth="1"/>
    <col min="7170" max="7170" width="29" style="210" customWidth="1"/>
    <col min="7171" max="7171" width="26" style="210" customWidth="1"/>
    <col min="7172" max="7172" width="20.25" style="210" customWidth="1"/>
    <col min="7173" max="7173" width="40.875" style="210" customWidth="1"/>
    <col min="7174" max="7175" width="13.125" style="210" customWidth="1"/>
    <col min="7176" max="7176" width="11.5" style="210" customWidth="1"/>
    <col min="7177" max="7177" width="15.875" style="210" customWidth="1"/>
    <col min="7178" max="7178" width="11.625" style="210" customWidth="1"/>
    <col min="7179" max="7424" width="9" style="210"/>
    <col min="7425" max="7425" width="13.25" style="210" customWidth="1"/>
    <col min="7426" max="7426" width="29" style="210" customWidth="1"/>
    <col min="7427" max="7427" width="26" style="210" customWidth="1"/>
    <col min="7428" max="7428" width="20.25" style="210" customWidth="1"/>
    <col min="7429" max="7429" width="40.875" style="210" customWidth="1"/>
    <col min="7430" max="7431" width="13.125" style="210" customWidth="1"/>
    <col min="7432" max="7432" width="11.5" style="210" customWidth="1"/>
    <col min="7433" max="7433" width="15.875" style="210" customWidth="1"/>
    <col min="7434" max="7434" width="11.625" style="210" customWidth="1"/>
    <col min="7435" max="7680" width="9" style="210"/>
    <col min="7681" max="7681" width="13.25" style="210" customWidth="1"/>
    <col min="7682" max="7682" width="29" style="210" customWidth="1"/>
    <col min="7683" max="7683" width="26" style="210" customWidth="1"/>
    <col min="7684" max="7684" width="20.25" style="210" customWidth="1"/>
    <col min="7685" max="7685" width="40.875" style="210" customWidth="1"/>
    <col min="7686" max="7687" width="13.125" style="210" customWidth="1"/>
    <col min="7688" max="7688" width="11.5" style="210" customWidth="1"/>
    <col min="7689" max="7689" width="15.875" style="210" customWidth="1"/>
    <col min="7690" max="7690" width="11.625" style="210" customWidth="1"/>
    <col min="7691" max="7936" width="9" style="210"/>
    <col min="7937" max="7937" width="13.25" style="210" customWidth="1"/>
    <col min="7938" max="7938" width="29" style="210" customWidth="1"/>
    <col min="7939" max="7939" width="26" style="210" customWidth="1"/>
    <col min="7940" max="7940" width="20.25" style="210" customWidth="1"/>
    <col min="7941" max="7941" width="40.875" style="210" customWidth="1"/>
    <col min="7942" max="7943" width="13.125" style="210" customWidth="1"/>
    <col min="7944" max="7944" width="11.5" style="210" customWidth="1"/>
    <col min="7945" max="7945" width="15.875" style="210" customWidth="1"/>
    <col min="7946" max="7946" width="11.625" style="210" customWidth="1"/>
    <col min="7947" max="8192" width="9" style="210"/>
    <col min="8193" max="8193" width="13.25" style="210" customWidth="1"/>
    <col min="8194" max="8194" width="29" style="210" customWidth="1"/>
    <col min="8195" max="8195" width="26" style="210" customWidth="1"/>
    <col min="8196" max="8196" width="20.25" style="210" customWidth="1"/>
    <col min="8197" max="8197" width="40.875" style="210" customWidth="1"/>
    <col min="8198" max="8199" width="13.125" style="210" customWidth="1"/>
    <col min="8200" max="8200" width="11.5" style="210" customWidth="1"/>
    <col min="8201" max="8201" width="15.875" style="210" customWidth="1"/>
    <col min="8202" max="8202" width="11.625" style="210" customWidth="1"/>
    <col min="8203" max="8448" width="9" style="210"/>
    <col min="8449" max="8449" width="13.25" style="210" customWidth="1"/>
    <col min="8450" max="8450" width="29" style="210" customWidth="1"/>
    <col min="8451" max="8451" width="26" style="210" customWidth="1"/>
    <col min="8452" max="8452" width="20.25" style="210" customWidth="1"/>
    <col min="8453" max="8453" width="40.875" style="210" customWidth="1"/>
    <col min="8454" max="8455" width="13.125" style="210" customWidth="1"/>
    <col min="8456" max="8456" width="11.5" style="210" customWidth="1"/>
    <col min="8457" max="8457" width="15.875" style="210" customWidth="1"/>
    <col min="8458" max="8458" width="11.625" style="210" customWidth="1"/>
    <col min="8459" max="8704" width="9" style="210"/>
    <col min="8705" max="8705" width="13.25" style="210" customWidth="1"/>
    <col min="8706" max="8706" width="29" style="210" customWidth="1"/>
    <col min="8707" max="8707" width="26" style="210" customWidth="1"/>
    <col min="8708" max="8708" width="20.25" style="210" customWidth="1"/>
    <col min="8709" max="8709" width="40.875" style="210" customWidth="1"/>
    <col min="8710" max="8711" width="13.125" style="210" customWidth="1"/>
    <col min="8712" max="8712" width="11.5" style="210" customWidth="1"/>
    <col min="8713" max="8713" width="15.875" style="210" customWidth="1"/>
    <col min="8714" max="8714" width="11.625" style="210" customWidth="1"/>
    <col min="8715" max="8960" width="9" style="210"/>
    <col min="8961" max="8961" width="13.25" style="210" customWidth="1"/>
    <col min="8962" max="8962" width="29" style="210" customWidth="1"/>
    <col min="8963" max="8963" width="26" style="210" customWidth="1"/>
    <col min="8964" max="8964" width="20.25" style="210" customWidth="1"/>
    <col min="8965" max="8965" width="40.875" style="210" customWidth="1"/>
    <col min="8966" max="8967" width="13.125" style="210" customWidth="1"/>
    <col min="8968" max="8968" width="11.5" style="210" customWidth="1"/>
    <col min="8969" max="8969" width="15.875" style="210" customWidth="1"/>
    <col min="8970" max="8970" width="11.625" style="210" customWidth="1"/>
    <col min="8971" max="9216" width="9" style="210"/>
    <col min="9217" max="9217" width="13.25" style="210" customWidth="1"/>
    <col min="9218" max="9218" width="29" style="210" customWidth="1"/>
    <col min="9219" max="9219" width="26" style="210" customWidth="1"/>
    <col min="9220" max="9220" width="20.25" style="210" customWidth="1"/>
    <col min="9221" max="9221" width="40.875" style="210" customWidth="1"/>
    <col min="9222" max="9223" width="13.125" style="210" customWidth="1"/>
    <col min="9224" max="9224" width="11.5" style="210" customWidth="1"/>
    <col min="9225" max="9225" width="15.875" style="210" customWidth="1"/>
    <col min="9226" max="9226" width="11.625" style="210" customWidth="1"/>
    <col min="9227" max="9472" width="9" style="210"/>
    <col min="9473" max="9473" width="13.25" style="210" customWidth="1"/>
    <col min="9474" max="9474" width="29" style="210" customWidth="1"/>
    <col min="9475" max="9475" width="26" style="210" customWidth="1"/>
    <col min="9476" max="9476" width="20.25" style="210" customWidth="1"/>
    <col min="9477" max="9477" width="40.875" style="210" customWidth="1"/>
    <col min="9478" max="9479" width="13.125" style="210" customWidth="1"/>
    <col min="9480" max="9480" width="11.5" style="210" customWidth="1"/>
    <col min="9481" max="9481" width="15.875" style="210" customWidth="1"/>
    <col min="9482" max="9482" width="11.625" style="210" customWidth="1"/>
    <col min="9483" max="9728" width="9" style="210"/>
    <col min="9729" max="9729" width="13.25" style="210" customWidth="1"/>
    <col min="9730" max="9730" width="29" style="210" customWidth="1"/>
    <col min="9731" max="9731" width="26" style="210" customWidth="1"/>
    <col min="9732" max="9732" width="20.25" style="210" customWidth="1"/>
    <col min="9733" max="9733" width="40.875" style="210" customWidth="1"/>
    <col min="9734" max="9735" width="13.125" style="210" customWidth="1"/>
    <col min="9736" max="9736" width="11.5" style="210" customWidth="1"/>
    <col min="9737" max="9737" width="15.875" style="210" customWidth="1"/>
    <col min="9738" max="9738" width="11.625" style="210" customWidth="1"/>
    <col min="9739" max="9984" width="9" style="210"/>
    <col min="9985" max="9985" width="13.25" style="210" customWidth="1"/>
    <col min="9986" max="9986" width="29" style="210" customWidth="1"/>
    <col min="9987" max="9987" width="26" style="210" customWidth="1"/>
    <col min="9988" max="9988" width="20.25" style="210" customWidth="1"/>
    <col min="9989" max="9989" width="40.875" style="210" customWidth="1"/>
    <col min="9990" max="9991" width="13.125" style="210" customWidth="1"/>
    <col min="9992" max="9992" width="11.5" style="210" customWidth="1"/>
    <col min="9993" max="9993" width="15.875" style="210" customWidth="1"/>
    <col min="9994" max="9994" width="11.625" style="210" customWidth="1"/>
    <col min="9995" max="10240" width="9" style="210"/>
    <col min="10241" max="10241" width="13.25" style="210" customWidth="1"/>
    <col min="10242" max="10242" width="29" style="210" customWidth="1"/>
    <col min="10243" max="10243" width="26" style="210" customWidth="1"/>
    <col min="10244" max="10244" width="20.25" style="210" customWidth="1"/>
    <col min="10245" max="10245" width="40.875" style="210" customWidth="1"/>
    <col min="10246" max="10247" width="13.125" style="210" customWidth="1"/>
    <col min="10248" max="10248" width="11.5" style="210" customWidth="1"/>
    <col min="10249" max="10249" width="15.875" style="210" customWidth="1"/>
    <col min="10250" max="10250" width="11.625" style="210" customWidth="1"/>
    <col min="10251" max="10496" width="9" style="210"/>
    <col min="10497" max="10497" width="13.25" style="210" customWidth="1"/>
    <col min="10498" max="10498" width="29" style="210" customWidth="1"/>
    <col min="10499" max="10499" width="26" style="210" customWidth="1"/>
    <col min="10500" max="10500" width="20.25" style="210" customWidth="1"/>
    <col min="10501" max="10501" width="40.875" style="210" customWidth="1"/>
    <col min="10502" max="10503" width="13.125" style="210" customWidth="1"/>
    <col min="10504" max="10504" width="11.5" style="210" customWidth="1"/>
    <col min="10505" max="10505" width="15.875" style="210" customWidth="1"/>
    <col min="10506" max="10506" width="11.625" style="210" customWidth="1"/>
    <col min="10507" max="10752" width="9" style="210"/>
    <col min="10753" max="10753" width="13.25" style="210" customWidth="1"/>
    <col min="10754" max="10754" width="29" style="210" customWidth="1"/>
    <col min="10755" max="10755" width="26" style="210" customWidth="1"/>
    <col min="10756" max="10756" width="20.25" style="210" customWidth="1"/>
    <col min="10757" max="10757" width="40.875" style="210" customWidth="1"/>
    <col min="10758" max="10759" width="13.125" style="210" customWidth="1"/>
    <col min="10760" max="10760" width="11.5" style="210" customWidth="1"/>
    <col min="10761" max="10761" width="15.875" style="210" customWidth="1"/>
    <col min="10762" max="10762" width="11.625" style="210" customWidth="1"/>
    <col min="10763" max="11008" width="9" style="210"/>
    <col min="11009" max="11009" width="13.25" style="210" customWidth="1"/>
    <col min="11010" max="11010" width="29" style="210" customWidth="1"/>
    <col min="11011" max="11011" width="26" style="210" customWidth="1"/>
    <col min="11012" max="11012" width="20.25" style="210" customWidth="1"/>
    <col min="11013" max="11013" width="40.875" style="210" customWidth="1"/>
    <col min="11014" max="11015" width="13.125" style="210" customWidth="1"/>
    <col min="11016" max="11016" width="11.5" style="210" customWidth="1"/>
    <col min="11017" max="11017" width="15.875" style="210" customWidth="1"/>
    <col min="11018" max="11018" width="11.625" style="210" customWidth="1"/>
    <col min="11019" max="11264" width="9" style="210"/>
    <col min="11265" max="11265" width="13.25" style="210" customWidth="1"/>
    <col min="11266" max="11266" width="29" style="210" customWidth="1"/>
    <col min="11267" max="11267" width="26" style="210" customWidth="1"/>
    <col min="11268" max="11268" width="20.25" style="210" customWidth="1"/>
    <col min="11269" max="11269" width="40.875" style="210" customWidth="1"/>
    <col min="11270" max="11271" width="13.125" style="210" customWidth="1"/>
    <col min="11272" max="11272" width="11.5" style="210" customWidth="1"/>
    <col min="11273" max="11273" width="15.875" style="210" customWidth="1"/>
    <col min="11274" max="11274" width="11.625" style="210" customWidth="1"/>
    <col min="11275" max="11520" width="9" style="210"/>
    <col min="11521" max="11521" width="13.25" style="210" customWidth="1"/>
    <col min="11522" max="11522" width="29" style="210" customWidth="1"/>
    <col min="11523" max="11523" width="26" style="210" customWidth="1"/>
    <col min="11524" max="11524" width="20.25" style="210" customWidth="1"/>
    <col min="11525" max="11525" width="40.875" style="210" customWidth="1"/>
    <col min="11526" max="11527" width="13.125" style="210" customWidth="1"/>
    <col min="11528" max="11528" width="11.5" style="210" customWidth="1"/>
    <col min="11529" max="11529" width="15.875" style="210" customWidth="1"/>
    <col min="11530" max="11530" width="11.625" style="210" customWidth="1"/>
    <col min="11531" max="11776" width="9" style="210"/>
    <col min="11777" max="11777" width="13.25" style="210" customWidth="1"/>
    <col min="11778" max="11778" width="29" style="210" customWidth="1"/>
    <col min="11779" max="11779" width="26" style="210" customWidth="1"/>
    <col min="11780" max="11780" width="20.25" style="210" customWidth="1"/>
    <col min="11781" max="11781" width="40.875" style="210" customWidth="1"/>
    <col min="11782" max="11783" width="13.125" style="210" customWidth="1"/>
    <col min="11784" max="11784" width="11.5" style="210" customWidth="1"/>
    <col min="11785" max="11785" width="15.875" style="210" customWidth="1"/>
    <col min="11786" max="11786" width="11.625" style="210" customWidth="1"/>
    <col min="11787" max="12032" width="9" style="210"/>
    <col min="12033" max="12033" width="13.25" style="210" customWidth="1"/>
    <col min="12034" max="12034" width="29" style="210" customWidth="1"/>
    <col min="12035" max="12035" width="26" style="210" customWidth="1"/>
    <col min="12036" max="12036" width="20.25" style="210" customWidth="1"/>
    <col min="12037" max="12037" width="40.875" style="210" customWidth="1"/>
    <col min="12038" max="12039" width="13.125" style="210" customWidth="1"/>
    <col min="12040" max="12040" width="11.5" style="210" customWidth="1"/>
    <col min="12041" max="12041" width="15.875" style="210" customWidth="1"/>
    <col min="12042" max="12042" width="11.625" style="210" customWidth="1"/>
    <col min="12043" max="12288" width="9" style="210"/>
    <col min="12289" max="12289" width="13.25" style="210" customWidth="1"/>
    <col min="12290" max="12290" width="29" style="210" customWidth="1"/>
    <col min="12291" max="12291" width="26" style="210" customWidth="1"/>
    <col min="12292" max="12292" width="20.25" style="210" customWidth="1"/>
    <col min="12293" max="12293" width="40.875" style="210" customWidth="1"/>
    <col min="12294" max="12295" width="13.125" style="210" customWidth="1"/>
    <col min="12296" max="12296" width="11.5" style="210" customWidth="1"/>
    <col min="12297" max="12297" width="15.875" style="210" customWidth="1"/>
    <col min="12298" max="12298" width="11.625" style="210" customWidth="1"/>
    <col min="12299" max="12544" width="9" style="210"/>
    <col min="12545" max="12545" width="13.25" style="210" customWidth="1"/>
    <col min="12546" max="12546" width="29" style="210" customWidth="1"/>
    <col min="12547" max="12547" width="26" style="210" customWidth="1"/>
    <col min="12548" max="12548" width="20.25" style="210" customWidth="1"/>
    <col min="12549" max="12549" width="40.875" style="210" customWidth="1"/>
    <col min="12550" max="12551" width="13.125" style="210" customWidth="1"/>
    <col min="12552" max="12552" width="11.5" style="210" customWidth="1"/>
    <col min="12553" max="12553" width="15.875" style="210" customWidth="1"/>
    <col min="12554" max="12554" width="11.625" style="210" customWidth="1"/>
    <col min="12555" max="12800" width="9" style="210"/>
    <col min="12801" max="12801" width="13.25" style="210" customWidth="1"/>
    <col min="12802" max="12802" width="29" style="210" customWidth="1"/>
    <col min="12803" max="12803" width="26" style="210" customWidth="1"/>
    <col min="12804" max="12804" width="20.25" style="210" customWidth="1"/>
    <col min="12805" max="12805" width="40.875" style="210" customWidth="1"/>
    <col min="12806" max="12807" width="13.125" style="210" customWidth="1"/>
    <col min="12808" max="12808" width="11.5" style="210" customWidth="1"/>
    <col min="12809" max="12809" width="15.875" style="210" customWidth="1"/>
    <col min="12810" max="12810" width="11.625" style="210" customWidth="1"/>
    <col min="12811" max="13056" width="9" style="210"/>
    <col min="13057" max="13057" width="13.25" style="210" customWidth="1"/>
    <col min="13058" max="13058" width="29" style="210" customWidth="1"/>
    <col min="13059" max="13059" width="26" style="210" customWidth="1"/>
    <col min="13060" max="13060" width="20.25" style="210" customWidth="1"/>
    <col min="13061" max="13061" width="40.875" style="210" customWidth="1"/>
    <col min="13062" max="13063" width="13.125" style="210" customWidth="1"/>
    <col min="13064" max="13064" width="11.5" style="210" customWidth="1"/>
    <col min="13065" max="13065" width="15.875" style="210" customWidth="1"/>
    <col min="13066" max="13066" width="11.625" style="210" customWidth="1"/>
    <col min="13067" max="13312" width="9" style="210"/>
    <col min="13313" max="13313" width="13.25" style="210" customWidth="1"/>
    <col min="13314" max="13314" width="29" style="210" customWidth="1"/>
    <col min="13315" max="13315" width="26" style="210" customWidth="1"/>
    <col min="13316" max="13316" width="20.25" style="210" customWidth="1"/>
    <col min="13317" max="13317" width="40.875" style="210" customWidth="1"/>
    <col min="13318" max="13319" width="13.125" style="210" customWidth="1"/>
    <col min="13320" max="13320" width="11.5" style="210" customWidth="1"/>
    <col min="13321" max="13321" width="15.875" style="210" customWidth="1"/>
    <col min="13322" max="13322" width="11.625" style="210" customWidth="1"/>
    <col min="13323" max="13568" width="9" style="210"/>
    <col min="13569" max="13569" width="13.25" style="210" customWidth="1"/>
    <col min="13570" max="13570" width="29" style="210" customWidth="1"/>
    <col min="13571" max="13571" width="26" style="210" customWidth="1"/>
    <col min="13572" max="13572" width="20.25" style="210" customWidth="1"/>
    <col min="13573" max="13573" width="40.875" style="210" customWidth="1"/>
    <col min="13574" max="13575" width="13.125" style="210" customWidth="1"/>
    <col min="13576" max="13576" width="11.5" style="210" customWidth="1"/>
    <col min="13577" max="13577" width="15.875" style="210" customWidth="1"/>
    <col min="13578" max="13578" width="11.625" style="210" customWidth="1"/>
    <col min="13579" max="13824" width="9" style="210"/>
    <col min="13825" max="13825" width="13.25" style="210" customWidth="1"/>
    <col min="13826" max="13826" width="29" style="210" customWidth="1"/>
    <col min="13827" max="13827" width="26" style="210" customWidth="1"/>
    <col min="13828" max="13828" width="20.25" style="210" customWidth="1"/>
    <col min="13829" max="13829" width="40.875" style="210" customWidth="1"/>
    <col min="13830" max="13831" width="13.125" style="210" customWidth="1"/>
    <col min="13832" max="13832" width="11.5" style="210" customWidth="1"/>
    <col min="13833" max="13833" width="15.875" style="210" customWidth="1"/>
    <col min="13834" max="13834" width="11.625" style="210" customWidth="1"/>
    <col min="13835" max="14080" width="9" style="210"/>
    <col min="14081" max="14081" width="13.25" style="210" customWidth="1"/>
    <col min="14082" max="14082" width="29" style="210" customWidth="1"/>
    <col min="14083" max="14083" width="26" style="210" customWidth="1"/>
    <col min="14084" max="14084" width="20.25" style="210" customWidth="1"/>
    <col min="14085" max="14085" width="40.875" style="210" customWidth="1"/>
    <col min="14086" max="14087" width="13.125" style="210" customWidth="1"/>
    <col min="14088" max="14088" width="11.5" style="210" customWidth="1"/>
    <col min="14089" max="14089" width="15.875" style="210" customWidth="1"/>
    <col min="14090" max="14090" width="11.625" style="210" customWidth="1"/>
    <col min="14091" max="14336" width="9" style="210"/>
    <col min="14337" max="14337" width="13.25" style="210" customWidth="1"/>
    <col min="14338" max="14338" width="29" style="210" customWidth="1"/>
    <col min="14339" max="14339" width="26" style="210" customWidth="1"/>
    <col min="14340" max="14340" width="20.25" style="210" customWidth="1"/>
    <col min="14341" max="14341" width="40.875" style="210" customWidth="1"/>
    <col min="14342" max="14343" width="13.125" style="210" customWidth="1"/>
    <col min="14344" max="14344" width="11.5" style="210" customWidth="1"/>
    <col min="14345" max="14345" width="15.875" style="210" customWidth="1"/>
    <col min="14346" max="14346" width="11.625" style="210" customWidth="1"/>
    <col min="14347" max="14592" width="9" style="210"/>
    <col min="14593" max="14593" width="13.25" style="210" customWidth="1"/>
    <col min="14594" max="14594" width="29" style="210" customWidth="1"/>
    <col min="14595" max="14595" width="26" style="210" customWidth="1"/>
    <col min="14596" max="14596" width="20.25" style="210" customWidth="1"/>
    <col min="14597" max="14597" width="40.875" style="210" customWidth="1"/>
    <col min="14598" max="14599" width="13.125" style="210" customWidth="1"/>
    <col min="14600" max="14600" width="11.5" style="210" customWidth="1"/>
    <col min="14601" max="14601" width="15.875" style="210" customWidth="1"/>
    <col min="14602" max="14602" width="11.625" style="210" customWidth="1"/>
    <col min="14603" max="14848" width="9" style="210"/>
    <col min="14849" max="14849" width="13.25" style="210" customWidth="1"/>
    <col min="14850" max="14850" width="29" style="210" customWidth="1"/>
    <col min="14851" max="14851" width="26" style="210" customWidth="1"/>
    <col min="14852" max="14852" width="20.25" style="210" customWidth="1"/>
    <col min="14853" max="14853" width="40.875" style="210" customWidth="1"/>
    <col min="14854" max="14855" width="13.125" style="210" customWidth="1"/>
    <col min="14856" max="14856" width="11.5" style="210" customWidth="1"/>
    <col min="14857" max="14857" width="15.875" style="210" customWidth="1"/>
    <col min="14858" max="14858" width="11.625" style="210" customWidth="1"/>
    <col min="14859" max="15104" width="9" style="210"/>
    <col min="15105" max="15105" width="13.25" style="210" customWidth="1"/>
    <col min="15106" max="15106" width="29" style="210" customWidth="1"/>
    <col min="15107" max="15107" width="26" style="210" customWidth="1"/>
    <col min="15108" max="15108" width="20.25" style="210" customWidth="1"/>
    <col min="15109" max="15109" width="40.875" style="210" customWidth="1"/>
    <col min="15110" max="15111" width="13.125" style="210" customWidth="1"/>
    <col min="15112" max="15112" width="11.5" style="210" customWidth="1"/>
    <col min="15113" max="15113" width="15.875" style="210" customWidth="1"/>
    <col min="15114" max="15114" width="11.625" style="210" customWidth="1"/>
    <col min="15115" max="15360" width="9" style="210"/>
    <col min="15361" max="15361" width="13.25" style="210" customWidth="1"/>
    <col min="15362" max="15362" width="29" style="210" customWidth="1"/>
    <col min="15363" max="15363" width="26" style="210" customWidth="1"/>
    <col min="15364" max="15364" width="20.25" style="210" customWidth="1"/>
    <col min="15365" max="15365" width="40.875" style="210" customWidth="1"/>
    <col min="15366" max="15367" width="13.125" style="210" customWidth="1"/>
    <col min="15368" max="15368" width="11.5" style="210" customWidth="1"/>
    <col min="15369" max="15369" width="15.875" style="210" customWidth="1"/>
    <col min="15370" max="15370" width="11.625" style="210" customWidth="1"/>
    <col min="15371" max="15616" width="9" style="210"/>
    <col min="15617" max="15617" width="13.25" style="210" customWidth="1"/>
    <col min="15618" max="15618" width="29" style="210" customWidth="1"/>
    <col min="15619" max="15619" width="26" style="210" customWidth="1"/>
    <col min="15620" max="15620" width="20.25" style="210" customWidth="1"/>
    <col min="15621" max="15621" width="40.875" style="210" customWidth="1"/>
    <col min="15622" max="15623" width="13.125" style="210" customWidth="1"/>
    <col min="15624" max="15624" width="11.5" style="210" customWidth="1"/>
    <col min="15625" max="15625" width="15.875" style="210" customWidth="1"/>
    <col min="15626" max="15626" width="11.625" style="210" customWidth="1"/>
    <col min="15627" max="15872" width="9" style="210"/>
    <col min="15873" max="15873" width="13.25" style="210" customWidth="1"/>
    <col min="15874" max="15874" width="29" style="210" customWidth="1"/>
    <col min="15875" max="15875" width="26" style="210" customWidth="1"/>
    <col min="15876" max="15876" width="20.25" style="210" customWidth="1"/>
    <col min="15877" max="15877" width="40.875" style="210" customWidth="1"/>
    <col min="15878" max="15879" width="13.125" style="210" customWidth="1"/>
    <col min="15880" max="15880" width="11.5" style="210" customWidth="1"/>
    <col min="15881" max="15881" width="15.875" style="210" customWidth="1"/>
    <col min="15882" max="15882" width="11.625" style="210" customWidth="1"/>
    <col min="15883" max="16128" width="9" style="210"/>
    <col min="16129" max="16129" width="13.25" style="210" customWidth="1"/>
    <col min="16130" max="16130" width="29" style="210" customWidth="1"/>
    <col min="16131" max="16131" width="26" style="210" customWidth="1"/>
    <col min="16132" max="16132" width="20.25" style="210" customWidth="1"/>
    <col min="16133" max="16133" width="40.875" style="210" customWidth="1"/>
    <col min="16134" max="16135" width="13.125" style="210" customWidth="1"/>
    <col min="16136" max="16136" width="11.5" style="210" customWidth="1"/>
    <col min="16137" max="16137" width="15.875" style="210" customWidth="1"/>
    <col min="16138" max="16138" width="11.625" style="210" customWidth="1"/>
    <col min="16139" max="16384" width="9" style="210"/>
  </cols>
  <sheetData>
    <row r="1" spans="1:10" ht="18.75">
      <c r="A1" s="442" t="s">
        <v>744</v>
      </c>
      <c r="B1" s="443"/>
      <c r="C1" s="443"/>
      <c r="D1" s="443"/>
      <c r="E1" s="443"/>
      <c r="F1" s="443"/>
      <c r="G1" s="443"/>
      <c r="H1" s="443"/>
      <c r="I1" s="210"/>
    </row>
    <row r="2" spans="1:10" ht="20.100000000000001" customHeight="1">
      <c r="A2" s="211" t="s">
        <v>745</v>
      </c>
      <c r="B2" s="211" t="s">
        <v>594</v>
      </c>
      <c r="C2" s="211" t="s">
        <v>2</v>
      </c>
      <c r="D2" s="211" t="s">
        <v>688</v>
      </c>
      <c r="E2" s="211" t="s">
        <v>689</v>
      </c>
      <c r="F2" s="211" t="s">
        <v>690</v>
      </c>
      <c r="G2" s="211" t="s">
        <v>691</v>
      </c>
      <c r="H2" s="212" t="s">
        <v>746</v>
      </c>
    </row>
    <row r="3" spans="1:10" s="217" customFormat="1" ht="20.100000000000001" customHeight="1">
      <c r="A3" s="452" t="s">
        <v>755</v>
      </c>
      <c r="B3" s="453" t="s">
        <v>756</v>
      </c>
      <c r="C3" s="453" t="s">
        <v>749</v>
      </c>
      <c r="D3" s="453" t="s">
        <v>757</v>
      </c>
      <c r="E3" s="219" t="s">
        <v>758</v>
      </c>
      <c r="F3" s="218">
        <v>1</v>
      </c>
      <c r="G3" s="218">
        <v>1500000</v>
      </c>
      <c r="H3" s="220">
        <v>1500000</v>
      </c>
      <c r="I3" s="444" t="s">
        <v>750</v>
      </c>
      <c r="J3" s="227"/>
    </row>
    <row r="4" spans="1:10" s="217" customFormat="1" ht="20.100000000000001" customHeight="1">
      <c r="A4" s="448" t="s">
        <v>755</v>
      </c>
      <c r="B4" s="451" t="s">
        <v>756</v>
      </c>
      <c r="C4" s="451"/>
      <c r="D4" s="451" t="s">
        <v>757</v>
      </c>
      <c r="E4" s="219" t="s">
        <v>759</v>
      </c>
      <c r="F4" s="218">
        <v>1</v>
      </c>
      <c r="G4" s="218">
        <v>196800</v>
      </c>
      <c r="H4" s="220">
        <v>196800</v>
      </c>
      <c r="I4" s="445"/>
      <c r="J4" s="227"/>
    </row>
    <row r="5" spans="1:10" s="217" customFormat="1" ht="20.100000000000001" customHeight="1">
      <c r="A5" s="218" t="s">
        <v>755</v>
      </c>
      <c r="B5" s="219" t="s">
        <v>756</v>
      </c>
      <c r="C5" s="219" t="s">
        <v>749</v>
      </c>
      <c r="D5" s="219" t="s">
        <v>760</v>
      </c>
      <c r="E5" s="219" t="s">
        <v>761</v>
      </c>
      <c r="F5" s="218">
        <v>1</v>
      </c>
      <c r="G5" s="218">
        <v>600000</v>
      </c>
      <c r="H5" s="220">
        <v>600000</v>
      </c>
      <c r="I5" s="221" t="s">
        <v>750</v>
      </c>
      <c r="J5" s="227"/>
    </row>
    <row r="6" spans="1:10" s="217" customFormat="1" ht="20.100000000000001" customHeight="1">
      <c r="A6" s="446" t="s">
        <v>550</v>
      </c>
      <c r="B6" s="449" t="s">
        <v>756</v>
      </c>
      <c r="C6" s="449" t="s">
        <v>747</v>
      </c>
      <c r="D6" s="215" t="s">
        <v>762</v>
      </c>
      <c r="E6" s="215" t="s">
        <v>763</v>
      </c>
      <c r="F6" s="214">
        <v>1</v>
      </c>
      <c r="G6" s="214">
        <v>145000</v>
      </c>
      <c r="H6" s="446">
        <v>500000</v>
      </c>
      <c r="I6" s="228" t="s">
        <v>748</v>
      </c>
      <c r="J6" s="223"/>
    </row>
    <row r="7" spans="1:10" s="217" customFormat="1" ht="20.100000000000001" customHeight="1">
      <c r="A7" s="447"/>
      <c r="B7" s="450" t="s">
        <v>756</v>
      </c>
      <c r="C7" s="450"/>
      <c r="D7" s="215" t="s">
        <v>764</v>
      </c>
      <c r="E7" s="215" t="s">
        <v>765</v>
      </c>
      <c r="F7" s="214">
        <v>1</v>
      </c>
      <c r="G7" s="214">
        <v>350000</v>
      </c>
      <c r="H7" s="461"/>
      <c r="I7" s="229"/>
      <c r="J7" s="223"/>
    </row>
    <row r="8" spans="1:10" s="217" customFormat="1" ht="20.100000000000001" customHeight="1">
      <c r="A8" s="447"/>
      <c r="B8" s="450" t="s">
        <v>756</v>
      </c>
      <c r="C8" s="450"/>
      <c r="D8" s="215" t="s">
        <v>766</v>
      </c>
      <c r="E8" s="215" t="s">
        <v>767</v>
      </c>
      <c r="F8" s="214">
        <v>1</v>
      </c>
      <c r="G8" s="214">
        <v>202500</v>
      </c>
      <c r="H8" s="461"/>
      <c r="I8" s="229"/>
      <c r="J8" s="223"/>
    </row>
    <row r="9" spans="1:10" s="217" customFormat="1" ht="20.100000000000001" customHeight="1">
      <c r="A9" s="448"/>
      <c r="B9" s="451" t="s">
        <v>756</v>
      </c>
      <c r="C9" s="451"/>
      <c r="D9" s="215" t="s">
        <v>768</v>
      </c>
      <c r="E9" s="215" t="s">
        <v>769</v>
      </c>
      <c r="F9" s="214">
        <v>1</v>
      </c>
      <c r="G9" s="214">
        <v>300000</v>
      </c>
      <c r="H9" s="369"/>
      <c r="I9" s="229"/>
      <c r="J9" s="223"/>
    </row>
    <row r="10" spans="1:10" s="217" customFormat="1" ht="20.100000000000001" customHeight="1">
      <c r="A10" s="214" t="s">
        <v>755</v>
      </c>
      <c r="B10" s="215" t="s">
        <v>770</v>
      </c>
      <c r="C10" s="215" t="s">
        <v>751</v>
      </c>
      <c r="D10" s="215" t="s">
        <v>752</v>
      </c>
      <c r="E10" s="215" t="s">
        <v>753</v>
      </c>
      <c r="F10" s="214">
        <v>1</v>
      </c>
      <c r="G10" s="214">
        <v>300000</v>
      </c>
      <c r="H10" s="216">
        <v>300000</v>
      </c>
      <c r="I10" s="222" t="s">
        <v>754</v>
      </c>
    </row>
    <row r="11" spans="1:10" s="217" customFormat="1" ht="20.100000000000001" customHeight="1">
      <c r="A11" s="224" t="s">
        <v>562</v>
      </c>
      <c r="B11" s="225"/>
      <c r="C11" s="226"/>
      <c r="D11" s="215"/>
      <c r="E11" s="215"/>
      <c r="F11" s="214"/>
      <c r="G11" s="214"/>
      <c r="H11" s="216">
        <f>SUBTOTAL(9,H3:H10)</f>
        <v>3096800</v>
      </c>
      <c r="I11" s="222"/>
    </row>
  </sheetData>
  <mergeCells count="10">
    <mergeCell ref="A1:H1"/>
    <mergeCell ref="I3:I4"/>
    <mergeCell ref="A6:A9"/>
    <mergeCell ref="B6:B9"/>
    <mergeCell ref="C6:C9"/>
    <mergeCell ref="A3:A4"/>
    <mergeCell ref="B3:B4"/>
    <mergeCell ref="C3:C4"/>
    <mergeCell ref="D3:D4"/>
    <mergeCell ref="H6:H9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dimension ref="A1:AP4"/>
  <sheetViews>
    <sheetView workbookViewId="0">
      <selection activeCell="E24" sqref="E24"/>
    </sheetView>
  </sheetViews>
  <sheetFormatPr defaultRowHeight="13.5" outlineLevelRow="2"/>
  <cols>
    <col min="1" max="1" width="12" style="170" customWidth="1"/>
    <col min="2" max="2" width="28.25" style="170" customWidth="1"/>
    <col min="3" max="3" width="36.25" style="170" customWidth="1"/>
    <col min="4" max="4" width="38.25" style="170" customWidth="1"/>
    <col min="5" max="5" width="22" style="188" customWidth="1"/>
    <col min="6" max="6" width="14.375" style="170" hidden="1" customWidth="1"/>
    <col min="7" max="7" width="8.125" style="170" customWidth="1"/>
    <col min="8" max="8" width="8.375" style="170" customWidth="1"/>
    <col min="9" max="9" width="10.75" style="170" customWidth="1"/>
    <col min="10" max="11" width="17.5" style="170" hidden="1" customWidth="1"/>
    <col min="12" max="21" width="16.875" style="170" hidden="1" customWidth="1"/>
    <col min="22" max="22" width="13.5" style="170" hidden="1" customWidth="1"/>
    <col min="23" max="26" width="16.875" style="170" hidden="1" customWidth="1"/>
    <col min="27" max="27" width="24.625" style="188" hidden="1" customWidth="1"/>
    <col min="28" max="33" width="16.875" style="170" hidden="1" customWidth="1"/>
    <col min="34" max="34" width="12.25" style="170" hidden="1" customWidth="1"/>
    <col min="35" max="35" width="13.5" style="170" hidden="1" customWidth="1"/>
    <col min="36" max="42" width="12.25" style="170" hidden="1" customWidth="1"/>
    <col min="43" max="43" width="9" style="170"/>
    <col min="44" max="44" width="15.375" style="170" bestFit="1" customWidth="1"/>
    <col min="45" max="45" width="13.25" style="170" bestFit="1" customWidth="1"/>
    <col min="46" max="16384" width="9" style="170"/>
  </cols>
  <sheetData>
    <row r="1" spans="1:42" ht="22.5">
      <c r="A1" s="454" t="s">
        <v>1062</v>
      </c>
      <c r="B1" s="454"/>
      <c r="C1" s="454"/>
      <c r="D1" s="454"/>
      <c r="E1" s="454"/>
      <c r="F1" s="454"/>
      <c r="G1" s="454"/>
      <c r="H1" s="454"/>
      <c r="I1" s="454"/>
      <c r="J1" s="454"/>
      <c r="K1" s="454"/>
      <c r="L1" s="454"/>
      <c r="M1" s="454"/>
      <c r="N1" s="454"/>
      <c r="O1" s="454"/>
      <c r="P1" s="454"/>
      <c r="Q1" s="454"/>
      <c r="R1" s="454"/>
      <c r="S1" s="454"/>
      <c r="T1" s="454"/>
      <c r="U1" s="454"/>
      <c r="V1" s="454"/>
      <c r="W1" s="454"/>
      <c r="X1" s="454"/>
      <c r="Y1" s="454"/>
      <c r="Z1" s="454"/>
      <c r="AA1" s="454"/>
      <c r="AB1" s="454"/>
      <c r="AC1" s="454"/>
    </row>
    <row r="2" spans="1:42" ht="30" customHeight="1">
      <c r="A2" s="171" t="s">
        <v>1063</v>
      </c>
      <c r="B2" s="172" t="s">
        <v>687</v>
      </c>
      <c r="C2" s="172" t="s">
        <v>2</v>
      </c>
      <c r="D2" s="172" t="s">
        <v>688</v>
      </c>
      <c r="E2" s="173" t="s">
        <v>689</v>
      </c>
      <c r="F2" s="172" t="s">
        <v>1064</v>
      </c>
      <c r="G2" s="172" t="s">
        <v>690</v>
      </c>
      <c r="H2" s="172" t="s">
        <v>691</v>
      </c>
      <c r="I2" s="172" t="s">
        <v>692</v>
      </c>
      <c r="J2" s="172" t="s">
        <v>1065</v>
      </c>
      <c r="K2" s="172" t="s">
        <v>1066</v>
      </c>
      <c r="L2" s="172" t="s">
        <v>1067</v>
      </c>
      <c r="M2" s="172" t="s">
        <v>1068</v>
      </c>
      <c r="N2" s="172" t="s">
        <v>1069</v>
      </c>
      <c r="O2" s="172" t="s">
        <v>1070</v>
      </c>
      <c r="P2" s="172" t="s">
        <v>1071</v>
      </c>
      <c r="Q2" s="172" t="s">
        <v>1072</v>
      </c>
      <c r="R2" s="172" t="s">
        <v>1073</v>
      </c>
      <c r="S2" s="172" t="s">
        <v>693</v>
      </c>
      <c r="T2" s="172" t="s">
        <v>1074</v>
      </c>
      <c r="U2" s="172" t="s">
        <v>1075</v>
      </c>
      <c r="V2" s="172" t="s">
        <v>1076</v>
      </c>
      <c r="W2" s="172" t="s">
        <v>1077</v>
      </c>
      <c r="X2" s="172" t="s">
        <v>694</v>
      </c>
      <c r="Y2" s="172" t="s">
        <v>1078</v>
      </c>
      <c r="Z2" s="172" t="s">
        <v>1079</v>
      </c>
      <c r="AA2" s="173" t="s">
        <v>1080</v>
      </c>
      <c r="AB2" s="174" t="s">
        <v>1081</v>
      </c>
      <c r="AC2" s="175" t="s">
        <v>1082</v>
      </c>
      <c r="AD2" s="175" t="s">
        <v>1083</v>
      </c>
      <c r="AE2" s="175" t="s">
        <v>1084</v>
      </c>
      <c r="AF2" s="175" t="s">
        <v>1066</v>
      </c>
      <c r="AG2" s="175" t="s">
        <v>1085</v>
      </c>
      <c r="AH2" s="175" t="s">
        <v>695</v>
      </c>
      <c r="AI2" s="175" t="s">
        <v>696</v>
      </c>
      <c r="AJ2" s="175" t="s">
        <v>697</v>
      </c>
      <c r="AK2" s="175" t="s">
        <v>1086</v>
      </c>
      <c r="AL2" s="175" t="s">
        <v>698</v>
      </c>
      <c r="AM2" s="175" t="s">
        <v>699</v>
      </c>
      <c r="AN2" s="175" t="s">
        <v>368</v>
      </c>
      <c r="AO2" s="175" t="s">
        <v>700</v>
      </c>
      <c r="AP2" s="175" t="s">
        <v>701</v>
      </c>
    </row>
    <row r="3" spans="1:42" ht="30" customHeight="1" outlineLevel="2">
      <c r="A3" s="176" t="s">
        <v>1090</v>
      </c>
      <c r="B3" s="177" t="s">
        <v>499</v>
      </c>
      <c r="C3" s="177" t="s">
        <v>702</v>
      </c>
      <c r="D3" s="177" t="s">
        <v>703</v>
      </c>
      <c r="E3" s="177" t="s">
        <v>703</v>
      </c>
      <c r="F3" s="186"/>
      <c r="G3" s="178">
        <v>1</v>
      </c>
      <c r="H3" s="179">
        <v>254000</v>
      </c>
      <c r="I3" s="179">
        <f t="shared" ref="I3" si="0">G3*H3</f>
        <v>254000</v>
      </c>
      <c r="J3" s="180">
        <v>0</v>
      </c>
      <c r="K3" s="180"/>
      <c r="L3" s="180" t="s">
        <v>1087</v>
      </c>
      <c r="M3" s="180"/>
      <c r="N3" s="180"/>
      <c r="O3" s="180"/>
      <c r="P3" s="180"/>
      <c r="Q3" s="181"/>
      <c r="R3" s="187"/>
      <c r="S3" s="180"/>
      <c r="T3" s="180"/>
      <c r="U3" s="180"/>
      <c r="V3" s="180"/>
      <c r="W3" s="180"/>
      <c r="X3" s="180"/>
      <c r="Y3" s="187"/>
      <c r="Z3" s="180" t="s">
        <v>1088</v>
      </c>
      <c r="AA3" s="180" t="s">
        <v>1089</v>
      </c>
      <c r="AB3" s="182"/>
      <c r="AC3" s="183"/>
      <c r="AD3" s="183"/>
      <c r="AE3" s="183"/>
      <c r="AF3" s="184"/>
      <c r="AG3" s="184"/>
      <c r="AH3" s="184"/>
      <c r="AI3" s="184"/>
      <c r="AJ3" s="184"/>
      <c r="AK3" s="184"/>
      <c r="AL3" s="184"/>
      <c r="AM3" s="184"/>
      <c r="AN3" s="184"/>
    </row>
    <row r="4" spans="1:42" ht="30" customHeight="1" outlineLevel="1">
      <c r="A4" s="185" t="s">
        <v>704</v>
      </c>
      <c r="B4" s="177"/>
      <c r="C4" s="177"/>
      <c r="D4" s="177"/>
      <c r="E4" s="177"/>
      <c r="F4" s="186"/>
      <c r="G4" s="178"/>
      <c r="H4" s="179"/>
      <c r="I4" s="179">
        <f>SUBTOTAL(9,I3:I3)</f>
        <v>254000</v>
      </c>
      <c r="J4" s="180"/>
      <c r="K4" s="180"/>
      <c r="L4" s="180"/>
      <c r="M4" s="180"/>
      <c r="N4" s="180"/>
      <c r="O4" s="180"/>
      <c r="P4" s="180"/>
      <c r="Q4" s="181"/>
      <c r="R4" s="187"/>
      <c r="S4" s="180"/>
      <c r="T4" s="180"/>
      <c r="U4" s="180"/>
      <c r="V4" s="180"/>
      <c r="W4" s="180"/>
      <c r="X4" s="180"/>
      <c r="Y4" s="187"/>
      <c r="Z4" s="180"/>
      <c r="AA4" s="180"/>
      <c r="AB4" s="182"/>
      <c r="AC4" s="183"/>
      <c r="AD4" s="183"/>
      <c r="AE4" s="183"/>
      <c r="AF4" s="184"/>
      <c r="AG4" s="184"/>
      <c r="AH4" s="184"/>
      <c r="AI4" s="184"/>
      <c r="AJ4" s="184"/>
      <c r="AK4" s="184"/>
      <c r="AL4" s="184"/>
      <c r="AM4" s="184"/>
      <c r="AN4" s="184"/>
      <c r="AP4" s="170">
        <f>SUBTOTAL(9,AP3:AP3)</f>
        <v>0</v>
      </c>
    </row>
  </sheetData>
  <mergeCells count="1">
    <mergeCell ref="A1:AC1"/>
  </mergeCells>
  <phoneticPr fontId="3" type="noConversion"/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>
  <dimension ref="A1:I5"/>
  <sheetViews>
    <sheetView workbookViewId="0">
      <selection activeCell="A6" sqref="A6:XFD14"/>
    </sheetView>
  </sheetViews>
  <sheetFormatPr defaultRowHeight="13.5" outlineLevelRow="2"/>
  <cols>
    <col min="1" max="1" width="9.75" style="239" customWidth="1"/>
    <col min="2" max="2" width="12.75" style="239" customWidth="1"/>
    <col min="3" max="3" width="6.625" style="239" customWidth="1"/>
    <col min="4" max="4" width="30" style="239" customWidth="1"/>
    <col min="5" max="5" width="30.5" style="239" customWidth="1"/>
    <col min="6" max="6" width="30" style="239" customWidth="1"/>
    <col min="7" max="7" width="8.875" style="239" customWidth="1"/>
    <col min="8" max="8" width="9" style="239" customWidth="1"/>
    <col min="9" max="9" width="12.75" style="239" customWidth="1"/>
    <col min="10" max="16384" width="9" style="239"/>
  </cols>
  <sheetData>
    <row r="1" spans="1:9" s="231" customFormat="1" ht="30" customHeight="1">
      <c r="A1" s="455" t="s">
        <v>771</v>
      </c>
      <c r="B1" s="455"/>
      <c r="C1" s="455"/>
      <c r="D1" s="455"/>
      <c r="E1" s="455"/>
      <c r="F1" s="455"/>
      <c r="G1" s="455"/>
      <c r="H1" s="455"/>
      <c r="I1" s="455"/>
    </row>
    <row r="2" spans="1:9" s="235" customFormat="1" ht="24.6" customHeight="1">
      <c r="A2" s="232" t="s">
        <v>594</v>
      </c>
      <c r="B2" s="232" t="s">
        <v>556</v>
      </c>
      <c r="C2" s="232" t="s">
        <v>636</v>
      </c>
      <c r="D2" s="232" t="s">
        <v>2</v>
      </c>
      <c r="E2" s="232" t="s">
        <v>688</v>
      </c>
      <c r="F2" s="233" t="s">
        <v>689</v>
      </c>
      <c r="G2" s="232" t="s">
        <v>690</v>
      </c>
      <c r="H2" s="234" t="s">
        <v>691</v>
      </c>
      <c r="I2" s="234" t="s">
        <v>692</v>
      </c>
    </row>
    <row r="3" spans="1:9" s="235" customFormat="1" ht="24.6" customHeight="1" outlineLevel="2">
      <c r="A3" s="233" t="s">
        <v>776</v>
      </c>
      <c r="B3" s="233" t="s">
        <v>550</v>
      </c>
      <c r="C3" s="236" t="s">
        <v>775</v>
      </c>
      <c r="D3" s="237" t="s">
        <v>772</v>
      </c>
      <c r="E3" s="237" t="s">
        <v>772</v>
      </c>
      <c r="F3" s="237" t="s">
        <v>773</v>
      </c>
      <c r="G3" s="232">
        <v>1</v>
      </c>
      <c r="H3" s="234">
        <v>5000</v>
      </c>
      <c r="I3" s="234">
        <f t="shared" ref="I3:I4" si="0">G3*H3</f>
        <v>5000</v>
      </c>
    </row>
    <row r="4" spans="1:9" s="235" customFormat="1" ht="24.6" customHeight="1" outlineLevel="2">
      <c r="A4" s="233" t="s">
        <v>776</v>
      </c>
      <c r="B4" s="233" t="s">
        <v>550</v>
      </c>
      <c r="C4" s="236" t="s">
        <v>775</v>
      </c>
      <c r="D4" s="237" t="s">
        <v>774</v>
      </c>
      <c r="E4" s="237" t="s">
        <v>774</v>
      </c>
      <c r="F4" s="237" t="s">
        <v>774</v>
      </c>
      <c r="G4" s="232">
        <v>1</v>
      </c>
      <c r="H4" s="234">
        <v>25000</v>
      </c>
      <c r="I4" s="234">
        <f t="shared" si="0"/>
        <v>25000</v>
      </c>
    </row>
    <row r="5" spans="1:9" s="235" customFormat="1" ht="24.6" customHeight="1" outlineLevel="1">
      <c r="A5" s="233"/>
      <c r="B5" s="233" t="s">
        <v>562</v>
      </c>
      <c r="C5" s="233"/>
      <c r="D5" s="238"/>
      <c r="E5" s="238"/>
      <c r="F5" s="238"/>
      <c r="G5" s="232"/>
      <c r="H5" s="234"/>
      <c r="I5" s="234">
        <f>SUBTOTAL(9,I3:I4)</f>
        <v>30000</v>
      </c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dimension ref="A1:G5"/>
  <sheetViews>
    <sheetView workbookViewId="0">
      <selection activeCell="A6" sqref="A6:XFD44"/>
    </sheetView>
  </sheetViews>
  <sheetFormatPr defaultRowHeight="13.5" outlineLevelRow="2"/>
  <cols>
    <col min="1" max="1" width="16.75" style="200" customWidth="1"/>
    <col min="2" max="2" width="19.75" style="200" customWidth="1"/>
    <col min="3" max="3" width="17.375" style="200" customWidth="1"/>
    <col min="4" max="4" width="29" style="200" customWidth="1"/>
    <col min="5" max="5" width="9" style="200"/>
    <col min="6" max="6" width="12.625" style="200" customWidth="1"/>
    <col min="7" max="7" width="14.625" style="200" customWidth="1"/>
    <col min="8" max="16384" width="9" style="200"/>
  </cols>
  <sheetData>
    <row r="1" spans="1:7" ht="24" customHeight="1">
      <c r="A1" s="456" t="s">
        <v>927</v>
      </c>
      <c r="B1" s="457"/>
      <c r="C1" s="457"/>
      <c r="D1" s="457"/>
      <c r="E1" s="457"/>
      <c r="F1" s="457"/>
      <c r="G1" s="457"/>
    </row>
    <row r="2" spans="1:7" s="243" customFormat="1" ht="18" customHeight="1">
      <c r="A2" s="240" t="s">
        <v>556</v>
      </c>
      <c r="B2" s="241" t="s">
        <v>594</v>
      </c>
      <c r="C2" s="241" t="s">
        <v>2</v>
      </c>
      <c r="D2" s="241" t="s">
        <v>777</v>
      </c>
      <c r="E2" s="241" t="s">
        <v>690</v>
      </c>
      <c r="F2" s="242" t="s">
        <v>691</v>
      </c>
      <c r="G2" s="242" t="s">
        <v>778</v>
      </c>
    </row>
    <row r="3" spans="1:7" s="243" customFormat="1" ht="18" customHeight="1" outlineLevel="2">
      <c r="A3" s="240" t="s">
        <v>550</v>
      </c>
      <c r="B3" s="244" t="s">
        <v>782</v>
      </c>
      <c r="C3" s="245" t="s">
        <v>779</v>
      </c>
      <c r="D3" s="245" t="s">
        <v>780</v>
      </c>
      <c r="E3" s="246">
        <v>1</v>
      </c>
      <c r="F3" s="247">
        <v>20000</v>
      </c>
      <c r="G3" s="247">
        <f>E3*F3</f>
        <v>20000</v>
      </c>
    </row>
    <row r="4" spans="1:7" s="243" customFormat="1" ht="18" customHeight="1" outlineLevel="2">
      <c r="A4" s="240" t="s">
        <v>550</v>
      </c>
      <c r="B4" s="244" t="s">
        <v>783</v>
      </c>
      <c r="C4" s="245" t="s">
        <v>779</v>
      </c>
      <c r="D4" s="245" t="s">
        <v>781</v>
      </c>
      <c r="E4" s="248">
        <v>1</v>
      </c>
      <c r="F4" s="248">
        <v>20000</v>
      </c>
      <c r="G4" s="248">
        <f>E4*F4</f>
        <v>20000</v>
      </c>
    </row>
    <row r="5" spans="1:7" s="243" customFormat="1" ht="18" customHeight="1" outlineLevel="1">
      <c r="A5" s="249" t="s">
        <v>562</v>
      </c>
      <c r="B5" s="244"/>
      <c r="C5" s="245"/>
      <c r="D5" s="245"/>
      <c r="E5" s="248"/>
      <c r="F5" s="248"/>
      <c r="G5" s="248">
        <f>SUBTOTAL(9,G3:G4)</f>
        <v>40000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>
  <dimension ref="A1:AJ10"/>
  <sheetViews>
    <sheetView workbookViewId="0">
      <selection activeCell="C14" sqref="C14"/>
    </sheetView>
  </sheetViews>
  <sheetFormatPr defaultColWidth="9" defaultRowHeight="12"/>
  <cols>
    <col min="1" max="1" width="7" style="289" customWidth="1"/>
    <col min="2" max="2" width="19" style="308" customWidth="1"/>
    <col min="3" max="3" width="12.5" style="309" customWidth="1"/>
    <col min="4" max="4" width="30.25" style="309" customWidth="1"/>
    <col min="5" max="5" width="10.25" style="308" hidden="1" customWidth="1"/>
    <col min="6" max="6" width="11.125" style="310" hidden="1" customWidth="1"/>
    <col min="7" max="7" width="10.375" style="289" hidden="1" customWidth="1"/>
    <col min="8" max="8" width="11.125" style="289" hidden="1" customWidth="1"/>
    <col min="9" max="19" width="8.875" style="289" hidden="1" customWidth="1"/>
    <col min="20" max="20" width="16.125" style="289" hidden="1" customWidth="1"/>
    <col min="21" max="25" width="8.875" style="289" hidden="1" customWidth="1"/>
    <col min="26" max="26" width="10.75" style="289" hidden="1" customWidth="1"/>
    <col min="27" max="27" width="9.75" style="289" hidden="1" customWidth="1"/>
    <col min="28" max="28" width="10.125" style="289" hidden="1" customWidth="1"/>
    <col min="29" max="29" width="11" style="289" hidden="1" customWidth="1"/>
    <col min="30" max="30" width="9.5" style="289" hidden="1" customWidth="1"/>
    <col min="31" max="31" width="11.25" style="289" hidden="1" customWidth="1"/>
    <col min="32" max="32" width="10.375" style="289" hidden="1" customWidth="1"/>
    <col min="33" max="33" width="11.875" style="289" hidden="1" customWidth="1"/>
    <col min="34" max="35" width="0" style="289" hidden="1" customWidth="1"/>
    <col min="36" max="36" width="13.125" style="289" customWidth="1"/>
    <col min="37" max="16384" width="9" style="289"/>
  </cols>
  <sheetData>
    <row r="1" spans="1:36" ht="20.25">
      <c r="A1" s="459" t="s">
        <v>928</v>
      </c>
      <c r="B1" s="438"/>
      <c r="C1" s="438"/>
      <c r="D1" s="438"/>
      <c r="E1" s="438"/>
      <c r="F1" s="438"/>
      <c r="G1" s="438"/>
      <c r="H1" s="438"/>
      <c r="I1" s="438"/>
      <c r="J1" s="438"/>
      <c r="K1" s="438"/>
      <c r="L1" s="438"/>
      <c r="M1" s="438"/>
      <c r="N1" s="438"/>
      <c r="O1" s="438"/>
      <c r="P1" s="438"/>
      <c r="Q1" s="438"/>
      <c r="R1" s="438"/>
      <c r="S1" s="438"/>
      <c r="T1" s="438"/>
      <c r="U1" s="438"/>
      <c r="V1" s="438"/>
      <c r="W1" s="438"/>
      <c r="X1" s="438"/>
      <c r="Y1" s="438"/>
      <c r="Z1" s="438"/>
      <c r="AA1" s="438"/>
      <c r="AB1" s="438"/>
      <c r="AC1" s="438"/>
      <c r="AD1" s="438"/>
      <c r="AE1" s="438"/>
      <c r="AF1" s="438"/>
      <c r="AG1" s="438"/>
      <c r="AH1" s="438"/>
      <c r="AI1" s="438"/>
      <c r="AJ1" s="438"/>
    </row>
    <row r="2" spans="1:36">
      <c r="A2" s="290" t="s">
        <v>929</v>
      </c>
      <c r="B2" s="290" t="s">
        <v>593</v>
      </c>
      <c r="C2" s="290" t="s">
        <v>930</v>
      </c>
      <c r="D2" s="291" t="s">
        <v>931</v>
      </c>
      <c r="E2" s="292" t="s">
        <v>932</v>
      </c>
      <c r="F2" s="293" t="s">
        <v>933</v>
      </c>
      <c r="G2" s="291" t="s">
        <v>934</v>
      </c>
      <c r="H2" s="291" t="s">
        <v>935</v>
      </c>
      <c r="I2" s="460" t="s">
        <v>936</v>
      </c>
      <c r="J2" s="460"/>
      <c r="K2" s="460"/>
      <c r="L2" s="460" t="s">
        <v>937</v>
      </c>
      <c r="M2" s="460"/>
      <c r="N2" s="460"/>
      <c r="O2" s="460" t="s">
        <v>938</v>
      </c>
      <c r="P2" s="460"/>
      <c r="Q2" s="460"/>
      <c r="R2" s="460" t="s">
        <v>939</v>
      </c>
      <c r="S2" s="460"/>
      <c r="T2" s="460"/>
      <c r="U2" s="460" t="s">
        <v>940</v>
      </c>
      <c r="V2" s="460"/>
      <c r="W2" s="460"/>
      <c r="X2" s="460" t="s">
        <v>941</v>
      </c>
      <c r="Y2" s="460"/>
      <c r="Z2" s="294" t="s">
        <v>942</v>
      </c>
      <c r="AA2" s="294" t="s">
        <v>943</v>
      </c>
      <c r="AB2" s="294" t="s">
        <v>944</v>
      </c>
      <c r="AC2" s="294" t="s">
        <v>945</v>
      </c>
      <c r="AD2" s="292" t="s">
        <v>946</v>
      </c>
      <c r="AE2" s="295" t="s">
        <v>947</v>
      </c>
      <c r="AF2" s="296" t="s">
        <v>948</v>
      </c>
      <c r="AG2" s="292" t="s">
        <v>949</v>
      </c>
      <c r="AH2" s="290" t="s">
        <v>950</v>
      </c>
      <c r="AI2" s="292" t="s">
        <v>951</v>
      </c>
      <c r="AJ2" s="292" t="s">
        <v>952</v>
      </c>
    </row>
    <row r="3" spans="1:36" ht="12.75">
      <c r="A3" s="290">
        <v>1</v>
      </c>
      <c r="B3" s="290" t="s">
        <v>537</v>
      </c>
      <c r="C3" s="297" t="s">
        <v>379</v>
      </c>
      <c r="D3" s="298" t="s">
        <v>422</v>
      </c>
      <c r="E3" s="290"/>
      <c r="F3" s="290"/>
      <c r="G3" s="290">
        <f>SUM(I3+L3+O3+R3+U3+X3)</f>
        <v>28</v>
      </c>
      <c r="H3" s="290">
        <f>SUM(J3,M3,P3,S3,V3,Y3)</f>
        <v>1091</v>
      </c>
      <c r="I3" s="290">
        <v>6</v>
      </c>
      <c r="J3" s="290">
        <v>218</v>
      </c>
      <c r="K3" s="304">
        <f>J3/I3</f>
        <v>36.333333333333336</v>
      </c>
      <c r="L3" s="290">
        <v>5</v>
      </c>
      <c r="M3" s="290">
        <v>216</v>
      </c>
      <c r="N3" s="304">
        <f>M3/L3</f>
        <v>43.2</v>
      </c>
      <c r="O3" s="290">
        <v>5</v>
      </c>
      <c r="P3" s="290">
        <v>187</v>
      </c>
      <c r="Q3" s="304">
        <f>P3/O3</f>
        <v>37.4</v>
      </c>
      <c r="R3" s="290">
        <v>6</v>
      </c>
      <c r="S3" s="290">
        <v>239</v>
      </c>
      <c r="T3" s="304">
        <f>S3/R3</f>
        <v>39.833333333333336</v>
      </c>
      <c r="U3" s="290">
        <v>5</v>
      </c>
      <c r="V3" s="290">
        <v>222</v>
      </c>
      <c r="W3" s="304">
        <f>V3/U3</f>
        <v>44.4</v>
      </c>
      <c r="X3" s="290">
        <v>1</v>
      </c>
      <c r="Y3" s="290">
        <v>9</v>
      </c>
      <c r="Z3" s="290"/>
      <c r="AA3" s="290"/>
      <c r="AB3" s="290"/>
      <c r="AC3" s="300"/>
      <c r="AD3" s="300">
        <f t="shared" ref="AD3:AD8" si="0">F3+H3+AA3+AC3</f>
        <v>1091</v>
      </c>
      <c r="AE3" s="300">
        <f>[2]教职工数!C79</f>
        <v>77</v>
      </c>
      <c r="AF3" s="300"/>
      <c r="AG3" s="301">
        <v>8437500</v>
      </c>
      <c r="AH3" s="302">
        <v>2</v>
      </c>
      <c r="AI3" s="302">
        <v>1</v>
      </c>
      <c r="AJ3" s="303">
        <v>101028</v>
      </c>
    </row>
    <row r="4" spans="1:36" ht="12.75">
      <c r="A4" s="290">
        <v>2</v>
      </c>
      <c r="B4" s="290" t="s">
        <v>537</v>
      </c>
      <c r="C4" s="297" t="s">
        <v>379</v>
      </c>
      <c r="D4" s="298" t="s">
        <v>423</v>
      </c>
      <c r="E4" s="290"/>
      <c r="F4" s="290"/>
      <c r="G4" s="290">
        <f>SUM(I4+L4+O4+R4+U4+X4)</f>
        <v>23</v>
      </c>
      <c r="H4" s="290">
        <f>SUM(J4,M4,P4,S4,V4,Y4)</f>
        <v>859</v>
      </c>
      <c r="I4" s="290">
        <v>6</v>
      </c>
      <c r="J4" s="290">
        <v>184</v>
      </c>
      <c r="K4" s="304">
        <f>J4/I4</f>
        <v>30.666666666666668</v>
      </c>
      <c r="L4" s="290">
        <v>5</v>
      </c>
      <c r="M4" s="290">
        <v>167</v>
      </c>
      <c r="N4" s="304">
        <f>M4/L4</f>
        <v>33.4</v>
      </c>
      <c r="O4" s="290">
        <v>4</v>
      </c>
      <c r="P4" s="290">
        <v>138</v>
      </c>
      <c r="Q4" s="304">
        <f>P4/O4</f>
        <v>34.5</v>
      </c>
      <c r="R4" s="290">
        <v>4</v>
      </c>
      <c r="S4" s="290">
        <v>183</v>
      </c>
      <c r="T4" s="304">
        <f>S4/R4</f>
        <v>45.75</v>
      </c>
      <c r="U4" s="290">
        <v>4</v>
      </c>
      <c r="V4" s="290">
        <v>187</v>
      </c>
      <c r="W4" s="304">
        <f>V4/U4</f>
        <v>46.75</v>
      </c>
      <c r="X4" s="290"/>
      <c r="Y4" s="290"/>
      <c r="Z4" s="290"/>
      <c r="AA4" s="290"/>
      <c r="AB4" s="290"/>
      <c r="AC4" s="300"/>
      <c r="AD4" s="300">
        <f t="shared" si="0"/>
        <v>859</v>
      </c>
      <c r="AE4" s="300">
        <f>[2]教职工数!C80</f>
        <v>68</v>
      </c>
      <c r="AF4" s="300"/>
      <c r="AG4" s="301">
        <v>7038594</v>
      </c>
      <c r="AH4" s="302"/>
      <c r="AI4" s="302">
        <v>1</v>
      </c>
      <c r="AJ4" s="303">
        <v>396950</v>
      </c>
    </row>
    <row r="5" spans="1:36" ht="12.75">
      <c r="A5" s="290">
        <v>3</v>
      </c>
      <c r="B5" s="290" t="s">
        <v>537</v>
      </c>
      <c r="C5" s="297" t="s">
        <v>953</v>
      </c>
      <c r="D5" s="298" t="s">
        <v>417</v>
      </c>
      <c r="E5" s="290"/>
      <c r="F5" s="290"/>
      <c r="G5" s="290"/>
      <c r="H5" s="290"/>
      <c r="I5" s="290"/>
      <c r="J5" s="290"/>
      <c r="K5" s="304"/>
      <c r="L5" s="290"/>
      <c r="M5" s="290"/>
      <c r="N5" s="299"/>
      <c r="O5" s="290"/>
      <c r="P5" s="290"/>
      <c r="Q5" s="299"/>
      <c r="R5" s="304"/>
      <c r="S5" s="290"/>
      <c r="T5" s="299"/>
      <c r="U5" s="290"/>
      <c r="V5" s="290"/>
      <c r="W5" s="304"/>
      <c r="X5" s="290"/>
      <c r="Y5" s="290"/>
      <c r="Z5" s="290">
        <f>[2]中学学生数统计!Q15</f>
        <v>23</v>
      </c>
      <c r="AA5" s="290">
        <f>[2]中学学生数统计!R15</f>
        <v>835</v>
      </c>
      <c r="AB5" s="290"/>
      <c r="AC5" s="300"/>
      <c r="AD5" s="300">
        <f t="shared" si="0"/>
        <v>835</v>
      </c>
      <c r="AE5" s="300">
        <f>[2]教职工数!C16</f>
        <v>84</v>
      </c>
      <c r="AF5" s="300"/>
      <c r="AG5" s="301">
        <v>9480000</v>
      </c>
      <c r="AH5" s="302"/>
      <c r="AI5" s="302">
        <v>1</v>
      </c>
      <c r="AJ5" s="303">
        <v>233634</v>
      </c>
    </row>
    <row r="6" spans="1:36" ht="12.75">
      <c r="A6" s="290">
        <v>4</v>
      </c>
      <c r="B6" s="290" t="s">
        <v>537</v>
      </c>
      <c r="C6" s="297" t="s">
        <v>953</v>
      </c>
      <c r="D6" s="298" t="s">
        <v>419</v>
      </c>
      <c r="E6" s="290"/>
      <c r="F6" s="290"/>
      <c r="G6" s="290"/>
      <c r="H6" s="290"/>
      <c r="I6" s="290"/>
      <c r="J6" s="290"/>
      <c r="K6" s="304"/>
      <c r="L6" s="290"/>
      <c r="M6" s="290"/>
      <c r="N6" s="299"/>
      <c r="O6" s="290"/>
      <c r="P6" s="290"/>
      <c r="Q6" s="299"/>
      <c r="R6" s="304"/>
      <c r="S6" s="290"/>
      <c r="T6" s="299"/>
      <c r="U6" s="290"/>
      <c r="V6" s="290"/>
      <c r="W6" s="304"/>
      <c r="X6" s="290"/>
      <c r="Y6" s="290"/>
      <c r="Z6" s="290">
        <f>[2]中学学生数统计!Q16</f>
        <v>19</v>
      </c>
      <c r="AA6" s="290">
        <f>[2]中学学生数统计!R16</f>
        <v>675</v>
      </c>
      <c r="AB6" s="290"/>
      <c r="AC6" s="300"/>
      <c r="AD6" s="300">
        <f t="shared" si="0"/>
        <v>675</v>
      </c>
      <c r="AE6" s="300">
        <f>[2]教职工数!C17</f>
        <v>70</v>
      </c>
      <c r="AF6" s="300"/>
      <c r="AG6" s="301">
        <v>7431024</v>
      </c>
      <c r="AH6" s="302"/>
      <c r="AI6" s="302">
        <v>1</v>
      </c>
      <c r="AJ6" s="303">
        <v>124144</v>
      </c>
    </row>
    <row r="7" spans="1:36" ht="12.75">
      <c r="A7" s="290">
        <v>5</v>
      </c>
      <c r="B7" s="290" t="s">
        <v>537</v>
      </c>
      <c r="C7" s="297" t="s">
        <v>954</v>
      </c>
      <c r="D7" s="306" t="s">
        <v>427</v>
      </c>
      <c r="E7" s="307">
        <v>25</v>
      </c>
      <c r="F7" s="307">
        <v>770</v>
      </c>
      <c r="G7" s="290"/>
      <c r="H7" s="290"/>
      <c r="I7" s="290"/>
      <c r="J7" s="290"/>
      <c r="K7" s="304"/>
      <c r="L7" s="290"/>
      <c r="M7" s="290"/>
      <c r="N7" s="299"/>
      <c r="O7" s="290"/>
      <c r="P7" s="290"/>
      <c r="Q7" s="299"/>
      <c r="R7" s="304"/>
      <c r="S7" s="290"/>
      <c r="T7" s="299"/>
      <c r="U7" s="290"/>
      <c r="V7" s="290"/>
      <c r="W7" s="304"/>
      <c r="X7" s="290"/>
      <c r="Y7" s="290"/>
      <c r="Z7" s="290"/>
      <c r="AA7" s="290"/>
      <c r="AB7" s="290"/>
      <c r="AC7" s="300"/>
      <c r="AD7" s="300">
        <f t="shared" si="0"/>
        <v>770</v>
      </c>
      <c r="AE7" s="300">
        <f>[2]教职工数!C128</f>
        <v>59</v>
      </c>
      <c r="AF7" s="300"/>
      <c r="AG7" s="301">
        <v>5358000</v>
      </c>
      <c r="AH7" s="302">
        <v>2</v>
      </c>
      <c r="AI7" s="302">
        <v>1</v>
      </c>
      <c r="AJ7" s="303">
        <v>204966</v>
      </c>
    </row>
    <row r="8" spans="1:36" ht="12.75">
      <c r="A8" s="290">
        <v>6</v>
      </c>
      <c r="B8" s="290" t="s">
        <v>537</v>
      </c>
      <c r="C8" s="297" t="s">
        <v>954</v>
      </c>
      <c r="D8" s="306" t="s">
        <v>955</v>
      </c>
      <c r="E8" s="307">
        <v>29</v>
      </c>
      <c r="F8" s="307">
        <v>768</v>
      </c>
      <c r="G8" s="290"/>
      <c r="H8" s="290"/>
      <c r="I8" s="290"/>
      <c r="J8" s="290"/>
      <c r="K8" s="304"/>
      <c r="L8" s="290"/>
      <c r="M8" s="290"/>
      <c r="N8" s="299"/>
      <c r="O8" s="290"/>
      <c r="P8" s="290"/>
      <c r="Q8" s="299"/>
      <c r="R8" s="304"/>
      <c r="S8" s="290"/>
      <c r="T8" s="299"/>
      <c r="U8" s="290"/>
      <c r="V8" s="290"/>
      <c r="W8" s="304"/>
      <c r="X8" s="290"/>
      <c r="Y8" s="290"/>
      <c r="Z8" s="290"/>
      <c r="AA8" s="290"/>
      <c r="AB8" s="290"/>
      <c r="AC8" s="300"/>
      <c r="AD8" s="300">
        <f t="shared" si="0"/>
        <v>768</v>
      </c>
      <c r="AE8" s="300">
        <f>[2]教职工数!C129</f>
        <v>61</v>
      </c>
      <c r="AF8" s="300"/>
      <c r="AG8" s="301">
        <v>5452000</v>
      </c>
      <c r="AH8" s="302">
        <v>2</v>
      </c>
      <c r="AI8" s="302">
        <v>1</v>
      </c>
      <c r="AJ8" s="303">
        <v>97046</v>
      </c>
    </row>
    <row r="9" spans="1:36" ht="12.75">
      <c r="A9" s="290"/>
      <c r="B9" s="305" t="s">
        <v>562</v>
      </c>
      <c r="C9" s="297"/>
      <c r="D9" s="306"/>
      <c r="E9" s="307"/>
      <c r="F9" s="307"/>
      <c r="G9" s="290"/>
      <c r="H9" s="290"/>
      <c r="I9" s="290"/>
      <c r="J9" s="290"/>
      <c r="K9" s="304"/>
      <c r="L9" s="290"/>
      <c r="M9" s="290"/>
      <c r="N9" s="299"/>
      <c r="O9" s="290"/>
      <c r="P9" s="290"/>
      <c r="Q9" s="299"/>
      <c r="R9" s="304"/>
      <c r="S9" s="290"/>
      <c r="T9" s="299"/>
      <c r="U9" s="290"/>
      <c r="V9" s="290"/>
      <c r="W9" s="304"/>
      <c r="X9" s="290"/>
      <c r="Y9" s="290"/>
      <c r="Z9" s="290"/>
      <c r="AA9" s="290"/>
      <c r="AB9" s="290"/>
      <c r="AC9" s="300"/>
      <c r="AD9" s="300"/>
      <c r="AE9" s="300"/>
      <c r="AF9" s="300"/>
      <c r="AG9" s="301"/>
      <c r="AH9" s="302"/>
      <c r="AI9" s="302"/>
      <c r="AJ9" s="303">
        <f>SUBTOTAL(9,AJ3:AJ8)</f>
        <v>1157768</v>
      </c>
    </row>
    <row r="10" spans="1:36">
      <c r="S10" s="458">
        <v>42984</v>
      </c>
      <c r="T10" s="458"/>
      <c r="U10" s="458"/>
      <c r="V10" s="458"/>
      <c r="W10" s="458"/>
      <c r="X10" s="458"/>
      <c r="Y10" s="458"/>
    </row>
  </sheetData>
  <mergeCells count="8">
    <mergeCell ref="S10:Y10"/>
    <mergeCell ref="A1:AJ1"/>
    <mergeCell ref="I2:K2"/>
    <mergeCell ref="L2:N2"/>
    <mergeCell ref="O2:Q2"/>
    <mergeCell ref="R2:T2"/>
    <mergeCell ref="U2:W2"/>
    <mergeCell ref="X2:Y2"/>
  </mergeCells>
  <phoneticPr fontId="3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27</vt:i4>
      </vt:variant>
      <vt:variant>
        <vt:lpstr>命名范围</vt:lpstr>
      </vt:variant>
      <vt:variant>
        <vt:i4>21</vt:i4>
      </vt:variant>
    </vt:vector>
  </HeadingPairs>
  <TitlesOfParts>
    <vt:vector size="48" baseType="lpstr">
      <vt:lpstr>基本支出汇总</vt:lpstr>
      <vt:lpstr>2022年绩效清算</vt:lpstr>
      <vt:lpstr>莘庄镇</vt:lpstr>
      <vt:lpstr>吴泾镇</vt:lpstr>
      <vt:lpstr>七宝镇</vt:lpstr>
      <vt:lpstr>浦江镇</vt:lpstr>
      <vt:lpstr>梅陇镇</vt:lpstr>
      <vt:lpstr>马桥镇</vt:lpstr>
      <vt:lpstr>华漕镇</vt:lpstr>
      <vt:lpstr>颛桥镇</vt:lpstr>
      <vt:lpstr>虹桥镇</vt:lpstr>
      <vt:lpstr>2023绩效预估</vt:lpstr>
      <vt:lpstr>保安经费</vt:lpstr>
      <vt:lpstr>残疾就业保障</vt:lpstr>
      <vt:lpstr>补充公用经费</vt:lpstr>
      <vt:lpstr>浦江镇汇总</vt:lpstr>
      <vt:lpstr>设备购置与更新</vt:lpstr>
      <vt:lpstr>理化实验室</vt:lpstr>
      <vt:lpstr>浦江维修2023</vt:lpstr>
      <vt:lpstr>2022年校舍维修尾款</vt:lpstr>
      <vt:lpstr>学前科</vt:lpstr>
      <vt:lpstr>普教一科</vt:lpstr>
      <vt:lpstr>普教二科</vt:lpstr>
      <vt:lpstr>信息化项目</vt:lpstr>
      <vt:lpstr>考试中心</vt:lpstr>
      <vt:lpstr>教育学院</vt:lpstr>
      <vt:lpstr>抚恤金</vt:lpstr>
      <vt:lpstr>'2022年绩效清算'!Print_Area</vt:lpstr>
      <vt:lpstr>'2022年校舍维修尾款'!Print_Area</vt:lpstr>
      <vt:lpstr>教育学院!Print_Area</vt:lpstr>
      <vt:lpstr>考试中心!Print_Area</vt:lpstr>
      <vt:lpstr>理化实验室!Print_Area</vt:lpstr>
      <vt:lpstr>浦江维修2023!Print_Area</vt:lpstr>
      <vt:lpstr>浦江镇!Print_Area</vt:lpstr>
      <vt:lpstr>普教二科!Print_Area</vt:lpstr>
      <vt:lpstr>普教一科!Print_Area</vt:lpstr>
      <vt:lpstr>设备购置与更新!Print_Area</vt:lpstr>
      <vt:lpstr>学前科!Print_Area</vt:lpstr>
      <vt:lpstr>'2022年绩效清算'!Print_Titles</vt:lpstr>
      <vt:lpstr>教育学院!Print_Titles</vt:lpstr>
      <vt:lpstr>考试中心!Print_Titles</vt:lpstr>
      <vt:lpstr>理化实验室!Print_Titles</vt:lpstr>
      <vt:lpstr>浦江维修2023!Print_Titles</vt:lpstr>
      <vt:lpstr>浦江镇!Print_Titles</vt:lpstr>
      <vt:lpstr>普教二科!Print_Titles</vt:lpstr>
      <vt:lpstr>普教一科!Print_Titles</vt:lpstr>
      <vt:lpstr>设备购置与更新!Print_Titles</vt:lpstr>
      <vt:lpstr>学前科!Print_Titles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2023-04-24T02:36:07Z</cp:lastPrinted>
  <dcterms:created xsi:type="dcterms:W3CDTF">2022-11-10T02:18:00Z</dcterms:created>
  <dcterms:modified xsi:type="dcterms:W3CDTF">2023-04-28T07:06:08Z</dcterms:modified>
</cp:coreProperties>
</file>